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HorizontalScroll="0" showVerticalScroll="0" showSheetTabs="0" xWindow="0" yWindow="0" windowWidth="28800" windowHeight="158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N19" i="1"/>
  <c r="N43" i="1"/>
  <c r="A43" i="1"/>
  <c r="A31" i="1"/>
  <c r="A19" i="1"/>
  <c r="A7" i="1"/>
  <c r="N31" i="1"/>
  <c r="A16" i="1"/>
  <c r="N28" i="1"/>
  <c r="N4" i="1"/>
  <c r="M25" i="1"/>
  <c r="M26" i="1"/>
  <c r="N16" i="1"/>
  <c r="M13" i="1"/>
  <c r="M14" i="1"/>
  <c r="N40" i="1"/>
  <c r="Z14" i="1"/>
  <c r="Z13" i="1"/>
  <c r="Z26" i="1"/>
  <c r="Z25" i="1"/>
  <c r="Z38" i="1"/>
  <c r="Z37" i="1"/>
  <c r="A40" i="1"/>
  <c r="M49" i="1"/>
  <c r="M50" i="1"/>
  <c r="W15" i="1"/>
  <c r="K51" i="1"/>
  <c r="J44" i="1"/>
  <c r="P8" i="1"/>
  <c r="F44" i="1"/>
  <c r="D43" i="1"/>
  <c r="O15" i="1"/>
  <c r="Q15" i="1"/>
  <c r="E27" i="1"/>
  <c r="M19" i="1"/>
  <c r="J27" i="1"/>
  <c r="H19" i="1"/>
  <c r="M44" i="1"/>
  <c r="W7" i="1"/>
  <c r="Y8" i="1"/>
  <c r="E43" i="1"/>
  <c r="R7" i="1"/>
  <c r="X8" i="1"/>
  <c r="L51" i="1"/>
  <c r="D51" i="1"/>
  <c r="M27" i="1"/>
  <c r="J20" i="1"/>
  <c r="B19" i="1"/>
  <c r="F20" i="1"/>
  <c r="B44" i="1"/>
  <c r="O8" i="1"/>
  <c r="X15" i="1"/>
  <c r="O7" i="1"/>
  <c r="M51" i="1"/>
  <c r="F42" i="1"/>
  <c r="D44" i="1"/>
  <c r="P7" i="1"/>
  <c r="E20" i="1"/>
  <c r="K19" i="1"/>
  <c r="C20" i="1"/>
  <c r="S6" i="1"/>
  <c r="J43" i="1"/>
  <c r="E44" i="1"/>
  <c r="U8" i="1"/>
  <c r="Y15" i="1"/>
  <c r="B51" i="1"/>
  <c r="S7" i="1"/>
  <c r="P15" i="1"/>
  <c r="H20" i="1"/>
  <c r="D20" i="1"/>
  <c r="H18" i="1"/>
  <c r="X7" i="1"/>
  <c r="H42" i="1"/>
  <c r="K27" i="1"/>
  <c r="C27" i="1"/>
  <c r="B43" i="1"/>
  <c r="E51" i="1"/>
  <c r="C44" i="1"/>
  <c r="D19" i="1"/>
  <c r="L27" i="1"/>
  <c r="K44" i="1"/>
  <c r="W8" i="1"/>
  <c r="Y7" i="1"/>
  <c r="L43" i="1"/>
  <c r="M20" i="1"/>
  <c r="B27" i="1"/>
  <c r="C51" i="1"/>
  <c r="R8" i="1"/>
  <c r="M43" i="1"/>
  <c r="L44" i="1"/>
  <c r="Q7" i="1"/>
  <c r="C43" i="1"/>
  <c r="R15" i="1"/>
  <c r="E19" i="1"/>
  <c r="F19" i="1"/>
  <c r="L19" i="1"/>
  <c r="C19" i="1"/>
  <c r="U6" i="1"/>
  <c r="Z8" i="1"/>
  <c r="K43" i="1"/>
  <c r="J51" i="1"/>
  <c r="Q8" i="1"/>
  <c r="F18" i="1"/>
  <c r="D27" i="1"/>
  <c r="H44" i="1"/>
  <c r="F43" i="1"/>
  <c r="H43" i="1"/>
  <c r="S8" i="1"/>
  <c r="L20" i="1"/>
  <c r="B20" i="1"/>
  <c r="Z15" i="1"/>
  <c r="U7" i="1"/>
  <c r="Z7" i="1"/>
  <c r="J19" i="1"/>
  <c r="K20" i="1"/>
  <c r="Z31" i="1"/>
  <c r="U30" i="1"/>
  <c r="W31" i="1"/>
  <c r="U37" i="1"/>
  <c r="X51" i="1"/>
  <c r="Q51" i="1"/>
  <c r="Z51" i="1"/>
  <c r="U44" i="1"/>
  <c r="X44" i="1"/>
  <c r="X43" i="1"/>
  <c r="W44" i="1"/>
  <c r="P46" i="1"/>
  <c r="W39" i="1"/>
  <c r="P44" i="1"/>
  <c r="Q39" i="1"/>
  <c r="U49" i="1"/>
  <c r="W32" i="1"/>
  <c r="R39" i="1"/>
  <c r="S32" i="1"/>
  <c r="T39" i="1"/>
  <c r="R43" i="1"/>
  <c r="S42" i="1"/>
  <c r="Q44" i="1"/>
  <c r="Y51" i="1"/>
  <c r="P43" i="1"/>
  <c r="Y39" i="1"/>
  <c r="Q43" i="1"/>
  <c r="O32" i="1"/>
  <c r="O51" i="1"/>
  <c r="Z44" i="1"/>
  <c r="P32" i="1"/>
  <c r="P31" i="1"/>
  <c r="O31" i="1"/>
  <c r="X31" i="1"/>
  <c r="N35" i="1"/>
  <c r="O44" i="1"/>
  <c r="W51" i="1"/>
  <c r="S31" i="1"/>
  <c r="X39" i="1"/>
  <c r="O43" i="1"/>
  <c r="R32" i="1"/>
  <c r="S30" i="1"/>
  <c r="Z32" i="1"/>
  <c r="Q32" i="1"/>
  <c r="P34" i="1"/>
  <c r="P51" i="1"/>
  <c r="Y44" i="1"/>
  <c r="N47" i="1"/>
  <c r="R44" i="1"/>
  <c r="Z49" i="1"/>
  <c r="Z50" i="1"/>
  <c r="R31" i="1"/>
  <c r="P39" i="1"/>
  <c r="Y32" i="1"/>
  <c r="O39" i="1"/>
  <c r="O28" i="1"/>
  <c r="S44" i="1"/>
  <c r="C46" i="1"/>
  <c r="U43" i="1"/>
  <c r="Z43" i="1"/>
  <c r="M37" i="1"/>
  <c r="X32" i="1"/>
  <c r="U32" i="1"/>
  <c r="Y31" i="1"/>
  <c r="U31" i="1"/>
  <c r="Q31" i="1"/>
  <c r="W43" i="1"/>
  <c r="U42" i="1"/>
  <c r="R51" i="1"/>
  <c r="Y43" i="1"/>
  <c r="Z39" i="1"/>
  <c r="T51" i="1"/>
  <c r="M38" i="1"/>
  <c r="S43" i="1"/>
  <c r="G15" i="1"/>
  <c r="N11" i="1"/>
  <c r="P10" i="1"/>
  <c r="U25" i="1"/>
  <c r="C22" i="1"/>
  <c r="B40" i="1"/>
  <c r="N23" i="1"/>
  <c r="A47" i="1"/>
  <c r="H37" i="1"/>
  <c r="H25" i="1"/>
  <c r="C34" i="1"/>
  <c r="G39" i="1"/>
  <c r="U13" i="1"/>
  <c r="P22" i="1"/>
  <c r="T27" i="1"/>
  <c r="R38" i="1"/>
  <c r="H13" i="1"/>
  <c r="T15" i="1"/>
  <c r="H49" i="1"/>
  <c r="C10" i="1"/>
  <c r="R37" i="1"/>
  <c r="G51" i="1"/>
  <c r="G27" i="1"/>
  <c r="A23" i="1"/>
  <c r="O16" i="1"/>
  <c r="P19" i="1"/>
  <c r="P27" i="1"/>
  <c r="O27" i="1"/>
  <c r="P20" i="1"/>
  <c r="R26" i="1"/>
  <c r="U19" i="1"/>
  <c r="U20" i="1"/>
  <c r="O19" i="1"/>
  <c r="Y27" i="1"/>
  <c r="Z19" i="1"/>
  <c r="Q19" i="1"/>
  <c r="S20" i="1"/>
  <c r="W20" i="1"/>
  <c r="Y20" i="1"/>
  <c r="R20" i="1"/>
  <c r="S18" i="1"/>
  <c r="X27" i="1"/>
  <c r="U18" i="1"/>
  <c r="O20" i="1"/>
  <c r="W19" i="1"/>
  <c r="Q20" i="1"/>
  <c r="Z20" i="1"/>
  <c r="Z27" i="1"/>
  <c r="Q27" i="1"/>
  <c r="W27" i="1"/>
  <c r="R19" i="1"/>
  <c r="Y19" i="1"/>
  <c r="R27" i="1"/>
  <c r="X20" i="1"/>
  <c r="S19" i="1"/>
  <c r="R25" i="1"/>
  <c r="X19" i="1"/>
  <c r="E49" i="1"/>
  <c r="E50" i="1"/>
  <c r="L7" i="1"/>
  <c r="K7" i="1"/>
  <c r="J7" i="1"/>
  <c r="J32" i="1"/>
  <c r="D31" i="1"/>
  <c r="K31" i="1"/>
  <c r="E37" i="1"/>
  <c r="B8" i="1"/>
  <c r="E7" i="1"/>
  <c r="F8" i="1"/>
  <c r="E32" i="1"/>
  <c r="O40" i="1"/>
  <c r="M31" i="1"/>
  <c r="E26" i="1"/>
  <c r="B7" i="1"/>
  <c r="F7" i="1"/>
  <c r="H8" i="1"/>
  <c r="C31" i="1"/>
  <c r="J31" i="1"/>
  <c r="L31" i="1"/>
  <c r="E13" i="1"/>
  <c r="L8" i="1"/>
  <c r="J8" i="1"/>
  <c r="K8" i="1"/>
  <c r="B32" i="1"/>
  <c r="M32" i="1"/>
  <c r="B31" i="1"/>
  <c r="F31" i="1"/>
  <c r="E14" i="1"/>
  <c r="C7" i="1"/>
  <c r="E8" i="1"/>
  <c r="E31" i="1"/>
  <c r="F32" i="1"/>
  <c r="R13" i="1"/>
  <c r="E25" i="1"/>
  <c r="D8" i="1"/>
  <c r="R50" i="1"/>
  <c r="R49" i="1"/>
  <c r="L32" i="1"/>
  <c r="O4" i="1"/>
  <c r="B16" i="1"/>
  <c r="D7" i="1"/>
  <c r="M8" i="1"/>
  <c r="C8" i="1"/>
  <c r="C32" i="1"/>
  <c r="K32" i="1"/>
  <c r="E38" i="1"/>
  <c r="H7" i="1"/>
  <c r="M7" i="1"/>
  <c r="D32" i="1"/>
  <c r="H31" i="1"/>
  <c r="H32" i="1"/>
  <c r="R14" i="1"/>
  <c r="E39" i="1"/>
  <c r="A4" i="1"/>
  <c r="L15" i="1"/>
  <c r="D39" i="1"/>
  <c r="M15" i="1"/>
  <c r="H6" i="1"/>
  <c r="M39" i="1"/>
  <c r="F30" i="1"/>
  <c r="B2" i="1"/>
  <c r="H30" i="1"/>
  <c r="B4" i="1"/>
  <c r="W2" i="1"/>
  <c r="A11" i="1"/>
  <c r="D15" i="1"/>
  <c r="C15" i="1"/>
  <c r="E15" i="1"/>
  <c r="B28" i="1"/>
  <c r="K15" i="1"/>
  <c r="K39" i="1"/>
  <c r="B39" i="1"/>
  <c r="A35" i="1"/>
  <c r="J15" i="1"/>
  <c r="L39" i="1"/>
  <c r="F6" i="1"/>
  <c r="B15" i="1"/>
  <c r="J39" i="1"/>
  <c r="C39" i="1"/>
  <c r="A28" i="1"/>
  <c r="A48" i="1" l="1"/>
  <c r="A36" i="1"/>
  <c r="A24" i="1"/>
  <c r="A12" i="1"/>
  <c r="N48" i="1"/>
  <c r="N50" i="1" s="1"/>
  <c r="N51" i="1" s="1"/>
  <c r="N12" i="1"/>
  <c r="N24" i="1"/>
  <c r="N36" i="1"/>
  <c r="V49" i="1"/>
  <c r="V13" i="1"/>
  <c r="X9" i="1"/>
  <c r="B45" i="1"/>
  <c r="Y9" i="1"/>
  <c r="K21" i="1"/>
  <c r="M45" i="1"/>
  <c r="C45" i="1"/>
  <c r="K45" i="1"/>
  <c r="E21" i="1"/>
  <c r="D21" i="1"/>
  <c r="B21" i="1"/>
  <c r="R9" i="1"/>
  <c r="W9" i="1"/>
  <c r="D45" i="1"/>
  <c r="J21" i="1"/>
  <c r="L45" i="1"/>
  <c r="Q9" i="1"/>
  <c r="L21" i="1"/>
  <c r="J45" i="1"/>
  <c r="M21" i="1"/>
  <c r="P9" i="1"/>
  <c r="E45" i="1"/>
  <c r="O9" i="1"/>
  <c r="C21" i="1"/>
  <c r="Z9" i="1"/>
  <c r="R33" i="1"/>
  <c r="V37" i="1"/>
  <c r="W45" i="1"/>
  <c r="Q33" i="1"/>
  <c r="X45" i="1"/>
  <c r="Y33" i="1"/>
  <c r="P45" i="1"/>
  <c r="Z45" i="1"/>
  <c r="O45" i="1"/>
  <c r="P33" i="1"/>
  <c r="Y45" i="1"/>
  <c r="R45" i="1"/>
  <c r="Z33" i="1"/>
  <c r="X33" i="1"/>
  <c r="W33" i="1"/>
  <c r="Q45" i="1"/>
  <c r="O33" i="1"/>
  <c r="I37" i="1"/>
  <c r="I49" i="1"/>
  <c r="I13" i="1"/>
  <c r="V25" i="1"/>
  <c r="I25" i="1"/>
  <c r="R21" i="1"/>
  <c r="Y21" i="1"/>
  <c r="X21" i="1"/>
  <c r="P21" i="1"/>
  <c r="O21" i="1"/>
  <c r="Q21" i="1"/>
  <c r="W21" i="1"/>
  <c r="Z21" i="1"/>
  <c r="J33" i="1"/>
  <c r="B9" i="1"/>
  <c r="M33" i="1"/>
  <c r="C9" i="1"/>
  <c r="L9" i="1"/>
  <c r="K9" i="1"/>
  <c r="E9" i="1"/>
  <c r="M9" i="1"/>
  <c r="C33" i="1"/>
  <c r="E33" i="1"/>
  <c r="D9" i="1"/>
  <c r="L33" i="1"/>
  <c r="B33" i="1"/>
  <c r="D33" i="1"/>
  <c r="J9" i="1"/>
  <c r="K33" i="1"/>
  <c r="A50" i="1" l="1"/>
  <c r="A51" i="1" s="1"/>
  <c r="A38" i="1"/>
  <c r="A39" i="1" s="1"/>
  <c r="A26" i="1"/>
  <c r="A27" i="1" s="1"/>
  <c r="A14" i="1"/>
  <c r="A15" i="1" s="1"/>
  <c r="N14" i="1"/>
  <c r="N15" i="1" s="1"/>
  <c r="N26" i="1"/>
  <c r="N27" i="1" s="1"/>
  <c r="N38" i="1"/>
  <c r="N39" i="1" s="1"/>
  <c r="N37" i="1"/>
  <c r="N29" i="1"/>
  <c r="N34" i="1"/>
  <c r="U51" i="1"/>
  <c r="N46" i="1"/>
  <c r="X29" i="1"/>
  <c r="W29" i="1"/>
  <c r="W41" i="1"/>
  <c r="Q41" i="1"/>
  <c r="P41" i="1"/>
  <c r="N45" i="1"/>
  <c r="U41" i="1" s="1"/>
  <c r="X37" i="1"/>
  <c r="Q29" i="1"/>
  <c r="X49" i="1"/>
  <c r="X50" i="1"/>
  <c r="O41" i="1"/>
  <c r="Y29" i="1"/>
  <c r="R34" i="1"/>
  <c r="R46" i="1"/>
  <c r="O29" i="1"/>
  <c r="S37" i="1"/>
  <c r="X41" i="1"/>
  <c r="R29" i="1"/>
  <c r="P29" i="1"/>
  <c r="N41" i="1"/>
  <c r="Z41" i="1"/>
  <c r="N33" i="1"/>
  <c r="S51" i="1"/>
  <c r="S41" i="1" s="1"/>
  <c r="Z29" i="1"/>
  <c r="X38" i="1"/>
  <c r="S49" i="1"/>
  <c r="Y41" i="1"/>
  <c r="R41" i="1"/>
  <c r="S39" i="1"/>
  <c r="P5" i="1"/>
  <c r="Q38" i="1"/>
  <c r="J17" i="1"/>
  <c r="E22" i="1"/>
  <c r="S15" i="1"/>
  <c r="M41" i="1"/>
  <c r="B41" i="1"/>
  <c r="S25" i="1"/>
  <c r="T34" i="1"/>
  <c r="A21" i="1"/>
  <c r="J41" i="1"/>
  <c r="X25" i="1"/>
  <c r="K41" i="1"/>
  <c r="X14" i="1"/>
  <c r="Z5" i="1"/>
  <c r="Q37" i="1"/>
  <c r="A17" i="1"/>
  <c r="C17" i="1"/>
  <c r="X13" i="1"/>
  <c r="A41" i="1"/>
  <c r="R10" i="1"/>
  <c r="K49" i="1"/>
  <c r="Y5" i="1"/>
  <c r="X5" i="1"/>
  <c r="V34" i="1"/>
  <c r="B17" i="1"/>
  <c r="W5" i="1"/>
  <c r="N10" i="1"/>
  <c r="C41" i="1"/>
  <c r="N9" i="1"/>
  <c r="R22" i="1"/>
  <c r="R5" i="1"/>
  <c r="O5" i="1"/>
  <c r="Z34" i="1"/>
  <c r="K17" i="1"/>
  <c r="K26" i="1"/>
  <c r="X26" i="1"/>
  <c r="E17" i="1"/>
  <c r="L17" i="1"/>
  <c r="A22" i="1"/>
  <c r="A46" i="1"/>
  <c r="A45" i="1"/>
  <c r="N5" i="1"/>
  <c r="S13" i="1"/>
  <c r="X34" i="1"/>
  <c r="D17" i="1"/>
  <c r="H27" i="1"/>
  <c r="Q5" i="1"/>
  <c r="N17" i="1"/>
  <c r="K50" i="1"/>
  <c r="H17" i="1"/>
  <c r="E46" i="1"/>
  <c r="D41" i="1"/>
  <c r="E41" i="1"/>
  <c r="F49" i="1"/>
  <c r="L41" i="1"/>
  <c r="S5" i="1"/>
  <c r="K25" i="1"/>
  <c r="F25" i="1"/>
  <c r="M17" i="1"/>
  <c r="F51" i="1"/>
  <c r="F41" i="1" s="1"/>
  <c r="U15" i="1"/>
  <c r="U5" i="1" s="1"/>
  <c r="V22" i="1"/>
  <c r="P17" i="1"/>
  <c r="S27" i="1"/>
  <c r="Q17" i="1"/>
  <c r="W17" i="1"/>
  <c r="O17" i="1"/>
  <c r="N25" i="1"/>
  <c r="Y17" i="1"/>
  <c r="N22" i="1"/>
  <c r="N21" i="1"/>
  <c r="Z17" i="1"/>
  <c r="R17" i="1"/>
  <c r="X17" i="1"/>
  <c r="U27" i="1"/>
  <c r="U17" i="1"/>
  <c r="Q25" i="1"/>
  <c r="X22" i="1"/>
  <c r="Z22" i="1"/>
  <c r="I46" i="1"/>
  <c r="A49" i="1"/>
  <c r="Q26" i="1"/>
  <c r="K46" i="1"/>
  <c r="Q13" i="1"/>
  <c r="M22" i="1"/>
  <c r="X10" i="1"/>
  <c r="N13" i="1"/>
  <c r="Z10" i="1"/>
  <c r="Q50" i="1"/>
  <c r="D49" i="1"/>
  <c r="A25" i="1"/>
  <c r="Q49" i="1"/>
  <c r="D50" i="1"/>
  <c r="I41" i="1" s="1"/>
  <c r="I22" i="1"/>
  <c r="G41" i="1"/>
  <c r="Z46" i="1"/>
  <c r="V46" i="1"/>
  <c r="N49" i="1"/>
  <c r="K22" i="1"/>
  <c r="V41" i="1"/>
  <c r="M46" i="1"/>
  <c r="D25" i="1"/>
  <c r="T41" i="1"/>
  <c r="X46" i="1"/>
  <c r="Q14" i="1"/>
  <c r="V5" i="1" s="1"/>
  <c r="V10" i="1"/>
  <c r="D26" i="1"/>
  <c r="A37" i="1"/>
  <c r="A5" i="1"/>
  <c r="A33" i="1"/>
  <c r="M29" i="1"/>
  <c r="M34" i="1"/>
  <c r="K13" i="1"/>
  <c r="L5" i="1"/>
  <c r="F37" i="1"/>
  <c r="K29" i="1"/>
  <c r="C29" i="1"/>
  <c r="B29" i="1"/>
  <c r="A10" i="1"/>
  <c r="D14" i="1"/>
  <c r="G5" i="1" s="1"/>
  <c r="K14" i="1"/>
  <c r="K10" i="1"/>
  <c r="L29" i="1"/>
  <c r="D29" i="1"/>
  <c r="K34" i="1"/>
  <c r="M10" i="1"/>
  <c r="E10" i="1"/>
  <c r="I10" i="1"/>
  <c r="J29" i="1"/>
  <c r="D38" i="1"/>
  <c r="I29" i="1" s="1"/>
  <c r="J5" i="1"/>
  <c r="I34" i="1"/>
  <c r="M5" i="1"/>
  <c r="K38" i="1"/>
  <c r="A34" i="1"/>
  <c r="A29" i="1"/>
  <c r="D37" i="1"/>
  <c r="F13" i="1"/>
  <c r="A9" i="1"/>
  <c r="I5" i="1" s="1"/>
  <c r="E5" i="1"/>
  <c r="C5" i="1"/>
  <c r="D13" i="1"/>
  <c r="E29" i="1"/>
  <c r="K5" i="1"/>
  <c r="H39" i="1"/>
  <c r="H29" i="1" s="1"/>
  <c r="A13" i="1"/>
  <c r="K37" i="1"/>
  <c r="D5" i="1"/>
  <c r="F39" i="1"/>
  <c r="B5" i="1"/>
  <c r="E34" i="1"/>
  <c r="F15" i="1"/>
  <c r="F5" i="1" s="1"/>
  <c r="I17" i="1"/>
  <c r="G17" i="1"/>
  <c r="T17" i="1"/>
  <c r="T29" i="1" l="1"/>
  <c r="U29" i="1"/>
  <c r="V29" i="1"/>
  <c r="S29" i="1"/>
  <c r="N42" i="1"/>
  <c r="N18" i="1"/>
  <c r="N6" i="1"/>
  <c r="A18" i="1"/>
  <c r="N30" i="1"/>
  <c r="A42" i="1"/>
  <c r="U39" i="1"/>
  <c r="U45" i="1"/>
  <c r="S45" i="1"/>
  <c r="S33" i="1"/>
  <c r="H21" i="1"/>
  <c r="F27" i="1"/>
  <c r="U9" i="1"/>
  <c r="F45" i="1"/>
  <c r="H51" i="1"/>
  <c r="H41" i="1" s="1"/>
  <c r="S9" i="1"/>
  <c r="F17" i="1"/>
  <c r="S21" i="1"/>
  <c r="T22" i="1"/>
  <c r="U21" i="1"/>
  <c r="S17" i="1"/>
  <c r="V17" i="1"/>
  <c r="G46" i="1"/>
  <c r="T5" i="1"/>
  <c r="G22" i="1"/>
  <c r="T10" i="1"/>
  <c r="T46" i="1"/>
  <c r="F33" i="1"/>
  <c r="F29" i="1"/>
  <c r="G29" i="1"/>
  <c r="H33" i="1"/>
  <c r="G10" i="1"/>
  <c r="G34" i="1"/>
  <c r="A6" i="1"/>
  <c r="F9" i="1"/>
  <c r="A30" i="1"/>
  <c r="H15" i="1"/>
  <c r="H16" i="1" l="1"/>
  <c r="U28" i="1"/>
  <c r="U16" i="1"/>
  <c r="U4" i="1"/>
  <c r="H40" i="1"/>
  <c r="U40" i="1"/>
  <c r="H4" i="1"/>
  <c r="H28" i="1"/>
  <c r="U33" i="1"/>
  <c r="F21" i="1"/>
  <c r="H45" i="1"/>
  <c r="H5" i="1"/>
  <c r="H9" i="1"/>
</calcChain>
</file>

<file path=xl/sharedStrings.xml><?xml version="1.0" encoding="utf-8"?>
<sst xmlns="http://schemas.openxmlformats.org/spreadsheetml/2006/main" count="189" uniqueCount="33">
  <si>
    <t>Symbol</t>
  </si>
  <si>
    <t>Ask/Bid</t>
  </si>
  <si>
    <t>Ask</t>
  </si>
  <si>
    <t>Bid</t>
  </si>
  <si>
    <t>Volume</t>
  </si>
  <si>
    <t>Last</t>
  </si>
  <si>
    <t>Total Volume</t>
  </si>
  <si>
    <t>Prices</t>
  </si>
  <si>
    <t>Volume Traded</t>
  </si>
  <si>
    <t>at Ask &amp; Bid</t>
  </si>
  <si>
    <t>EP</t>
  </si>
  <si>
    <t>CLE</t>
  </si>
  <si>
    <t>GCE</t>
  </si>
  <si>
    <t>Designed by Thom Hartle</t>
  </si>
  <si>
    <t>CQG Custom Dashboard</t>
  </si>
  <si>
    <t xml:space="preserve">  Copyright © 2017</t>
  </si>
  <si>
    <t>at this Price</t>
  </si>
  <si>
    <t xml:space="preserve">Open: </t>
  </si>
  <si>
    <t xml:space="preserve">Symbol: </t>
  </si>
  <si>
    <t xml:space="preserve">Last: </t>
  </si>
  <si>
    <t xml:space="preserve">NC: </t>
  </si>
  <si>
    <t xml:space="preserve">Low: </t>
  </si>
  <si>
    <t>High:</t>
  </si>
  <si>
    <t>Last trade</t>
  </si>
  <si>
    <t>EU6</t>
  </si>
  <si>
    <t>ENQ</t>
  </si>
  <si>
    <t>Last Trade</t>
  </si>
  <si>
    <t>BP6</t>
  </si>
  <si>
    <t>TYA</t>
  </si>
  <si>
    <t>Ask/Bid Prices</t>
  </si>
  <si>
    <t>TFlow</t>
  </si>
  <si>
    <t xml:space="preserve">  Copyright © 2018</t>
  </si>
  <si>
    <t>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</si>
</sst>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mm\.ss.000"/>
  </numFmts>
  <fonts count="28" x14ac:knownFonts="1">
    <font>
      <sz val="11"/>
      <color theme="1"/>
      <name val="Calibri"/>
      <family val="2"/>
      <scheme val="minor"/>
    </font>
    <font>
      <sz val="12"/>
      <color theme="0"/>
      <name val="Century Gothic"/>
      <family val="2"/>
    </font>
    <font>
      <sz val="11"/>
      <color theme="0"/>
      <name val="Century Gothic"/>
      <family val="2"/>
    </font>
    <font>
      <sz val="24"/>
      <color theme="4"/>
      <name val="Century Gothic"/>
      <family val="2"/>
    </font>
    <font>
      <sz val="6"/>
      <color theme="4"/>
      <name val="Century Gothic"/>
      <family val="2"/>
    </font>
    <font>
      <sz val="9"/>
      <color theme="0"/>
      <name val="Century Gothic"/>
      <family val="2"/>
    </font>
    <font>
      <sz val="10"/>
      <color theme="0"/>
      <name val="Century Gothic"/>
      <family val="2"/>
    </font>
    <font>
      <sz val="16"/>
      <color theme="0"/>
      <name val="Century Gothic"/>
      <family val="2"/>
    </font>
    <font>
      <sz val="24"/>
      <color theme="0"/>
      <name val="Century Gothic"/>
      <family val="2"/>
    </font>
    <font>
      <sz val="11"/>
      <color rgb="FF0000FF"/>
      <name val="Century Gothic"/>
      <family val="2"/>
    </font>
    <font>
      <sz val="11"/>
      <color rgb="FF0000C8"/>
      <name val="Century Gothic"/>
      <family val="2"/>
    </font>
    <font>
      <sz val="20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0000FF"/>
      <name val="Century Gothic"/>
      <family val="2"/>
    </font>
    <font>
      <sz val="1"/>
      <color theme="4"/>
      <name val="Century Gothic"/>
      <family val="2"/>
    </font>
    <font>
      <sz val="12"/>
      <color rgb="FF0000C8"/>
      <name val="Century Gothic"/>
      <family val="2"/>
    </font>
    <font>
      <sz val="11"/>
      <color rgb="FFFF0000"/>
      <name val="Century Gothic"/>
      <family val="2"/>
    </font>
    <font>
      <sz val="14"/>
      <color rgb="FFFF0000"/>
      <name val="Century Gothic"/>
      <family val="2"/>
    </font>
    <font>
      <sz val="12"/>
      <color rgb="FF00000F"/>
      <name val="Calibri Light"/>
      <family val="2"/>
    </font>
    <font>
      <sz val="14"/>
      <color rgb="FF00000F"/>
      <name val="Calibri Light"/>
      <family val="2"/>
    </font>
    <font>
      <sz val="8"/>
      <color theme="0"/>
      <name val="Calibri Light"/>
      <family val="2"/>
    </font>
    <font>
      <sz val="8"/>
      <color theme="0"/>
      <name val="Century Gothic"/>
      <family val="2"/>
    </font>
    <font>
      <sz val="8"/>
      <color rgb="FF00000F"/>
      <name val="Century Gothic"/>
      <family val="2"/>
    </font>
    <font>
      <sz val="12"/>
      <color theme="0"/>
      <name val="Calibri Light"/>
      <family val="2"/>
    </font>
    <font>
      <sz val="8"/>
      <color rgb="FF00000F"/>
      <name val="Calibri Light"/>
      <family val="2"/>
    </font>
    <font>
      <sz val="11"/>
      <color rgb="FF00000F"/>
      <name val="Calibri Light"/>
      <family val="2"/>
    </font>
    <font>
      <sz val="9"/>
      <color rgb="FF00000F"/>
      <name val="Calibri Light"/>
      <family val="2"/>
    </font>
    <font>
      <sz val="26"/>
      <color theme="0"/>
      <name val="Century Gothic"/>
      <family val="2"/>
    </font>
  </fonts>
  <fills count="21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 degree="90"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90">
        <stop position="0">
          <color rgb="FF00000F"/>
        </stop>
        <stop position="1">
          <color rgb="FF002060"/>
        </stop>
      </gradientFill>
    </fill>
    <fill>
      <gradientFill degree="270">
        <stop position="0">
          <color rgb="FF00000F"/>
        </stop>
        <stop position="1">
          <color rgb="FF002060"/>
        </stop>
      </gradient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90">
        <stop position="0">
          <color rgb="FF002060"/>
        </stop>
        <stop position="0.5">
          <color theme="4"/>
        </stop>
        <stop position="1">
          <color rgb="FF002060"/>
        </stop>
      </gradientFill>
    </fill>
    <fill>
      <gradientFill>
        <stop position="0">
          <color theme="1"/>
        </stop>
        <stop position="1">
          <color rgb="FF000040"/>
        </stop>
      </gradientFill>
    </fill>
    <fill>
      <gradientFill>
        <stop position="0">
          <color rgb="FF000040"/>
        </stop>
        <stop position="1">
          <color rgb="FF00007F"/>
        </stop>
      </gradientFill>
    </fill>
    <fill>
      <gradientFill>
        <stop position="0">
          <color rgb="FF00007F"/>
        </stop>
        <stop position="1">
          <color rgb="FF0000BF"/>
        </stop>
      </gradientFill>
    </fill>
    <fill>
      <gradientFill>
        <stop position="0">
          <color rgb="FF0000BF"/>
        </stop>
        <stop position="1">
          <color rgb="FF0000FF"/>
        </stop>
      </gradientFill>
    </fill>
    <fill>
      <patternFill patternType="solid">
        <fgColor rgb="FF0000FF"/>
        <bgColor indexed="64"/>
      </patternFill>
    </fill>
    <fill>
      <patternFill patternType="solid">
        <fgColor rgb="FF0000C8"/>
        <bgColor indexed="64"/>
      </patternFill>
    </fill>
    <fill>
      <gradientFill degree="180">
        <stop position="0">
          <color rgb="FF000096"/>
        </stop>
        <stop position="1">
          <color rgb="FF0000C8"/>
        </stop>
      </gradientFill>
    </fill>
    <fill>
      <gradientFill degree="180">
        <stop position="0">
          <color rgb="FF000064"/>
        </stop>
        <stop position="1">
          <color rgb="FF000096"/>
        </stop>
      </gradientFill>
    </fill>
    <fill>
      <gradientFill degree="180">
        <stop position="0">
          <color rgb="FF000032"/>
        </stop>
        <stop position="1">
          <color rgb="FF000064"/>
        </stop>
      </gradientFill>
    </fill>
    <fill>
      <gradientFill degree="180">
        <stop position="0">
          <color theme="1"/>
        </stop>
        <stop position="1">
          <color rgb="FF000032"/>
        </stop>
      </gradientFill>
    </fill>
    <fill>
      <patternFill patternType="solid">
        <fgColor theme="1"/>
        <bgColor indexed="64"/>
      </patternFill>
    </fill>
    <fill>
      <patternFill patternType="solid">
        <fgColor rgb="FF00000F"/>
        <bgColor auto="1"/>
      </pattern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</fills>
  <borders count="64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rgb="FF002060"/>
      </right>
      <top style="thin">
        <color theme="4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theme="4"/>
      </top>
      <bottom style="thin">
        <color rgb="FF002060"/>
      </bottom>
      <diagonal/>
    </border>
    <border>
      <left style="thin">
        <color rgb="FF002060"/>
      </left>
      <right style="thin">
        <color theme="4"/>
      </right>
      <top style="thin">
        <color theme="4"/>
      </top>
      <bottom style="thin">
        <color rgb="FF002060"/>
      </bottom>
      <diagonal/>
    </border>
    <border>
      <left style="thin">
        <color theme="4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theme="4"/>
      </right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theme="4"/>
      </left>
      <right/>
      <top/>
      <bottom style="thin">
        <color rgb="FF002060"/>
      </bottom>
      <diagonal/>
    </border>
    <border>
      <left style="thin">
        <color theme="4"/>
      </left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 style="thin">
        <color theme="4"/>
      </bottom>
      <diagonal/>
    </border>
    <border>
      <left/>
      <right style="thin">
        <color rgb="FF002060"/>
      </right>
      <top style="thin">
        <color rgb="FF002060"/>
      </top>
      <bottom style="thin">
        <color theme="4"/>
      </bottom>
      <diagonal/>
    </border>
    <border>
      <left style="thin">
        <color theme="4"/>
      </left>
      <right style="thin">
        <color rgb="FF002060"/>
      </right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theme="3"/>
      </left>
      <right/>
      <top style="thin">
        <color theme="4"/>
      </top>
      <bottom/>
      <diagonal/>
    </border>
    <border>
      <left/>
      <right style="thin">
        <color theme="3"/>
      </right>
      <top style="thin">
        <color theme="4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4"/>
      </right>
      <top/>
      <bottom/>
      <diagonal/>
    </border>
    <border>
      <left/>
      <right style="thin">
        <color rgb="FF002060"/>
      </right>
      <top/>
      <bottom style="thin">
        <color theme="4"/>
      </bottom>
      <diagonal/>
    </border>
    <border>
      <left style="thin">
        <color rgb="FF002060"/>
      </left>
      <right/>
      <top style="thin">
        <color theme="4"/>
      </top>
      <bottom style="thin">
        <color rgb="FF002060"/>
      </bottom>
      <diagonal/>
    </border>
    <border>
      <left/>
      <right style="thin">
        <color rgb="FF002060"/>
      </right>
      <top style="thin">
        <color theme="4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FF0000"/>
      </left>
      <right/>
      <top style="thin">
        <color theme="4"/>
      </top>
      <bottom style="thin">
        <color theme="4"/>
      </bottom>
      <diagonal/>
    </border>
    <border>
      <left/>
      <right style="thin">
        <color rgb="FFFF0000"/>
      </right>
      <top style="thin">
        <color theme="4"/>
      </top>
      <bottom style="thin">
        <color theme="4"/>
      </bottom>
      <diagonal/>
    </border>
    <border>
      <left/>
      <right style="thin">
        <color theme="3"/>
      </right>
      <top/>
      <bottom style="thin">
        <color theme="4"/>
      </bottom>
      <diagonal/>
    </border>
    <border>
      <left style="thin">
        <color theme="3"/>
      </left>
      <right/>
      <top/>
      <bottom style="thin">
        <color theme="4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FF0000"/>
      </left>
      <right style="thin">
        <color theme="4"/>
      </right>
      <top/>
      <bottom/>
      <diagonal/>
    </border>
    <border>
      <left style="thin">
        <color theme="4"/>
      </left>
      <right style="thin">
        <color rgb="FF002060"/>
      </right>
      <top/>
      <bottom style="thin">
        <color theme="4"/>
      </bottom>
      <diagonal/>
    </border>
    <border>
      <left style="thin">
        <color theme="4"/>
      </left>
      <right/>
      <top style="thin">
        <color rgb="FF002060"/>
      </top>
      <bottom style="thin">
        <color theme="4"/>
      </bottom>
      <diagonal/>
    </border>
    <border>
      <left style="thin">
        <color rgb="FFFF0000"/>
      </left>
      <right style="thin">
        <color rgb="FFFF0000"/>
      </right>
      <top/>
      <bottom style="thin">
        <color theme="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theme="4"/>
      </bottom>
      <diagonal/>
    </border>
    <border>
      <left style="thin">
        <color rgb="FFFF0000"/>
      </left>
      <right style="thin">
        <color theme="4"/>
      </right>
      <top/>
      <bottom style="thin">
        <color theme="4"/>
      </bottom>
      <diagonal/>
    </border>
    <border>
      <left style="thin">
        <color rgb="FF002060"/>
      </left>
      <right/>
      <top style="thin">
        <color theme="4"/>
      </top>
      <bottom/>
      <diagonal/>
    </border>
    <border>
      <left/>
      <right style="thin">
        <color rgb="FF002060"/>
      </right>
      <top style="thin">
        <color theme="4"/>
      </top>
      <bottom/>
      <diagonal/>
    </border>
    <border>
      <left style="thin">
        <color theme="4"/>
      </left>
      <right/>
      <top style="thick">
        <color theme="4"/>
      </top>
      <bottom style="thin">
        <color theme="4"/>
      </bottom>
      <diagonal/>
    </border>
    <border>
      <left/>
      <right/>
      <top style="thick">
        <color theme="4"/>
      </top>
      <bottom style="thin">
        <color theme="4"/>
      </bottom>
      <diagonal/>
    </border>
    <border>
      <left/>
      <right style="thin">
        <color theme="4"/>
      </right>
      <top style="thick">
        <color theme="4"/>
      </top>
      <bottom style="thin">
        <color theme="4"/>
      </bottom>
      <diagonal/>
    </border>
    <border>
      <left/>
      <right/>
      <top style="thick">
        <color theme="4"/>
      </top>
      <bottom/>
      <diagonal/>
    </border>
    <border>
      <left/>
      <right/>
      <top/>
      <bottom style="thick">
        <color theme="4"/>
      </bottom>
      <diagonal/>
    </border>
    <border>
      <left style="thin">
        <color theme="4"/>
      </left>
      <right/>
      <top style="thick">
        <color theme="4"/>
      </top>
      <bottom/>
      <diagonal/>
    </border>
    <border>
      <left/>
      <right style="thin">
        <color theme="4"/>
      </right>
      <top style="thick">
        <color theme="4"/>
      </top>
      <bottom/>
      <diagonal/>
    </border>
    <border>
      <left style="thin">
        <color theme="4"/>
      </left>
      <right/>
      <top/>
      <bottom style="thick">
        <color theme="4"/>
      </bottom>
      <diagonal/>
    </border>
    <border>
      <left/>
      <right style="thin">
        <color theme="4"/>
      </right>
      <top/>
      <bottom style="thick">
        <color theme="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2" borderId="0" xfId="0" applyFont="1" applyFill="1" applyAlignment="1">
      <alignment horizontal="center" shrinkToFit="1"/>
    </xf>
    <xf numFmtId="0" fontId="2" fillId="5" borderId="1" xfId="0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horizontal="center" vertical="center" shrinkToFit="1"/>
    </xf>
    <xf numFmtId="0" fontId="2" fillId="5" borderId="9" xfId="0" applyFont="1" applyFill="1" applyBorder="1" applyAlignment="1">
      <alignment horizontal="center" vertical="center" shrinkToFit="1"/>
    </xf>
    <xf numFmtId="0" fontId="2" fillId="5" borderId="10" xfId="0" applyFont="1" applyFill="1" applyBorder="1" applyAlignment="1">
      <alignment horizontal="center" vertical="center" shrinkToFit="1"/>
    </xf>
    <xf numFmtId="1" fontId="5" fillId="18" borderId="2" xfId="0" applyNumberFormat="1" applyFont="1" applyFill="1" applyBorder="1" applyAlignment="1" applyProtection="1">
      <alignment horizontal="center" vertical="center" shrinkToFit="1"/>
    </xf>
    <xf numFmtId="1" fontId="6" fillId="18" borderId="2" xfId="0" applyNumberFormat="1" applyFont="1" applyFill="1" applyBorder="1" applyAlignment="1" applyProtection="1">
      <alignment horizontal="center" vertical="center" shrinkToFit="1"/>
    </xf>
    <xf numFmtId="0" fontId="2" fillId="4" borderId="5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1" fontId="5" fillId="8" borderId="19" xfId="0" applyNumberFormat="1" applyFont="1" applyFill="1" applyBorder="1" applyAlignment="1" applyProtection="1">
      <alignment horizontal="center" vertical="center" shrinkToFit="1"/>
    </xf>
    <xf numFmtId="1" fontId="6" fillId="9" borderId="15" xfId="0" applyNumberFormat="1" applyFont="1" applyFill="1" applyBorder="1" applyAlignment="1" applyProtection="1">
      <alignment horizontal="center" vertical="center" shrinkToFit="1"/>
    </xf>
    <xf numFmtId="1" fontId="2" fillId="10" borderId="15" xfId="0" applyNumberFormat="1" applyFont="1" applyFill="1" applyBorder="1" applyAlignment="1" applyProtection="1">
      <alignment horizontal="center" vertical="center" shrinkToFit="1"/>
    </xf>
    <xf numFmtId="1" fontId="1" fillId="11" borderId="15" xfId="0" applyNumberFormat="1" applyFont="1" applyFill="1" applyBorder="1" applyAlignment="1" applyProtection="1">
      <alignment horizontal="center" vertical="center" shrinkToFit="1"/>
    </xf>
    <xf numFmtId="1" fontId="1" fillId="14" borderId="15" xfId="0" applyNumberFormat="1" applyFont="1" applyFill="1" applyBorder="1" applyAlignment="1" applyProtection="1">
      <alignment horizontal="center" vertical="center" shrinkToFit="1"/>
    </xf>
    <xf numFmtId="1" fontId="2" fillId="15" borderId="15" xfId="0" applyNumberFormat="1" applyFont="1" applyFill="1" applyBorder="1" applyAlignment="1" applyProtection="1">
      <alignment horizontal="center" vertical="center" shrinkToFit="1"/>
    </xf>
    <xf numFmtId="1" fontId="6" fillId="16" borderId="15" xfId="0" applyNumberFormat="1" applyFont="1" applyFill="1" applyBorder="1" applyAlignment="1" applyProtection="1">
      <alignment horizontal="center" vertical="center" shrinkToFit="1"/>
    </xf>
    <xf numFmtId="1" fontId="5" fillId="17" borderId="20" xfId="0" applyNumberFormat="1" applyFont="1" applyFill="1" applyBorder="1" applyAlignment="1" applyProtection="1">
      <alignment horizontal="center" vertical="center" shrinkToFit="1"/>
    </xf>
    <xf numFmtId="2" fontId="11" fillId="19" borderId="0" xfId="0" applyNumberFormat="1" applyFont="1" applyFill="1" applyBorder="1" applyAlignment="1" applyProtection="1">
      <alignment horizontal="center" vertical="center" shrinkToFit="1"/>
    </xf>
    <xf numFmtId="2" fontId="9" fillId="19" borderId="0" xfId="0" applyNumberFormat="1" applyFont="1" applyFill="1" applyBorder="1" applyAlignment="1" applyProtection="1">
      <alignment horizontal="left" vertical="top" shrinkToFit="1"/>
    </xf>
    <xf numFmtId="0" fontId="11" fillId="19" borderId="0" xfId="0" applyFont="1" applyFill="1" applyBorder="1" applyAlignment="1" applyProtection="1">
      <alignment horizontal="center" vertical="center" shrinkToFit="1"/>
    </xf>
    <xf numFmtId="2" fontId="10" fillId="19" borderId="0" xfId="0" applyNumberFormat="1" applyFont="1" applyFill="1" applyBorder="1" applyAlignment="1" applyProtection="1">
      <alignment horizontal="left" vertical="top" shrinkToFit="1"/>
    </xf>
    <xf numFmtId="2" fontId="7" fillId="19" borderId="0" xfId="0" applyNumberFormat="1" applyFont="1" applyFill="1" applyBorder="1" applyAlignment="1" applyProtection="1">
      <alignment vertical="center" shrinkToFit="1"/>
    </xf>
    <xf numFmtId="2" fontId="7" fillId="19" borderId="0" xfId="0" applyNumberFormat="1" applyFont="1" applyFill="1" applyBorder="1" applyAlignment="1" applyProtection="1">
      <alignment horizontal="left" vertical="top" shrinkToFit="1"/>
    </xf>
    <xf numFmtId="1" fontId="5" fillId="19" borderId="0" xfId="0" applyNumberFormat="1" applyFont="1" applyFill="1" applyBorder="1" applyAlignment="1" applyProtection="1">
      <alignment horizontal="center" vertical="center" shrinkToFit="1"/>
    </xf>
    <xf numFmtId="1" fontId="6" fillId="19" borderId="0" xfId="0" applyNumberFormat="1" applyFont="1" applyFill="1" applyBorder="1" applyAlignment="1" applyProtection="1">
      <alignment horizontal="center" vertical="center" shrinkToFit="1"/>
    </xf>
    <xf numFmtId="1" fontId="2" fillId="19" borderId="0" xfId="0" applyNumberFormat="1" applyFont="1" applyFill="1" applyBorder="1" applyAlignment="1" applyProtection="1">
      <alignment horizontal="center" vertical="center" shrinkToFit="1"/>
    </xf>
    <xf numFmtId="1" fontId="1" fillId="19" borderId="0" xfId="0" applyNumberFormat="1" applyFont="1" applyFill="1" applyBorder="1" applyAlignment="1" applyProtection="1">
      <alignment horizontal="center" vertical="center" shrinkToFit="1"/>
    </xf>
    <xf numFmtId="1" fontId="1" fillId="19" borderId="0" xfId="0" applyNumberFormat="1" applyFont="1" applyFill="1" applyBorder="1" applyAlignment="1" applyProtection="1">
      <alignment horizontal="left" vertical="center" shrinkToFit="1"/>
    </xf>
    <xf numFmtId="0" fontId="1" fillId="19" borderId="0" xfId="0" applyFont="1" applyFill="1" applyBorder="1" applyAlignment="1" applyProtection="1">
      <alignment horizontal="left" vertical="center" shrinkToFit="1"/>
    </xf>
    <xf numFmtId="0" fontId="2" fillId="3" borderId="21" xfId="0" applyFont="1" applyFill="1" applyBorder="1" applyAlignment="1">
      <alignment horizontal="center" shrinkToFit="1"/>
    </xf>
    <xf numFmtId="2" fontId="11" fillId="12" borderId="17" xfId="0" applyNumberFormat="1" applyFont="1" applyFill="1" applyBorder="1" applyAlignment="1" applyProtection="1">
      <alignment horizontal="right" vertical="center" shrinkToFit="1"/>
    </xf>
    <xf numFmtId="2" fontId="13" fillId="12" borderId="0" xfId="0" applyNumberFormat="1" applyFont="1" applyFill="1" applyBorder="1" applyAlignment="1" applyProtection="1">
      <alignment vertical="center" shrinkToFit="1"/>
    </xf>
    <xf numFmtId="0" fontId="11" fillId="13" borderId="31" xfId="0" applyFont="1" applyFill="1" applyBorder="1" applyAlignment="1" applyProtection="1">
      <alignment horizontal="right" vertical="center" shrinkToFit="1"/>
    </xf>
    <xf numFmtId="0" fontId="14" fillId="7" borderId="22" xfId="0" applyFont="1" applyFill="1" applyBorder="1" applyAlignment="1">
      <alignment horizontal="center" vertical="center" shrinkToFit="1"/>
    </xf>
    <xf numFmtId="0" fontId="1" fillId="2" borderId="47" xfId="0" applyFont="1" applyFill="1" applyBorder="1" applyAlignment="1">
      <alignment horizontal="center" vertical="center" shrinkToFit="1"/>
    </xf>
    <xf numFmtId="0" fontId="1" fillId="2" borderId="52" xfId="0" applyFont="1" applyFill="1" applyBorder="1" applyAlignment="1">
      <alignment horizontal="center" vertical="center" shrinkToFit="1"/>
    </xf>
    <xf numFmtId="2" fontId="15" fillId="13" borderId="33" xfId="0" applyNumberFormat="1" applyFont="1" applyFill="1" applyBorder="1" applyAlignment="1" applyProtection="1">
      <alignment vertical="center" shrinkToFit="1"/>
    </xf>
    <xf numFmtId="2" fontId="17" fillId="3" borderId="21" xfId="0" applyNumberFormat="1" applyFont="1" applyFill="1" applyBorder="1" applyAlignment="1">
      <alignment horizontal="left" shrinkToFit="1"/>
    </xf>
    <xf numFmtId="0" fontId="1" fillId="2" borderId="0" xfId="0" applyFont="1" applyFill="1" applyAlignment="1">
      <alignment shrinkToFit="1"/>
    </xf>
    <xf numFmtId="0" fontId="12" fillId="2" borderId="0" xfId="0" applyFont="1" applyFill="1" applyAlignment="1">
      <alignment horizontal="center" vertical="center" shrinkToFit="1"/>
    </xf>
    <xf numFmtId="0" fontId="2" fillId="3" borderId="7" xfId="0" applyFont="1" applyFill="1" applyBorder="1" applyAlignment="1">
      <alignment horizontal="right" shrinkToFit="1"/>
    </xf>
    <xf numFmtId="0" fontId="2" fillId="3" borderId="21" xfId="0" applyFont="1" applyFill="1" applyBorder="1" applyAlignment="1">
      <alignment horizontal="right" shrinkToFit="1"/>
    </xf>
    <xf numFmtId="0" fontId="16" fillId="3" borderId="21" xfId="0" applyFont="1" applyFill="1" applyBorder="1" applyAlignment="1">
      <alignment horizontal="right" shrinkToFit="1"/>
    </xf>
    <xf numFmtId="0" fontId="2" fillId="3" borderId="22" xfId="0" applyFont="1" applyFill="1" applyBorder="1" applyAlignment="1">
      <alignment horizontal="center" shrinkToFit="1"/>
    </xf>
    <xf numFmtId="0" fontId="1" fillId="2" borderId="25" xfId="0" applyFont="1" applyFill="1" applyBorder="1" applyAlignment="1">
      <alignment horizontal="center" vertical="center" shrinkToFit="1"/>
    </xf>
    <xf numFmtId="0" fontId="1" fillId="2" borderId="2" xfId="0" applyNumberFormat="1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1" fillId="2" borderId="26" xfId="0" applyFont="1" applyFill="1" applyBorder="1" applyAlignment="1">
      <alignment horizontal="center" vertical="center" shrinkToFit="1"/>
    </xf>
    <xf numFmtId="0" fontId="1" fillId="2" borderId="30" xfId="0" applyNumberFormat="1" applyFont="1" applyFill="1" applyBorder="1" applyAlignment="1">
      <alignment horizontal="center" vertical="center" shrinkToFit="1"/>
    </xf>
    <xf numFmtId="0" fontId="14" fillId="7" borderId="7" xfId="0" applyFont="1" applyFill="1" applyBorder="1" applyAlignment="1">
      <alignment horizontal="center" vertical="center" shrinkToFit="1"/>
    </xf>
    <xf numFmtId="0" fontId="14" fillId="7" borderId="21" xfId="0" applyFont="1" applyFill="1" applyBorder="1" applyAlignment="1">
      <alignment horizontal="center" vertical="center" shrinkToFit="1"/>
    </xf>
    <xf numFmtId="0" fontId="14" fillId="7" borderId="21" xfId="0" applyNumberFormat="1" applyFont="1" applyFill="1" applyBorder="1" applyAlignment="1">
      <alignment horizontal="center" vertical="center" shrinkToFit="1"/>
    </xf>
    <xf numFmtId="0" fontId="1" fillId="2" borderId="49" xfId="0" applyFont="1" applyFill="1" applyBorder="1" applyAlignment="1">
      <alignment horizontal="center" vertical="center" shrinkToFit="1"/>
    </xf>
    <xf numFmtId="0" fontId="1" fillId="2" borderId="50" xfId="0" applyNumberFormat="1" applyFont="1" applyFill="1" applyBorder="1" applyAlignment="1">
      <alignment horizontal="center" vertical="center" shrinkToFit="1"/>
    </xf>
    <xf numFmtId="0" fontId="1" fillId="19" borderId="0" xfId="0" applyFont="1" applyFill="1" applyBorder="1" applyAlignment="1">
      <alignment horizontal="center" shrinkToFit="1"/>
    </xf>
    <xf numFmtId="0" fontId="4" fillId="19" borderId="0" xfId="0" applyFont="1" applyFill="1" applyBorder="1" applyAlignment="1">
      <alignment horizontal="center" vertical="center" shrinkToFit="1"/>
    </xf>
    <xf numFmtId="0" fontId="1" fillId="19" borderId="0" xfId="0" applyNumberFormat="1" applyFont="1" applyFill="1" applyBorder="1" applyAlignment="1">
      <alignment horizontal="center" shrinkToFit="1"/>
    </xf>
    <xf numFmtId="0" fontId="2" fillId="19" borderId="0" xfId="0" applyFont="1" applyFill="1" applyBorder="1" applyAlignment="1">
      <alignment horizontal="right" shrinkToFit="1"/>
    </xf>
    <xf numFmtId="0" fontId="2" fillId="19" borderId="0" xfId="0" applyFont="1" applyFill="1" applyBorder="1" applyAlignment="1">
      <alignment horizontal="center" shrinkToFit="1"/>
    </xf>
    <xf numFmtId="2" fontId="2" fillId="19" borderId="0" xfId="0" applyNumberFormat="1" applyFont="1" applyFill="1" applyBorder="1" applyAlignment="1">
      <alignment horizontal="center" shrinkToFit="1"/>
    </xf>
    <xf numFmtId="19" fontId="1" fillId="2" borderId="0" xfId="0" applyNumberFormat="1" applyFont="1" applyFill="1" applyAlignment="1">
      <alignment shrinkToFit="1"/>
    </xf>
    <xf numFmtId="0" fontId="18" fillId="2" borderId="0" xfId="0" applyFont="1" applyFill="1" applyAlignment="1">
      <alignment shrinkToFit="1"/>
    </xf>
    <xf numFmtId="3" fontId="18" fillId="2" borderId="0" xfId="0" applyNumberFormat="1" applyFont="1" applyFill="1" applyAlignment="1">
      <alignment shrinkToFit="1"/>
    </xf>
    <xf numFmtId="0" fontId="19" fillId="2" borderId="0" xfId="0" applyFont="1" applyFill="1" applyAlignment="1">
      <alignment horizontal="center" vertical="center" shrinkToFit="1"/>
    </xf>
    <xf numFmtId="0" fontId="18" fillId="2" borderId="0" xfId="0" applyFont="1" applyFill="1" applyAlignment="1">
      <alignment horizontal="center" shrinkToFit="1"/>
    </xf>
    <xf numFmtId="0" fontId="18" fillId="2" borderId="0" xfId="0" applyFont="1" applyFill="1" applyAlignment="1">
      <alignment horizontal="center" vertical="center" shrinkToFit="1"/>
    </xf>
    <xf numFmtId="0" fontId="2" fillId="19" borderId="0" xfId="0" applyFont="1" applyFill="1" applyBorder="1" applyAlignment="1">
      <alignment horizontal="center" vertical="center" shrinkToFit="1"/>
    </xf>
    <xf numFmtId="2" fontId="5" fillId="19" borderId="0" xfId="0" applyNumberFormat="1" applyFont="1" applyFill="1" applyBorder="1" applyAlignment="1" applyProtection="1">
      <alignment horizontal="center" vertical="center" shrinkToFit="1"/>
    </xf>
    <xf numFmtId="0" fontId="1" fillId="19" borderId="0" xfId="0" applyFont="1" applyFill="1" applyBorder="1" applyAlignment="1">
      <alignment horizontal="center" vertical="center" shrinkToFit="1"/>
    </xf>
    <xf numFmtId="0" fontId="1" fillId="19" borderId="0" xfId="0" applyNumberFormat="1" applyFont="1" applyFill="1" applyBorder="1" applyAlignment="1">
      <alignment horizontal="center" vertical="center" shrinkToFit="1"/>
    </xf>
    <xf numFmtId="0" fontId="20" fillId="2" borderId="0" xfId="0" applyFont="1" applyFill="1" applyAlignment="1">
      <alignment horizontal="center" vertical="center" shrinkToFit="1"/>
    </xf>
    <xf numFmtId="0" fontId="20" fillId="2" borderId="0" xfId="0" applyFont="1" applyFill="1" applyAlignment="1">
      <alignment shrinkToFit="1"/>
    </xf>
    <xf numFmtId="165" fontId="21" fillId="20" borderId="2" xfId="0" applyNumberFormat="1" applyFont="1" applyFill="1" applyBorder="1" applyAlignment="1" applyProtection="1">
      <alignment horizontal="center" vertical="center" shrinkToFit="1"/>
    </xf>
    <xf numFmtId="165" fontId="21" fillId="20" borderId="7" xfId="0" applyNumberFormat="1" applyFont="1" applyFill="1" applyBorder="1" applyAlignment="1" applyProtection="1">
      <alignment horizontal="center" vertical="center" shrinkToFit="1"/>
    </xf>
    <xf numFmtId="165" fontId="21" fillId="20" borderId="22" xfId="0" applyNumberFormat="1" applyFont="1" applyFill="1" applyBorder="1" applyAlignment="1" applyProtection="1">
      <alignment horizontal="center" vertical="center" shrinkToFit="1"/>
    </xf>
    <xf numFmtId="0" fontId="22" fillId="2" borderId="0" xfId="0" applyFont="1" applyFill="1" applyAlignment="1">
      <alignment horizontal="center" vertical="center" shrinkToFit="1"/>
    </xf>
    <xf numFmtId="0" fontId="19" fillId="2" borderId="58" xfId="0" applyFont="1" applyFill="1" applyBorder="1" applyAlignment="1">
      <alignment horizontal="center" vertical="center" shrinkToFit="1"/>
    </xf>
    <xf numFmtId="0" fontId="23" fillId="2" borderId="0" xfId="0" applyFont="1" applyFill="1" applyAlignment="1">
      <alignment shrinkToFit="1"/>
    </xf>
    <xf numFmtId="0" fontId="24" fillId="2" borderId="0" xfId="0" applyFont="1" applyFill="1" applyAlignment="1">
      <alignment horizontal="center" vertical="center" shrinkToFit="1"/>
    </xf>
    <xf numFmtId="0" fontId="25" fillId="19" borderId="0" xfId="0" applyFont="1" applyFill="1" applyBorder="1" applyAlignment="1">
      <alignment horizontal="center" vertical="center" shrinkToFit="1"/>
    </xf>
    <xf numFmtId="0" fontId="18" fillId="19" borderId="0" xfId="0" applyFont="1" applyFill="1" applyBorder="1" applyAlignment="1">
      <alignment horizontal="center" vertical="center" shrinkToFit="1"/>
    </xf>
    <xf numFmtId="0" fontId="18" fillId="19" borderId="0" xfId="0" applyFont="1" applyFill="1" applyBorder="1" applyAlignment="1">
      <alignment horizontal="center" shrinkToFit="1"/>
    </xf>
    <xf numFmtId="1" fontId="26" fillId="19" borderId="0" xfId="0" applyNumberFormat="1" applyFont="1" applyFill="1" applyBorder="1" applyAlignment="1" applyProtection="1">
      <alignment horizontal="center" vertical="center" shrinkToFit="1"/>
    </xf>
    <xf numFmtId="0" fontId="25" fillId="19" borderId="0" xfId="0" applyFont="1" applyFill="1" applyBorder="1" applyAlignment="1">
      <alignment horizontal="center" shrinkToFit="1"/>
    </xf>
    <xf numFmtId="1" fontId="1" fillId="2" borderId="0" xfId="0" applyNumberFormat="1" applyFont="1" applyFill="1" applyAlignment="1">
      <alignment horizontal="center"/>
    </xf>
    <xf numFmtId="0" fontId="2" fillId="19" borderId="0" xfId="0" applyFont="1" applyFill="1" applyBorder="1" applyAlignment="1">
      <alignment horizontal="center" vertical="center"/>
    </xf>
    <xf numFmtId="0" fontId="14" fillId="7" borderId="16" xfId="0" applyFont="1" applyFill="1" applyBorder="1" applyAlignment="1">
      <alignment horizontal="center" vertical="center" shrinkToFit="1"/>
    </xf>
    <xf numFmtId="0" fontId="14" fillId="7" borderId="17" xfId="0" applyFont="1" applyFill="1" applyBorder="1" applyAlignment="1">
      <alignment horizontal="center" vertical="center" shrinkToFit="1"/>
    </xf>
    <xf numFmtId="0" fontId="14" fillId="7" borderId="17" xfId="0" applyNumberFormat="1" applyFont="1" applyFill="1" applyBorder="1" applyAlignment="1">
      <alignment horizontal="center" vertical="center" shrinkToFit="1"/>
    </xf>
    <xf numFmtId="0" fontId="14" fillId="7" borderId="18" xfId="0" applyFont="1" applyFill="1" applyBorder="1" applyAlignment="1">
      <alignment horizontal="center" vertical="center" shrinkToFit="1"/>
    </xf>
    <xf numFmtId="0" fontId="2" fillId="20" borderId="21" xfId="0" applyFont="1" applyFill="1" applyBorder="1" applyAlignment="1">
      <alignment horizontal="center" vertical="center" shrinkToFit="1"/>
    </xf>
    <xf numFmtId="0" fontId="18" fillId="20" borderId="21" xfId="0" applyFont="1" applyFill="1" applyBorder="1" applyAlignment="1">
      <alignment shrinkToFit="1"/>
    </xf>
    <xf numFmtId="0" fontId="1" fillId="20" borderId="21" xfId="0" applyFont="1" applyFill="1" applyBorder="1" applyAlignment="1">
      <alignment shrinkToFit="1"/>
    </xf>
    <xf numFmtId="0" fontId="1" fillId="20" borderId="22" xfId="0" applyFont="1" applyFill="1" applyBorder="1" applyAlignment="1">
      <alignment shrinkToFit="1"/>
    </xf>
    <xf numFmtId="0" fontId="6" fillId="20" borderId="21" xfId="0" applyFont="1" applyFill="1" applyBorder="1" applyAlignment="1">
      <alignment horizontal="center" vertical="center" shrinkToFit="1"/>
    </xf>
    <xf numFmtId="165" fontId="21" fillId="20" borderId="7" xfId="0" applyNumberFormat="1" applyFont="1" applyFill="1" applyBorder="1" applyAlignment="1" applyProtection="1">
      <alignment horizontal="center" vertical="center" shrinkToFit="1"/>
    </xf>
    <xf numFmtId="165" fontId="21" fillId="20" borderId="22" xfId="0" applyNumberFormat="1" applyFont="1" applyFill="1" applyBorder="1" applyAlignment="1" applyProtection="1">
      <alignment horizontal="center" vertical="center" shrinkToFit="1"/>
    </xf>
    <xf numFmtId="0" fontId="2" fillId="5" borderId="39" xfId="0" applyNumberFormat="1" applyFont="1" applyFill="1" applyBorder="1" applyAlignment="1">
      <alignment horizontal="center" vertical="center" shrinkToFit="1"/>
    </xf>
    <xf numFmtId="0" fontId="2" fillId="5" borderId="40" xfId="0" applyNumberFormat="1" applyFont="1" applyFill="1" applyBorder="1" applyAlignment="1">
      <alignment horizontal="center" vertical="center" shrinkToFit="1"/>
    </xf>
    <xf numFmtId="0" fontId="2" fillId="5" borderId="39" xfId="0" applyFont="1" applyFill="1" applyBorder="1" applyAlignment="1">
      <alignment horizontal="center" vertical="center" shrinkToFit="1"/>
    </xf>
    <xf numFmtId="0" fontId="2" fillId="5" borderId="40" xfId="0" applyFont="1" applyFill="1" applyBorder="1" applyAlignment="1">
      <alignment horizontal="center" vertical="center" shrinkToFit="1"/>
    </xf>
    <xf numFmtId="2" fontId="1" fillId="11" borderId="17" xfId="0" applyNumberFormat="1" applyFont="1" applyFill="1" applyBorder="1" applyAlignment="1" applyProtection="1">
      <alignment horizontal="center" vertical="center" shrinkToFit="1"/>
    </xf>
    <xf numFmtId="2" fontId="1" fillId="11" borderId="0" xfId="0" applyNumberFormat="1" applyFont="1" applyFill="1" applyBorder="1" applyAlignment="1" applyProtection="1">
      <alignment horizontal="center" vertical="center" shrinkToFit="1"/>
    </xf>
    <xf numFmtId="2" fontId="8" fillId="12" borderId="32" xfId="0" applyNumberFormat="1" applyFont="1" applyFill="1" applyBorder="1" applyAlignment="1" applyProtection="1">
      <alignment horizontal="left" vertical="center" shrinkToFit="1"/>
    </xf>
    <xf numFmtId="2" fontId="8" fillId="12" borderId="34" xfId="0" applyNumberFormat="1" applyFont="1" applyFill="1" applyBorder="1" applyAlignment="1" applyProtection="1">
      <alignment horizontal="left" vertical="center" shrinkToFit="1"/>
    </xf>
    <xf numFmtId="2" fontId="8" fillId="13" borderId="17" xfId="0" applyNumberFormat="1" applyFont="1" applyFill="1" applyBorder="1" applyAlignment="1" applyProtection="1">
      <alignment horizontal="left" vertical="center" shrinkToFit="1"/>
    </xf>
    <xf numFmtId="2" fontId="8" fillId="13" borderId="0" xfId="0" applyNumberFormat="1" applyFont="1" applyFill="1" applyBorder="1" applyAlignment="1" applyProtection="1">
      <alignment horizontal="left" vertical="center" shrinkToFit="1"/>
    </xf>
    <xf numFmtId="2" fontId="1" fillId="14" borderId="17" xfId="0" applyNumberFormat="1" applyFont="1" applyFill="1" applyBorder="1" applyAlignment="1" applyProtection="1">
      <alignment horizontal="center" vertical="center" shrinkToFit="1"/>
    </xf>
    <xf numFmtId="2" fontId="1" fillId="14" borderId="0" xfId="0" applyNumberFormat="1" applyFont="1" applyFill="1" applyBorder="1" applyAlignment="1" applyProtection="1">
      <alignment horizontal="center" vertical="center" shrinkToFit="1"/>
    </xf>
    <xf numFmtId="0" fontId="1" fillId="2" borderId="8" xfId="0" applyFont="1" applyFill="1" applyBorder="1" applyAlignment="1" applyProtection="1">
      <alignment horizontal="center" vertical="center" shrinkToFit="1"/>
      <protection locked="0"/>
    </xf>
    <xf numFmtId="0" fontId="1" fillId="2" borderId="29" xfId="0" applyFont="1" applyFill="1" applyBorder="1" applyAlignment="1" applyProtection="1">
      <alignment horizontal="center" vertical="center" shrinkToFit="1"/>
      <protection locked="0"/>
    </xf>
    <xf numFmtId="1" fontId="1" fillId="12" borderId="15" xfId="0" applyNumberFormat="1" applyFont="1" applyFill="1" applyBorder="1" applyAlignment="1" applyProtection="1">
      <alignment horizontal="center" vertical="center" shrinkToFit="1"/>
    </xf>
    <xf numFmtId="1" fontId="1" fillId="12" borderId="43" xfId="0" applyNumberFormat="1" applyFont="1" applyFill="1" applyBorder="1" applyAlignment="1" applyProtection="1">
      <alignment horizontal="center" vertical="center" shrinkToFit="1"/>
    </xf>
    <xf numFmtId="0" fontId="1" fillId="13" borderId="44" xfId="0" applyFont="1" applyFill="1" applyBorder="1" applyAlignment="1" applyProtection="1">
      <alignment horizontal="center" vertical="center" shrinkToFit="1"/>
    </xf>
    <xf numFmtId="0" fontId="1" fillId="13" borderId="36" xfId="0" applyFont="1" applyFill="1" applyBorder="1" applyAlignment="1" applyProtection="1">
      <alignment horizontal="center" vertical="center" shrinkToFit="1"/>
    </xf>
    <xf numFmtId="0" fontId="1" fillId="2" borderId="7" xfId="0" applyFont="1" applyFill="1" applyBorder="1" applyAlignment="1" applyProtection="1">
      <alignment horizontal="center" vertical="center" shrinkToFit="1"/>
    </xf>
    <xf numFmtId="0" fontId="1" fillId="2" borderId="22" xfId="0" applyFont="1" applyFill="1" applyBorder="1" applyAlignment="1" applyProtection="1">
      <alignment horizontal="center" vertical="center" shrinkToFit="1"/>
    </xf>
    <xf numFmtId="0" fontId="1" fillId="2" borderId="7" xfId="0" applyNumberFormat="1" applyFont="1" applyFill="1" applyBorder="1" applyAlignment="1">
      <alignment horizontal="center" vertical="center" shrinkToFit="1"/>
    </xf>
    <xf numFmtId="0" fontId="1" fillId="2" borderId="22" xfId="0" applyNumberFormat="1" applyFont="1" applyFill="1" applyBorder="1" applyAlignment="1">
      <alignment horizontal="center" vertical="center" shrinkToFit="1"/>
    </xf>
    <xf numFmtId="0" fontId="1" fillId="2" borderId="41" xfId="0" applyNumberFormat="1" applyFont="1" applyFill="1" applyBorder="1" applyAlignment="1">
      <alignment horizontal="center" vertical="center" shrinkToFit="1"/>
    </xf>
    <xf numFmtId="0" fontId="1" fillId="2" borderId="42" xfId="0" applyNumberFormat="1" applyFont="1" applyFill="1" applyBorder="1" applyAlignment="1">
      <alignment horizontal="center" vertical="center" shrinkToFit="1"/>
    </xf>
    <xf numFmtId="0" fontId="1" fillId="2" borderId="48" xfId="0" applyFont="1" applyFill="1" applyBorder="1" applyAlignment="1" applyProtection="1">
      <alignment horizontal="center" vertical="center" shrinkToFit="1"/>
      <protection locked="0"/>
    </xf>
    <xf numFmtId="0" fontId="11" fillId="2" borderId="11" xfId="0" applyNumberFormat="1" applyFont="1" applyFill="1" applyBorder="1" applyAlignment="1">
      <alignment horizontal="center" vertical="center" shrinkToFit="1"/>
    </xf>
    <xf numFmtId="0" fontId="11" fillId="2" borderId="12" xfId="0" applyNumberFormat="1" applyFont="1" applyFill="1" applyBorder="1" applyAlignment="1">
      <alignment horizontal="center" vertical="center" shrinkToFit="1"/>
    </xf>
    <xf numFmtId="0" fontId="11" fillId="2" borderId="15" xfId="0" applyNumberFormat="1" applyFont="1" applyFill="1" applyBorder="1" applyAlignment="1">
      <alignment horizontal="center" vertical="center" shrinkToFit="1"/>
    </xf>
    <xf numFmtId="0" fontId="11" fillId="2" borderId="36" xfId="0" applyNumberFormat="1" applyFont="1" applyFill="1" applyBorder="1" applyAlignment="1">
      <alignment horizontal="center" vertical="center" shrinkToFit="1"/>
    </xf>
    <xf numFmtId="0" fontId="11" fillId="2" borderId="24" xfId="0" applyFont="1" applyFill="1" applyBorder="1" applyAlignment="1">
      <alignment horizontal="center" vertical="center" shrinkToFit="1"/>
    </xf>
    <xf numFmtId="0" fontId="11" fillId="2" borderId="51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2" fillId="4" borderId="37" xfId="0" applyFont="1" applyFill="1" applyBorder="1" applyAlignment="1">
      <alignment horizontal="center" vertical="center" shrinkToFit="1"/>
    </xf>
    <xf numFmtId="0" fontId="2" fillId="4" borderId="38" xfId="0" applyFont="1" applyFill="1" applyBorder="1" applyAlignment="1">
      <alignment horizontal="center" vertical="center" shrinkToFit="1"/>
    </xf>
    <xf numFmtId="0" fontId="2" fillId="5" borderId="27" xfId="0" applyFont="1" applyFill="1" applyBorder="1" applyAlignment="1">
      <alignment horizontal="center" vertical="center" shrinkToFit="1"/>
    </xf>
    <xf numFmtId="0" fontId="2" fillId="5" borderId="28" xfId="0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 shrinkToFit="1"/>
    </xf>
    <xf numFmtId="2" fontId="5" fillId="8" borderId="16" xfId="0" applyNumberFormat="1" applyFont="1" applyFill="1" applyBorder="1" applyAlignment="1" applyProtection="1">
      <alignment horizontal="center" vertical="center" shrinkToFit="1"/>
    </xf>
    <xf numFmtId="2" fontId="5" fillId="8" borderId="23" xfId="0" applyNumberFormat="1" applyFont="1" applyFill="1" applyBorder="1" applyAlignment="1" applyProtection="1">
      <alignment horizontal="center" vertical="center" shrinkToFit="1"/>
    </xf>
    <xf numFmtId="2" fontId="6" fillId="9" borderId="17" xfId="0" applyNumberFormat="1" applyFont="1" applyFill="1" applyBorder="1" applyAlignment="1" applyProtection="1">
      <alignment horizontal="center" vertical="center" shrinkToFit="1"/>
    </xf>
    <xf numFmtId="2" fontId="6" fillId="9" borderId="0" xfId="0" applyNumberFormat="1" applyFont="1" applyFill="1" applyBorder="1" applyAlignment="1" applyProtection="1">
      <alignment horizontal="center" vertical="center" shrinkToFit="1"/>
    </xf>
    <xf numFmtId="2" fontId="2" fillId="10" borderId="17" xfId="0" applyNumberFormat="1" applyFont="1" applyFill="1" applyBorder="1" applyAlignment="1" applyProtection="1">
      <alignment horizontal="center" vertical="center" shrinkToFit="1"/>
    </xf>
    <xf numFmtId="2" fontId="2" fillId="10" borderId="0" xfId="0" applyNumberFormat="1" applyFont="1" applyFill="1" applyBorder="1" applyAlignment="1" applyProtection="1">
      <alignment horizontal="center" vertical="center" shrinkToFit="1"/>
    </xf>
    <xf numFmtId="0" fontId="2" fillId="3" borderId="53" xfId="0" applyNumberFormat="1" applyFont="1" applyFill="1" applyBorder="1" applyAlignment="1">
      <alignment horizontal="center" vertical="center" shrinkToFit="1"/>
    </xf>
    <xf numFmtId="0" fontId="2" fillId="3" borderId="54" xfId="0" applyNumberFormat="1" applyFont="1" applyFill="1" applyBorder="1" applyAlignment="1">
      <alignment horizontal="center" vertical="center" shrinkToFit="1"/>
    </xf>
    <xf numFmtId="0" fontId="0" fillId="3" borderId="45" xfId="0" applyFill="1" applyBorder="1" applyAlignment="1">
      <alignment horizontal="center" vertical="center" shrinkToFit="1"/>
    </xf>
    <xf numFmtId="0" fontId="0" fillId="3" borderId="46" xfId="0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2" fontId="5" fillId="17" borderId="18" xfId="0" applyNumberFormat="1" applyFont="1" applyFill="1" applyBorder="1" applyAlignment="1" applyProtection="1">
      <alignment horizontal="center" vertical="center" shrinkToFit="1"/>
    </xf>
    <xf numFmtId="2" fontId="5" fillId="17" borderId="35" xfId="0" applyNumberFormat="1" applyFont="1" applyFill="1" applyBorder="1" applyAlignment="1" applyProtection="1">
      <alignment horizontal="center" vertical="center" shrinkToFit="1"/>
    </xf>
    <xf numFmtId="2" fontId="2" fillId="15" borderId="17" xfId="0" applyNumberFormat="1" applyFont="1" applyFill="1" applyBorder="1" applyAlignment="1" applyProtection="1">
      <alignment horizontal="center" vertical="center" shrinkToFit="1"/>
    </xf>
    <xf numFmtId="2" fontId="2" fillId="15" borderId="0" xfId="0" applyNumberFormat="1" applyFont="1" applyFill="1" applyBorder="1" applyAlignment="1" applyProtection="1">
      <alignment horizontal="center" vertical="center" shrinkToFit="1"/>
    </xf>
    <xf numFmtId="2" fontId="6" fillId="16" borderId="17" xfId="0" applyNumberFormat="1" applyFont="1" applyFill="1" applyBorder="1" applyAlignment="1" applyProtection="1">
      <alignment horizontal="center" vertical="center" shrinkToFit="1"/>
    </xf>
    <xf numFmtId="2" fontId="6" fillId="16" borderId="0" xfId="0" applyNumberFormat="1" applyFont="1" applyFill="1" applyBorder="1" applyAlignment="1" applyProtection="1">
      <alignment horizontal="center" vertical="center" shrinkToFit="1"/>
    </xf>
    <xf numFmtId="2" fontId="5" fillId="19" borderId="0" xfId="0" applyNumberFormat="1" applyFont="1" applyFill="1" applyBorder="1" applyAlignment="1" applyProtection="1">
      <alignment horizontal="center" vertical="center" shrinkToFit="1"/>
    </xf>
    <xf numFmtId="2" fontId="6" fillId="19" borderId="0" xfId="0" applyNumberFormat="1" applyFont="1" applyFill="1" applyBorder="1" applyAlignment="1" applyProtection="1">
      <alignment horizontal="center" vertical="center" shrinkToFit="1"/>
    </xf>
    <xf numFmtId="2" fontId="2" fillId="19" borderId="0" xfId="0" applyNumberFormat="1" applyFont="1" applyFill="1" applyBorder="1" applyAlignment="1" applyProtection="1">
      <alignment horizontal="center" vertical="center" shrinkToFit="1"/>
    </xf>
    <xf numFmtId="2" fontId="1" fillId="19" borderId="0" xfId="0" applyNumberFormat="1" applyFont="1" applyFill="1" applyBorder="1" applyAlignment="1" applyProtection="1">
      <alignment horizontal="center" vertical="center" shrinkToFit="1"/>
    </xf>
    <xf numFmtId="0" fontId="1" fillId="19" borderId="0" xfId="0" applyFont="1" applyFill="1" applyBorder="1" applyAlignment="1">
      <alignment horizontal="center" vertical="center" shrinkToFit="1"/>
    </xf>
    <xf numFmtId="0" fontId="1" fillId="19" borderId="0" xfId="0" applyNumberFormat="1" applyFont="1" applyFill="1" applyBorder="1" applyAlignment="1">
      <alignment horizontal="center" vertical="center" shrinkToFit="1"/>
    </xf>
    <xf numFmtId="0" fontId="2" fillId="20" borderId="21" xfId="0" applyFont="1" applyFill="1" applyBorder="1" applyAlignment="1">
      <alignment horizontal="center" vertical="center" shrinkToFit="1"/>
    </xf>
    <xf numFmtId="0" fontId="2" fillId="19" borderId="0" xfId="0" applyFont="1" applyFill="1" applyBorder="1" applyAlignment="1">
      <alignment horizontal="center" vertical="center" shrinkToFit="1"/>
    </xf>
    <xf numFmtId="0" fontId="1" fillId="19" borderId="0" xfId="0" applyFont="1" applyFill="1" applyBorder="1" applyAlignment="1" applyProtection="1">
      <alignment horizontal="center" vertical="center" shrinkToFit="1"/>
    </xf>
    <xf numFmtId="164" fontId="27" fillId="6" borderId="60" xfId="0" applyNumberFormat="1" applyFont="1" applyFill="1" applyBorder="1" applyAlignment="1">
      <alignment horizontal="center" vertical="center" shrinkToFit="1"/>
    </xf>
    <xf numFmtId="164" fontId="27" fillId="6" borderId="58" xfId="0" applyNumberFormat="1" applyFont="1" applyFill="1" applyBorder="1" applyAlignment="1">
      <alignment horizontal="center" vertical="center" shrinkToFit="1"/>
    </xf>
    <xf numFmtId="164" fontId="27" fillId="6" borderId="62" xfId="0" applyNumberFormat="1" applyFont="1" applyFill="1" applyBorder="1" applyAlignment="1">
      <alignment horizontal="center" vertical="center" shrinkToFit="1"/>
    </xf>
    <xf numFmtId="164" fontId="27" fillId="6" borderId="59" xfId="0" applyNumberFormat="1" applyFont="1" applyFill="1" applyBorder="1" applyAlignment="1">
      <alignment horizontal="center" vertical="center" shrinkToFit="1"/>
    </xf>
    <xf numFmtId="0" fontId="2" fillId="19" borderId="0" xfId="0" applyNumberFormat="1" applyFont="1" applyFill="1" applyBorder="1" applyAlignment="1">
      <alignment horizontal="center" vertical="center" shrinkToFit="1"/>
    </xf>
    <xf numFmtId="0" fontId="6" fillId="20" borderId="7" xfId="0" applyFont="1" applyFill="1" applyBorder="1" applyAlignment="1">
      <alignment horizontal="center" vertical="center"/>
    </xf>
    <xf numFmtId="0" fontId="6" fillId="20" borderId="21" xfId="0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 applyProtection="1">
      <alignment horizontal="center" vertical="center" shrinkToFit="1"/>
    </xf>
    <xf numFmtId="2" fontId="8" fillId="19" borderId="0" xfId="0" applyNumberFormat="1" applyFont="1" applyFill="1" applyBorder="1" applyAlignment="1" applyProtection="1">
      <alignment horizontal="right" vertical="center" shrinkToFit="1"/>
    </xf>
    <xf numFmtId="164" fontId="27" fillId="6" borderId="61" xfId="0" applyNumberFormat="1" applyFont="1" applyFill="1" applyBorder="1" applyAlignment="1">
      <alignment horizontal="center" vertical="center" shrinkToFit="1"/>
    </xf>
    <xf numFmtId="164" fontId="27" fillId="6" borderId="63" xfId="0" applyNumberFormat="1" applyFont="1" applyFill="1" applyBorder="1" applyAlignment="1">
      <alignment horizontal="center" vertical="center" shrinkToFit="1"/>
    </xf>
    <xf numFmtId="0" fontId="3" fillId="6" borderId="58" xfId="0" applyFont="1" applyFill="1" applyBorder="1" applyAlignment="1">
      <alignment horizontal="center" vertical="center" shrinkToFit="1"/>
    </xf>
    <xf numFmtId="0" fontId="3" fillId="6" borderId="59" xfId="0" applyFont="1" applyFill="1" applyBorder="1" applyAlignment="1">
      <alignment horizontal="center" vertical="center" shrinkToFit="1"/>
    </xf>
    <xf numFmtId="0" fontId="7" fillId="6" borderId="55" xfId="0" applyFont="1" applyFill="1" applyBorder="1" applyAlignment="1">
      <alignment horizontal="center" vertical="center" shrinkToFit="1"/>
    </xf>
    <xf numFmtId="0" fontId="7" fillId="6" borderId="56" xfId="0" applyFont="1" applyFill="1" applyBorder="1" applyAlignment="1">
      <alignment horizontal="center" vertical="center" shrinkToFit="1"/>
    </xf>
    <xf numFmtId="0" fontId="7" fillId="6" borderId="7" xfId="0" applyFont="1" applyFill="1" applyBorder="1" applyAlignment="1">
      <alignment horizontal="center" vertical="center" shrinkToFit="1"/>
    </xf>
    <xf numFmtId="0" fontId="7" fillId="6" borderId="21" xfId="0" applyFont="1" applyFill="1" applyBorder="1" applyAlignment="1">
      <alignment horizontal="center" vertical="center" shrinkToFit="1"/>
    </xf>
    <xf numFmtId="0" fontId="2" fillId="6" borderId="21" xfId="0" applyFont="1" applyFill="1" applyBorder="1" applyAlignment="1">
      <alignment horizontal="center" vertical="center" shrinkToFit="1"/>
    </xf>
    <xf numFmtId="0" fontId="2" fillId="6" borderId="22" xfId="0" applyFont="1" applyFill="1" applyBorder="1" applyAlignment="1">
      <alignment horizontal="center" vertical="center" shrinkToFit="1"/>
    </xf>
    <xf numFmtId="0" fontId="2" fillId="6" borderId="56" xfId="0" applyFont="1" applyFill="1" applyBorder="1" applyAlignment="1">
      <alignment horizontal="center" vertical="center" shrinkToFit="1"/>
    </xf>
    <xf numFmtId="0" fontId="2" fillId="6" borderId="57" xfId="0" applyFont="1" applyFill="1" applyBorder="1" applyAlignment="1">
      <alignment horizontal="center" vertical="center" shrinkToFit="1"/>
    </xf>
    <xf numFmtId="0" fontId="1" fillId="6" borderId="21" xfId="0" applyFont="1" applyFill="1" applyBorder="1" applyAlignment="1">
      <alignment horizontal="center" vertical="center" shrinkToFit="1"/>
    </xf>
    <xf numFmtId="0" fontId="1" fillId="6" borderId="22" xfId="0" applyFont="1" applyFill="1" applyBorder="1" applyAlignment="1">
      <alignment horizontal="center" vertical="center" shrinkToFit="1"/>
    </xf>
    <xf numFmtId="0" fontId="2" fillId="4" borderId="37" xfId="0" applyNumberFormat="1" applyFont="1" applyFill="1" applyBorder="1" applyAlignment="1">
      <alignment horizontal="center" vertical="center" shrinkToFit="1"/>
    </xf>
    <xf numFmtId="0" fontId="2" fillId="4" borderId="38" xfId="0" applyNumberFormat="1" applyFont="1" applyFill="1" applyBorder="1" applyAlignment="1">
      <alignment horizontal="center" vertical="center" shrinkToFit="1"/>
    </xf>
  </cellXfs>
  <cellStyles count="1">
    <cellStyle name="Normal" xfId="0" builtinId="0"/>
  </cellStyles>
  <dxfs count="43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ill>
        <gradientFill degree="90">
          <stop position="0">
            <color theme="4" tint="0.59999389629810485"/>
          </stop>
          <stop position="0.5">
            <color rgb="FFFF0000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rgb="FFFF0000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rgb="FFFF0000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rgb="FFFF0000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rgb="FFFF0000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rgb="FFFF0000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rgb="FFFF0000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rgb="FFFF0000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rgb="FFFF0000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rgb="FFFF0000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rgb="FFFF0000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rgb="FFFF0000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rgb="FFFF0000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rgb="FFFF0000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rgb="FFFF0000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rgb="FFFF0000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rgb="FFFF0000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/>
          </stop>
          <stop position="1">
            <color theme="4" tint="0.59999389629810485"/>
          </stop>
        </gradientFill>
      </fill>
    </dxf>
  </dxfs>
  <tableStyles count="0" defaultTableStyle="TableStyleMedium2" defaultPivotStyle="PivotStyleLight16"/>
  <colors>
    <mruColors>
      <color rgb="FF00000F"/>
      <color rgb="FF0000C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13080</v>
        <stp/>
        <stp>StudyData</stp>
        <stp>FPVol(FootprintOp (EP, 0),2733.75)</stp>
        <stp>Bar</stp>
        <stp/>
        <stp>Close</stp>
        <stp>D</stp>
        <stp>0</stp>
        <stp>all</stp>
        <stp/>
        <stp/>
        <stp/>
        <stp>T</stp>
        <tr r="M9" s="1"/>
        <tr r="M9" s="1"/>
      </tp>
      <tp>
        <v>6904</v>
        <stp/>
        <stp>StudyData</stp>
        <stp>FPVol(FootprintOp (EP, 0),2732.75)</stp>
        <stp>Bar</stp>
        <stp/>
        <stp>Close</stp>
        <stp>D</stp>
        <stp>0</stp>
        <stp>all</stp>
        <stp/>
        <stp/>
        <stp/>
        <stp>T</stp>
        <tr r="H9" s="1"/>
        <tr r="H9" s="1"/>
      </tp>
      <tp>
        <v>8861</v>
        <stp/>
        <stp>StudyData</stp>
        <stp>FPVol(FootprintOp (EP, 0),2731.75)</stp>
        <stp>Bar</stp>
        <stp/>
        <stp>Close</stp>
        <stp>D</stp>
        <stp>0</stp>
        <stp>all</stp>
        <stp/>
        <stp/>
        <stp/>
        <stp>T</stp>
        <tr r="C9" s="1"/>
        <tr r="C9" s="1"/>
      </tp>
      <tp>
        <v>3</v>
        <stp/>
        <stp>ContractData</stp>
        <stp>ENQ</stp>
        <stp>MT_LastBidVolume</stp>
        <stp/>
        <stp>T</stp>
        <tr r="E26" s="1"/>
      </tp>
      <tp>
        <v>31</v>
        <stp/>
        <stp>ContractData</stp>
        <stp>EU6</stp>
        <stp>MT_LastBidVolume</stp>
        <stp/>
        <stp>T</stp>
        <tr r="R14" s="1"/>
      </tp>
      <tp>
        <v>6837.75</v>
        <stp/>
        <stp>StudyData</stp>
        <stp>ENQ</stp>
        <stp>TFlow</stp>
        <stp>AggregateBy=TFlowSimpleAggregation, Aggregation=1</stp>
        <stp>Low</stp>
        <stp/>
        <stp>0</stp>
        <stp/>
        <stp/>
        <stp/>
        <stp/>
        <stp>T</stp>
        <tr r="K26" s="1"/>
      </tp>
      <tp>
        <v>5996</v>
        <stp/>
        <stp>StudyData</stp>
        <stp>FPVol(FootprintOp (EP, 0),2732.50)</stp>
        <stp>Bar</stp>
        <stp/>
        <stp>Close</stp>
        <stp>D</stp>
        <stp>0</stp>
        <stp>all</stp>
        <stp/>
        <stp/>
        <stp/>
        <stp>T</stp>
        <tr r="F9" s="1"/>
        <tr r="F9" s="1"/>
      </tp>
      <tp>
        <v>34</v>
        <stp/>
        <stp>ContractData</stp>
        <stp>GCE</stp>
        <stp>MT_LastBidVolume</stp>
        <stp/>
        <stp>T</stp>
        <tr r="E50" s="1"/>
      </tp>
      <tp>
        <v>120.390625</v>
        <stp/>
        <stp>DOMData</stp>
        <stp>TYA</stp>
        <stp>Price</stp>
        <stp>-5</stp>
        <stp>T</stp>
        <tr r="O29" s="1"/>
        <tr r="O29" s="1"/>
        <tr r="O39" s="1"/>
      </tp>
      <tp>
        <v>1.2343500000000001</v>
        <stp/>
        <stp>DOMData</stp>
        <stp>EU6</stp>
        <stp>Price</stp>
        <stp>-5</stp>
        <stp>T</stp>
        <tr r="O5" s="1"/>
        <tr r="O15" s="1"/>
      </tp>
      <tp>
        <v>6836.75</v>
        <stp/>
        <stp>DOMData</stp>
        <stp>ENQ</stp>
        <stp>Price</stp>
        <stp>-5</stp>
        <stp>T</stp>
        <tr r="B17" s="1"/>
        <tr r="B27" s="1"/>
      </tp>
      <tp>
        <v>1330.9</v>
        <stp/>
        <stp>DOMData</stp>
        <stp>GCE</stp>
        <stp>Price</stp>
        <stp>-5</stp>
        <stp>T</stp>
        <tr r="B41" s="1"/>
        <tr r="B51" s="1"/>
      </tp>
      <tp>
        <v>1.3975</v>
        <stp/>
        <stp>DOMData</stp>
        <stp>BP6</stp>
        <stp>Price</stp>
        <stp>-5</stp>
        <stp>T</stp>
        <tr r="O17" s="1"/>
        <tr r="O27" s="1"/>
      </tp>
      <tp>
        <v>61.48</v>
        <stp/>
        <stp>DOMData</stp>
        <stp>CLE</stp>
        <stp>Price</stp>
        <stp>-5</stp>
        <stp>T</stp>
        <tr r="B29" s="1"/>
        <tr r="B39" s="1"/>
      </tp>
      <tp>
        <v>61.52</v>
        <stp/>
        <stp>StudyData</stp>
        <stp>CLE</stp>
        <stp>TFlow</stp>
        <stp>AggregateBy=TFlowSimpleAggregation, Aggregation=1</stp>
        <stp>Low</stp>
        <stp/>
        <stp>0</stp>
        <stp/>
        <stp/>
        <stp/>
        <stp/>
        <stp>T</stp>
        <tr r="K38" s="1"/>
      </tp>
      <tp>
        <v>120.40625</v>
        <stp/>
        <stp>DOMData</stp>
        <stp>TYA</stp>
        <stp>Price</stp>
        <stp>-4</stp>
        <stp>T</stp>
        <tr r="P29" s="1"/>
        <tr r="P29" s="1"/>
        <tr r="P39" s="1"/>
      </tp>
      <tp>
        <v>1.2343999999999999</v>
        <stp/>
        <stp>DOMData</stp>
        <stp>EU6</stp>
        <stp>Price</stp>
        <stp>-4</stp>
        <stp>T</stp>
        <tr r="P5" s="1"/>
        <tr r="P15" s="1"/>
      </tp>
      <tp>
        <v>6837</v>
        <stp/>
        <stp>DOMData</stp>
        <stp>ENQ</stp>
        <stp>Price</stp>
        <stp>-4</stp>
        <stp>T</stp>
        <tr r="C17" s="1"/>
        <tr r="C27" s="1"/>
      </tp>
      <tp>
        <v>1331</v>
        <stp/>
        <stp>DOMData</stp>
        <stp>GCE</stp>
        <stp>Price</stp>
        <stp>-4</stp>
        <stp>T</stp>
        <tr r="C41" s="1"/>
        <tr r="C51" s="1"/>
      </tp>
      <tp>
        <v>1.3976</v>
        <stp/>
        <stp>DOMData</stp>
        <stp>BP6</stp>
        <stp>Price</stp>
        <stp>-4</stp>
        <stp>T</stp>
        <tr r="P17" s="1"/>
        <tr r="P27" s="1"/>
      </tp>
      <tp>
        <v>61.49</v>
        <stp/>
        <stp>DOMData</stp>
        <stp>CLE</stp>
        <stp>Price</stp>
        <stp>-4</stp>
        <stp>T</stp>
        <tr r="C29" s="1"/>
        <tr r="C39" s="1"/>
      </tp>
      <tp t="s">
        <v>DAX Index, Mar 18</v>
        <stp/>
        <stp>ContractData</stp>
        <stp>DD</stp>
        <stp>LongDescription</stp>
        <stp/>
        <stp>T</stp>
        <tr r="O40" s="1"/>
      </tp>
      <tp t="s">
        <v>E-Mini S&amp;P 500, Mar 18</v>
        <stp/>
        <stp>ContractData</stp>
        <stp>EP</stp>
        <stp>LongDescription</stp>
        <stp/>
        <stp>T</stp>
        <tr r="B4" s="1"/>
      </tp>
      <tp t="s">
        <v>F.US.EPH18</v>
        <stp/>
        <stp>ContractData</stp>
        <stp>EP</stp>
        <stp>LongSymbol</stp>
        <stp/>
        <stp>T</stp>
        <tr r="C10" s="1"/>
      </tp>
      <tp>
        <v>-0.26999999999999602</v>
        <stp/>
        <stp>ContractData</stp>
        <stp>CLE</stp>
        <stp>NetLastTradeToday</stp>
        <stp/>
        <stp>T</stp>
        <tr r="G34" s="1"/>
        <tr r="A37" s="1"/>
        <tr r="A31" s="1"/>
      </tp>
      <tp>
        <v>120.421875</v>
        <stp/>
        <stp>DOMData</stp>
        <stp>TYA</stp>
        <stp>Price</stp>
        <stp>-3</stp>
        <stp>T</stp>
        <tr r="Q29" s="1"/>
        <tr r="Q29" s="1"/>
        <tr r="Q39" s="1"/>
      </tp>
      <tp>
        <v>1.23445</v>
        <stp/>
        <stp>DOMData</stp>
        <stp>EU6</stp>
        <stp>Price</stp>
        <stp>-3</stp>
        <stp>T</stp>
        <tr r="Q5" s="1"/>
        <tr r="Q15" s="1"/>
      </tp>
      <tp>
        <v>6837.25</v>
        <stp/>
        <stp>DOMData</stp>
        <stp>ENQ</stp>
        <stp>Price</stp>
        <stp>-3</stp>
        <stp>T</stp>
        <tr r="D17" s="1"/>
        <tr r="D27" s="1"/>
      </tp>
      <tp>
        <v>1331.1</v>
        <stp/>
        <stp>DOMData</stp>
        <stp>GCE</stp>
        <stp>Price</stp>
        <stp>-3</stp>
        <stp>T</stp>
        <tr r="D41" s="1"/>
        <tr r="D51" s="1"/>
      </tp>
      <tp>
        <v>1.3976999999999999</v>
        <stp/>
        <stp>DOMData</stp>
        <stp>BP6</stp>
        <stp>Price</stp>
        <stp>-3</stp>
        <stp>T</stp>
        <tr r="Q17" s="1"/>
        <tr r="Q27" s="1"/>
      </tp>
      <tp>
        <v>61.5</v>
        <stp/>
        <stp>DOMData</stp>
        <stp>CLE</stp>
        <stp>Price</stp>
        <stp>-3</stp>
        <stp>T</stp>
        <tr r="D29" s="1"/>
        <tr r="D39" s="1"/>
      </tp>
      <tp>
        <v>11851</v>
        <stp/>
        <stp>StudyData</stp>
        <stp>FPVol(FootprintOp (EP, 0),2733.25)</stp>
        <stp>Bar</stp>
        <stp/>
        <stp>Close</stp>
        <stp>D</stp>
        <stp>0</stp>
        <stp>all</stp>
        <stp/>
        <stp/>
        <stp/>
        <stp>T</stp>
        <tr r="K9" s="1"/>
        <tr r="K9" s="1"/>
      </tp>
      <tp>
        <v>6748</v>
        <stp/>
        <stp>StudyData</stp>
        <stp>FPVol(FootprintOp (EP, 0),2732.25)</stp>
        <stp>Bar</stp>
        <stp/>
        <stp>Close</stp>
        <stp>D</stp>
        <stp>0</stp>
        <stp>all</stp>
        <stp/>
        <stp/>
        <stp/>
        <stp>T</stp>
        <tr r="E9" s="1"/>
        <tr r="E9" s="1"/>
      </tp>
      <tp>
        <v>120.4375</v>
        <stp/>
        <stp>DOMData</stp>
        <stp>TYA</stp>
        <stp>Price</stp>
        <stp>-2</stp>
        <stp>T</stp>
        <tr r="R29" s="1"/>
        <tr r="R29" s="1"/>
        <tr r="R39" s="1"/>
      </tp>
      <tp>
        <v>77872</v>
        <stp/>
        <stp>StudyData</stp>
        <stp>FPVol(FootprintOp (TYA, 0),120.5)</stp>
        <stp>Bar</stp>
        <stp/>
        <stp>Close</stp>
        <stp>D</stp>
        <stp>0</stp>
        <stp>all</stp>
        <stp/>
        <stp/>
        <stp/>
        <stp>T</stp>
        <tr r="X33" s="1"/>
        <tr r="X33" s="1"/>
      </tp>
      <tp>
        <v>1.2344999999999999</v>
        <stp/>
        <stp>DOMData</stp>
        <stp>EU6</stp>
        <stp>Price</stp>
        <stp>-2</stp>
        <stp>T</stp>
        <tr r="R5" s="1"/>
        <tr r="R15" s="1"/>
      </tp>
      <tp>
        <v>6837.5</v>
        <stp/>
        <stp>DOMData</stp>
        <stp>ENQ</stp>
        <stp>Price</stp>
        <stp>-2</stp>
        <stp>T</stp>
        <tr r="E17" s="1"/>
        <tr r="E27" s="1"/>
      </tp>
      <tp>
        <v>1331.2</v>
        <stp/>
        <stp>DOMData</stp>
        <stp>GCE</stp>
        <stp>Price</stp>
        <stp>-2</stp>
        <stp>T</stp>
        <tr r="E41" s="1"/>
        <tr r="E51" s="1"/>
      </tp>
      <tp>
        <v>1.3977999999999999</v>
        <stp/>
        <stp>DOMData</stp>
        <stp>BP6</stp>
        <stp>Price</stp>
        <stp>-2</stp>
        <stp>T</stp>
        <tr r="R17" s="1"/>
        <tr r="R27" s="1"/>
      </tp>
      <tp>
        <v>61.51</v>
        <stp/>
        <stp>DOMData</stp>
        <stp>CLE</stp>
        <stp>Price</stp>
        <stp>-2</stp>
        <stp>T</stp>
        <tr r="E29" s="1"/>
        <tr r="E39" s="1"/>
      </tp>
      <tp>
        <v>43152.503283333332</v>
        <stp/>
        <stp>DOMData</stp>
        <stp>DD</stp>
        <stp>Time</stp>
        <stp>-1</stp>
        <tr r="S44" s="1"/>
      </tp>
      <tp>
        <v>43152.503265833337</v>
        <stp/>
        <stp>DOMData</stp>
        <stp>DD</stp>
        <stp>Time</stp>
        <stp>-3</stp>
        <tr r="Q44" s="1"/>
      </tp>
      <tp>
        <v>43152.503247962966</v>
        <stp/>
        <stp>DOMData</stp>
        <stp>DD</stp>
        <stp>Time</stp>
        <stp>-2</stp>
        <tr r="R44" s="1"/>
      </tp>
      <tp>
        <v>43152.503246250002</v>
        <stp/>
        <stp>DOMData</stp>
        <stp>DD</stp>
        <stp>Time</stp>
        <stp>-5</stp>
        <tr r="O44" s="1"/>
      </tp>
      <tp>
        <v>43152.503264722225</v>
        <stp/>
        <stp>DOMData</stp>
        <stp>DD</stp>
        <stp>Time</stp>
        <stp>-4</stp>
        <tr r="P44" s="1"/>
      </tp>
      <tp>
        <v>43152.503247962966</v>
        <stp/>
        <stp>DOMData</stp>
        <stp>EP</stp>
        <stp>Time</stp>
        <stp>-5</stp>
        <tr r="B8" s="1"/>
      </tp>
      <tp>
        <v>43152.503247962966</v>
        <stp/>
        <stp>DOMData</stp>
        <stp>EP</stp>
        <stp>Time</stp>
        <stp>-4</stp>
        <tr r="C8" s="1"/>
      </tp>
      <tp>
        <v>43152.50328592593</v>
        <stp/>
        <stp>DOMData</stp>
        <stp>EP</stp>
        <stp>Time</stp>
        <stp>-1</stp>
        <tr r="F8" s="1"/>
      </tp>
      <tp>
        <v>43152.50328592593</v>
        <stp/>
        <stp>DOMData</stp>
        <stp>EP</stp>
        <stp>Time</stp>
        <stp>-3</stp>
        <tr r="D8" s="1"/>
      </tp>
      <tp>
        <v>43152.50328592593</v>
        <stp/>
        <stp>DOMData</stp>
        <stp>EP</stp>
        <stp>Time</stp>
        <stp>-2</stp>
        <tr r="E8" s="1"/>
      </tp>
      <tp>
        <v>4</v>
        <stp/>
        <stp>ContractData</stp>
        <stp>CLE</stp>
        <stp>MT_LastBidVolume</stp>
        <stp/>
        <stp>T</stp>
        <tr r="E38" s="1"/>
      </tp>
      <tp>
        <v>47.5</v>
        <stp/>
        <stp>ContractData</stp>
        <stp>ENQ</stp>
        <stp>NetLastTradeToday</stp>
        <stp/>
        <stp>T</stp>
        <tr r="G22" s="1"/>
        <tr r="A25" s="1"/>
        <tr r="A19" s="1"/>
      </tp>
      <tp>
        <v>120.453125</v>
        <stp/>
        <stp>DOMData</stp>
        <stp>TYA</stp>
        <stp>Price</stp>
        <stp>-1</stp>
        <stp>T</stp>
        <tr r="S39" s="1"/>
        <tr r="N34" s="1"/>
        <tr r="N34" s="1"/>
        <tr r="S30" s="1"/>
      </tp>
      <tp>
        <v>1.23455</v>
        <stp/>
        <stp>DOMData</stp>
        <stp>EU6</stp>
        <stp>Price</stp>
        <stp>-1</stp>
        <stp>T</stp>
        <tr r="T5" s="1"/>
        <tr r="S5" s="1"/>
        <tr r="N10" s="1"/>
        <tr r="S15" s="1"/>
        <tr r="S6" s="1"/>
      </tp>
      <tp>
        <v>6837.75</v>
        <stp/>
        <stp>DOMData</stp>
        <stp>ENQ</stp>
        <stp>Price</stp>
        <stp>-1</stp>
        <stp>T</stp>
        <tr r="F17" s="1"/>
        <tr r="F27" s="1"/>
        <tr r="G17" s="1"/>
        <tr r="A22" s="1"/>
        <tr r="F18" s="1"/>
      </tp>
      <tp>
        <v>1331.3</v>
        <stp/>
        <stp>DOMData</stp>
        <stp>GCE</stp>
        <stp>Price</stp>
        <stp>-1</stp>
        <stp>T</stp>
        <tr r="G41" s="1"/>
        <tr r="F41" s="1"/>
        <tr r="F51" s="1"/>
        <tr r="A46" s="1"/>
        <tr r="F42" s="1"/>
      </tp>
      <tp>
        <v>1.3978999999999999</v>
        <stp/>
        <stp>DOMData</stp>
        <stp>BP6</stp>
        <stp>Price</stp>
        <stp>-1</stp>
        <stp>T</stp>
        <tr r="S17" s="1"/>
        <tr r="T17" s="1"/>
        <tr r="N22" s="1"/>
        <tr r="S27" s="1"/>
        <tr r="S18" s="1"/>
      </tp>
      <tp>
        <v>61.52</v>
        <stp/>
        <stp>DOMData</stp>
        <stp>CLE</stp>
        <stp>Price</stp>
        <stp>-1</stp>
        <stp>T</stp>
        <tr r="G29" s="1"/>
        <tr r="F29" s="1"/>
        <tr r="F39" s="1"/>
        <tr r="A34" s="1"/>
        <tr r="F30" s="1"/>
      </tp>
      <tp>
        <v>273</v>
        <stp/>
        <stp>DOMData</stp>
        <stp>EP</stp>
        <stp>Volume</stp>
        <stp>-3</stp>
        <tr r="D7" s="1"/>
      </tp>
      <tp>
        <v>211</v>
        <stp/>
        <stp>DOMData</stp>
        <stp>EP</stp>
        <stp>Volume</stp>
        <stp>-2</stp>
        <tr r="E7" s="1"/>
      </tp>
      <tp>
        <v>67</v>
        <stp/>
        <stp>DOMData</stp>
        <stp>EP</stp>
        <stp>Volume</stp>
        <stp>-1</stp>
        <tr r="F7" s="1"/>
      </tp>
      <tp>
        <v>767</v>
        <stp/>
        <stp>DOMData</stp>
        <stp>EP</stp>
        <stp>Volume</stp>
        <stp>-5</stp>
        <tr r="B7" s="1"/>
      </tp>
      <tp>
        <v>398</v>
        <stp/>
        <stp>DOMData</stp>
        <stp>EP</stp>
        <stp>Volume</stp>
        <stp>-4</stp>
        <tr r="C7" s="1"/>
      </tp>
      <tp>
        <v>20</v>
        <stp/>
        <stp>ContractData</stp>
        <stp>BP6</stp>
        <stp>MT_LastBidVolume</stp>
        <stp/>
        <stp>T</stp>
        <tr r="R26" s="1"/>
      </tp>
      <tp>
        <v>1982</v>
        <stp/>
        <stp>StudyData</stp>
        <stp>FPVol(FootprintOp (ENQ, 0),6838.5)</stp>
        <stp>Bar</stp>
        <stp/>
        <stp>Close</stp>
        <stp>D</stp>
        <stp>0</stp>
        <stp>all</stp>
        <stp/>
        <stp/>
        <stp/>
        <stp>T</stp>
        <tr r="J21" s="1"/>
        <tr r="J21" s="1"/>
      </tp>
      <tp>
        <v>2628</v>
        <stp/>
        <stp>StudyData</stp>
        <stp>FPVol(FootprintOp (ENQ, 0),6837.5)</stp>
        <stp>Bar</stp>
        <stp/>
        <stp>Close</stp>
        <stp>D</stp>
        <stp>0</stp>
        <stp>all</stp>
        <stp/>
        <stp/>
        <stp/>
        <stp>T</stp>
        <tr r="E21" s="1"/>
        <tr r="E21" s="1"/>
        <tr r="A18" s="1"/>
      </tp>
      <tp>
        <v>6839.25</v>
        <stp/>
        <stp>DOMData</stp>
        <stp>ENQ</stp>
        <stp>Price</stp>
        <stp>5</stp>
        <stp>T</stp>
        <tr r="M17" s="1"/>
        <tr r="M27" s="1"/>
      </tp>
      <tp>
        <v>6839</v>
        <stp/>
        <stp>DOMData</stp>
        <stp>ENQ</stp>
        <stp>Price</stp>
        <stp>4</stp>
        <stp>T</stp>
        <tr r="L17" s="1"/>
        <tr r="L27" s="1"/>
      </tp>
      <tp>
        <v>1238</v>
        <stp/>
        <stp>ContractData</stp>
        <stp>TYA</stp>
        <stp>MT_LastAskVolume</stp>
        <stp/>
        <stp>T</stp>
        <tr r="R37" s="1"/>
      </tp>
      <tp>
        <v>0.10000000000013642</v>
        <stp/>
        <stp>ContractData</stp>
        <stp>GCE</stp>
        <stp>NetLastTradeToday</stp>
        <stp/>
        <stp>T</stp>
        <tr r="G46" s="1"/>
        <tr r="A49" s="1"/>
        <tr r="A43" s="1"/>
      </tp>
      <tp>
        <v>1331.3</v>
        <stp/>
        <stp>StudyData</stp>
        <stp>GCE</stp>
        <stp>TFlow</stp>
        <stp>AggregateBy=TFlowSimpleAggregation, Aggregation=1</stp>
        <stp>Low</stp>
        <stp/>
        <stp>0</stp>
        <stp/>
        <stp/>
        <stp/>
        <stp/>
        <stp>T</stp>
        <tr r="K50" s="1"/>
      </tp>
      <tp t="s">
        <v>10yr US Treasury Notes (Globex), Mar 18</v>
        <stp/>
        <stp>ContractData</stp>
        <stp>TYA</stp>
        <stp>LongDescription</stp>
        <stp/>
        <stp>T</stp>
        <tr r="O28" s="1"/>
      </tp>
      <tp>
        <v>6838.25</v>
        <stp/>
        <stp>DOMData</stp>
        <stp>ENQ</stp>
        <stp>Price</stp>
        <stp>1</stp>
        <stp>T</stp>
        <tr r="I17" s="1"/>
        <tr r="H17" s="1"/>
        <tr r="H27" s="1"/>
        <tr r="A21" s="1"/>
        <tr r="H18" s="1"/>
      </tp>
      <tp t="s">
        <v>Gold (Globex), Apr 18</v>
        <stp/>
        <stp>ContractData</stp>
        <stp>GCE</stp>
        <stp>LongDescription</stp>
        <stp/>
        <stp>T</stp>
        <tr r="B40" s="1"/>
      </tp>
      <tp t="s">
        <v>E-mini NASDAQ-100, Mar 18</v>
        <stp/>
        <stp>ContractData</stp>
        <stp>ENQ</stp>
        <stp>LongDescription</stp>
        <stp/>
        <stp>T</stp>
        <tr r="B16" s="1"/>
      </tp>
      <tp t="s">
        <v>Euro FX (Globex), Mar 18</v>
        <stp/>
        <stp>ContractData</stp>
        <stp>EU6</stp>
        <stp>LongDescription</stp>
        <stp/>
        <stp>T</stp>
        <tr r="O4" s="1"/>
      </tp>
      <tp t="s">
        <v>British Pound (Globex), Mar 18</v>
        <stp/>
        <stp>ContractData</stp>
        <stp>BP6</stp>
        <stp>LongDescription</stp>
        <stp/>
        <stp>T</stp>
        <tr r="O16" s="1"/>
      </tp>
      <tp t="s">
        <v>Crude Light (Globex), Apr 18</v>
        <stp/>
        <stp>ContractData</stp>
        <stp>CLE</stp>
        <stp>LongDescription</stp>
        <stp/>
        <stp>T</stp>
        <tr r="B28" s="1"/>
      </tp>
      <tp>
        <v>5299</v>
        <stp/>
        <stp>StudyData</stp>
        <stp>FPVol(FootprintOp (GCE, 0),1330.9)</stp>
        <stp>Bar</stp>
        <stp/>
        <stp>Close</stp>
        <stp>D</stp>
        <stp>0</stp>
        <stp>all</stp>
        <stp/>
        <stp/>
        <stp/>
        <stp>T</stp>
        <tr r="B45" s="1"/>
        <tr r="B45" s="1"/>
        <tr r="A42" s="1"/>
      </tp>
      <tp>
        <v>2226</v>
        <stp/>
        <stp>StudyData</stp>
        <stp>FPVol(FootprintOp (GCE, 0),1331.8)</stp>
        <stp>Bar</stp>
        <stp/>
        <stp>Close</stp>
        <stp>D</stp>
        <stp>0</stp>
        <stp>all</stp>
        <stp/>
        <stp/>
        <stp/>
        <stp>T</stp>
        <tr r="M45" s="1"/>
        <tr r="M45" s="1"/>
      </tp>
      <tp>
        <v>3439</v>
        <stp/>
        <stp>StudyData</stp>
        <stp>FPVol(FootprintOp (GCE, 0),1331.3)</stp>
        <stp>Bar</stp>
        <stp/>
        <stp>Close</stp>
        <stp>D</stp>
        <stp>0</stp>
        <stp>all</stp>
        <stp/>
        <stp/>
        <stp/>
        <stp>T</stp>
        <tr r="I49" s="1"/>
      </tp>
      <tp>
        <v>3591</v>
        <stp/>
        <stp>StudyData</stp>
        <stp>FPVol(FootprintOp (GCE, 0),1331.2)</stp>
        <stp>Bar</stp>
        <stp/>
        <stp>Close</stp>
        <stp>D</stp>
        <stp>0</stp>
        <stp>all</stp>
        <stp/>
        <stp/>
        <stp/>
        <stp>T</stp>
        <tr r="E45" s="1"/>
        <tr r="E45" s="1"/>
      </tp>
      <tp>
        <v>3455</v>
        <stp/>
        <stp>StudyData</stp>
        <stp>FPVol(FootprintOp (GCE, 0),1331.1)</stp>
        <stp>Bar</stp>
        <stp/>
        <stp>Close</stp>
        <stp>D</stp>
        <stp>0</stp>
        <stp>all</stp>
        <stp/>
        <stp/>
        <stp/>
        <stp>T</stp>
        <tr r="D45" s="1"/>
        <tr r="D45" s="1"/>
      </tp>
      <tp>
        <v>2610</v>
        <stp/>
        <stp>StudyData</stp>
        <stp>FPVol(FootprintOp (GCE, 0),1331.7)</stp>
        <stp>Bar</stp>
        <stp/>
        <stp>Close</stp>
        <stp>D</stp>
        <stp>0</stp>
        <stp>all</stp>
        <stp/>
        <stp/>
        <stp/>
        <stp>T</stp>
        <tr r="L45" s="1"/>
        <tr r="L45" s="1"/>
      </tp>
      <tp>
        <v>2768</v>
        <stp/>
        <stp>StudyData</stp>
        <stp>FPVol(FootprintOp (GCE, 0),1331.6)</stp>
        <stp>Bar</stp>
        <stp/>
        <stp>Close</stp>
        <stp>D</stp>
        <stp>0</stp>
        <stp>all</stp>
        <stp/>
        <stp/>
        <stp/>
        <stp>T</stp>
        <tr r="K45" s="1"/>
        <tr r="K45" s="1"/>
      </tp>
      <tp>
        <v>3361</v>
        <stp/>
        <stp>StudyData</stp>
        <stp>FPVol(FootprintOp (GCE, 0),1331.5)</stp>
        <stp>Bar</stp>
        <stp/>
        <stp>Close</stp>
        <stp>D</stp>
        <stp>0</stp>
        <stp>all</stp>
        <stp/>
        <stp/>
        <stp/>
        <stp>T</stp>
        <tr r="J45" s="1"/>
        <tr r="J45" s="1"/>
      </tp>
      <tp>
        <v>6838.75</v>
        <stp/>
        <stp>DOMData</stp>
        <stp>ENQ</stp>
        <stp>Price</stp>
        <stp>3</stp>
        <stp>T</stp>
        <tr r="K17" s="1"/>
        <tr r="K27" s="1"/>
      </tp>
      <tp>
        <v>6838.5</v>
        <stp/>
        <stp>DOMData</stp>
        <stp>ENQ</stp>
        <stp>Price</stp>
        <stp>2</stp>
        <stp>T</stp>
        <tr r="J17" s="1"/>
        <tr r="J27" s="1"/>
      </tp>
      <tp>
        <v>1469</v>
        <stp/>
        <stp>StudyData</stp>
        <stp>FPVol(FootprintOp (BP6, 0),1.3975)</stp>
        <stp>Bar</stp>
        <stp/>
        <stp>Close</stp>
        <stp>D</stp>
        <stp>0</stp>
        <stp>all</stp>
        <stp/>
        <stp/>
        <stp/>
        <stp>T</stp>
        <tr r="O21" s="1"/>
        <tr r="O21" s="1"/>
      </tp>
      <tp>
        <v>1439</v>
        <stp/>
        <stp>StudyData</stp>
        <stp>FPVol(FootprintOp (BP6, 0),1.3977)</stp>
        <stp>Bar</stp>
        <stp/>
        <stp>Close</stp>
        <stp>D</stp>
        <stp>0</stp>
        <stp>all</stp>
        <stp/>
        <stp/>
        <stp/>
        <stp>T</stp>
        <tr r="Q21" s="1"/>
        <tr r="Q21" s="1"/>
      </tp>
      <tp>
        <v>1765</v>
        <stp/>
        <stp>StudyData</stp>
        <stp>FPVol(FootprintOp (BP6, 0),1.3976)</stp>
        <stp>Bar</stp>
        <stp/>
        <stp>Close</stp>
        <stp>D</stp>
        <stp>0</stp>
        <stp>all</stp>
        <stp/>
        <stp/>
        <stp/>
        <stp>T</stp>
        <tr r="P21" s="1"/>
        <tr r="P21" s="1"/>
      </tp>
      <tp>
        <v>1137</v>
        <stp/>
        <stp>StudyData</stp>
        <stp>FPVol(FootprintOp (BP6, 0),1.3979)</stp>
        <stp>Bar</stp>
        <stp/>
        <stp>Close</stp>
        <stp>D</stp>
        <stp>0</stp>
        <stp>all</stp>
        <stp/>
        <stp/>
        <stp/>
        <stp>T</stp>
        <tr r="S21" s="1"/>
        <tr r="S21" s="1"/>
        <tr r="V25" s="1"/>
      </tp>
      <tp>
        <v>1219</v>
        <stp/>
        <stp>StudyData</stp>
        <stp>FPVol(FootprintOp (BP6, 0),1.3978)</stp>
        <stp>Bar</stp>
        <stp/>
        <stp>Close</stp>
        <stp>D</stp>
        <stp>0</stp>
        <stp>all</stp>
        <stp/>
        <stp/>
        <stp/>
        <stp>T</stp>
        <tr r="R21" s="1"/>
        <tr r="R21" s="1"/>
      </tp>
      <tp>
        <v>-3.125E-2</v>
        <stp/>
        <stp>ContractData</stp>
        <stp>TYA</stp>
        <stp>NetLastTradeToday</stp>
        <stp/>
        <stp>T</stp>
        <tr r="N31" s="1"/>
      </tp>
      <tp t="s">
        <v>-0'01.0</v>
        <stp/>
        <stp>ContractData</stp>
        <stp>TYA</stp>
        <stp>NetLastTradeToday</stp>
        <stp/>
        <stp>B</stp>
        <tr r="T34" s="1"/>
      </tp>
      <tp>
        <v>1071</v>
        <stp/>
        <stp>ContractData</stp>
        <stp>TYA</stp>
        <stp>MT_LastBidVolume</stp>
        <stp/>
        <stp>T</stp>
        <tr r="R38" s="1"/>
      </tp>
      <tp>
        <v>8</v>
        <stp/>
        <stp>DOMData</stp>
        <stp>DD</stp>
        <stp>Volume</stp>
        <stp>-3</stp>
        <tr r="Q43" s="1"/>
      </tp>
      <tp>
        <v>6</v>
        <stp/>
        <stp>DOMData</stp>
        <stp>DD</stp>
        <stp>Volume</stp>
        <stp>-2</stp>
        <tr r="R43" s="1"/>
      </tp>
      <tp>
        <v>1</v>
        <stp/>
        <stp>DOMData</stp>
        <stp>DD</stp>
        <stp>Volume</stp>
        <stp>-1</stp>
        <tr r="S43" s="1"/>
      </tp>
      <tp>
        <v>5</v>
        <stp/>
        <stp>DOMData</stp>
        <stp>DD</stp>
        <stp>Volume</stp>
        <stp>-5</stp>
        <tr r="O43" s="1"/>
      </tp>
      <tp>
        <v>7</v>
        <stp/>
        <stp>DOMData</stp>
        <stp>DD</stp>
        <stp>Volume</stp>
        <stp>-4</stp>
        <tr r="P43" s="1"/>
      </tp>
      <tp>
        <v>2349</v>
        <stp/>
        <stp>StudyData</stp>
        <stp>FPVol(FootprintOp (BP6, 0),1.3954)</stp>
        <stp>Bar</stp>
        <stp/>
        <stp>Close</stp>
        <stp>D</stp>
        <stp>0</stp>
        <stp>all</stp>
        <stp/>
        <stp/>
        <stp/>
        <stp>T</stp>
        <tr r="N18" s="1"/>
      </tp>
      <tp>
        <v>2381</v>
        <stp/>
        <stp>StudyData</stp>
        <stp>FPVol(FootprintOp (EU6, 0),1.2344)</stp>
        <stp>Bar</stp>
        <stp/>
        <stp>Close</stp>
        <stp>D</stp>
        <stp>0</stp>
        <stp>all</stp>
        <stp/>
        <stp/>
        <stp/>
        <stp>T</stp>
        <tr r="P9" s="1"/>
        <tr r="P9" s="1"/>
      </tp>
      <tp>
        <v>2607</v>
        <stp/>
        <stp>StudyData</stp>
        <stp>FPVol(FootprintOp (EU6, 0),1.2345)</stp>
        <stp>Bar</stp>
        <stp/>
        <stp>Close</stp>
        <stp>D</stp>
        <stp>0</stp>
        <stp>all</stp>
        <stp/>
        <stp/>
        <stp/>
        <stp>T</stp>
        <tr r="R9" s="1"/>
        <tr r="R9" s="1"/>
      </tp>
      <tp>
        <v>2619</v>
        <stp/>
        <stp>StudyData</stp>
        <stp>FPVol(FootprintOp (EU6, 0),1.2346)</stp>
        <stp>Bar</stp>
        <stp/>
        <stp>Close</stp>
        <stp>D</stp>
        <stp>0</stp>
        <stp>all</stp>
        <stp/>
        <stp/>
        <stp/>
        <stp>T</stp>
        <tr r="V13" s="1"/>
      </tp>
      <tp>
        <v>3314</v>
        <stp/>
        <stp>StudyData</stp>
        <stp>FPVol(FootprintOp (EU6, 0),1.2347)</stp>
        <stp>Bar</stp>
        <stp/>
        <stp>Close</stp>
        <stp>D</stp>
        <stp>0</stp>
        <stp>all</stp>
        <stp/>
        <stp/>
        <stp/>
        <stp>T</stp>
        <tr r="W9" s="1"/>
        <tr r="W9" s="1"/>
      </tp>
      <tp>
        <v>2471</v>
        <stp/>
        <stp>StudyData</stp>
        <stp>FPVol(FootprintOp (EU6, 0),1.2348)</stp>
        <stp>Bar</stp>
        <stp/>
        <stp>Close</stp>
        <stp>D</stp>
        <stp>0</stp>
        <stp>all</stp>
        <stp/>
        <stp/>
        <stp/>
        <stp>T</stp>
        <tr r="Y9" s="1"/>
        <tr r="Y9" s="1"/>
      </tp>
      <tp>
        <v>2</v>
        <stp/>
        <stp>ContractData</stp>
        <stp>DD</stp>
        <stp>VolumeLastTrade</stp>
        <stp/>
        <stp>T</stp>
        <tr r="U49" s="1"/>
      </tp>
      <tp>
        <v>1</v>
        <stp/>
        <stp>ContractData</stp>
        <stp>EP</stp>
        <stp>VolumeLastTrade</stp>
        <stp/>
        <stp>T</stp>
        <tr r="H13" s="1"/>
      </tp>
      <tp>
        <v>120.453125</v>
        <stp/>
        <stp>StudyData</stp>
        <stp>TYA</stp>
        <stp>TFlow</stp>
        <stp>AggregateBy=TFlowSimpleAggregation, Aggregation=1</stp>
        <stp>Low</stp>
        <stp/>
        <stp>0</stp>
        <stp/>
        <stp/>
        <stp/>
        <stp/>
        <stp>T</stp>
        <tr r="X38" s="1"/>
        <tr r="X38" s="1"/>
      </tp>
      <tp>
        <v>13469</v>
        <stp/>
        <stp>StudyData</stp>
        <stp>FPVol(FootprintOp (EP, 0),2733.5)</stp>
        <stp>Bar</stp>
        <stp/>
        <stp>Close</stp>
        <stp>D</stp>
        <stp>0</stp>
        <stp>all</stp>
        <stp/>
        <stp/>
        <stp/>
        <stp>T</stp>
        <tr r="L9" s="1"/>
        <tr r="L9" s="1"/>
      </tp>
      <tp>
        <v>5996</v>
        <stp/>
        <stp>StudyData</stp>
        <stp>FPVol(FootprintOp (EP, 0),2732.5)</stp>
        <stp>Bar</stp>
        <stp/>
        <stp>Close</stp>
        <stp>D</stp>
        <stp>0</stp>
        <stp>all</stp>
        <stp/>
        <stp/>
        <stp/>
        <stp>T</stp>
        <tr r="I13" s="1"/>
      </tp>
      <tp>
        <v>8166</v>
        <stp/>
        <stp>StudyData</stp>
        <stp>FPVol(FootprintOp (EP, 0),2731.5)</stp>
        <stp>Bar</stp>
        <stp/>
        <stp>Close</stp>
        <stp>D</stp>
        <stp>0</stp>
        <stp>all</stp>
        <stp/>
        <stp/>
        <stp/>
        <stp>T</stp>
        <tr r="B9" s="1"/>
        <tr r="B9" s="1"/>
      </tp>
      <tp t="s">
        <v>F.US.DDH18</v>
        <stp/>
        <stp>ContractData</stp>
        <stp>DD</stp>
        <stp>LongSymbol</stp>
        <stp/>
        <stp>T</stp>
        <tr r="P46" s="1"/>
      </tp>
      <tp>
        <v>20</v>
        <stp/>
        <stp>ContractData</stp>
        <stp>GCE</stp>
        <stp>MT_LastAskVolume</stp>
        <stp/>
        <stp>T</stp>
        <tr r="E49" s="1"/>
      </tp>
      <tp>
        <v>61.53</v>
        <stp/>
        <stp>DOMData</stp>
        <stp>CLE</stp>
        <stp>Price</stp>
        <stp>1</stp>
        <stp>T</stp>
        <tr r="H29" s="1"/>
        <tr r="H39" s="1"/>
        <tr r="I29" s="1"/>
        <tr r="A33" s="1"/>
        <tr r="H30" s="1"/>
      </tp>
      <tp>
        <v>1331.4</v>
        <stp/>
        <stp>DOMData</stp>
        <stp>GCE</stp>
        <stp>Price</stp>
        <stp>1</stp>
        <stp>T</stp>
        <tr r="H41" s="1"/>
        <tr r="H51" s="1"/>
        <tr r="I41" s="1"/>
        <tr r="A45" s="1"/>
        <tr r="H42" s="1"/>
      </tp>
      <tp>
        <v>120.53125</v>
        <stp/>
        <stp>DOMData</stp>
        <stp>TYA</stp>
        <stp>Price</stp>
        <stp>5</stp>
        <stp>T</stp>
        <tr r="Z29" s="1"/>
        <tr r="Z29" s="1"/>
        <tr r="Z39" s="1"/>
      </tp>
      <tp>
        <v>-2.0999999999999908E-3</v>
        <stp/>
        <stp>ContractData</stp>
        <stp>BP6</stp>
        <stp>NetLastTradeToday</stp>
        <stp/>
        <stp>T</stp>
        <tr r="T22" s="1"/>
        <tr r="N25" s="1"/>
        <tr r="N19" s="1"/>
      </tp>
      <tp>
        <v>120.515625</v>
        <stp/>
        <stp>DOMData</stp>
        <stp>TYA</stp>
        <stp>Price</stp>
        <stp>4</stp>
        <stp>T</stp>
        <tr r="Y29" s="1"/>
        <tr r="Y29" s="1"/>
        <tr r="Y39" s="1"/>
      </tp>
      <tp>
        <v>1</v>
        <stp/>
        <stp>ContractData</stp>
        <stp>EU6</stp>
        <stp>VolumeLastTrade</stp>
        <stp/>
        <stp>T</stp>
        <tr r="U13" s="1"/>
      </tp>
      <tp>
        <v>1</v>
        <stp/>
        <stp>ContractData</stp>
        <stp>ENQ</stp>
        <stp>VolumeLastTrade</stp>
        <stp/>
        <stp>T</stp>
        <tr r="H25" s="1"/>
      </tp>
      <tp>
        <v>1</v>
        <stp/>
        <stp>ContractData</stp>
        <stp>GCE</stp>
        <stp>VolumeLastTrade</stp>
        <stp/>
        <stp>T</stp>
        <tr r="H49" s="1"/>
      </tp>
      <tp>
        <v>1</v>
        <stp/>
        <stp>ContractData</stp>
        <stp>BP6</stp>
        <stp>VolumeLastTrade</stp>
        <stp/>
        <stp>T</stp>
        <tr r="U25" s="1"/>
      </tp>
      <tp>
        <v>1</v>
        <stp/>
        <stp>ContractData</stp>
        <stp>CLE</stp>
        <stp>VolumeLastTrade</stp>
        <stp/>
        <stp>T</stp>
        <tr r="H37" s="1"/>
      </tp>
      <tp>
        <v>4</v>
        <stp/>
        <stp>ContractData</stp>
        <stp>TYA</stp>
        <stp>VolumeLastTrade</stp>
        <stp/>
        <stp>T</stp>
        <tr r="U37" s="1"/>
      </tp>
      <tp>
        <v>3</v>
        <stp/>
        <stp>ContractData</stp>
        <stp>ENQ</stp>
        <stp>MT_LastAskVolume</stp>
        <stp/>
        <stp>T</stp>
        <tr r="E25" s="1"/>
      </tp>
      <tp>
        <v>61.55</v>
        <stp/>
        <stp>DOMData</stp>
        <stp>CLE</stp>
        <stp>Price</stp>
        <stp>3</stp>
        <stp>T</stp>
        <tr r="K29" s="1"/>
        <tr r="K39" s="1"/>
      </tp>
      <tp>
        <v>1331.6</v>
        <stp/>
        <stp>DOMData</stp>
        <stp>GCE</stp>
        <stp>Price</stp>
        <stp>3</stp>
        <stp>T</stp>
        <tr r="K41" s="1"/>
        <tr r="K51" s="1"/>
      </tp>
      <tp>
        <v>33</v>
        <stp/>
        <stp>ContractData</stp>
        <stp>EU6</stp>
        <stp>MT_LastAskVolume</stp>
        <stp/>
        <stp>T</stp>
        <tr r="R13" s="1"/>
      </tp>
      <tp>
        <v>1.2345999999999999</v>
        <stp/>
        <stp>StudyData</stp>
        <stp>EU6</stp>
        <stp>TFlow</stp>
        <stp>AggregateBy=TFlowSimpleAggregation, Aggregation=1</stp>
        <stp>Low</stp>
        <stp/>
        <stp>0</stp>
        <stp/>
        <stp/>
        <stp/>
        <stp/>
        <stp>T</stp>
        <tr r="X14" s="1"/>
      </tp>
      <tp>
        <v>61.54</v>
        <stp/>
        <stp>DOMData</stp>
        <stp>CLE</stp>
        <stp>Price</stp>
        <stp>2</stp>
        <stp>T</stp>
        <tr r="J29" s="1"/>
        <tr r="J39" s="1"/>
      </tp>
      <tp>
        <v>1331.5</v>
        <stp/>
        <stp>DOMData</stp>
        <stp>GCE</stp>
        <stp>Price</stp>
        <stp>2</stp>
        <stp>T</stp>
        <tr r="J41" s="1"/>
        <tr r="J51" s="1"/>
      </tp>
      <tp>
        <v>42</v>
        <stp/>
        <stp>ContractData</stp>
        <stp>CLE</stp>
        <stp>MT_LastAskVolume</stp>
        <stp/>
        <stp>T</stp>
        <tr r="E37" s="1"/>
      </tp>
      <tp>
        <v>61.57</v>
        <stp/>
        <stp>DOMData</stp>
        <stp>CLE</stp>
        <stp>Price</stp>
        <stp>5</stp>
        <stp>T</stp>
        <tr r="M29" s="1"/>
        <tr r="M39" s="1"/>
      </tp>
      <tp>
        <v>1331.8</v>
        <stp/>
        <stp>DOMData</stp>
        <stp>GCE</stp>
        <stp>Price</stp>
        <stp>5</stp>
        <stp>T</stp>
        <tr r="M41" s="1"/>
        <tr r="M51" s="1"/>
      </tp>
      <tp>
        <v>120.46875</v>
        <stp/>
        <stp>DOMData</stp>
        <stp>TYA</stp>
        <stp>Price</stp>
        <stp>1</stp>
        <stp>T</stp>
        <tr r="U39" s="1"/>
        <tr r="N33" s="1"/>
        <tr r="N33" s="1"/>
        <tr r="U30" s="1"/>
      </tp>
      <tp>
        <v>364</v>
        <stp/>
        <stp>StudyData</stp>
        <stp>FPVol(FootprintOp (DD, 0),12453.5)</stp>
        <stp>Bar</stp>
        <stp/>
        <stp>Close</stp>
        <stp>D</stp>
        <stp>0</stp>
        <stp>all</stp>
        <stp/>
        <stp/>
        <stp/>
        <stp>T</stp>
        <tr r="X45" s="1"/>
        <tr r="X45" s="1"/>
      </tp>
      <tp>
        <v>404</v>
        <stp/>
        <stp>StudyData</stp>
        <stp>FPVol(FootprintOp (DD, 0),12450.5)</stp>
        <stp>Bar</stp>
        <stp/>
        <stp>Close</stp>
        <stp>D</stp>
        <stp>0</stp>
        <stp>all</stp>
        <stp/>
        <stp/>
        <stp/>
        <stp>T</stp>
        <tr r="P45" s="1"/>
        <tr r="P45" s="1"/>
      </tp>
      <tp>
        <v>498</v>
        <stp/>
        <stp>StudyData</stp>
        <stp>FPVol(FootprintOp (DD, 0),12451.5)</stp>
        <stp>Bar</stp>
        <stp/>
        <stp>Close</stp>
        <stp>D</stp>
        <stp>0</stp>
        <stp>all</stp>
        <stp/>
        <stp/>
        <stp/>
        <stp>T</stp>
        <tr r="R45" s="1"/>
        <tr r="R45" s="1"/>
      </tp>
      <tp>
        <v>439</v>
        <stp/>
        <stp>StudyData</stp>
        <stp>FPVol(FootprintOp (DD, 0),12454.5)</stp>
        <stp>Bar</stp>
        <stp/>
        <stp>Close</stp>
        <stp>D</stp>
        <stp>0</stp>
        <stp>all</stp>
        <stp/>
        <stp/>
        <stp/>
        <stp>T</stp>
        <tr r="Z45" s="1"/>
        <tr r="Z45" s="1"/>
      </tp>
      <tp>
        <v>61.56</v>
        <stp/>
        <stp>DOMData</stp>
        <stp>CLE</stp>
        <stp>Price</stp>
        <stp>4</stp>
        <stp>T</stp>
        <tr r="L29" s="1"/>
        <tr r="L39" s="1"/>
      </tp>
      <tp>
        <v>1331.7</v>
        <stp/>
        <stp>DOMData</stp>
        <stp>GCE</stp>
        <stp>Price</stp>
        <stp>4</stp>
        <stp>T</stp>
        <tr r="L41" s="1"/>
        <tr r="L51" s="1"/>
      </tp>
      <tp>
        <v>7</v>
        <stp/>
        <stp>ContractData</stp>
        <stp>BP6</stp>
        <stp>MT_LastAskVolume</stp>
        <stp/>
        <stp>T</stp>
        <tr r="R25" s="1"/>
      </tp>
      <tp>
        <v>-1.0499999999999954E-3</v>
        <stp/>
        <stp>ContractData</stp>
        <stp>EU6</stp>
        <stp>NetLastTradeToday</stp>
        <stp/>
        <stp>T</stp>
        <tr r="T10" s="1"/>
        <tr r="N13" s="1"/>
        <tr r="N7" s="1"/>
      </tp>
      <tp>
        <v>1534</v>
        <stp/>
        <stp>StudyData</stp>
        <stp>FPVol(FootprintOp (BP6, 0),1.3984)</stp>
        <stp>Bar</stp>
        <stp/>
        <stp>Close</stp>
        <stp>D</stp>
        <stp>0</stp>
        <stp>all</stp>
        <stp/>
        <stp/>
        <stp/>
        <stp>T</stp>
        <tr r="Z21" s="1"/>
        <tr r="Z21" s="1"/>
      </tp>
      <tp>
        <v>1557</v>
        <stp/>
        <stp>StudyData</stp>
        <stp>FPVol(FootprintOp (BP6, 0),1.3981)</stp>
        <stp>Bar</stp>
        <stp/>
        <stp>Close</stp>
        <stp>D</stp>
        <stp>0</stp>
        <stp>all</stp>
        <stp/>
        <stp/>
        <stp/>
        <stp>T</stp>
        <tr r="W21" s="1"/>
        <tr r="W21" s="1"/>
      </tp>
      <tp>
        <v>1016</v>
        <stp/>
        <stp>StudyData</stp>
        <stp>FPVol(FootprintOp (BP6, 0),1.3980)</stp>
        <stp>Bar</stp>
        <stp/>
        <stp>Close</stp>
        <stp>D</stp>
        <stp>0</stp>
        <stp>all</stp>
        <stp/>
        <stp/>
        <stp/>
        <stp>T</stp>
        <tr r="U21" s="1"/>
        <tr r="U21" s="1"/>
      </tp>
      <tp>
        <v>1274</v>
        <stp/>
        <stp>StudyData</stp>
        <stp>FPVol(FootprintOp (BP6, 0),1.3983)</stp>
        <stp>Bar</stp>
        <stp/>
        <stp>Close</stp>
        <stp>D</stp>
        <stp>0</stp>
        <stp>all</stp>
        <stp/>
        <stp/>
        <stp/>
        <stp>T</stp>
        <tr r="Y21" s="1"/>
        <tr r="Y21" s="1"/>
      </tp>
      <tp>
        <v>1441</v>
        <stp/>
        <stp>StudyData</stp>
        <stp>FPVol(FootprintOp (BP6, 0),1.3982)</stp>
        <stp>Bar</stp>
        <stp/>
        <stp>Close</stp>
        <stp>D</stp>
        <stp>0</stp>
        <stp>all</stp>
        <stp/>
        <stp/>
        <stp/>
        <stp>T</stp>
        <tr r="X21" s="1"/>
        <tr r="X21" s="1"/>
      </tp>
      <tp>
        <v>120.5</v>
        <stp/>
        <stp>DOMData</stp>
        <stp>TYA</stp>
        <stp>Price</stp>
        <stp>3</stp>
        <stp>T</stp>
        <tr r="X29" s="1"/>
        <tr r="X29" s="1"/>
        <tr r="X39" s="1"/>
      </tp>
      <tp>
        <v>6325</v>
        <stp/>
        <stp>StudyData</stp>
        <stp>FPVol(FootprintOp (CLE, 0),61.51)</stp>
        <stp>Bar</stp>
        <stp/>
        <stp>Close</stp>
        <stp>D</stp>
        <stp>0</stp>
        <stp>all</stp>
        <stp/>
        <stp/>
        <stp/>
        <stp>T</stp>
        <tr r="E33" s="1"/>
        <tr r="E33" s="1"/>
      </tp>
      <tp>
        <v>6551</v>
        <stp/>
        <stp>StudyData</stp>
        <stp>FPVol(FootprintOp (CLE, 0),61.52)</stp>
        <stp>Bar</stp>
        <stp/>
        <stp>Close</stp>
        <stp>D</stp>
        <stp>0</stp>
        <stp>all</stp>
        <stp/>
        <stp/>
        <stp/>
        <stp>T</stp>
        <tr r="F33" s="1"/>
        <tr r="F33" s="1"/>
        <tr r="I37" s="1"/>
      </tp>
      <tp>
        <v>6836</v>
        <stp/>
        <stp>StudyData</stp>
        <stp>FPVol(FootprintOp (CLE, 0),61.53)</stp>
        <stp>Bar</stp>
        <stp/>
        <stp>Close</stp>
        <stp>D</stp>
        <stp>0</stp>
        <stp>all</stp>
        <stp/>
        <stp/>
        <stp/>
        <stp>T</stp>
        <tr r="H33" s="1"/>
        <tr r="H33" s="1"/>
      </tp>
      <tp>
        <v>5624</v>
        <stp/>
        <stp>StudyData</stp>
        <stp>FPVol(FootprintOp (CLE, 0),61.54)</stp>
        <stp>Bar</stp>
        <stp/>
        <stp>Close</stp>
        <stp>D</stp>
        <stp>0</stp>
        <stp>all</stp>
        <stp/>
        <stp/>
        <stp/>
        <stp>T</stp>
        <tr r="J33" s="1"/>
        <tr r="J33" s="1"/>
      </tp>
      <tp>
        <v>4991</v>
        <stp/>
        <stp>StudyData</stp>
        <stp>FPVol(FootprintOp (CLE, 0),61.55)</stp>
        <stp>Bar</stp>
        <stp/>
        <stp>Close</stp>
        <stp>D</stp>
        <stp>0</stp>
        <stp>all</stp>
        <stp/>
        <stp/>
        <stp/>
        <stp>T</stp>
        <tr r="K33" s="1"/>
        <tr r="K33" s="1"/>
      </tp>
      <tp>
        <v>5457</v>
        <stp/>
        <stp>StudyData</stp>
        <stp>FPVol(FootprintOp (CLE, 0),61.56)</stp>
        <stp>Bar</stp>
        <stp/>
        <stp>Close</stp>
        <stp>D</stp>
        <stp>0</stp>
        <stp>all</stp>
        <stp/>
        <stp/>
        <stp/>
        <stp>T</stp>
        <tr r="L33" s="1"/>
        <tr r="L33" s="1"/>
      </tp>
      <tp>
        <v>5776</v>
        <stp/>
        <stp>StudyData</stp>
        <stp>FPVol(FootprintOp (CLE, 0),61.57)</stp>
        <stp>Bar</stp>
        <stp/>
        <stp>Close</stp>
        <stp>D</stp>
        <stp>0</stp>
        <stp>all</stp>
        <stp/>
        <stp/>
        <stp/>
        <stp>T</stp>
        <tr r="M33" s="1"/>
        <tr r="M33" s="1"/>
      </tp>
      <tp>
        <v>120.484375</v>
        <stp/>
        <stp>DOMData</stp>
        <stp>TYA</stp>
        <stp>Price</stp>
        <stp>2</stp>
        <stp>T</stp>
        <tr r="W29" s="1"/>
        <tr r="W29" s="1"/>
        <tr r="W39" s="1"/>
      </tp>
      <tp>
        <v>7165</v>
        <stp/>
        <stp>StudyData</stp>
        <stp>FPVol(FootprintOp (CLE, 0),61.47)</stp>
        <stp>Bar</stp>
        <stp/>
        <stp>Close</stp>
        <stp>D</stp>
        <stp>0</stp>
        <stp>all</stp>
        <stp/>
        <stp/>
        <stp/>
        <stp>T</stp>
        <tr r="A30" s="1"/>
      </tp>
      <tp>
        <v>7122</v>
        <stp/>
        <stp>StudyData</stp>
        <stp>FPVol(FootprintOp (CLE, 0),61.48)</stp>
        <stp>Bar</stp>
        <stp/>
        <stp>Close</stp>
        <stp>D</stp>
        <stp>0</stp>
        <stp>all</stp>
        <stp/>
        <stp/>
        <stp/>
        <stp>T</stp>
        <tr r="B33" s="1"/>
        <tr r="B33" s="1"/>
      </tp>
      <tp>
        <v>6511</v>
        <stp/>
        <stp>StudyData</stp>
        <stp>FPVol(FootprintOp (CLE, 0),61.49)</stp>
        <stp>Bar</stp>
        <stp/>
        <stp>Close</stp>
        <stp>D</stp>
        <stp>0</stp>
        <stp>all</stp>
        <stp/>
        <stp/>
        <stp/>
        <stp>T</stp>
        <tr r="C33" s="1"/>
        <tr r="C33" s="1"/>
      </tp>
      <tp>
        <v>1.3978999999999999</v>
        <stp/>
        <stp>StudyData</stp>
        <stp>BP6</stp>
        <stp>TFlow</stp>
        <stp>AggregateBy=TFlowSimpleAggregation, Aggregation=1</stp>
        <stp>Low</stp>
        <stp/>
        <stp>0</stp>
        <stp/>
        <stp/>
        <stp/>
        <stp/>
        <stp>T</stp>
        <tr r="X26" s="1"/>
      </tp>
      <tp>
        <v>12454.5</v>
        <stp/>
        <stp>DOMData</stp>
        <stp>DD</stp>
        <stp>Price</stp>
        <stp>5</stp>
        <stp>T</stp>
        <tr r="Z41" s="1"/>
        <tr r="Z51" s="1"/>
      </tp>
      <tp>
        <v>12454</v>
        <stp/>
        <stp>DOMData</stp>
        <stp>DD</stp>
        <stp>Price</stp>
        <stp>4</stp>
        <stp>T</stp>
        <tr r="Y41" s="1"/>
        <tr r="Y51" s="1"/>
      </tp>
      <tp>
        <v>43152.503270740744</v>
        <stp/>
        <stp>DOMData</stp>
        <stp>TYA</stp>
        <stp>Time</stp>
        <stp>-1</stp>
        <tr r="S32" s="1"/>
      </tp>
      <tp>
        <v>43152.503284259263</v>
        <stp/>
        <stp>DOMData</stp>
        <stp>TYA</stp>
        <stp>Time</stp>
        <stp>-3</stp>
        <tr r="Q32" s="1"/>
      </tp>
      <tp>
        <v>43152.503284259263</v>
        <stp/>
        <stp>DOMData</stp>
        <stp>TYA</stp>
        <stp>Time</stp>
        <stp>-2</stp>
        <tr r="R32" s="1"/>
      </tp>
      <tp>
        <v>43152.503284259263</v>
        <stp/>
        <stp>DOMData</stp>
        <stp>TYA</stp>
        <stp>Time</stp>
        <stp>-5</stp>
        <tr r="O32" s="1"/>
      </tp>
      <tp>
        <v>43152.503284259263</v>
        <stp/>
        <stp>DOMData</stp>
        <stp>TYA</stp>
        <stp>Time</stp>
        <stp>-4</stp>
        <tr r="P32" s="1"/>
      </tp>
      <tp>
        <v>12452.5</v>
        <stp/>
        <stp>DOMData</stp>
        <stp>DD</stp>
        <stp>Price</stp>
        <stp>1</stp>
        <stp>T</stp>
        <tr r="V41" s="1"/>
        <tr r="U41" s="1"/>
        <tr r="N45" s="1"/>
        <tr r="U51" s="1"/>
        <tr r="U42" s="1"/>
      </tp>
      <tp>
        <v>6838</v>
        <stp/>
        <stp>StudyData</stp>
        <stp>ENQ</stp>
        <stp>TFlow</stp>
        <stp>AggregateBy=TFlowSimpleAggregation, Aggregation=1</stp>
        <stp>High</stp>
        <stp/>
        <stp>0</stp>
        <stp/>
        <stp/>
        <stp/>
        <stp/>
        <stp>T</stp>
        <tr r="K25" s="1"/>
      </tp>
      <tp>
        <v>435</v>
        <stp/>
        <stp>StudyData</stp>
        <stp>FPVol(FootprintOp (DD, 0),12451)</stp>
        <stp>Bar</stp>
        <stp/>
        <stp>Close</stp>
        <stp>D</stp>
        <stp>0</stp>
        <stp>all</stp>
        <stp/>
        <stp/>
        <stp/>
        <stp>T</stp>
        <tr r="Q45" s="1"/>
        <tr r="Q45" s="1"/>
      </tp>
      <tp>
        <v>667</v>
        <stp/>
        <stp>StudyData</stp>
        <stp>FPVol(FootprintOp (DD, 0),12450)</stp>
        <stp>Bar</stp>
        <stp/>
        <stp>Close</stp>
        <stp>D</stp>
        <stp>0</stp>
        <stp>all</stp>
        <stp/>
        <stp/>
        <stp/>
        <stp>T</stp>
        <tr r="O45" s="1"/>
        <tr r="O45" s="1"/>
        <tr r="N42" s="1"/>
      </tp>
      <tp>
        <v>389</v>
        <stp/>
        <stp>StudyData</stp>
        <stp>FPVol(FootprintOp (DD, 0),12453)</stp>
        <stp>Bar</stp>
        <stp/>
        <stp>Close</stp>
        <stp>D</stp>
        <stp>0</stp>
        <stp>all</stp>
        <stp/>
        <stp/>
        <stp/>
        <stp>T</stp>
        <tr r="W45" s="1"/>
        <tr r="W45" s="1"/>
        <tr r="V49" s="1"/>
      </tp>
      <tp>
        <v>376</v>
        <stp/>
        <stp>StudyData</stp>
        <stp>FPVol(FootprintOp (DD, 0),12454)</stp>
        <stp>Bar</stp>
        <stp/>
        <stp>Close</stp>
        <stp>D</stp>
        <stp>0</stp>
        <stp>all</stp>
        <stp/>
        <stp/>
        <stp/>
        <stp>T</stp>
        <tr r="Y45" s="1"/>
        <tr r="Y45" s="1"/>
      </tp>
      <tp>
        <v>12453.5</v>
        <stp/>
        <stp>DOMData</stp>
        <stp>DD</stp>
        <stp>Price</stp>
        <stp>3</stp>
        <stp>T</stp>
        <tr r="X41" s="1"/>
        <tr r="X51" s="1"/>
      </tp>
      <tp>
        <v>12453</v>
        <stp/>
        <stp>DOMData</stp>
        <stp>DD</stp>
        <stp>Price</stp>
        <stp>2</stp>
        <stp>T</stp>
        <tr r="W41" s="1"/>
        <tr r="W51" s="1"/>
      </tp>
      <tp>
        <v>0.01</v>
        <stp/>
        <stp>ContractData</stp>
        <stp>CLE</stp>
        <stp>TickSize</stp>
        <stp/>
        <stp>T</stp>
        <tr r="A35" s="1"/>
      </tp>
      <tp>
        <v>1E-4</v>
        <stp/>
        <stp>ContractData</stp>
        <stp>BP6</stp>
        <stp>TickSize</stp>
        <stp/>
        <stp>T</stp>
        <tr r="N23" s="1"/>
      </tp>
      <tp>
        <v>2759</v>
        <stp/>
        <stp>DOMData</stp>
        <stp>TYA</stp>
        <stp>Volume</stp>
        <stp>-5</stp>
        <tr r="O31" s="1"/>
      </tp>
      <tp>
        <v>4795</v>
        <stp/>
        <stp>DOMData</stp>
        <stp>TYA</stp>
        <stp>Volume</stp>
        <stp>-4</stp>
        <tr r="P31" s="1"/>
      </tp>
      <tp>
        <v>2527</v>
        <stp/>
        <stp>DOMData</stp>
        <stp>TYA</stp>
        <stp>Volume</stp>
        <stp>-3</stp>
        <tr r="Q31" s="1"/>
      </tp>
      <tp>
        <v>2502</v>
        <stp/>
        <stp>DOMData</stp>
        <stp>TYA</stp>
        <stp>Volume</stp>
        <stp>-2</stp>
        <tr r="R31" s="1"/>
      </tp>
      <tp>
        <v>1071</v>
        <stp/>
        <stp>DOMData</stp>
        <stp>TYA</stp>
        <stp>Volume</stp>
        <stp>-1</stp>
        <tr r="S31" s="1"/>
      </tp>
      <tp>
        <v>12450</v>
        <stp/>
        <stp>StudyData</stp>
        <stp>FPMax(FootprintOp(DD,0))</stp>
        <stp>Bar</stp>
        <stp/>
        <stp>Close</stp>
        <stp>D</stp>
        <stp>0</stp>
        <stp>all</stp>
        <stp/>
        <stp/>
        <stp/>
        <stp>T</stp>
        <tr r="N41" s="1"/>
        <tr r="N40" s="1"/>
      </tp>
      <tp>
        <v>2728</v>
        <stp/>
        <stp>StudyData</stp>
        <stp>FPMax(FootprintOp(EP,0))</stp>
        <stp>Bar</stp>
        <stp/>
        <stp>Close</stp>
        <stp>D</stp>
        <stp>0</stp>
        <stp>all</stp>
        <stp/>
        <stp/>
        <stp/>
        <stp>T</stp>
        <tr r="A5" s="1"/>
        <tr r="A4" s="1"/>
      </tp>
      <tp>
        <v>0.1</v>
        <stp/>
        <stp>ContractData</stp>
        <stp>GCE</stp>
        <stp>TickSize</stp>
        <stp/>
        <stp>T</stp>
        <tr r="A47" s="1"/>
      </tp>
      <tp>
        <v>5.0000000000000002E-5</v>
        <stp/>
        <stp>ContractData</stp>
        <stp>EU6</stp>
        <stp>TickSize</stp>
        <stp/>
        <stp>T</stp>
        <tr r="N11" s="1"/>
      </tp>
      <tp>
        <v>38</v>
        <stp/>
        <stp>DOMData</stp>
        <stp>GCE</stp>
        <stp>Volume</stp>
        <stp>-4</stp>
        <tr r="C43" s="1"/>
      </tp>
      <tp>
        <v>28</v>
        <stp/>
        <stp>DOMData</stp>
        <stp>GCE</stp>
        <stp>Volume</stp>
        <stp>-5</stp>
        <tr r="B43" s="1"/>
      </tp>
      <tp>
        <v>4</v>
        <stp/>
        <stp>DOMData</stp>
        <stp>CLE</stp>
        <stp>Volume</stp>
        <stp>-1</stp>
        <tr r="F31" s="1"/>
      </tp>
      <tp>
        <v>56</v>
        <stp/>
        <stp>DOMData</stp>
        <stp>CLE</stp>
        <stp>Volume</stp>
        <stp>-2</stp>
        <tr r="E31" s="1"/>
      </tp>
      <tp>
        <v>76</v>
        <stp/>
        <stp>DOMData</stp>
        <stp>CLE</stp>
        <stp>Volume</stp>
        <stp>-3</stp>
        <tr r="D31" s="1"/>
      </tp>
      <tp>
        <v>78</v>
        <stp/>
        <stp>DOMData</stp>
        <stp>CLE</stp>
        <stp>Volume</stp>
        <stp>-4</stp>
        <tr r="C31" s="1"/>
      </tp>
      <tp>
        <v>34</v>
        <stp/>
        <stp>DOMData</stp>
        <stp>GCE</stp>
        <stp>Volume</stp>
        <stp>-1</stp>
        <tr r="F43" s="1"/>
      </tp>
      <tp>
        <v>53</v>
        <stp/>
        <stp>DOMData</stp>
        <stp>CLE</stp>
        <stp>Volume</stp>
        <stp>-5</stp>
        <tr r="B31" s="1"/>
      </tp>
      <tp>
        <v>44</v>
        <stp/>
        <stp>DOMData</stp>
        <stp>GCE</stp>
        <stp>Volume</stp>
        <stp>-2</stp>
        <tr r="E43" s="1"/>
      </tp>
      <tp>
        <v>36</v>
        <stp/>
        <stp>DOMData</stp>
        <stp>GCE</stp>
        <stp>Volume</stp>
        <stp>-3</stp>
        <tr r="D43" s="1"/>
      </tp>
      <tp>
        <v>0.25</v>
        <stp/>
        <stp>ContractData</stp>
        <stp>ENQ</stp>
        <stp>TickSize</stp>
        <stp/>
        <stp>T</stp>
        <tr r="A23" s="1"/>
      </tp>
      <tp t="s">
        <v>F.US.ENQH18</v>
        <stp/>
        <stp>ContractData</stp>
        <stp>ENQ</stp>
        <stp>LongSymbol</stp>
        <stp/>
        <stp>T</stp>
        <tr r="C22" s="1"/>
      </tp>
      <tp>
        <v>-36.5</v>
        <stp/>
        <stp>ContractData</stp>
        <stp>DD</stp>
        <stp>NetLastTradeToday</stp>
        <stp/>
        <stp>T</stp>
        <tr r="T46" s="1"/>
        <tr r="N49" s="1"/>
        <tr r="N43" s="1"/>
      </tp>
      <tp>
        <v>43152.503271527778</v>
        <stp/>
        <stp>DOMData</stp>
        <stp>TYA</stp>
        <stp>Time</stp>
        <stp>1</stp>
        <tr r="U32" s="1"/>
      </tp>
      <tp>
        <v>43152.503284259263</v>
        <stp/>
        <stp>DOMData</stp>
        <stp>TYA</stp>
        <stp>Time</stp>
        <stp>2</stp>
        <tr r="W32" s="1"/>
      </tp>
      <tp>
        <v>43152.503284259263</v>
        <stp/>
        <stp>DOMData</stp>
        <stp>TYA</stp>
        <stp>Time</stp>
        <stp>3</stp>
        <tr r="X32" s="1"/>
      </tp>
      <tp>
        <v>43152.503284259263</v>
        <stp/>
        <stp>DOMData</stp>
        <stp>TYA</stp>
        <stp>Time</stp>
        <stp>4</stp>
        <tr r="Y32" s="1"/>
      </tp>
      <tp>
        <v>43152.503284259263</v>
        <stp/>
        <stp>DOMData</stp>
        <stp>TYA</stp>
        <stp>Time</stp>
        <stp>5</stp>
        <tr r="Z32" s="1"/>
      </tp>
      <tp>
        <v>43152.503286296298</v>
        <stp/>
        <stp>DOMData</stp>
        <stp>ENQ</stp>
        <stp>Time</stp>
        <stp>5</stp>
        <tr r="M20" s="1"/>
      </tp>
      <tp>
        <v>43152.503286296298</v>
        <stp/>
        <stp>DOMData</stp>
        <stp>ENQ</stp>
        <stp>Time</stp>
        <stp>4</stp>
        <tr r="L20" s="1"/>
      </tp>
      <tp>
        <v>43152.503286296298</v>
        <stp/>
        <stp>DOMData</stp>
        <stp>ENQ</stp>
        <stp>Time</stp>
        <stp>3</stp>
        <tr r="K20" s="1"/>
      </tp>
      <tp>
        <v>43152.503286296298</v>
        <stp/>
        <stp>DOMData</stp>
        <stp>ENQ</stp>
        <stp>Time</stp>
        <stp>2</stp>
        <tr r="J20" s="1"/>
      </tp>
      <tp>
        <v>43152.503286296298</v>
        <stp/>
        <stp>DOMData</stp>
        <stp>ENQ</stp>
        <stp>Time</stp>
        <stp>1</stp>
        <tr r="H20" s="1"/>
      </tp>
      <tp>
        <v>43152.503271527778</v>
        <stp/>
        <stp>DOMData</stp>
        <stp>EU6</stp>
        <stp>Time</stp>
        <stp>4</stp>
        <tr r="Y8" s="1"/>
      </tp>
      <tp>
        <v>43152.503271527778</v>
        <stp/>
        <stp>DOMData</stp>
        <stp>EU6</stp>
        <stp>Time</stp>
        <stp>5</stp>
        <tr r="Z8" s="1"/>
      </tp>
      <tp>
        <v>43152.50327194445</v>
        <stp/>
        <stp>DOMData</stp>
        <stp>EU6</stp>
        <stp>Time</stp>
        <stp>1</stp>
        <tr r="U8" s="1"/>
      </tp>
      <tp>
        <v>43152.50327194445</v>
        <stp/>
        <stp>DOMData</stp>
        <stp>EU6</stp>
        <stp>Time</stp>
        <stp>2</stp>
        <tr r="W8" s="1"/>
      </tp>
      <tp>
        <v>43152.503275000003</v>
        <stp/>
        <stp>DOMData</stp>
        <stp>EU6</stp>
        <stp>Time</stp>
        <stp>3</stp>
        <tr r="X8" s="1"/>
      </tp>
      <tp>
        <v>43152.503246250002</v>
        <stp/>
        <stp>DOMData</stp>
        <stp>GCE</stp>
        <stp>Time</stp>
        <stp>2</stp>
        <tr r="J44" s="1"/>
      </tp>
      <tp>
        <v>43152.503229861111</v>
        <stp/>
        <stp>DOMData</stp>
        <stp>GCE</stp>
        <stp>Time</stp>
        <stp>3</stp>
        <tr r="K44" s="1"/>
      </tp>
      <tp>
        <v>43152.503271527778</v>
        <stp/>
        <stp>DOMData</stp>
        <stp>GCE</stp>
        <stp>Time</stp>
        <stp>1</stp>
        <tr r="H44" s="1"/>
      </tp>
      <tp>
        <v>43152.503133472223</v>
        <stp/>
        <stp>DOMData</stp>
        <stp>GCE</stp>
        <stp>Time</stp>
        <stp>4</stp>
        <tr r="L44" s="1"/>
      </tp>
      <tp>
        <v>43152.503133472223</v>
        <stp/>
        <stp>DOMData</stp>
        <stp>GCE</stp>
        <stp>Time</stp>
        <stp>5</stp>
        <tr r="M44" s="1"/>
      </tp>
      <tp>
        <v>43152.503272592592</v>
        <stp/>
        <stp>DOMData</stp>
        <stp>CLE</stp>
        <stp>Time</stp>
        <stp>5</stp>
        <tr r="M32" s="1"/>
      </tp>
      <tp>
        <v>43152.503272592592</v>
        <stp/>
        <stp>DOMData</stp>
        <stp>CLE</stp>
        <stp>Time</stp>
        <stp>4</stp>
        <tr r="L32" s="1"/>
      </tp>
      <tp>
        <v>43152.503281990743</v>
        <stp/>
        <stp>DOMData</stp>
        <stp>CLE</stp>
        <stp>Time</stp>
        <stp>1</stp>
        <tr r="H32" s="1"/>
      </tp>
      <tp>
        <v>43152.503272592592</v>
        <stp/>
        <stp>DOMData</stp>
        <stp>CLE</stp>
        <stp>Time</stp>
        <stp>3</stp>
        <tr r="K32" s="1"/>
      </tp>
      <tp>
        <v>43152.503277268523</v>
        <stp/>
        <stp>DOMData</stp>
        <stp>CLE</stp>
        <stp>Time</stp>
        <stp>2</stp>
        <tr r="J32" s="1"/>
      </tp>
      <tp>
        <v>43152.503272592592</v>
        <stp/>
        <stp>DOMData</stp>
        <stp>BP6</stp>
        <stp>Time</stp>
        <stp>1</stp>
        <tr r="U20" s="1"/>
      </tp>
      <tp>
        <v>43152.503271527778</v>
        <stp/>
        <stp>DOMData</stp>
        <stp>BP6</stp>
        <stp>Time</stp>
        <stp>3</stp>
        <tr r="X20" s="1"/>
      </tp>
      <tp>
        <v>43152.503287962965</v>
        <stp/>
        <stp>DOMData</stp>
        <stp>BP6</stp>
        <stp>Time</stp>
        <stp>2</stp>
        <tr r="W20" s="1"/>
      </tp>
      <tp>
        <v>43152.503229351852</v>
        <stp/>
        <stp>DOMData</stp>
        <stp>BP6</stp>
        <stp>Time</stp>
        <stp>5</stp>
        <tr r="Z20" s="1"/>
      </tp>
      <tp>
        <v>43152.503249351852</v>
        <stp/>
        <stp>DOMData</stp>
        <stp>BP6</stp>
        <stp>Time</stp>
        <stp>4</stp>
        <tr r="Y20" s="1"/>
      </tp>
      <tp>
        <v>2732.75</v>
        <stp/>
        <stp>DOMData</stp>
        <stp>EP</stp>
        <stp>Price</stp>
        <stp>1</stp>
        <stp>T</stp>
        <tr r="H5" s="1"/>
        <tr r="H15" s="1"/>
        <tr r="I5" s="1"/>
        <tr r="A9" s="1"/>
        <tr r="H6" s="1"/>
      </tp>
      <tp>
        <v>18.5</v>
        <stp/>
        <stp>ContractData</stp>
        <stp>EP</stp>
        <stp>NetLastTradeToday</stp>
        <stp/>
        <stp>T</stp>
        <tr r="G10" s="1"/>
        <tr r="A13" s="1"/>
        <tr r="A7" s="1"/>
      </tp>
      <tp>
        <v>1331.4</v>
        <stp/>
        <stp>StudyData</stp>
        <stp>GCE</stp>
        <stp>TFlow</stp>
        <stp>AggregateBy=TFlowSimpleAggregation, Aggregation=1</stp>
        <stp>High</stp>
        <stp/>
        <stp>0</stp>
        <stp/>
        <stp/>
        <stp/>
        <stp/>
        <stp>T</stp>
        <tr r="K49" s="1"/>
      </tp>
      <tp>
        <v>61.53</v>
        <stp/>
        <stp>StudyData</stp>
        <stp>CLE</stp>
        <stp>TFlow</stp>
        <stp>AggregateBy=TFlowSimpleAggregation, Aggregation=1</stp>
        <stp>High</stp>
        <stp/>
        <stp>0</stp>
        <stp/>
        <stp/>
        <stp/>
        <stp/>
        <stp>T</stp>
        <tr r="K37" s="1"/>
      </tp>
      <tp>
        <v>43152.503229861111</v>
        <stp/>
        <stp>DOMData</stp>
        <stp>GCE</stp>
        <stp>Time</stp>
        <stp>-5</stp>
        <tr r="B44" s="1"/>
      </tp>
      <tp>
        <v>43152.503271527778</v>
        <stp/>
        <stp>DOMData</stp>
        <stp>GCE</stp>
        <stp>Time</stp>
        <stp>-4</stp>
        <tr r="C44" s="1"/>
      </tp>
      <tp>
        <v>43152.503284259263</v>
        <stp/>
        <stp>DOMData</stp>
        <stp>GCE</stp>
        <stp>Time</stp>
        <stp>-1</stp>
        <tr r="F44" s="1"/>
      </tp>
      <tp>
        <v>43152.503229861111</v>
        <stp/>
        <stp>DOMData</stp>
        <stp>GCE</stp>
        <stp>Time</stp>
        <stp>-3</stp>
        <tr r="D44" s="1"/>
      </tp>
      <tp>
        <v>43152.503242824074</v>
        <stp/>
        <stp>DOMData</stp>
        <stp>GCE</stp>
        <stp>Time</stp>
        <stp>-2</stp>
        <tr r="E44" s="1"/>
      </tp>
      <tp>
        <v>70043</v>
        <stp/>
        <stp>StudyData</stp>
        <stp>FPVol(FootprintOp (TYA, 0),120.453125)</stp>
        <stp>Bar</stp>
        <stp/>
        <stp>Close</stp>
        <stp>D</stp>
        <stp>0</stp>
        <stp>all</stp>
        <stp/>
        <stp/>
        <stp/>
        <stp>T</stp>
        <tr r="V37" s="1"/>
      </tp>
      <tp>
        <v>2733.25</v>
        <stp/>
        <stp>DOMData</stp>
        <stp>EP</stp>
        <stp>Price</stp>
        <stp>3</stp>
        <stp>T</stp>
        <tr r="K5" s="1"/>
        <tr r="K15" s="1"/>
      </tp>
      <tp>
        <v>86469</v>
        <stp/>
        <stp>StudyData</stp>
        <stp>FPVol(FootprintOp (TYA, 0),120.515625)</stp>
        <stp>Bar</stp>
        <stp/>
        <stp>Close</stp>
        <stp>D</stp>
        <stp>0</stp>
        <stp>all</stp>
        <stp/>
        <stp/>
        <stp/>
        <stp>T</stp>
        <tr r="Y33" s="1"/>
        <tr r="Y33" s="1"/>
      </tp>
      <tp>
        <v>43152.503268564818</v>
        <stp/>
        <stp>DOMData</stp>
        <stp>EU6</stp>
        <stp>Time</stp>
        <stp>-4</stp>
        <tr r="P8" s="1"/>
      </tp>
      <tp>
        <v>43152.503268564818</v>
        <stp/>
        <stp>DOMData</stp>
        <stp>EU6</stp>
        <stp>Time</stp>
        <stp>-5</stp>
        <tr r="O8" s="1"/>
      </tp>
      <tp>
        <v>43152.503268564818</v>
        <stp/>
        <stp>DOMData</stp>
        <stp>EU6</stp>
        <stp>Time</stp>
        <stp>-2</stp>
        <tr r="R8" s="1"/>
      </tp>
      <tp>
        <v>43152.503273194445</v>
        <stp/>
        <stp>DOMData</stp>
        <stp>EU6</stp>
        <stp>Time</stp>
        <stp>-3</stp>
        <tr r="Q8" s="1"/>
      </tp>
      <tp>
        <v>43152.50327194445</v>
        <stp/>
        <stp>DOMData</stp>
        <stp>EU6</stp>
        <stp>Time</stp>
        <stp>-1</stp>
        <tr r="S8" s="1"/>
      </tp>
      <tp>
        <v>43152.50328592593</v>
        <stp/>
        <stp>DOMData</stp>
        <stp>ENQ</stp>
        <stp>Time</stp>
        <stp>-1</stp>
        <tr r="F20" s="1"/>
      </tp>
      <tp>
        <v>43152.50328592593</v>
        <stp/>
        <stp>DOMData</stp>
        <stp>ENQ</stp>
        <stp>Time</stp>
        <stp>-3</stp>
        <tr r="D20" s="1"/>
      </tp>
      <tp>
        <v>43152.503287222222</v>
        <stp/>
        <stp>DOMData</stp>
        <stp>ENQ</stp>
        <stp>Time</stp>
        <stp>-2</stp>
        <tr r="E20" s="1"/>
      </tp>
      <tp>
        <v>43152.50328592593</v>
        <stp/>
        <stp>DOMData</stp>
        <stp>ENQ</stp>
        <stp>Time</stp>
        <stp>-5</stp>
        <tr r="B20" s="1"/>
      </tp>
      <tp>
        <v>43152.503286296298</v>
        <stp/>
        <stp>DOMData</stp>
        <stp>ENQ</stp>
        <stp>Time</stp>
        <stp>-4</stp>
        <tr r="C20" s="1"/>
      </tp>
      <tp>
        <v>2733</v>
        <stp/>
        <stp>DOMData</stp>
        <stp>EP</stp>
        <stp>Price</stp>
        <stp>2</stp>
        <stp>T</stp>
        <tr r="J5" s="1"/>
        <tr r="J15" s="1"/>
      </tp>
      <tp>
        <v>43152.503229351852</v>
        <stp/>
        <stp>DOMData</stp>
        <stp>BP6</stp>
        <stp>Time</stp>
        <stp>-4</stp>
        <tr r="P20" s="1"/>
      </tp>
      <tp>
        <v>43152.503229351852</v>
        <stp/>
        <stp>DOMData</stp>
        <stp>BP6</stp>
        <stp>Time</stp>
        <stp>-5</stp>
        <tr r="O20" s="1"/>
      </tp>
      <tp>
        <v>43152.503229351852</v>
        <stp/>
        <stp>DOMData</stp>
        <stp>BP6</stp>
        <stp>Time</stp>
        <stp>-2</stp>
        <tr r="R20" s="1"/>
      </tp>
      <tp>
        <v>43152.503229351852</v>
        <stp/>
        <stp>DOMData</stp>
        <stp>BP6</stp>
        <stp>Time</stp>
        <stp>-3</stp>
        <tr r="Q20" s="1"/>
      </tp>
      <tp>
        <v>43152.503229861111</v>
        <stp/>
        <stp>DOMData</stp>
        <stp>BP6</stp>
        <stp>Time</stp>
        <stp>-1</stp>
        <tr r="S20" s="1"/>
      </tp>
      <tp>
        <v>2733.75</v>
        <stp/>
        <stp>DOMData</stp>
        <stp>EP</stp>
        <stp>Price</stp>
        <stp>5</stp>
        <stp>T</stp>
        <tr r="M5" s="1"/>
        <tr r="M15" s="1"/>
      </tp>
      <tp>
        <v>120.46875</v>
        <stp/>
        <stp>StudyData</stp>
        <stp>TYA</stp>
        <stp>TFlow</stp>
        <stp>AggregateBy=TFlowSimpleAggregation, Aggregation=1</stp>
        <stp>High</stp>
        <stp/>
        <stp>0</stp>
        <stp/>
        <stp/>
        <stp/>
        <stp/>
        <stp>T</stp>
        <tr r="X37" s="1"/>
        <tr r="X37" s="1"/>
      </tp>
      <tp t="s">
        <v/>
        <stp/>
        <stp>StudyData</stp>
        <stp>FPVol(FootprintOp (TYA, 0),120.390625)</stp>
        <stp>Bar</stp>
        <stp/>
        <stp>Close</stp>
        <stp>D</stp>
        <stp>0</stp>
        <stp>all</stp>
        <stp/>
        <stp/>
        <stp/>
        <stp>T</stp>
        <tr r="O33" s="1"/>
        <tr r="O33" s="1"/>
      </tp>
      <tp>
        <v>43152.503267083332</v>
        <stp/>
        <stp>DOMData</stp>
        <stp>CLE</stp>
        <stp>Time</stp>
        <stp>-5</stp>
        <tr r="B32" s="1"/>
      </tp>
      <tp>
        <v>43152.503275000003</v>
        <stp/>
        <stp>DOMData</stp>
        <stp>CLE</stp>
        <stp>Time</stp>
        <stp>-4</stp>
        <tr r="C32" s="1"/>
      </tp>
      <tp>
        <v>43152.503283333332</v>
        <stp/>
        <stp>DOMData</stp>
        <stp>CLE</stp>
        <stp>Time</stp>
        <stp>-1</stp>
        <tr r="F32" s="1"/>
      </tp>
      <tp>
        <v>43152.50328592593</v>
        <stp/>
        <stp>DOMData</stp>
        <stp>CLE</stp>
        <stp>Time</stp>
        <stp>-3</stp>
        <tr r="D32" s="1"/>
      </tp>
      <tp>
        <v>43152.503281990743</v>
        <stp/>
        <stp>DOMData</stp>
        <stp>CLE</stp>
        <stp>Time</stp>
        <stp>-2</stp>
        <tr r="E32" s="1"/>
      </tp>
      <tp>
        <v>2733.5</v>
        <stp/>
        <stp>DOMData</stp>
        <stp>EP</stp>
        <stp>Price</stp>
        <stp>4</stp>
        <stp>T</stp>
        <tr r="L5" s="1"/>
        <tr r="L15" s="1"/>
      </tp>
      <tp>
        <v>1.2346000000000001</v>
        <stp/>
        <stp>ContractData</stp>
        <stp>EU6</stp>
        <stp>LastTradeToday</stp>
        <stp/>
        <stp>T</stp>
        <tr r="S13" s="1"/>
        <tr r="R10" s="1"/>
        <tr r="T15" s="1"/>
      </tp>
      <tp>
        <v>1.3979000000000001</v>
        <stp/>
        <stp>ContractData</stp>
        <stp>BP6</stp>
        <stp>LastTradeToday</stp>
        <stp/>
        <stp>T</stp>
        <tr r="R22" s="1"/>
        <tr r="S25" s="1"/>
        <tr r="T27" s="1"/>
      </tp>
      <tp>
        <v>4867</v>
        <stp/>
        <stp>StudyData</stp>
        <stp>FPVol(FootprintOp (TYA, 0),120.421875)</stp>
        <stp>Bar</stp>
        <stp/>
        <stp>Close</stp>
        <stp>D</stp>
        <stp>0</stp>
        <stp>all</stp>
        <stp/>
        <stp/>
        <stp/>
        <stp>T</stp>
        <tr r="Q33" s="1"/>
        <tr r="Q33" s="1"/>
      </tp>
      <tp>
        <v>129588</v>
        <stp/>
        <stp>StudyData</stp>
        <stp>FPVol(FootprintOp (TYA, 0),120.484375)</stp>
        <stp>Bar</stp>
        <stp/>
        <stp>Close</stp>
        <stp>D</stp>
        <stp>0</stp>
        <stp>all</stp>
        <stp/>
        <stp/>
        <stp/>
        <stp>T</stp>
        <tr r="W33" s="1"/>
        <tr r="W33" s="1"/>
        <tr r="N30" s="1"/>
      </tp>
      <tp>
        <v>128619</v>
        <stp/>
        <stp>StudyData</stp>
        <stp>FPVol(FootprintOp (TYA, 0),120.53125)</stp>
        <stp>Bar</stp>
        <stp/>
        <stp>Close</stp>
        <stp>D</stp>
        <stp>0</stp>
        <stp>all</stp>
        <stp/>
        <stp/>
        <stp/>
        <stp>T</stp>
        <tr r="Z33" s="1"/>
        <tr r="Z33" s="1"/>
      </tp>
      <tp t="s">
        <v/>
        <stp/>
        <stp>StudyData</stp>
        <stp>FPVol(FootprintOp (TYA, 0),120.40625)</stp>
        <stp>Bar</stp>
        <stp/>
        <stp>Close</stp>
        <stp>D</stp>
        <stp>0</stp>
        <stp>all</stp>
        <stp/>
        <stp/>
        <stp/>
        <stp>T</stp>
        <tr r="P33" s="1"/>
        <tr r="P33" s="1"/>
      </tp>
      <tp>
        <v>22</v>
        <stp/>
        <stp>DOMData</stp>
        <stp>ENQ</stp>
        <stp>Volume</stp>
        <stp>-4</stp>
        <tr r="C19" s="1"/>
      </tp>
      <tp>
        <v>17</v>
        <stp/>
        <stp>DOMData</stp>
        <stp>ENQ</stp>
        <stp>Volume</stp>
        <stp>-5</stp>
        <tr r="B19" s="1"/>
      </tp>
      <tp>
        <v>6</v>
        <stp/>
        <stp>DOMData</stp>
        <stp>ENQ</stp>
        <stp>Volume</stp>
        <stp>-2</stp>
        <tr r="E19" s="1"/>
      </tp>
      <tp>
        <v>12</v>
        <stp/>
        <stp>DOMData</stp>
        <stp>ENQ</stp>
        <stp>Volume</stp>
        <stp>-3</stp>
        <tr r="D19" s="1"/>
      </tp>
      <tp>
        <v>3</v>
        <stp/>
        <stp>DOMData</stp>
        <stp>ENQ</stp>
        <stp>Volume</stp>
        <stp>-1</stp>
        <tr r="F19" s="1"/>
      </tp>
      <tp>
        <v>12476</v>
        <stp/>
        <stp>ContractData</stp>
        <stp>DD</stp>
        <stp>High</stp>
        <stp/>
        <stp>T</stp>
        <tr r="X46" s="1"/>
      </tp>
      <tp>
        <v>2737.25</v>
        <stp/>
        <stp>ContractData</stp>
        <stp>EP</stp>
        <stp>High</stp>
        <stp/>
        <stp>T</stp>
        <tr r="K10" s="1"/>
      </tp>
      <tp>
        <v>11</v>
        <stp/>
        <stp>StudyData</stp>
        <stp>(TFlowSimpleAggregation(TFlowOp(GCE, 0, 0), 1))</stp>
        <stp>Vol</stp>
        <stp/>
        <stp>VolBid</stp>
        <stp/>
        <stp/>
        <stp>all</stp>
        <stp/>
        <stp/>
        <stp/>
        <stp>T</stp>
        <tr r="M50" s="1"/>
      </tp>
      <tp>
        <v>5</v>
        <stp/>
        <stp>StudyData</stp>
        <stp>(TFlowSimpleAggregation(TFlowOp(EU6, 0, 0), 1))</stp>
        <stp>Vol</stp>
        <stp/>
        <stp>VolAsk</stp>
        <stp/>
        <stp/>
        <stp>all</stp>
        <stp/>
        <stp/>
        <stp/>
        <stp>T</stp>
        <tr r="Z13" s="1"/>
      </tp>
      <tp>
        <v>0</v>
        <stp/>
        <stp>StudyData</stp>
        <stp>(TFlowSimpleAggregation(TFlowOp(ENQ, 0, 0), 1))</stp>
        <stp>Vol</stp>
        <stp/>
        <stp>VolAsk</stp>
        <stp/>
        <stp/>
        <stp>all</stp>
        <stp/>
        <stp/>
        <stp/>
        <stp>T</stp>
        <tr r="M25" s="1"/>
      </tp>
      <tp>
        <v>0</v>
        <stp/>
        <stp>StudyData</stp>
        <stp>(TFlowSimpleAggregation(TFlowOp(ENQ, 0, 0), 1))</stp>
        <stp>Vol</stp>
        <stp/>
        <stp>VolBid</stp>
        <stp/>
        <stp/>
        <stp>all</stp>
        <stp/>
        <stp/>
        <stp/>
        <stp>T</stp>
        <tr r="M26" s="1"/>
      </tp>
      <tp>
        <v>7</v>
        <stp/>
        <stp>StudyData</stp>
        <stp>(TFlowSimpleAggregation(TFlowOp(EU6, 0, 0), 1))</stp>
        <stp>Vol</stp>
        <stp/>
        <stp>VolBid</stp>
        <stp/>
        <stp/>
        <stp>all</stp>
        <stp/>
        <stp/>
        <stp/>
        <stp>T</stp>
        <tr r="Z14" s="1"/>
      </tp>
      <tp>
        <v>8</v>
        <stp/>
        <stp>StudyData</stp>
        <stp>(TFlowSimpleAggregation(TFlowOp(GCE, 0, 0), 1))</stp>
        <stp>Vol</stp>
        <stp/>
        <stp>VolAsk</stp>
        <stp/>
        <stp/>
        <stp>all</stp>
        <stp/>
        <stp/>
        <stp/>
        <stp>T</stp>
        <tr r="M49" s="1"/>
      </tp>
      <tp>
        <v>8</v>
        <stp/>
        <stp>StudyData</stp>
        <stp>(TFlowSimpleAggregation(TFlowOp(CLE, 0, 0), 1))</stp>
        <stp>Vol</stp>
        <stp/>
        <stp>VolBid</stp>
        <stp/>
        <stp/>
        <stp>all</stp>
        <stp/>
        <stp/>
        <stp/>
        <stp>T</stp>
        <tr r="M38" s="1"/>
      </tp>
      <tp>
        <v>1</v>
        <stp/>
        <stp>StudyData</stp>
        <stp>(TFlowSimpleAggregation(TFlowOp(BP6, 0, 0), 1))</stp>
        <stp>Vol</stp>
        <stp/>
        <stp>VolBid</stp>
        <stp/>
        <stp/>
        <stp>all</stp>
        <stp/>
        <stp/>
        <stp/>
        <stp>T</stp>
        <tr r="Z26" s="1"/>
      </tp>
      <tp>
        <v>0</v>
        <stp/>
        <stp>StudyData</stp>
        <stp>(TFlowSimpleAggregation(TFlowOp(BP6, 0, 0), 1))</stp>
        <stp>Vol</stp>
        <stp/>
        <stp>VolAsk</stp>
        <stp/>
        <stp/>
        <stp>all</stp>
        <stp/>
        <stp/>
        <stp/>
        <stp>T</stp>
        <tr r="Z25" s="1"/>
      </tp>
      <tp>
        <v>6</v>
        <stp/>
        <stp>StudyData</stp>
        <stp>(TFlowSimpleAggregation(TFlowOp(CLE, 0, 0), 1))</stp>
        <stp>Vol</stp>
        <stp/>
        <stp>VolAsk</stp>
        <stp/>
        <stp/>
        <stp>all</stp>
        <stp/>
        <stp/>
        <stp/>
        <stp>T</stp>
        <tr r="M37" s="1"/>
      </tp>
      <tp>
        <v>43</v>
        <stp/>
        <stp>StudyData</stp>
        <stp>(TFlowSimpleAggregation(TFlowOp(TYA, 0, 0), 1))</stp>
        <stp>Vol</stp>
        <stp/>
        <stp>VolAsk</stp>
        <stp/>
        <stp/>
        <stp>all</stp>
        <stp/>
        <stp/>
        <stp/>
        <stp>T</stp>
        <tr r="Z37" s="1"/>
      </tp>
      <tp>
        <v>168</v>
        <stp/>
        <stp>StudyData</stp>
        <stp>(TFlowSimpleAggregation(TFlowOp(TYA, 0, 0), 1))</stp>
        <stp>Vol</stp>
        <stp/>
        <stp>VolBid</stp>
        <stp/>
        <stp/>
        <stp>all</stp>
        <stp/>
        <stp/>
        <stp/>
        <stp>T</stp>
        <tr r="Z38" s="1"/>
      </tp>
      <tp t="s">
        <v>F.US.CLEJ18</v>
        <stp/>
        <stp>ContractData</stp>
        <stp>CLE</stp>
        <stp>LongSymbol</stp>
        <stp/>
        <stp>T</stp>
        <tr r="C34" s="1"/>
      </tp>
      <tp t="s">
        <v>F.US.GCEJ18</v>
        <stp/>
        <stp>ContractData</stp>
        <stp>GCE</stp>
        <stp>LongSymbol</stp>
        <stp/>
        <stp>T</stp>
        <tr r="C46" s="1"/>
      </tp>
      <tp>
        <v>2714.5</v>
        <stp/>
        <stp>ContractData</stp>
        <stp>EP</stp>
        <stp>Open</stp>
        <stp/>
        <stp>T</stp>
        <tr r="I10" s="1"/>
      </tp>
      <tp>
        <v>12436</v>
        <stp/>
        <stp>ContractData</stp>
        <stp>DD</stp>
        <stp>Open</stp>
        <stp/>
        <stp>T</stp>
        <tr r="V46" s="1"/>
      </tp>
      <tp>
        <v>12452</v>
        <stp/>
        <stp>StudyData</stp>
        <stp>DD</stp>
        <stp>TFlow</stp>
        <stp>AggregateBy=TFlowSimpleAggregation, Aggregation=1</stp>
        <stp>Low</stp>
        <stp/>
        <stp>0</stp>
        <stp/>
        <stp/>
        <stp/>
        <stp/>
        <stp>T</stp>
        <tr r="X50" s="1"/>
      </tp>
      <tp t="s">
        <v>F.US.TYAH18</v>
        <stp/>
        <stp>ContractData</stp>
        <stp>TYA</stp>
        <stp>LongSymbol</stp>
        <stp/>
        <stp>T</stp>
        <tr r="P34" s="1"/>
      </tp>
      <tp>
        <v>1.5625E-2</v>
        <stp/>
        <stp>ContractData</stp>
        <stp>TYA</stp>
        <stp>TickSize</stp>
        <stp/>
        <stp>T</stp>
        <tr r="N35" s="1"/>
      </tp>
      <tp>
        <v>2732.5</v>
        <stp/>
        <stp>StudyData</stp>
        <stp>EP</stp>
        <stp>TFlow</stp>
        <stp>AggregateBy=TFlowSimpleAggregation, Aggregation=1</stp>
        <stp>Low</stp>
        <stp/>
        <stp>0</stp>
        <stp/>
        <stp/>
        <stp/>
        <stp/>
        <stp>T</stp>
        <tr r="K14" s="1"/>
      </tp>
      <tp t="s">
        <v>120'14.5</v>
        <stp/>
        <stp>ContractData</stp>
        <stp>TYA</stp>
        <stp>LastTradeToday</stp>
        <stp/>
        <stp>B</stp>
        <tr r="S37" s="1"/>
        <tr r="R34" s="1"/>
      </tp>
      <tp>
        <v>120.453125</v>
        <stp/>
        <stp>ContractData</stp>
        <stp>TYA</stp>
        <stp>LastTradeToday</stp>
        <stp/>
        <stp>T</stp>
        <tr r="T39" s="1"/>
      </tp>
      <tp>
        <v>2435</v>
        <stp/>
        <stp>StudyData</stp>
        <stp>FPVol(FootprintOp (EU6, 0),1.23435)</stp>
        <stp>Bar</stp>
        <stp/>
        <stp>Close</stp>
        <stp>D</stp>
        <stp>0</stp>
        <stp>all</stp>
        <stp/>
        <stp/>
        <stp/>
        <stp>T</stp>
        <tr r="O9" s="1"/>
        <tr r="O9" s="1"/>
      </tp>
      <tp>
        <v>2</v>
        <stp/>
        <stp>ContractData</stp>
        <stp>DD</stp>
        <stp>MT_LastAskVolume</stp>
        <stp/>
        <stp>T</stp>
        <tr r="R49" s="1"/>
      </tp>
      <tp>
        <v>119</v>
        <stp/>
        <stp>ContractData</stp>
        <stp>EP</stp>
        <stp>MT_LastAskVolume</stp>
        <stp/>
        <stp>T</stp>
        <tr r="E13" s="1"/>
      </tp>
      <tp>
        <v>1.23465</v>
        <stp/>
        <stp>StudyData</stp>
        <stp>EU6</stp>
        <stp>TFlow</stp>
        <stp>AggregateBy=TFlowSimpleAggregation, Aggregation=1</stp>
        <stp>High</stp>
        <stp/>
        <stp>0</stp>
        <stp/>
        <stp/>
        <stp/>
        <stp/>
        <stp>T</stp>
        <tr r="X13" s="1"/>
      </tp>
      <tp>
        <v>1.3979999999999999</v>
        <stp/>
        <stp>StudyData</stp>
        <stp>BP6</stp>
        <stp>TFlow</stp>
        <stp>AggregateBy=TFlowSimpleAggregation, Aggregation=1</stp>
        <stp>High</stp>
        <stp/>
        <stp>0</stp>
        <stp/>
        <stp/>
        <stp/>
        <stp/>
        <stp>T</stp>
        <tr r="X25" s="1"/>
      </tp>
      <tp>
        <v>1331.3000000000002</v>
        <stp/>
        <stp>ContractData</stp>
        <stp>GCE</stp>
        <stp>LastTradeToday</stp>
        <stp/>
        <stp>T</stp>
        <tr r="F49" s="1"/>
        <tr r="E46" s="1"/>
        <tr r="G51" s="1"/>
      </tp>
      <tp>
        <v>61.52</v>
        <stp/>
        <stp>ContractData</stp>
        <stp>CLE</stp>
        <stp>LastTradeToday</stp>
        <stp/>
        <stp>T</stp>
        <tr r="E34" s="1"/>
        <tr r="F37" s="1"/>
        <tr r="G39" s="1"/>
      </tp>
      <tp>
        <v>2590</v>
        <stp/>
        <stp>StudyData</stp>
        <stp>FPVol(FootprintOp (EU6, 0),1.23475)</stp>
        <stp>Bar</stp>
        <stp/>
        <stp>Close</stp>
        <stp>D</stp>
        <stp>0</stp>
        <stp>all</stp>
        <stp/>
        <stp/>
        <stp/>
        <stp>T</stp>
        <tr r="X9" s="1"/>
        <tr r="X9" s="1"/>
      </tp>
      <tp>
        <v>3665</v>
        <stp/>
        <stp>StudyData</stp>
        <stp>FPVol(FootprintOp (EU6, 0),1.23465)</stp>
        <stp>Bar</stp>
        <stp/>
        <stp>Close</stp>
        <stp>D</stp>
        <stp>0</stp>
        <stp>all</stp>
        <stp/>
        <stp/>
        <stp/>
        <stp>T</stp>
        <tr r="U9" s="1"/>
        <tr r="U9" s="1"/>
        <tr r="N6" s="1"/>
      </tp>
      <tp>
        <v>2597</v>
        <stp/>
        <stp>StudyData</stp>
        <stp>FPVol(FootprintOp (EU6, 0),1.23455)</stp>
        <stp>Bar</stp>
        <stp/>
        <stp>Close</stp>
        <stp>D</stp>
        <stp>0</stp>
        <stp>all</stp>
        <stp/>
        <stp/>
        <stp/>
        <stp>T</stp>
        <tr r="S9" s="1"/>
        <tr r="S9" s="1"/>
      </tp>
      <tp>
        <v>2434</v>
        <stp/>
        <stp>StudyData</stp>
        <stp>FPVol(FootprintOp (EU6, 0),1.23445)</stp>
        <stp>Bar</stp>
        <stp/>
        <stp>Close</stp>
        <stp>D</stp>
        <stp>0</stp>
        <stp>all</stp>
        <stp/>
        <stp/>
        <stp/>
        <stp>T</stp>
        <tr r="Q9" s="1"/>
        <tr r="Q9" s="1"/>
      </tp>
      <tp>
        <v>2310</v>
        <stp/>
        <stp>StudyData</stp>
        <stp>FPVol(FootprintOp (ENQ, 0),6837.75)</stp>
        <stp>Bar</stp>
        <stp/>
        <stp>Close</stp>
        <stp>D</stp>
        <stp>0</stp>
        <stp>all</stp>
        <stp/>
        <stp/>
        <stp/>
        <stp>T</stp>
        <tr r="F21" s="1"/>
        <tr r="F21" s="1"/>
      </tp>
      <tp>
        <v>1970</v>
        <stp/>
        <stp>StudyData</stp>
        <stp>FPVol(FootprintOp (ENQ, 0),6836.75)</stp>
        <stp>Bar</stp>
        <stp/>
        <stp>Close</stp>
        <stp>D</stp>
        <stp>0</stp>
        <stp>all</stp>
        <stp/>
        <stp/>
        <stp/>
        <stp>T</stp>
        <tr r="B21" s="1"/>
        <tr r="B21" s="1"/>
      </tp>
      <tp>
        <v>1666</v>
        <stp/>
        <stp>StudyData</stp>
        <stp>FPVol(FootprintOp (ENQ, 0),6838.75)</stp>
        <stp>Bar</stp>
        <stp/>
        <stp>Close</stp>
        <stp>D</stp>
        <stp>0</stp>
        <stp>all</stp>
        <stp/>
        <stp/>
        <stp/>
        <stp>T</stp>
        <tr r="K21" s="1"/>
        <tr r="K21" s="1"/>
      </tp>
      <tp t="s">
        <v>F.US.BP6H18</v>
        <stp/>
        <stp>ContractData</stp>
        <stp>BP6</stp>
        <stp>LongSymbol</stp>
        <stp/>
        <stp>T</stp>
        <tr r="P22" s="1"/>
      </tp>
      <tp t="s">
        <v>F.US.EU6H18</v>
        <stp/>
        <stp>ContractData</stp>
        <stp>EU6</stp>
        <stp>LongSymbol</stp>
        <stp/>
        <stp>T</stp>
        <tr r="P10" s="1"/>
      </tp>
      <tp>
        <v>3439</v>
        <stp/>
        <stp>StudyData</stp>
        <stp>FPVol(FootprintOp (GCE, 0),1331.30)</stp>
        <stp>Bar</stp>
        <stp/>
        <stp>Close</stp>
        <stp>D</stp>
        <stp>0</stp>
        <stp>all</stp>
        <stp/>
        <stp/>
        <stp/>
        <stp>T</stp>
        <tr r="F45" s="1"/>
        <tr r="F45" s="1"/>
      </tp>
      <tp>
        <v>2315</v>
        <stp/>
        <stp>StudyData</stp>
        <stp>FPVol(FootprintOp (EU6, 0),1.23485)</stp>
        <stp>Bar</stp>
        <stp/>
        <stp>Close</stp>
        <stp>D</stp>
        <stp>0</stp>
        <stp>all</stp>
        <stp/>
        <stp/>
        <stp/>
        <stp>T</stp>
        <tr r="Z9" s="1"/>
        <tr r="Z9" s="1"/>
      </tp>
      <tp>
        <v>2084</v>
        <stp/>
        <stp>StudyData</stp>
        <stp>FPVol(FootprintOp (ENQ, 0),6837.25)</stp>
        <stp>Bar</stp>
        <stp/>
        <stp>Close</stp>
        <stp>D</stp>
        <stp>0</stp>
        <stp>all</stp>
        <stp/>
        <stp/>
        <stp/>
        <stp>T</stp>
        <tr r="D21" s="1"/>
        <tr r="D21" s="1"/>
      </tp>
      <tp>
        <v>1580</v>
        <stp/>
        <stp>StudyData</stp>
        <stp>FPVol(FootprintOp (ENQ, 0),6839.25)</stp>
        <stp>Bar</stp>
        <stp/>
        <stp>Close</stp>
        <stp>D</stp>
        <stp>0</stp>
        <stp>all</stp>
        <stp/>
        <stp/>
        <stp/>
        <stp>T</stp>
        <tr r="M21" s="1"/>
        <tr r="M21" s="1"/>
      </tp>
      <tp>
        <v>1939</v>
        <stp/>
        <stp>StudyData</stp>
        <stp>FPVol(FootprintOp (ENQ, 0),6838.25)</stp>
        <stp>Bar</stp>
        <stp/>
        <stp>Close</stp>
        <stp>D</stp>
        <stp>0</stp>
        <stp>all</stp>
        <stp/>
        <stp/>
        <stp/>
        <stp>T</stp>
        <tr r="H21" s="1"/>
        <tr r="H21" s="1"/>
      </tp>
      <tp>
        <v>3539</v>
        <stp/>
        <stp>StudyData</stp>
        <stp>FPVol(FootprintOp (GCE, 0),1331.40)</stp>
        <stp>Bar</stp>
        <stp/>
        <stp>Close</stp>
        <stp>D</stp>
        <stp>0</stp>
        <stp>all</stp>
        <stp/>
        <stp/>
        <stp/>
        <stp>T</stp>
        <tr r="H45" s="1"/>
        <tr r="H45" s="1"/>
      </tp>
      <tp>
        <v>4931</v>
        <stp/>
        <stp>StudyData</stp>
        <stp>FPVol(FootprintOp (GCE, 0),1331)</stp>
        <stp>Bar</stp>
        <stp/>
        <stp>Close</stp>
        <stp>D</stp>
        <stp>0</stp>
        <stp>all</stp>
        <stp/>
        <stp/>
        <stp/>
        <stp>T</stp>
        <tr r="C45" s="1"/>
        <tr r="C45" s="1"/>
      </tp>
      <tp>
        <v>6838</v>
        <stp/>
        <stp>ContractData</stp>
        <stp>ENQ</stp>
        <stp>LastTradeToday</stp>
        <stp/>
        <stp>T</stp>
        <tr r="F25" s="1"/>
        <tr r="E22" s="1"/>
        <tr r="G27" s="1"/>
      </tp>
      <tp>
        <v>12451</v>
        <stp/>
        <stp>DOMData</stp>
        <stp>DD</stp>
        <stp>Price</stp>
        <stp>-3</stp>
        <stp>T</stp>
        <tr r="Q41" s="1"/>
        <tr r="Q51" s="1"/>
      </tp>
      <tp>
        <v>2732</v>
        <stp/>
        <stp>DOMData</stp>
        <stp>EP</stp>
        <stp>Price</stp>
        <stp>-3</stp>
        <stp>T</stp>
        <tr r="D5" s="1"/>
        <tr r="D15" s="1"/>
      </tp>
      <tp>
        <v>506</v>
        <stp/>
        <stp>StudyData</stp>
        <stp>FPVol(FootprintOp (DD, 0),12452.00)</stp>
        <stp>Bar</stp>
        <stp/>
        <stp>Close</stp>
        <stp>D</stp>
        <stp>0</stp>
        <stp>all</stp>
        <stp/>
        <stp/>
        <stp/>
        <stp>T</stp>
        <tr r="S45" s="1"/>
        <tr r="S45" s="1"/>
      </tp>
      <tp>
        <v>6642</v>
        <stp/>
        <stp>StudyData</stp>
        <stp>FPVol(FootprintOp (CLE, 0),61.5)</stp>
        <stp>Bar</stp>
        <stp/>
        <stp>Close</stp>
        <stp>D</stp>
        <stp>0</stp>
        <stp>all</stp>
        <stp/>
        <stp/>
        <stp/>
        <stp>T</stp>
        <tr r="D33" s="1"/>
        <tr r="D33" s="1"/>
      </tp>
      <tp>
        <v>12451.5</v>
        <stp/>
        <stp>DOMData</stp>
        <stp>DD</stp>
        <stp>Price</stp>
        <stp>-2</stp>
        <stp>T</stp>
        <tr r="R41" s="1"/>
        <tr r="R51" s="1"/>
      </tp>
      <tp>
        <v>2732.25</v>
        <stp/>
        <stp>DOMData</stp>
        <stp>EP</stp>
        <stp>Price</stp>
        <stp>-2</stp>
        <stp>T</stp>
        <tr r="E5" s="1"/>
        <tr r="E15" s="1"/>
      </tp>
      <tp>
        <v>12452</v>
        <stp/>
        <stp>DOMData</stp>
        <stp>DD</stp>
        <stp>Price</stp>
        <stp>-1</stp>
        <stp>T</stp>
        <tr r="T41" s="1"/>
        <tr r="S41" s="1"/>
        <tr r="S51" s="1"/>
        <tr r="N46" s="1"/>
        <tr r="S42" s="1"/>
      </tp>
      <tp>
        <v>2732.5</v>
        <stp/>
        <stp>DOMData</stp>
        <stp>EP</stp>
        <stp>Price</stp>
        <stp>-1</stp>
        <stp>T</stp>
        <tr r="F5" s="1"/>
        <tr r="F15" s="1"/>
        <tr r="G5" s="1"/>
        <tr r="A10" s="1"/>
        <tr r="F6" s="1"/>
      </tp>
      <tp>
        <v>354</v>
        <stp/>
        <stp>StudyData</stp>
        <stp>FPVol(FootprintOp (DD, 0),12452.50)</stp>
        <stp>Bar</stp>
        <stp/>
        <stp>Close</stp>
        <stp>D</stp>
        <stp>0</stp>
        <stp>all</stp>
        <stp/>
        <stp/>
        <stp/>
        <stp>T</stp>
        <tr r="U45" s="1"/>
        <tr r="U45" s="1"/>
      </tp>
      <tp>
        <v>89758</v>
        <stp/>
        <stp>StudyData</stp>
        <stp>FPVol(FootprintOp (TYA, 0),120.469)</stp>
        <stp>Bar</stp>
        <stp/>
        <stp>Close</stp>
        <stp>D</stp>
        <stp>0</stp>
        <stp>all</stp>
        <stp/>
        <stp/>
        <stp/>
        <stp>T</stp>
        <tr r="U33" s="1"/>
        <tr r="U33" s="1"/>
      </tp>
      <tp>
        <v>43152.503287037041</v>
        <stp/>
        <stp>SystemInfo</stp>
        <stp>Linetime</stp>
        <tr r="W2" s="1"/>
        <tr r="B2" s="1"/>
      </tp>
      <tp>
        <v>70043</v>
        <stp/>
        <stp>StudyData</stp>
        <stp>FPVol(FootprintOp (TYA, 0),120.453)</stp>
        <stp>Bar</stp>
        <stp/>
        <stp>Close</stp>
        <stp>D</stp>
        <stp>0</stp>
        <stp>all</stp>
        <stp/>
        <stp/>
        <stp/>
        <stp>T</stp>
        <tr r="S33" s="1"/>
        <tr r="S33" s="1"/>
      </tp>
      <tp>
        <v>12450</v>
        <stp/>
        <stp>DOMData</stp>
        <stp>DD</stp>
        <stp>Price</stp>
        <stp>-5</stp>
        <stp>T</stp>
        <tr r="O41" s="1"/>
        <tr r="O51" s="1"/>
      </tp>
      <tp>
        <v>2731.5</v>
        <stp/>
        <stp>DOMData</stp>
        <stp>EP</stp>
        <stp>Price</stp>
        <stp>-5</stp>
        <stp>T</stp>
        <tr r="B5" s="1"/>
        <tr r="B15" s="1"/>
      </tp>
      <tp>
        <v>12450.5</v>
        <stp/>
        <stp>DOMData</stp>
        <stp>DD</stp>
        <stp>Price</stp>
        <stp>-4</stp>
        <stp>T</stp>
        <tr r="P41" s="1"/>
        <tr r="P51" s="1"/>
      </tp>
      <tp>
        <v>2731.75</v>
        <stp/>
        <stp>DOMData</stp>
        <stp>EP</stp>
        <stp>Price</stp>
        <stp>-4</stp>
        <stp>T</stp>
        <tr r="C5" s="1"/>
        <tr r="C15" s="1"/>
      </tp>
      <tp>
        <v>2506</v>
        <stp/>
        <stp>StudyData</stp>
        <stp>FPVol(FootprintOp (ENQ, 0),6838)</stp>
        <stp>Bar</stp>
        <stp/>
        <stp>Close</stp>
        <stp>D</stp>
        <stp>0</stp>
        <stp>all</stp>
        <stp/>
        <stp/>
        <stp/>
        <stp>T</stp>
        <tr r="I25" s="1"/>
      </tp>
      <tp>
        <v>1780</v>
        <stp/>
        <stp>StudyData</stp>
        <stp>FPVol(FootprintOp (ENQ, 0),6839)</stp>
        <stp>Bar</stp>
        <stp/>
        <stp>Close</stp>
        <stp>D</stp>
        <stp>0</stp>
        <stp>all</stp>
        <stp/>
        <stp/>
        <stp/>
        <stp>T</stp>
        <tr r="L21" s="1"/>
        <tr r="L21" s="1"/>
      </tp>
      <tp>
        <v>1944</v>
        <stp/>
        <stp>StudyData</stp>
        <stp>FPVol(FootprintOp (ENQ, 0),6837)</stp>
        <stp>Bar</stp>
        <stp/>
        <stp>Close</stp>
        <stp>D</stp>
        <stp>0</stp>
        <stp>all</stp>
        <stp/>
        <stp/>
        <stp/>
        <stp>T</stp>
        <tr r="C21" s="1"/>
        <tr r="C21" s="1"/>
      </tp>
      <tp>
        <v>67</v>
        <stp/>
        <stp>ContractData</stp>
        <stp>EP</stp>
        <stp>MT_LastBidVolume</stp>
        <stp/>
        <stp>T</stp>
        <tr r="E14" s="1"/>
      </tp>
      <tp>
        <v>1</v>
        <stp/>
        <stp>ContractData</stp>
        <stp>DD</stp>
        <stp>MT_LastBidVolume</stp>
        <stp/>
        <stp>T</stp>
        <tr r="R50" s="1"/>
      </tp>
      <tp>
        <v>20</v>
        <stp/>
        <stp>DOMData</stp>
        <stp>BP6</stp>
        <stp>Volume</stp>
        <stp>-1</stp>
        <tr r="S19" s="1"/>
      </tp>
      <tp>
        <v>48</v>
        <stp/>
        <stp>DOMData</stp>
        <stp>BP6</stp>
        <stp>Volume</stp>
        <stp>-3</stp>
        <tr r="Q19" s="1"/>
      </tp>
      <tp>
        <v>42</v>
        <stp/>
        <stp>DOMData</stp>
        <stp>EU6</stp>
        <stp>Volume</stp>
        <stp>-4</stp>
        <tr r="P7" s="1"/>
      </tp>
      <tp>
        <v>51</v>
        <stp/>
        <stp>DOMData</stp>
        <stp>BP6</stp>
        <stp>Volume</stp>
        <stp>-2</stp>
        <tr r="R19" s="1"/>
      </tp>
      <tp>
        <v>33</v>
        <stp/>
        <stp>DOMData</stp>
        <stp>EU6</stp>
        <stp>Volume</stp>
        <stp>-5</stp>
        <tr r="O7" s="1"/>
      </tp>
      <tp>
        <v>85</v>
        <stp/>
        <stp>DOMData</stp>
        <stp>BP6</stp>
        <stp>Volume</stp>
        <stp>-5</stp>
        <tr r="O19" s="1"/>
      </tp>
      <tp>
        <v>40</v>
        <stp/>
        <stp>DOMData</stp>
        <stp>EU6</stp>
        <stp>Volume</stp>
        <stp>-2</stp>
        <tr r="R7" s="1"/>
      </tp>
      <tp>
        <v>66</v>
        <stp/>
        <stp>DOMData</stp>
        <stp>BP6</stp>
        <stp>Volume</stp>
        <stp>-4</stp>
        <tr r="P19" s="1"/>
      </tp>
      <tp>
        <v>35</v>
        <stp/>
        <stp>DOMData</stp>
        <stp>EU6</stp>
        <stp>Volume</stp>
        <stp>-3</stp>
        <tr r="Q7" s="1"/>
      </tp>
      <tp>
        <v>31</v>
        <stp/>
        <stp>DOMData</stp>
        <stp>EU6</stp>
        <stp>Volume</stp>
        <stp>-1</stp>
        <tr r="S7" s="1"/>
      </tp>
      <tp>
        <v>61.63</v>
        <stp/>
        <stp>ContractData</stp>
        <stp>CLE</stp>
        <stp>Open</stp>
        <stp/>
        <stp>T</stp>
        <tr r="I34" s="1"/>
      </tp>
      <tp>
        <v>1.23645</v>
        <stp/>
        <stp>ContractData</stp>
        <stp>EU6</stp>
        <stp>High</stp>
        <stp/>
        <stp>T</stp>
        <tr r="X10" s="1"/>
      </tp>
      <tp>
        <v>1.4011</v>
        <stp/>
        <stp>ContractData</stp>
        <stp>BP6</stp>
        <stp>Open</stp>
        <stp/>
        <stp>T</stp>
        <tr r="V22" s="1"/>
      </tp>
      <tp>
        <v>6862.75</v>
        <stp/>
        <stp>ContractData</stp>
        <stp>ENQ</stp>
        <stp>High</stp>
        <stp/>
        <stp>T</stp>
        <tr r="K22" s="1"/>
      </tp>
      <tp>
        <v>45</v>
        <stp/>
        <stp>DOMData</stp>
        <stp>BP6</stp>
        <stp>Volume</stp>
        <stp>2</stp>
        <tr r="W19" s="1"/>
      </tp>
      <tp>
        <v>66</v>
        <stp/>
        <stp>DOMData</stp>
        <stp>BP6</stp>
        <stp>Volume</stp>
        <stp>3</stp>
        <tr r="X19" s="1"/>
      </tp>
      <tp>
        <v>7</v>
        <stp/>
        <stp>DOMData</stp>
        <stp>BP6</stp>
        <stp>Volume</stp>
        <stp>1</stp>
        <tr r="U19" s="1"/>
      </tp>
      <tp>
        <v>65</v>
        <stp/>
        <stp>DOMData</stp>
        <stp>BP6</stp>
        <stp>Volume</stp>
        <stp>4</stp>
        <tr r="Y19" s="1"/>
      </tp>
      <tp>
        <v>59</v>
        <stp/>
        <stp>DOMData</stp>
        <stp>BP6</stp>
        <stp>Volume</stp>
        <stp>5</stp>
        <tr r="Z19" s="1"/>
      </tp>
      <tp>
        <v>2732.75</v>
        <stp/>
        <stp>StudyData</stp>
        <stp>EP</stp>
        <stp>TFlow</stp>
        <stp>AggregateBy=TFlowSimpleAggregation, Aggregation=1</stp>
        <stp>High</stp>
        <stp/>
        <stp>0</stp>
        <stp/>
        <stp/>
        <stp/>
        <stp/>
        <stp>T</stp>
        <tr r="K13" s="1"/>
      </tp>
      <tp>
        <v>1335.3000000000002</v>
        <stp/>
        <stp>ContractData</stp>
        <stp>GCE</stp>
        <stp>High</stp>
        <stp/>
        <stp>T</stp>
        <tr r="K46" s="1"/>
      </tp>
      <tp>
        <v>43152.503286296298</v>
        <stp/>
        <stp>DOMData</stp>
        <stp>EP</stp>
        <stp>Time</stp>
        <stp>4</stp>
        <tr r="L8" s="1"/>
      </tp>
      <tp>
        <v>43152.503246250002</v>
        <stp/>
        <stp>DOMData</stp>
        <stp>DD</stp>
        <stp>Time</stp>
        <stp>5</stp>
        <tr r="Z44" s="1"/>
      </tp>
      <tp>
        <v>43152.503247962966</v>
        <stp/>
        <stp>DOMData</stp>
        <stp>EP</stp>
        <stp>Time</stp>
        <stp>5</stp>
        <tr r="M8" s="1"/>
      </tp>
      <tp>
        <v>43152.503283333332</v>
        <stp/>
        <stp>DOMData</stp>
        <stp>DD</stp>
        <stp>Time</stp>
        <stp>4</stp>
        <tr r="Y44" s="1"/>
      </tp>
      <tp>
        <v>43152.50328592593</v>
        <stp/>
        <stp>DOMData</stp>
        <stp>DD</stp>
        <stp>Time</stp>
        <stp>1</stp>
        <tr r="U44" s="1"/>
      </tp>
      <tp>
        <v>43152.50328592593</v>
        <stp/>
        <stp>DOMData</stp>
        <stp>EP</stp>
        <stp>Time</stp>
        <stp>1</stp>
        <tr r="H8" s="1"/>
      </tp>
      <tp>
        <v>43152.50328592593</v>
        <stp/>
        <stp>DOMData</stp>
        <stp>EP</stp>
        <stp>Time</stp>
        <stp>2</stp>
        <tr r="J8" s="1"/>
      </tp>
      <tp>
        <v>43152.503264722225</v>
        <stp/>
        <stp>DOMData</stp>
        <stp>DD</stp>
        <stp>Time</stp>
        <stp>3</stp>
        <tr r="X44" s="1"/>
      </tp>
      <tp>
        <v>43152.503262314814</v>
        <stp/>
        <stp>DOMData</stp>
        <stp>EP</stp>
        <stp>Time</stp>
        <stp>3</stp>
        <tr r="K8" s="1"/>
      </tp>
      <tp>
        <v>43152.503276435185</v>
        <stp/>
        <stp>DOMData</stp>
        <stp>DD</stp>
        <stp>Time</stp>
        <stp>2</stp>
        <tr r="W44" s="1"/>
      </tp>
      <tp>
        <v>1331.2</v>
        <stp/>
        <stp>ContractData</stp>
        <stp>GCE</stp>
        <stp>Open</stp>
        <stp/>
        <stp>T</stp>
        <tr r="I46" s="1"/>
      </tp>
      <tp>
        <v>1.4022000000000001</v>
        <stp/>
        <stp>ContractData</stp>
        <stp>BP6</stp>
        <stp>High</stp>
        <stp/>
        <stp>T</stp>
        <tr r="X22" s="1"/>
      </tp>
      <tp>
        <v>6788.25</v>
        <stp/>
        <stp>ContractData</stp>
        <stp>ENQ</stp>
        <stp>Open</stp>
        <stp/>
        <stp>T</stp>
        <tr r="I22" s="1"/>
      </tp>
      <tp>
        <v>1.2354000000000001</v>
        <stp/>
        <stp>ContractData</stp>
        <stp>EU6</stp>
        <stp>Open</stp>
        <stp/>
        <stp>T</stp>
        <tr r="V10" s="1"/>
      </tp>
      <tp>
        <v>33</v>
        <stp/>
        <stp>DOMData</stp>
        <stp>EU6</stp>
        <stp>Volume</stp>
        <stp>2</stp>
        <tr r="W7" s="1"/>
      </tp>
      <tp>
        <v>24</v>
        <stp/>
        <stp>DOMData</stp>
        <stp>EU6</stp>
        <stp>Volume</stp>
        <stp>3</stp>
        <tr r="X7" s="1"/>
      </tp>
      <tp>
        <v>33</v>
        <stp/>
        <stp>DOMData</stp>
        <stp>EU6</stp>
        <stp>Volume</stp>
        <stp>1</stp>
        <tr r="U7" s="1"/>
      </tp>
      <tp>
        <v>39</v>
        <stp/>
        <stp>DOMData</stp>
        <stp>EU6</stp>
        <stp>Volume</stp>
        <stp>4</stp>
        <tr r="Y7" s="1"/>
      </tp>
      <tp>
        <v>37</v>
        <stp/>
        <stp>DOMData</stp>
        <stp>EU6</stp>
        <stp>Volume</stp>
        <stp>5</stp>
        <tr r="Z7" s="1"/>
      </tp>
      <tp>
        <v>61.81</v>
        <stp/>
        <stp>ContractData</stp>
        <stp>CLE</stp>
        <stp>High</stp>
        <stp/>
        <stp>T</stp>
        <tr r="K34" s="1"/>
      </tp>
      <tp>
        <v>1.3980999999999999</v>
        <stp/>
        <stp>DOMData</stp>
        <stp>BP6</stp>
        <stp>Price</stp>
        <stp>2</stp>
        <stp>T</stp>
        <tr r="W17" s="1"/>
        <tr r="W27" s="1"/>
      </tp>
      <tp>
        <v>1.2346999999999999</v>
        <stp/>
        <stp>DOMData</stp>
        <stp>EU6</stp>
        <stp>Price</stp>
        <stp>2</stp>
        <stp>T</stp>
        <tr r="W5" s="1"/>
        <tr r="W15" s="1"/>
      </tp>
      <tp>
        <v>12453</v>
        <stp/>
        <stp>ContractData</stp>
        <stp>DD</stp>
        <stp>LastTradeToday</stp>
        <stp/>
        <stp>T</stp>
        <tr r="S49" s="1"/>
        <tr r="R46" s="1"/>
        <tr r="T51" s="1"/>
      </tp>
      <tp>
        <v>1.3982000000000001</v>
        <stp/>
        <stp>DOMData</stp>
        <stp>BP6</stp>
        <stp>Price</stp>
        <stp>3</stp>
        <stp>T</stp>
        <tr r="X17" s="1"/>
        <tr r="X27" s="1"/>
      </tp>
      <tp>
        <v>1.23475</v>
        <stp/>
        <stp>DOMData</stp>
        <stp>EU6</stp>
        <stp>Price</stp>
        <stp>3</stp>
        <stp>T</stp>
        <tr r="X5" s="1"/>
        <tr r="X15" s="1"/>
      </tp>
      <tp>
        <v>1.3954</v>
        <stp/>
        <stp>StudyData</stp>
        <stp>FPMax(FootprintOp(BP6,0))</stp>
        <stp>Bar</stp>
        <stp/>
        <stp>Close</stp>
        <stp>D</stp>
        <stp>0</stp>
        <stp>all</stp>
        <stp/>
        <stp/>
        <stp/>
        <stp>T</stp>
        <tr r="N17" s="1"/>
        <tr r="N16" s="1"/>
      </tp>
      <tp>
        <v>2511</v>
        <stp/>
        <stp>DOMData</stp>
        <stp>TYA</stp>
        <stp>Volume</stp>
        <stp>2</stp>
        <tr r="W31" s="1"/>
      </tp>
      <tp>
        <v>2527</v>
        <stp/>
        <stp>DOMData</stp>
        <stp>TYA</stp>
        <stp>Volume</stp>
        <stp>3</stp>
        <tr r="X31" s="1"/>
      </tp>
      <tp>
        <v>1238</v>
        <stp/>
        <stp>DOMData</stp>
        <stp>TYA</stp>
        <stp>Volume</stp>
        <stp>1</stp>
        <tr r="U31" s="1"/>
      </tp>
      <tp>
        <v>2416</v>
        <stp/>
        <stp>DOMData</stp>
        <stp>TYA</stp>
        <stp>Volume</stp>
        <stp>4</stp>
        <tr r="Y31" s="1"/>
      </tp>
      <tp>
        <v>2557</v>
        <stp/>
        <stp>DOMData</stp>
        <stp>TYA</stp>
        <stp>Volume</stp>
        <stp>5</stp>
        <tr r="Z31" s="1"/>
      </tp>
      <tp>
        <v>1.3979999999999999</v>
        <stp/>
        <stp>DOMData</stp>
        <stp>BP6</stp>
        <stp>Price</stp>
        <stp>1</stp>
        <stp>T</stp>
        <tr r="V17" s="1"/>
        <tr r="U17" s="1"/>
        <tr r="U27" s="1"/>
        <tr r="N21" s="1"/>
        <tr r="U18" s="1"/>
      </tp>
      <tp>
        <v>1.23465</v>
        <stp/>
        <stp>DOMData</stp>
        <stp>EU6</stp>
        <stp>Price</stp>
        <stp>1</stp>
        <stp>T</stp>
        <tr r="V5" s="1"/>
        <tr r="U5" s="1"/>
        <tr r="U15" s="1"/>
        <tr r="N9" s="1"/>
        <tr r="U6" s="1"/>
      </tp>
      <tp>
        <v>61.47</v>
        <stp/>
        <stp>StudyData</stp>
        <stp>FPMax(FootprintOp(CLE,0))</stp>
        <stp>Bar</stp>
        <stp/>
        <stp>Close</stp>
        <stp>D</stp>
        <stp>0</stp>
        <stp>all</stp>
        <stp/>
        <stp/>
        <stp/>
        <stp>T</stp>
        <tr r="A29" s="1"/>
        <tr r="A28" s="1"/>
      </tp>
      <tp>
        <v>0</v>
        <stp/>
        <stp>StudyData</stp>
        <stp>(TFlowSimpleAggregation(TFlowOp(DD, 0, 0), 1))</stp>
        <stp>Vol</stp>
        <stp/>
        <stp>VolAsk</stp>
        <stp/>
        <stp/>
        <stp>all</stp>
        <stp/>
        <stp/>
        <stp/>
        <stp>T</stp>
        <tr r="Z49" s="1"/>
      </tp>
      <tp>
        <v>2</v>
        <stp/>
        <stp>StudyData</stp>
        <stp>(TFlowSimpleAggregation(TFlowOp(EP, 0, 0), 1))</stp>
        <stp>Vol</stp>
        <stp/>
        <stp>VolAsk</stp>
        <stp/>
        <stp/>
        <stp>all</stp>
        <stp/>
        <stp/>
        <stp/>
        <stp>T</stp>
        <tr r="M13" s="1"/>
      </tp>
      <tp>
        <v>0</v>
        <stp/>
        <stp>StudyData</stp>
        <stp>(TFlowSimpleAggregation(TFlowOp(DD, 0, 0), 1))</stp>
        <stp>Vol</stp>
        <stp/>
        <stp>VolBid</stp>
        <stp/>
        <stp/>
        <stp>all</stp>
        <stp/>
        <stp/>
        <stp/>
        <stp>T</stp>
        <tr r="Z50" s="1"/>
      </tp>
      <tp>
        <v>109</v>
        <stp/>
        <stp>StudyData</stp>
        <stp>(TFlowSimpleAggregation(TFlowOp(EP, 0, 0), 1))</stp>
        <stp>Vol</stp>
        <stp/>
        <stp>VolBid</stp>
        <stp/>
        <stp/>
        <stp>all</stp>
        <stp/>
        <stp/>
        <stp/>
        <stp>T</stp>
        <tr r="M14" s="1"/>
      </tp>
      <tp>
        <v>6837.5</v>
        <stp/>
        <stp>StudyData</stp>
        <stp>FPMax(FootprintOp(ENQ,0))</stp>
        <stp>Bar</stp>
        <stp/>
        <stp>Close</stp>
        <stp>D</stp>
        <stp>0</stp>
        <stp>all</stp>
        <stp/>
        <stp/>
        <stp/>
        <stp>T</stp>
        <tr r="A17" s="1"/>
        <tr r="A16" s="1"/>
      </tp>
      <tp>
        <v>1.23465</v>
        <stp/>
        <stp>StudyData</stp>
        <stp>FPMax(FootprintOp(EU6,0))</stp>
        <stp>Bar</stp>
        <stp/>
        <stp>Close</stp>
        <stp>D</stp>
        <stp>0</stp>
        <stp>all</stp>
        <stp/>
        <stp/>
        <stp/>
        <stp>T</stp>
        <tr r="N5" s="1"/>
        <tr r="N4" s="1"/>
      </tp>
      <tp>
        <v>4</v>
        <stp/>
        <stp>DOMData</stp>
        <stp>DD</stp>
        <stp>Volume</stp>
        <stp>4</stp>
        <tr r="Y43" s="1"/>
      </tp>
      <tp>
        <v>5</v>
        <stp/>
        <stp>DOMData</stp>
        <stp>DD</stp>
        <stp>Volume</stp>
        <stp>5</stp>
        <tr r="Z43" s="1"/>
      </tp>
      <tp>
        <v>3</v>
        <stp/>
        <stp>DOMData</stp>
        <stp>DD</stp>
        <stp>Volume</stp>
        <stp>2</stp>
        <tr r="W43" s="1"/>
      </tp>
      <tp>
        <v>3</v>
        <stp/>
        <stp>DOMData</stp>
        <stp>DD</stp>
        <stp>Volume</stp>
        <stp>3</stp>
        <tr r="X43" s="1"/>
      </tp>
      <tp>
        <v>2</v>
        <stp/>
        <stp>DOMData</stp>
        <stp>DD</stp>
        <stp>Volume</stp>
        <stp>1</stp>
        <tr r="U43" s="1"/>
      </tp>
      <tp>
        <v>1.3983000000000001</v>
        <stp/>
        <stp>DOMData</stp>
        <stp>BP6</stp>
        <stp>Price</stp>
        <stp>4</stp>
        <stp>T</stp>
        <tr r="Y17" s="1"/>
        <tr r="Y27" s="1"/>
      </tp>
      <tp>
        <v>1.2347999999999999</v>
        <stp/>
        <stp>DOMData</stp>
        <stp>EU6</stp>
        <stp>Price</stp>
        <stp>4</stp>
        <stp>T</stp>
        <tr r="Y5" s="1"/>
        <tr r="Y15" s="1"/>
      </tp>
      <tp>
        <v>260</v>
        <stp/>
        <stp>DOMData</stp>
        <stp>EP</stp>
        <stp>Volume</stp>
        <stp>4</stp>
        <tr r="L7" s="1"/>
      </tp>
      <tp>
        <v>253</v>
        <stp/>
        <stp>DOMData</stp>
        <stp>EP</stp>
        <stp>Volume</stp>
        <stp>5</stp>
        <tr r="M7" s="1"/>
      </tp>
      <tp>
        <v>132</v>
        <stp/>
        <stp>DOMData</stp>
        <stp>EP</stp>
        <stp>Volume</stp>
        <stp>2</stp>
        <tr r="J7" s="1"/>
      </tp>
      <tp>
        <v>215</v>
        <stp/>
        <stp>DOMData</stp>
        <stp>EP</stp>
        <stp>Volume</stp>
        <stp>3</stp>
        <tr r="K7" s="1"/>
      </tp>
      <tp>
        <v>119</v>
        <stp/>
        <stp>DOMData</stp>
        <stp>EP</stp>
        <stp>Volume</stp>
        <stp>1</stp>
        <tr r="H7" s="1"/>
      </tp>
      <tp>
        <v>1.3984000000000001</v>
        <stp/>
        <stp>DOMData</stp>
        <stp>BP6</stp>
        <stp>Price</stp>
        <stp>5</stp>
        <stp>T</stp>
        <tr r="Z17" s="1"/>
        <tr r="Z27" s="1"/>
      </tp>
      <tp>
        <v>1.23485</v>
        <stp/>
        <stp>DOMData</stp>
        <stp>EU6</stp>
        <stp>Price</stp>
        <stp>5</stp>
        <stp>T</stp>
        <tr r="Z5" s="1"/>
        <tr r="Z15" s="1"/>
      </tp>
      <tp>
        <v>1330.9</v>
        <stp/>
        <stp>StudyData</stp>
        <stp>FPMax(FootprintOp(GCE,0))</stp>
        <stp>Bar</stp>
        <stp/>
        <stp>Close</stp>
        <stp>D</stp>
        <stp>0</stp>
        <stp>all</stp>
        <stp/>
        <stp/>
        <stp/>
        <stp>T</stp>
        <tr r="A41" s="1"/>
        <tr r="A40" s="1"/>
      </tp>
      <tp t="s">
        <v>120'19.5</v>
        <stp/>
        <stp>ContractData</stp>
        <stp>TYA</stp>
        <stp>High</stp>
        <stp/>
        <stp>B</stp>
        <tr r="X34" s="1"/>
      </tp>
      <tp>
        <v>60.92</v>
        <stp/>
        <stp>ContractData</stp>
        <stp>CLE</stp>
        <stp>Low</stp>
        <stp/>
        <stp>T</stp>
        <tr r="M34" s="1"/>
      </tp>
      <tp>
        <v>1.3916000000000002</v>
        <stp/>
        <stp>ContractData</stp>
        <stp>BP6</stp>
        <stp>Low</stp>
        <stp/>
        <stp>T</stp>
        <tr r="Z22" s="1"/>
      </tp>
      <tp>
        <v>6774.75</v>
        <stp/>
        <stp>ContractData</stp>
        <stp>ENQ</stp>
        <stp>Low</stp>
        <stp/>
        <stp>T</stp>
        <tr r="M22" s="1"/>
      </tp>
      <tp>
        <v>1.2320500000000001</v>
        <stp/>
        <stp>ContractData</stp>
        <stp>EU6</stp>
        <stp>Low</stp>
        <stp/>
        <stp>T</stp>
        <tr r="Z10" s="1"/>
      </tp>
      <tp>
        <v>1326.8000000000002</v>
        <stp/>
        <stp>ContractData</stp>
        <stp>GCE</stp>
        <stp>Low</stp>
        <stp/>
        <stp>T</stp>
        <tr r="M46" s="1"/>
      </tp>
      <tp>
        <v>1331.3000000000002</v>
        <stp/>
        <stp>ContractData</stp>
        <stp>GCE</stp>
        <stp>Bid</stp>
        <stp/>
        <stp>T</stp>
        <tr r="D50" s="1"/>
      </tp>
      <tp>
        <v>1.23465</v>
        <stp/>
        <stp>ContractData</stp>
        <stp>EU6</stp>
        <stp>Ask</stp>
        <stp/>
        <stp>T</stp>
        <tr r="Q13" s="1"/>
      </tp>
      <tp>
        <v>6838.25</v>
        <stp/>
        <stp>ContractData</stp>
        <stp>ENQ</stp>
        <stp>Ask</stp>
        <stp/>
        <stp>T</stp>
        <tr r="D25" s="1"/>
      </tp>
      <tp>
        <v>6837.75</v>
        <stp/>
        <stp>ContractData</stp>
        <stp>ENQ</stp>
        <stp>Bid</stp>
        <stp/>
        <stp>T</stp>
        <tr r="D26" s="1"/>
      </tp>
      <tp>
        <v>1.23455</v>
        <stp/>
        <stp>ContractData</stp>
        <stp>EU6</stp>
        <stp>Bid</stp>
        <stp/>
        <stp>T</stp>
        <tr r="Q14" s="1"/>
      </tp>
      <tp>
        <v>1331.4</v>
        <stp/>
        <stp>ContractData</stp>
        <stp>GCE</stp>
        <stp>Ask</stp>
        <stp/>
        <stp>T</stp>
        <tr r="D49" s="1"/>
      </tp>
      <tp>
        <v>61.52</v>
        <stp/>
        <stp>ContractData</stp>
        <stp>CLE</stp>
        <stp>Bid</stp>
        <stp/>
        <stp>T</stp>
        <tr r="D38" s="1"/>
      </tp>
      <tp>
        <v>1.3979000000000001</v>
        <stp/>
        <stp>ContractData</stp>
        <stp>BP6</stp>
        <stp>Bid</stp>
        <stp/>
        <stp>T</stp>
        <tr r="Q26" s="1"/>
      </tp>
      <tp>
        <v>1.3980000000000001</v>
        <stp/>
        <stp>ContractData</stp>
        <stp>BP6</stp>
        <stp>Ask</stp>
        <stp/>
        <stp>T</stp>
        <tr r="Q25" s="1"/>
      </tp>
      <tp>
        <v>61.53</v>
        <stp/>
        <stp>ContractData</stp>
        <stp>CLE</stp>
        <stp>Ask</stp>
        <stp/>
        <stp>T</stp>
        <tr r="D37" s="1"/>
      </tp>
      <tp t="s">
        <v>120'13.5</v>
        <stp/>
        <stp>ContractData</stp>
        <stp>TYA</stp>
        <stp>Low</stp>
        <stp/>
        <stp>B</stp>
        <tr r="Z34" s="1"/>
      </tp>
      <tp t="s">
        <v>120'15.0</v>
        <stp/>
        <stp>ContractData</stp>
        <stp>TYA</stp>
        <stp>Ask</stp>
        <stp/>
        <stp>B</stp>
        <tr r="Q37" s="1"/>
      </tp>
      <tp t="s">
        <v>120'14.5</v>
        <stp/>
        <stp>ContractData</stp>
        <stp>TYA</stp>
        <stp>Bid</stp>
        <stp/>
        <stp>B</stp>
        <tr r="Q38" s="1"/>
      </tp>
      <tp>
        <v>35</v>
        <stp/>
        <stp>DOMData</stp>
        <stp>GCE</stp>
        <stp>Volume</stp>
        <stp>2</stp>
        <tr r="J43" s="1"/>
      </tp>
      <tp>
        <v>33</v>
        <stp/>
        <stp>DOMData</stp>
        <stp>GCE</stp>
        <stp>Volume</stp>
        <stp>3</stp>
        <tr r="K43" s="1"/>
      </tp>
      <tp>
        <v>20</v>
        <stp/>
        <stp>DOMData</stp>
        <stp>GCE</stp>
        <stp>Volume</stp>
        <stp>1</stp>
        <tr r="H43" s="1"/>
      </tp>
      <tp>
        <v>30</v>
        <stp/>
        <stp>DOMData</stp>
        <stp>GCE</stp>
        <stp>Volume</stp>
        <stp>4</stp>
        <tr r="L43" s="1"/>
      </tp>
      <tp>
        <v>34</v>
        <stp/>
        <stp>DOMData</stp>
        <stp>GCE</stp>
        <stp>Volume</stp>
        <stp>5</stp>
        <tr r="M43" s="1"/>
      </tp>
      <tp>
        <v>8869</v>
        <stp/>
        <stp>StudyData</stp>
        <stp>FPVol(FootprintOp (EP, 0),2732)</stp>
        <stp>Bar</stp>
        <stp/>
        <stp>Close</stp>
        <stp>D</stp>
        <stp>0</stp>
        <stp>all</stp>
        <stp/>
        <stp/>
        <stp/>
        <stp>T</stp>
        <tr r="D9" s="1"/>
        <tr r="D9" s="1"/>
      </tp>
      <tp>
        <v>12639</v>
        <stp/>
        <stp>StudyData</stp>
        <stp>FPVol(FootprintOp (EP, 0),2733)</stp>
        <stp>Bar</stp>
        <stp/>
        <stp>Close</stp>
        <stp>D</stp>
        <stp>0</stp>
        <stp>all</stp>
        <stp/>
        <stp/>
        <stp/>
        <stp>T</stp>
        <tr r="J9" s="1"/>
        <tr r="J9" s="1"/>
      </tp>
      <tp>
        <v>17884</v>
        <stp/>
        <stp>StudyData</stp>
        <stp>FPVol(FootprintOp (EP, 0),2728)</stp>
        <stp>Bar</stp>
        <stp/>
        <stp>Close</stp>
        <stp>D</stp>
        <stp>0</stp>
        <stp>all</stp>
        <stp/>
        <stp/>
        <stp/>
        <stp>T</stp>
        <tr r="A6" s="1"/>
      </tp>
      <tp>
        <v>0.25</v>
        <stp/>
        <stp>ContractData</stp>
        <stp>EP</stp>
        <stp>TickSize</stp>
        <stp/>
        <stp>T</stp>
        <tr r="A11" s="1"/>
      </tp>
      <tp>
        <v>0.5</v>
        <stp/>
        <stp>ContractData</stp>
        <stp>DD</stp>
        <stp>TickSize</stp>
        <stp/>
        <stp>T</stp>
        <tr r="N47" s="1"/>
      </tp>
      <tp>
        <v>12452.5</v>
        <stp/>
        <stp>StudyData</stp>
        <stp>DD</stp>
        <stp>TFlow</stp>
        <stp>AggregateBy=TFlowSimpleAggregation, Aggregation=1</stp>
        <stp>High</stp>
        <stp/>
        <stp>0</stp>
        <stp/>
        <stp/>
        <stp/>
        <stp/>
        <stp>T</stp>
        <tr r="X49" s="1"/>
      </tp>
      <tp t="s">
        <v>120'15.5</v>
        <stp/>
        <stp>ContractData</stp>
        <stp>TYA</stp>
        <stp>Open</stp>
        <stp/>
        <stp>B</stp>
        <tr r="V34" s="1"/>
      </tp>
      <tp>
        <v>7</v>
        <stp/>
        <stp>DOMData</stp>
        <stp>ENQ</stp>
        <stp>Volume</stp>
        <stp>2</stp>
        <tr r="J19" s="1"/>
      </tp>
      <tp>
        <v>9</v>
        <stp/>
        <stp>DOMData</stp>
        <stp>ENQ</stp>
        <stp>Volume</stp>
        <stp>3</stp>
        <tr r="K19" s="1"/>
      </tp>
      <tp>
        <v>3</v>
        <stp/>
        <stp>DOMData</stp>
        <stp>ENQ</stp>
        <stp>Volume</stp>
        <stp>1</stp>
        <tr r="H19" s="1"/>
      </tp>
      <tp>
        <v>16</v>
        <stp/>
        <stp>DOMData</stp>
        <stp>ENQ</stp>
        <stp>Volume</stp>
        <stp>4</stp>
        <tr r="L19" s="1"/>
      </tp>
      <tp>
        <v>18</v>
        <stp/>
        <stp>DOMData</stp>
        <stp>ENQ</stp>
        <stp>Volume</stp>
        <stp>5</stp>
        <tr r="M19" s="1"/>
      </tp>
      <tp>
        <v>29016</v>
        <stp/>
        <stp>StudyData</stp>
        <stp>FPVol(FootprintOp (TYA, 0),120.4375)</stp>
        <stp>Bar</stp>
        <stp/>
        <stp>Close</stp>
        <stp>D</stp>
        <stp>0</stp>
        <stp>all</stp>
        <stp/>
        <stp/>
        <stp/>
        <stp>T</stp>
        <tr r="R33" s="1"/>
        <tr r="R33" s="1"/>
      </tp>
      <tp>
        <v>120.484375</v>
        <stp/>
        <stp>StudyData</stp>
        <stp>FPMax(FootprintOp(TYA,0))</stp>
        <stp>Bar</stp>
        <stp/>
        <stp>Close</stp>
        <stp>D</stp>
        <stp>0</stp>
        <stp>all</stp>
        <stp/>
        <stp/>
        <stp/>
        <stp>T</stp>
        <tr r="N29" s="1"/>
        <tr r="N29" s="1"/>
        <tr r="N28" s="1"/>
      </tp>
      <tp>
        <v>2732.5</v>
        <stp/>
        <stp>ContractData</stp>
        <stp>EP</stp>
        <stp>LastTradeToday</stp>
        <stp/>
        <stp>T</stp>
        <tr r="F13" s="1"/>
        <tr r="E10" s="1"/>
        <tr r="G15" s="1"/>
      </tp>
      <tp>
        <v>68</v>
        <stp/>
        <stp>DOMData</stp>
        <stp>CLE</stp>
        <stp>Volume</stp>
        <stp>2</stp>
        <tr r="J31" s="1"/>
      </tp>
      <tp>
        <v>42</v>
        <stp/>
        <stp>DOMData</stp>
        <stp>CLE</stp>
        <stp>Volume</stp>
        <stp>3</stp>
        <tr r="K31" s="1"/>
      </tp>
      <tp>
        <v>42</v>
        <stp/>
        <stp>DOMData</stp>
        <stp>CLE</stp>
        <stp>Volume</stp>
        <stp>1</stp>
        <tr r="H31" s="1"/>
      </tp>
      <tp>
        <v>50</v>
        <stp/>
        <stp>DOMData</stp>
        <stp>CLE</stp>
        <stp>Volume</stp>
        <stp>4</stp>
        <tr r="L31" s="1"/>
      </tp>
      <tp>
        <v>37</v>
        <stp/>
        <stp>DOMData</stp>
        <stp>CLE</stp>
        <stp>Volume</stp>
        <stp>5</stp>
        <tr r="M31" s="1"/>
      </tp>
      <tp>
        <v>2732.5</v>
        <stp/>
        <stp>ContractData</stp>
        <stp>EP</stp>
        <stp>Bid</stp>
        <stp/>
        <stp>T</stp>
        <tr r="D14" s="1"/>
      </tp>
      <tp>
        <v>12452</v>
        <stp/>
        <stp>ContractData</stp>
        <stp>DD</stp>
        <stp>Bid</stp>
        <stp/>
        <stp>T</stp>
        <tr r="Q50" s="1"/>
      </tp>
      <tp>
        <v>2732.75</v>
        <stp/>
        <stp>ContractData</stp>
        <stp>EP</stp>
        <stp>Ask</stp>
        <stp/>
        <stp>T</stp>
        <tr r="D13" s="1"/>
      </tp>
      <tp>
        <v>12452.5</v>
        <stp/>
        <stp>ContractData</stp>
        <stp>DD</stp>
        <stp>Ask</stp>
        <stp/>
        <stp>T</stp>
        <tr r="Q49" s="1"/>
      </tp>
      <tp>
        <v>2706.25</v>
        <stp/>
        <stp>ContractData</stp>
        <stp>EP</stp>
        <stp>Low</stp>
        <stp/>
        <stp>T</stp>
        <tr r="M10" s="1"/>
      </tp>
      <tp>
        <v>12363.5</v>
        <stp/>
        <stp>ContractData</stp>
        <stp>DD</stp>
        <stp>Low</stp>
        <stp/>
        <stp>T</stp>
        <tr r="Z46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371475</xdr:colOff>
      <xdr:row>1</xdr:row>
      <xdr:rowOff>133351</xdr:rowOff>
    </xdr:from>
    <xdr:to>
      <xdr:col>7</xdr:col>
      <xdr:colOff>516818</xdr:colOff>
      <xdr:row>2</xdr:row>
      <xdr:rowOff>123144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190501"/>
          <a:ext cx="897818" cy="208868"/>
        </a:xfrm>
        <a:prstGeom prst="rect">
          <a:avLst/>
        </a:prstGeom>
      </xdr:spPr>
    </xdr:pic>
    <xdr:clientData/>
  </xdr:twoCellAnchor>
  <xdr:twoCellAnchor editAs="oneCell">
    <xdr:from>
      <xdr:col>19</xdr:col>
      <xdr:colOff>285750</xdr:colOff>
      <xdr:row>1</xdr:row>
      <xdr:rowOff>133350</xdr:rowOff>
    </xdr:from>
    <xdr:to>
      <xdr:col>20</xdr:col>
      <xdr:colOff>431093</xdr:colOff>
      <xdr:row>2</xdr:row>
      <xdr:rowOff>123143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2125" y="190500"/>
          <a:ext cx="897818" cy="208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74"/>
  <sheetViews>
    <sheetView showGridLines="0" showRowColHeaders="0" tabSelected="1" workbookViewId="0">
      <selection activeCell="B13" sqref="B13:B14"/>
    </sheetView>
  </sheetViews>
  <sheetFormatPr defaultRowHeight="17.25" x14ac:dyDescent="0.3"/>
  <cols>
    <col min="1" max="1" width="0.85546875" style="62" customWidth="1"/>
    <col min="2" max="13" width="11.28515625" style="39" customWidth="1"/>
    <col min="14" max="14" width="0.85546875" style="62" customWidth="1"/>
    <col min="15" max="26" width="11.28515625" style="39" customWidth="1"/>
    <col min="27" max="16384" width="9.140625" style="39"/>
  </cols>
  <sheetData>
    <row r="1" spans="1:26" ht="5.0999999999999996" customHeight="1" thickBot="1" x14ac:dyDescent="0.35"/>
    <row r="2" spans="1:26" ht="17.25" customHeight="1" thickTop="1" x14ac:dyDescent="0.3">
      <c r="B2" s="165">
        <f>MOD(RTD("cqg.rtd", ,"SystemInfo", "Linetime"),1)</f>
        <v>0.50328703704144573</v>
      </c>
      <c r="C2" s="166"/>
      <c r="D2" s="166"/>
      <c r="E2" s="166"/>
      <c r="F2" s="176" t="s">
        <v>14</v>
      </c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66">
        <f>RTD("cqg.rtd", ,"SystemInfo", "Linetime")</f>
        <v>43152.503287037041</v>
      </c>
      <c r="X2" s="166"/>
      <c r="Y2" s="166"/>
      <c r="Z2" s="174"/>
    </row>
    <row r="3" spans="1:26" ht="17.25" customHeight="1" thickBot="1" x14ac:dyDescent="0.35">
      <c r="A3" s="63"/>
      <c r="B3" s="167"/>
      <c r="C3" s="168"/>
      <c r="D3" s="168"/>
      <c r="E3" s="168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68"/>
      <c r="X3" s="168"/>
      <c r="Y3" s="168"/>
      <c r="Z3" s="175"/>
    </row>
    <row r="4" spans="1:26" s="40" customFormat="1" ht="21.95" customHeight="1" thickTop="1" x14ac:dyDescent="0.25">
      <c r="A4" s="64">
        <f>RTD("cqg.rtd",,"StudyData","FPMax(FootprintOp("&amp;B13&amp;",0))", "Bar",, "Close","D","0","all",,,,"T")</f>
        <v>2728</v>
      </c>
      <c r="B4" s="178" t="str">
        <f>RTD("cqg.rtd",,"ContractData",B13,"LongDescription",,"T")</f>
        <v>E-Mini S&amp;P 500, Mar 18</v>
      </c>
      <c r="C4" s="179"/>
      <c r="D4" s="179"/>
      <c r="E4" s="179"/>
      <c r="F4" s="179"/>
      <c r="G4" s="179"/>
      <c r="H4" s="184" t="str">
        <f>"  Price with highest traded volume:  "&amp;TEXT(A5,A15)&amp;"      "&amp;A6</f>
        <v xml:space="preserve">  Price with highest traded volume:  2728.00      17,884</v>
      </c>
      <c r="I4" s="184"/>
      <c r="J4" s="184"/>
      <c r="K4" s="184"/>
      <c r="L4" s="184"/>
      <c r="M4" s="185"/>
      <c r="N4" s="77">
        <f>RTD("cqg.rtd",,"StudyData","FPMax(FootprintOp("&amp;O13&amp;",0))", "Bar",, "Close","D","0","all",,,,"T")</f>
        <v>1.23465</v>
      </c>
      <c r="O4" s="178" t="str">
        <f>RTD("cqg.rtd",,"ContractData",O13,"LongDescription",,"T")</f>
        <v>Euro FX (Globex), Mar 18</v>
      </c>
      <c r="P4" s="179"/>
      <c r="Q4" s="179"/>
      <c r="R4" s="179"/>
      <c r="S4" s="179"/>
      <c r="T4" s="179"/>
      <c r="U4" s="184" t="str">
        <f>"  Price with highest traded volume:  "&amp;TEXT(N5,N15)&amp;"      "&amp;N6</f>
        <v xml:space="preserve">  Price with highest traded volume:  1.23465      3,665</v>
      </c>
      <c r="V4" s="184"/>
      <c r="W4" s="184"/>
      <c r="X4" s="184"/>
      <c r="Y4" s="184"/>
      <c r="Z4" s="185"/>
    </row>
    <row r="5" spans="1:26" ht="17.100000000000001" customHeight="1" x14ac:dyDescent="0.3">
      <c r="A5" s="62" t="str">
        <f>IF(A12="B",TRUNC(RTD("cqg.rtd",,"StudyData","FPMax(FootprintOp("&amp;B13&amp;",0))", "Bar",, "Close","D","0","all",,,,"T"))&amp;"'"&amp;RIGHT(TEXT(DOLLARFR(RTD("cqg.rtd",,"StudyData","FPMax(FootprintOp("&amp;B13&amp;",0))", "Bar",, "Close","D","0","all",,,,"T"),32),A15),A14),TEXT(RTD("cqg.rtd",,"StudyData","FPMax(FootprintOp("&amp;B13&amp;",0))", "Bar",, "Close","D","0","all",,,,"T"),A15))</f>
        <v>2728.00</v>
      </c>
      <c r="B5" s="138" t="str">
        <f>IF(A12="B",TRUNC(RTD("cqg.rtd",,"DOMData",B13,"Price",-5,"T"))&amp;"'"&amp;RIGHT(TEXT(DOLLARFR(RTD("cqg.rtd",,"DOMData",B13,"Price",-5,"T"),32),A15),A14),TEXT(RTD("cqg.rtd",,"DOMData",B13,"Price",-5,"T"),A15))</f>
        <v>2731.50</v>
      </c>
      <c r="C5" s="140" t="str">
        <f>IF(A12="B",TRUNC(RTD("cqg.rtd",,"DOMData",B13,"Price",-4,"T"))&amp;"'"&amp;RIGHT(TEXT(DOLLARFR(RTD("cqg.rtd",,"DOMData",B13,"Price",-4,"T"),32),A15),A14),TEXT(RTD("cqg.rtd",,"DOMData",B13,"Price",-4,"T"),A15))</f>
        <v>2731.75</v>
      </c>
      <c r="D5" s="142" t="str">
        <f>IF(A12="B",TRUNC(RTD("cqg.rtd",,"DOMData",B13,"Price",-3,"T"))&amp;"'"&amp;RIGHT(TEXT(DOLLARFR(RTD("cqg.rtd",,"DOMData",B13,"Price",-3,"T"),32),A15),A14),TEXT(RTD("cqg.rtd",,"DOMData",B13,"Price",-3,"T"),A15))</f>
        <v>2732.00</v>
      </c>
      <c r="E5" s="102" t="str">
        <f>IF(A12="B",TRUNC(RTD("cqg.rtd",,"DOMData",B13,"Price",-2,"T"))&amp;"'"&amp;RIGHT(TEXT(DOLLARFR(RTD("cqg.rtd",,"DOMData",B13,"Price",-2,"T"),32),A15),A14),TEXT(RTD("cqg.rtd",,"DOMData",B13,"Price",-2,"T"),A15))</f>
        <v>2732.25</v>
      </c>
      <c r="F5" s="31" t="str">
        <f>IFERROR(IF(A12="B",LEFT(A10,FIND("'",A10)),LEFT(TEXT(RTD("cqg.rtd",,"DOMData",B13,"Price",-1,"T"),A15),FIND(".",F15))),"")</f>
        <v>2732.</v>
      </c>
      <c r="G5" s="104" t="str">
        <f>IFERROR(IF(A12="B",RIGHT(A10,LEN(A10)-FIND("'",A10)),RIGHT(TEXT(RTD("cqg.rtd",,"DOMData",B13,"Price",-1,"T"),A15),LEN(D14)-FIND(".",D14))),A10)</f>
        <v>50</v>
      </c>
      <c r="H5" s="33" t="str">
        <f>IFERROR(IF(A12="B",LEFT(A9,FIND("'",A9)),LEFT(TEXT(RTD("cqg.rtd",,"DOMData",B13,"Price",1,"T"),A15),FIND(".",H15))),"")</f>
        <v>2732.</v>
      </c>
      <c r="I5" s="106" t="str">
        <f>IFERROR(IF(A12="B",RIGHT(A9,LEN(A9)-FIND("'",A9)),RIGHT(TEXT(RTD("cqg.rtd",,"DOMData",B13,"Price",1,"T"),A15),LEN(D14)-FIND(".",D14))),A9)</f>
        <v>75</v>
      </c>
      <c r="J5" s="108" t="str">
        <f>IF(A12="B",TRUNC(RTD("cqg.rtd",,"DOMData",B13,"Price",2,"T"))&amp;"'"&amp;RIGHT(TEXT(DOLLARFR(RTD("cqg.rtd",,"DOMData",B13,"Price",2,"T"),32),A15),A14),TEXT(RTD("cqg.rtd",,"DOMData",B13,"Price",2,"T"),A15))</f>
        <v>2733.00</v>
      </c>
      <c r="K5" s="152" t="str">
        <f>IF(A12="B",TRUNC(RTD("cqg.rtd",,"DOMData",B13,"Price",3,"T"))&amp;"'"&amp;RIGHT(TEXT(DOLLARFR(RTD("cqg.rtd",,"DOMData",B13,"Price",3,"T"),32),A15),A14),TEXT(RTD("cqg.rtd",,"DOMData",B13,"Price",3,"T"),A15))</f>
        <v>2733.25</v>
      </c>
      <c r="L5" s="154" t="str">
        <f>IF(A12="B",TRUNC(RTD("cqg.rtd",,"DOMData",B13,"Price",4,"T"))&amp;"'"&amp;RIGHT(TEXT(DOLLARFR(RTD("cqg.rtd",,"DOMData",B13,"Price",4,"T"),32),A15),A14),TEXT(RTD("cqg.rtd",,"DOMData",B13,"Price",4,"T"),A15))</f>
        <v>2733.50</v>
      </c>
      <c r="M5" s="150" t="str">
        <f>IF(A12="B",TRUNC(RTD("cqg.rtd",,"DOMData",B13,"Price",5,"T"))&amp;"'"&amp;RIGHT(TEXT(DOLLARFR(RTD("cqg.rtd",,"DOMData",B13,"Price",5,"T"),32),A15),A14),TEXT(RTD("cqg.rtd",,"DOMData",B13,"Price",5,"T"),A15))</f>
        <v>2733.75</v>
      </c>
      <c r="N5" s="62" t="str">
        <f>IF(N12="B",TRUNC(RTD("cqg.rtd",,"StudyData","FPMax(FootprintOp("&amp;O13&amp;",0))", "Bar",, "Close","D","0","all",,,,"T"))&amp;"'"&amp;RIGHT(TEXT(DOLLARFR(RTD("cqg.rtd",,"StudyData","FPMax(FootprintOp("&amp;O13&amp;",0))", "Bar",, "Close","D","0","all",,,,"T"),32),N15),N14),TEXT(RTD("cqg.rtd",,"StudyData","FPMax(FootprintOp("&amp;O13&amp;",0))", "Bar",, "Close","D","0","all",,,,"T"),N15))</f>
        <v>1.23465</v>
      </c>
      <c r="O5" s="138" t="str">
        <f>IF(N12="B",TRUNC(RTD("cqg.rtd",,"DOMData",O13,"Price",-5,"T"))&amp;"'"&amp;RIGHT(TEXT(DOLLARFR(RTD("cqg.rtd",,"DOMData",O13,"Price",-5,"T"),32),N15),N14),TEXT(RTD("cqg.rtd",,"DOMData",O13,"Price",-5,"T"),N15))</f>
        <v>1.23435</v>
      </c>
      <c r="P5" s="140" t="str">
        <f>IF(N12="B",TRUNC(RTD("cqg.rtd",,"DOMData",O13,"Price",-4,"T"))&amp;"'"&amp;RIGHT(TEXT(DOLLARFR(RTD("cqg.rtd",,"DOMData",O13,"Price",-4,"T"),32),N15),N14),TEXT(RTD("cqg.rtd",,"DOMData",O13,"Price",-4,"T"),N15))</f>
        <v>1.23440</v>
      </c>
      <c r="Q5" s="142" t="str">
        <f>IF(N12="B",TRUNC(RTD("cqg.rtd",,"DOMData",O13,"Price",-3,"T"))&amp;"'"&amp;RIGHT(TEXT(DOLLARFR(RTD("cqg.rtd",,"DOMData",O13,"Price",-3,"T"),32),N15),N14),TEXT(RTD("cqg.rtd",,"DOMData",O13,"Price",-3,"T"),N15))</f>
        <v>1.23445</v>
      </c>
      <c r="R5" s="102" t="str">
        <f>IF(N12="B",TRUNC(RTD("cqg.rtd",,"DOMData",O13,"Price",-2,"T"))&amp;"'"&amp;RIGHT(TEXT(DOLLARFR(RTD("cqg.rtd",,"DOMData",O13,"Price",-2,"T"),32),N15),N14),TEXT(RTD("cqg.rtd",,"DOMData",O13,"Price",-2,"T"),N15))</f>
        <v>1.23450</v>
      </c>
      <c r="S5" s="31" t="str">
        <f>IFERROR(IF(N12="B",LEFT(N10,FIND("'",N10)),LEFT(TEXT(RTD("cqg.rtd",,"DOMData",O13,"Price",-1,"T"),N15),FIND(".",S15))),"")</f>
        <v>1.</v>
      </c>
      <c r="T5" s="104" t="str">
        <f>IFERROR(IF(N12="B",RIGHT(N10,LEN(N10)-FIND("'",N10)),RIGHT(TEXT(RTD("cqg.rtd",,"DOMData",O13,"Price",-1,"T"),N15),LEN(Q14)-FIND(".",Q14))),N10)</f>
        <v>23455</v>
      </c>
      <c r="U5" s="33" t="str">
        <f>IFERROR(IF(N12="B",LEFT(N9,FIND("'",N9)),LEFT(TEXT(RTD("cqg.rtd",,"DOMData",O13,"Price",1,"T"),N15),FIND(".",U15))),"")</f>
        <v>1.</v>
      </c>
      <c r="V5" s="106" t="str">
        <f>IFERROR(IF(N12="B",RIGHT(N9,LEN(N9)-FIND("'",N9)),RIGHT(TEXT(RTD("cqg.rtd",,"DOMData",O13,"Price",1,"T"),N15),LEN(Q14)-FIND(".",Q14))),N9)</f>
        <v>23465</v>
      </c>
      <c r="W5" s="108" t="str">
        <f>IF(N12="B",TRUNC(RTD("cqg.rtd",,"DOMData",O13,"Price",2,"T"))&amp;"'"&amp;RIGHT(TEXT(DOLLARFR(RTD("cqg.rtd",,"DOMData",O13,"Price",2,"T"),32),N15),N14),TEXT(RTD("cqg.rtd",,"DOMData",O13,"Price",2,"T"),N15))</f>
        <v>1.23470</v>
      </c>
      <c r="X5" s="152" t="str">
        <f>IF(N12="B",TRUNC(RTD("cqg.rtd",,"DOMData",O13,"Price",3,"T"))&amp;"'"&amp;RIGHT(TEXT(DOLLARFR(RTD("cqg.rtd",,"DOMData",O13,"Price",3,"T"),32),N15),N14),TEXT(RTD("cqg.rtd",,"DOMData",O13,"Price",3,"T"),N15))</f>
        <v>1.23475</v>
      </c>
      <c r="Y5" s="154" t="str">
        <f>IF(N12="B",TRUNC(RTD("cqg.rtd",,"DOMData",O13,"Price",4,"T"))&amp;"'"&amp;RIGHT(TEXT(DOLLARFR(RTD("cqg.rtd",,"DOMData",O13,"Price",4,"T"),32),N15),N14),TEXT(RTD("cqg.rtd",,"DOMData",O13,"Price",4,"T"),N15))</f>
        <v>1.23480</v>
      </c>
      <c r="Z5" s="150" t="str">
        <f>IF(N12="B",TRUNC(RTD("cqg.rtd",,"DOMData",O13,"Price",5,"T"))&amp;"'"&amp;RIGHT(TEXT(DOLLARFR(RTD("cqg.rtd",,"DOMData",O13,"Price",5,"T"),32),N15),N14),TEXT(RTD("cqg.rtd",,"DOMData",O13,"Price",5,"T"),N15))</f>
        <v>1.23485</v>
      </c>
    </row>
    <row r="6" spans="1:26" ht="17.100000000000001" customHeight="1" x14ac:dyDescent="0.3">
      <c r="A6" s="63" t="str">
        <f>IF(A5="","",TEXT(RTD("cqg.rtd",,"StudyData","FPVol(FootprintOp ("&amp;B13&amp;", 0),"&amp;A4&amp;")", "Bar",, "Close","D","0","all",,,,"T"),"#,###"))</f>
        <v>17,884</v>
      </c>
      <c r="B6" s="139"/>
      <c r="C6" s="141"/>
      <c r="D6" s="143"/>
      <c r="E6" s="103"/>
      <c r="F6" s="32">
        <f>RTD("cqg.rtd",,"DOMData",B13,"Price",-1,"T")</f>
        <v>2732.5</v>
      </c>
      <c r="G6" s="105"/>
      <c r="H6" s="37">
        <f>RTD("cqg.rtd",,"DOMData",B13,"Price",1,"T")</f>
        <v>2732.75</v>
      </c>
      <c r="I6" s="107"/>
      <c r="J6" s="109"/>
      <c r="K6" s="153"/>
      <c r="L6" s="155"/>
      <c r="M6" s="151"/>
      <c r="N6" s="63" t="str">
        <f>IF(N5="","",TEXT(RTD("cqg.rtd",,"StudyData","FPVol(FootprintOp ("&amp;O13&amp;", 0),"&amp;N4&amp;")", "Bar",, "Close","D","0","all",,,,"T"),"#,###"))</f>
        <v>3,665</v>
      </c>
      <c r="O6" s="139"/>
      <c r="P6" s="141"/>
      <c r="Q6" s="143"/>
      <c r="R6" s="103"/>
      <c r="S6" s="32">
        <f>RTD("cqg.rtd",,"DOMData",O13,"Price",-1,"T")</f>
        <v>1.23455</v>
      </c>
      <c r="T6" s="105"/>
      <c r="U6" s="37">
        <f>RTD("cqg.rtd",,"DOMData",O13,"Price",1,"T")</f>
        <v>1.23465</v>
      </c>
      <c r="V6" s="107"/>
      <c r="W6" s="109"/>
      <c r="X6" s="153"/>
      <c r="Y6" s="155"/>
      <c r="Z6" s="151"/>
    </row>
    <row r="7" spans="1:26" ht="17.45" customHeight="1" x14ac:dyDescent="0.3">
      <c r="A7" s="62">
        <f>IF(RTD("cqg.rtd",,"ContractData",B13,"NetLastTradeToday",,"T")&gt;=0,1,0)</f>
        <v>1</v>
      </c>
      <c r="B7" s="10">
        <f>RTD("cqg.rtd",,"DOMData",B13,"Volume",-5)</f>
        <v>767</v>
      </c>
      <c r="C7" s="11">
        <f>RTD("cqg.rtd",,"DOMData",B13,"Volume",-4)</f>
        <v>398</v>
      </c>
      <c r="D7" s="12">
        <f>RTD("cqg.rtd",,"DOMData",B13,"Volume",-3)</f>
        <v>273</v>
      </c>
      <c r="E7" s="13">
        <f>RTD("cqg.rtd",,"DOMData",B13,"Volume",-2)</f>
        <v>211</v>
      </c>
      <c r="F7" s="112">
        <f>RTD("cqg.rtd",,"DOMData",B13,"Volume",-1)</f>
        <v>67</v>
      </c>
      <c r="G7" s="113"/>
      <c r="H7" s="114">
        <f>RTD("cqg.rtd",,"DOMData",B13,"Volume",1)</f>
        <v>119</v>
      </c>
      <c r="I7" s="115"/>
      <c r="J7" s="14">
        <f>RTD("cqg.rtd",,"DOMData",B13,"Volume",2)</f>
        <v>132</v>
      </c>
      <c r="K7" s="15">
        <f>RTD("cqg.rtd",,"DOMData",B13,"Volume",3)</f>
        <v>215</v>
      </c>
      <c r="L7" s="16">
        <f>RTD("cqg.rtd",,"DOMData",B13,"Volume",4)</f>
        <v>260</v>
      </c>
      <c r="M7" s="17">
        <f>RTD("cqg.rtd",,"DOMData",B13,"Volume",5)</f>
        <v>253</v>
      </c>
      <c r="N7" s="62">
        <f>IF(RTD("cqg.rtd",,"ContractData",O13,"NetLastTradeToday",,"T")&gt;=0,1,0)</f>
        <v>0</v>
      </c>
      <c r="O7" s="10">
        <f>RTD("cqg.rtd",,"DOMData",O13,"Volume",-5)</f>
        <v>33</v>
      </c>
      <c r="P7" s="11">
        <f>RTD("cqg.rtd",,"DOMData",O13,"Volume",-4)</f>
        <v>42</v>
      </c>
      <c r="Q7" s="12">
        <f>RTD("cqg.rtd",,"DOMData",O13,"Volume",-3)</f>
        <v>35</v>
      </c>
      <c r="R7" s="13">
        <f>RTD("cqg.rtd",,"DOMData",O13,"Volume",-2)</f>
        <v>40</v>
      </c>
      <c r="S7" s="112">
        <f>RTD("cqg.rtd",,"DOMData",O13,"Volume",-1)</f>
        <v>31</v>
      </c>
      <c r="T7" s="113"/>
      <c r="U7" s="114">
        <f>RTD("cqg.rtd",,"DOMData",O13,"Volume",1)</f>
        <v>33</v>
      </c>
      <c r="V7" s="115"/>
      <c r="W7" s="14">
        <f>RTD("cqg.rtd",,"DOMData",O13,"Volume",2)</f>
        <v>33</v>
      </c>
      <c r="X7" s="15">
        <f>RTD("cqg.rtd",,"DOMData",O13,"Volume",3)</f>
        <v>24</v>
      </c>
      <c r="Y7" s="16">
        <f>RTD("cqg.rtd",,"DOMData",O13,"Volume",4)</f>
        <v>39</v>
      </c>
      <c r="Z7" s="17">
        <f>RTD("cqg.rtd",,"DOMData",O13,"Volume",5)</f>
        <v>37</v>
      </c>
    </row>
    <row r="8" spans="1:26" s="71" customFormat="1" ht="12.95" customHeight="1" x14ac:dyDescent="0.25">
      <c r="A8" s="76"/>
      <c r="B8" s="73">
        <f>IFERROR(MOD(RTD("cqg.rtd",,"DOMData",B13,"Time",-5),1),"")</f>
        <v>0.50324796296627028</v>
      </c>
      <c r="C8" s="73">
        <f>IFERROR(MOD(RTD("cqg.rtd",,"DOMData",B13,"Time",-4),1),"")</f>
        <v>0.50324796296627028</v>
      </c>
      <c r="D8" s="73">
        <f>IFERROR(MOD(RTD("cqg.rtd",,"DOMData",B13,"Time",-3),1),"")</f>
        <v>0.50328592592995847</v>
      </c>
      <c r="E8" s="74">
        <f>IFERROR(MOD(RTD("cqg.rtd",,"DOMData",B13,"Time",-2),1),"")</f>
        <v>0.50328592592995847</v>
      </c>
      <c r="F8" s="96">
        <f>IFERROR(MOD(RTD("cqg.rtd",,"DOMData",B13,"Time",-1),1),"")</f>
        <v>0.50328592592995847</v>
      </c>
      <c r="G8" s="97"/>
      <c r="H8" s="96">
        <f>IFERROR(MOD(RTD("cqg.rtd",,"DOMData",B13,"Time",1),1),"")</f>
        <v>0.50328592592995847</v>
      </c>
      <c r="I8" s="97"/>
      <c r="J8" s="75">
        <f>IFERROR(MOD(RTD("cqg.rtd",,"DOMData",B13,"Time",2),1),"")</f>
        <v>0.50328592592995847</v>
      </c>
      <c r="K8" s="73">
        <f>IFERROR(MOD(RTD("cqg.rtd",,"DOMData",B13,"Time",3),1),"")</f>
        <v>0.50326231481449213</v>
      </c>
      <c r="L8" s="73">
        <f>IFERROR(MOD(RTD("cqg.rtd",,"DOMData",B13,"Time",4),1),"")</f>
        <v>0.5032862962980289</v>
      </c>
      <c r="M8" s="73">
        <f>IFERROR(MOD(RTD("cqg.rtd",,"DOMData",B13,"Time",5),1),"")</f>
        <v>0.50324796296627028</v>
      </c>
      <c r="N8" s="79"/>
      <c r="O8" s="73">
        <f>IFERROR(MOD(RTD("cqg.rtd",,"DOMData",O13,"Time",-5),1),"")</f>
        <v>0.50326856481842697</v>
      </c>
      <c r="P8" s="73">
        <f>IFERROR(MOD(RTD("cqg.rtd",,"DOMData",O13,"Time",-4),1),"")</f>
        <v>0.50326856481842697</v>
      </c>
      <c r="Q8" s="73">
        <f>IFERROR(MOD(RTD("cqg.rtd",,"DOMData",O13,"Time",-3),1),"")</f>
        <v>0.50327319444477325</v>
      </c>
      <c r="R8" s="74">
        <f>IFERROR(MOD(RTD("cqg.rtd",,"DOMData",O13,"Time",-2),1),"")</f>
        <v>0.50326856481842697</v>
      </c>
      <c r="S8" s="96">
        <f>IFERROR(MOD(RTD("cqg.rtd",,"DOMData",O13,"Time",-1),1),"")</f>
        <v>0.50327194444980705</v>
      </c>
      <c r="T8" s="97"/>
      <c r="U8" s="96">
        <f>IFERROR(MOD(RTD("cqg.rtd",,"DOMData",O13,"Time",1),1),"")</f>
        <v>0.50327194444980705</v>
      </c>
      <c r="V8" s="97"/>
      <c r="W8" s="75">
        <f>IFERROR(MOD(RTD("cqg.rtd",,"DOMData",O13,"Time",2),1),"")</f>
        <v>0.50327194444980705</v>
      </c>
      <c r="X8" s="73">
        <f>IFERROR(MOD(RTD("cqg.rtd",,"DOMData",O13,"Time",3),1),"")</f>
        <v>0.50327500000275904</v>
      </c>
      <c r="Y8" s="73">
        <f>IFERROR(MOD(RTD("cqg.rtd",,"DOMData",O13,"Time",4),1),"")</f>
        <v>0.50327152777754236</v>
      </c>
      <c r="Z8" s="73">
        <f>IFERROR(MOD(RTD("cqg.rtd",,"DOMData",O13,"Time",5),1),"")</f>
        <v>0.50327152777754236</v>
      </c>
    </row>
    <row r="9" spans="1:26" ht="17.45" customHeight="1" x14ac:dyDescent="0.3">
      <c r="A9" s="62" t="str">
        <f>IF(A12="B",TRUNC(RTD("cqg.rtd",,"DOMData",B13,"Price",1,"T"))&amp;"'"&amp;RIGHT(TEXT(DOLLARFR(RTD("cqg.rtd",,"DOMData",B13,"Price",1,"T"),32),A15),A14),TEXT(RTD("cqg.rtd",,"DOMData",B13,"Price",1,"T"),A15))</f>
        <v>2732.75</v>
      </c>
      <c r="B9" s="6">
        <f>IF(LEFT(IFERROR(RTD("cqg.rtd",,"StudyData","FPVol(FootprintOp ("&amp;B13&amp;", 0),"&amp;B15&amp;")", "Bar",, "Close","D","0","all",,,,"T"),""),3)="777","",IFERROR(RTD("cqg.rtd",,"StudyData","FPVol(FootprintOp ("&amp;B13&amp;", 0),"&amp;B15&amp;")", "Bar",, "Close","D","0","all",,,,"T"),""))</f>
        <v>8166</v>
      </c>
      <c r="C9" s="6">
        <f>IF(LEFT(IFERROR(RTD("cqg.rtd",,"StudyData","FPVol(FootprintOp ("&amp;B13&amp;", 0),"&amp;C15&amp;")", "Bar",, "Close","D","0","all",,,,"T"),""),3)="777","",IFERROR(RTD("cqg.rtd",,"StudyData","FPVol(FootprintOp ("&amp;B13&amp;", 0),"&amp;C15&amp;")", "Bar",, "Close","D","0","all",,,,"T"),""))</f>
        <v>8861</v>
      </c>
      <c r="D9" s="7">
        <f>IF(LEFT(IFERROR(RTD("cqg.rtd",,"StudyData","FPVol(FootprintOp ("&amp;B13&amp;", 0),"&amp;D15&amp;")", "Bar",, "Close","D","0","all",,,,"T"),""),3)="777","",IFERROR(RTD("cqg.rtd",,"StudyData","FPVol(FootprintOp ("&amp;B13&amp;", 0),"&amp;D15&amp;")", "Bar",, "Close","D","0","all",,,,"T"),""))</f>
        <v>8869</v>
      </c>
      <c r="E9" s="7">
        <f>IF(LEFT(IFERROR(RTD("cqg.rtd",,"StudyData","FPVol(FootprintOp ("&amp;B13&amp;", 0),"&amp;E15&amp;")", "Bar",, "Close","D","0","all",,,,"T"),""),3)="777","",IFERROR(RTD("cqg.rtd",,"StudyData","FPVol(FootprintOp ("&amp;B13&amp;", 0),"&amp;E15&amp;")", "Bar",, "Close","D","0","all",,,,"T"),""))</f>
        <v>6748</v>
      </c>
      <c r="F9" s="116">
        <f>IF(LEFT(IFERROR(RTD("cqg.rtd",,"StudyData","FPVol(FootprintOp ("&amp;B13&amp;", 0),"&amp;F15&amp;")", "Bar",, "Close","D","0","all",,,,"T"),""),3)="777","",IFERROR(RTD("cqg.rtd",,"StudyData","FPVol(FootprintOp ("&amp;B13&amp;", 0),"&amp;F15&amp;")", "Bar",, "Close","D","0","all",,,,"T"),""))</f>
        <v>5996</v>
      </c>
      <c r="G9" s="117"/>
      <c r="H9" s="116">
        <f>IF(LEFT(IFERROR(RTD("cqg.rtd",,"StudyData","FPVol(FootprintOp ("&amp;B13&amp;", 0),"&amp;H15&amp;")", "Bar",, "Close","D","0","all",,,,"T"),""),3)="777","",IFERROR(RTD("cqg.rtd",,"StudyData","FPVol(FootprintOp ("&amp;B13&amp;", 0),"&amp;H15&amp;")", "Bar",, "Close","D","0","all",,,,"T"),""))</f>
        <v>6904</v>
      </c>
      <c r="I9" s="117"/>
      <c r="J9" s="7">
        <f>IF(LEFT(IFERROR(RTD("cqg.rtd",,"StudyData","FPVol(FootprintOp ("&amp;B13&amp;", 0),"&amp;J15&amp;")", "Bar",, "Close","D","0","all",,,,"T"),""),3)="777","",IFERROR(RTD("cqg.rtd",,"StudyData","FPVol(FootprintOp ("&amp;B13&amp;", 0),"&amp;J15&amp;")", "Bar",, "Close","D","0","all",,,,"T"),""))</f>
        <v>12639</v>
      </c>
      <c r="K9" s="7">
        <f>IF(LEFT(IFERROR(RTD("cqg.rtd",,"StudyData","FPVol(FootprintOp ("&amp;B13&amp;", 0),"&amp;K15&amp;")", "Bar",, "Close","D","0","all",,,,"T"),""),3)="777","",IFERROR(RTD("cqg.rtd",,"StudyData","FPVol(FootprintOp ("&amp;B13&amp;", 0),"&amp;K15&amp;")", "Bar",, "Close","D","0","all",,,,"T"),""))</f>
        <v>11851</v>
      </c>
      <c r="L9" s="6">
        <f>IF(LEFT(IFERROR(RTD("cqg.rtd",,"StudyData","FPVol(FootprintOp ("&amp;B13&amp;", 0),"&amp;L15&amp;")", "Bar",, "Close","D","0","all",,,,"T"),""),3)="777","",IFERROR(RTD("cqg.rtd",,"StudyData","FPVol(FootprintOp ("&amp;B13&amp;", 0),"&amp;L15&amp;")", "Bar",, "Close","D","0","all",,,,"T"),""))</f>
        <v>13469</v>
      </c>
      <c r="M9" s="6">
        <f>IF(LEFT(IFERROR(RTD("cqg.rtd",,"StudyData","FPVol(FootprintOp ("&amp;B13&amp;", 0),"&amp;M15&amp;")", "Bar",, "Close","D","0","all",,,,"T"),""),3)="777","",IFERROR(RTD("cqg.rtd",,"StudyData","FPVol(FootprintOp ("&amp;B13&amp;", 0),"&amp;M15&amp;")", "Bar",, "Close","D","0","all",,,,"T"),""))</f>
        <v>13080</v>
      </c>
      <c r="N9" s="62" t="str">
        <f>IF(N12="B",TRUNC(RTD("cqg.rtd",,"DOMData",O13,"Price",1,"T"))&amp;"'"&amp;RIGHT(TEXT(DOLLARFR(RTD("cqg.rtd",,"DOMData",O13,"Price",1,"T"),32),N15),N14),TEXT(RTD("cqg.rtd",,"DOMData",O13,"Price",1,"T"),N15))</f>
        <v>1.23465</v>
      </c>
      <c r="O9" s="6">
        <f>IF(LEFT(IFERROR(RTD("cqg.rtd",,"StudyData","FPVol(FootprintOp ("&amp;O13&amp;", 0),"&amp;O15&amp;")", "Bar",, "Close","D","0","all",,,,"T"),""),3)="777","",IFERROR(RTD("cqg.rtd",,"StudyData","FPVol(FootprintOp ("&amp;O13&amp;", 0),"&amp;O15&amp;")", "Bar",, "Close","D","0","all",,,,"T"),""))</f>
        <v>2435</v>
      </c>
      <c r="P9" s="6">
        <f>IF(LEFT(IFERROR(RTD("cqg.rtd",,"StudyData","FPVol(FootprintOp ("&amp;O13&amp;", 0),"&amp;P15&amp;")", "Bar",, "Close","D","0","all",,,,"T"),""),3)="777","",IFERROR(RTD("cqg.rtd",,"StudyData","FPVol(FootprintOp ("&amp;O13&amp;", 0),"&amp;P15&amp;")", "Bar",, "Close","D","0","all",,,,"T"),""))</f>
        <v>2381</v>
      </c>
      <c r="Q9" s="7">
        <f>IF(LEFT(IFERROR(RTD("cqg.rtd",,"StudyData","FPVol(FootprintOp ("&amp;O13&amp;", 0),"&amp;Q15&amp;")", "Bar",, "Close","D","0","all",,,,"T"),""),3)="777","",IFERROR(RTD("cqg.rtd",,"StudyData","FPVol(FootprintOp ("&amp;O13&amp;", 0),"&amp;Q15&amp;")", "Bar",, "Close","D","0","all",,,,"T"),""))</f>
        <v>2434</v>
      </c>
      <c r="R9" s="7">
        <f>IF(LEFT(IFERROR(RTD("cqg.rtd",,"StudyData","FPVol(FootprintOp ("&amp;O13&amp;", 0),"&amp;R15&amp;")", "Bar",, "Close","D","0","all",,,,"T"),""),3)="777","",IFERROR(RTD("cqg.rtd",,"StudyData","FPVol(FootprintOp ("&amp;O13&amp;", 0),"&amp;R15&amp;")", "Bar",, "Close","D","0","all",,,,"T"),""))</f>
        <v>2607</v>
      </c>
      <c r="S9" s="116">
        <f>IF(LEFT(IFERROR(RTD("cqg.rtd",,"StudyData","FPVol(FootprintOp ("&amp;O13&amp;", 0),"&amp;S15&amp;")", "Bar",, "Close","D","0","all",,,,"T"),""),3)="777","",IFERROR(RTD("cqg.rtd",,"StudyData","FPVol(FootprintOp ("&amp;O13&amp;", 0),"&amp;S15&amp;")", "Bar",, "Close","D","0","all",,,,"T"),""))</f>
        <v>2597</v>
      </c>
      <c r="T9" s="117"/>
      <c r="U9" s="116">
        <f>IF(LEFT(IFERROR(RTD("cqg.rtd",,"StudyData","FPVol(FootprintOp ("&amp;O13&amp;", 0),"&amp;U15&amp;")", "Bar",, "Close","D","0","all",,,,"T"),""),3)="777","",IFERROR(RTD("cqg.rtd",,"StudyData","FPVol(FootprintOp ("&amp;O13&amp;", 0),"&amp;U15&amp;")", "Bar",, "Close","D","0","all",,,,"T"),""))</f>
        <v>3665</v>
      </c>
      <c r="V9" s="117"/>
      <c r="W9" s="7">
        <f>IF(LEFT(IFERROR(RTD("cqg.rtd",,"StudyData","FPVol(FootprintOp ("&amp;O13&amp;", 0),"&amp;W15&amp;")", "Bar",, "Close","D","0","all",,,,"T"),""),3)="777","",IFERROR(RTD("cqg.rtd",,"StudyData","FPVol(FootprintOp ("&amp;O13&amp;", 0),"&amp;W15&amp;")", "Bar",, "Close","D","0","all",,,,"T"),""))</f>
        <v>3314</v>
      </c>
      <c r="X9" s="7">
        <f>IF(LEFT(IFERROR(RTD("cqg.rtd",,"StudyData","FPVol(FootprintOp ("&amp;O13&amp;", 0),"&amp;X15&amp;")", "Bar",, "Close","D","0","all",,,,"T"),""),3)="777","",IFERROR(RTD("cqg.rtd",,"StudyData","FPVol(FootprintOp ("&amp;O13&amp;", 0),"&amp;X15&amp;")", "Bar",, "Close","D","0","all",,,,"T"),""))</f>
        <v>2590</v>
      </c>
      <c r="Y9" s="6">
        <f>IF(LEFT(IFERROR(RTD("cqg.rtd",,"StudyData","FPVol(FootprintOp ("&amp;O13&amp;", 0),"&amp;Y15&amp;")", "Bar",, "Close","D","0","all",,,,"T"),""),3)="777","",IFERROR(RTD("cqg.rtd",,"StudyData","FPVol(FootprintOp ("&amp;O13&amp;", 0),"&amp;Y15&amp;")", "Bar",, "Close","D","0","all",,,,"T"),""))</f>
        <v>2471</v>
      </c>
      <c r="Z9" s="6">
        <f>IF(LEFT(IFERROR(RTD("cqg.rtd",,"StudyData","FPVol(FootprintOp ("&amp;O13&amp;", 0),"&amp;Z15&amp;")", "Bar",, "Close","D","0","all",,,,"T"),""),3)="777","",IFERROR(RTD("cqg.rtd",,"StudyData","FPVol(FootprintOp ("&amp;O13&amp;", 0),"&amp;Z15&amp;")", "Bar",, "Close","D","0","all",,,,"T"),""))</f>
        <v>2315</v>
      </c>
    </row>
    <row r="10" spans="1:26" ht="17.45" customHeight="1" x14ac:dyDescent="0.3">
      <c r="A10" s="62" t="str">
        <f>IF(A12="B",TRUNC(RTD("cqg.rtd",,"DOMData",B13,"Price",-1,"T"))&amp;"'"&amp;RIGHT(TEXT(DOLLARFR(RTD("cqg.rtd",,"DOMData",B13,"Price",-1,"T"),32),A15),A14),TEXT(RTD("cqg.rtd",,"DOMData",B13,"Price",-1,"T"),A15))</f>
        <v>2732.50</v>
      </c>
      <c r="B10" s="41" t="s">
        <v>18</v>
      </c>
      <c r="C10" s="30" t="str">
        <f>RTD("cqg.rtd", ,"ContractData",B13, "LongSymbol",, "T")</f>
        <v>F.US.EPH18</v>
      </c>
      <c r="D10" s="42" t="s">
        <v>19</v>
      </c>
      <c r="E10" s="30" t="str">
        <f>IF(A12="B",RTD("cqg.rtd",,"ContractData",B13,"LastTradeToday",,A12),TEXT(RTD("cqg.rtd",,"ContractData",B13,"LastTradeToday",,A12),A15))</f>
        <v>2732.50</v>
      </c>
      <c r="F10" s="43" t="s">
        <v>20</v>
      </c>
      <c r="G10" s="38" t="str">
        <f>A13&amp;" "&amp;IF(A12="B",RTD("cqg.rtd",,"ContractData",B13,"NetLastTradeToday",,A12),TEXT(RTD("cqg.rtd",,"ContractData",B13,"NetLastTradeToday",,A12),A15))</f>
        <v>+ 18.50</v>
      </c>
      <c r="H10" s="42" t="s">
        <v>17</v>
      </c>
      <c r="I10" s="42" t="str">
        <f>IF(A12="B",RTD("cqg.rtd",,"ContractData",B13,"Open",,A12),TEXT(RTD("cqg.rtd",,"ContractData",B13,"Open",,A12),A15))</f>
        <v>2714.50</v>
      </c>
      <c r="J10" s="42" t="s">
        <v>22</v>
      </c>
      <c r="K10" s="30" t="str">
        <f>IF(A12="B",RTD("cqg.rtd",,"ContractData",B13,"High",,A12),TEXT(RTD("cqg.rtd",,"ContractData",B13,"High",,A12),A15))</f>
        <v>2737.25</v>
      </c>
      <c r="L10" s="42" t="s">
        <v>21</v>
      </c>
      <c r="M10" s="44" t="str">
        <f>IF(A12="B",RTD("cqg.rtd",,"ContractData",B13,"Low",,A12),TEXT(RTD("cqg.rtd",,"ContractData",B13,"Low",,A12),A15))</f>
        <v>2706.25</v>
      </c>
      <c r="N10" s="62" t="str">
        <f>IF(N12="B",TRUNC(RTD("cqg.rtd",,"DOMData",O13,"Price",-1,"T"))&amp;"'"&amp;RIGHT(TEXT(DOLLARFR(RTD("cqg.rtd",,"DOMData",O13,"Price",-1,"T"),32),N15),N14),TEXT(RTD("cqg.rtd",,"DOMData",O13,"Price",-1,"T"),N15))</f>
        <v>1.23455</v>
      </c>
      <c r="O10" s="41" t="s">
        <v>18</v>
      </c>
      <c r="P10" s="30" t="str">
        <f>RTD("cqg.rtd", ,"ContractData",O13, "LongSymbol",, "T")</f>
        <v>F.US.EU6H18</v>
      </c>
      <c r="Q10" s="42" t="s">
        <v>19</v>
      </c>
      <c r="R10" s="30" t="str">
        <f>IF(N12="B",RTD("cqg.rtd",,"ContractData",O13,"LastTradeToday",,N12),TEXT(RTD("cqg.rtd",,"ContractData",O13,"LastTradeToday",,N12),N15))</f>
        <v>1.23460</v>
      </c>
      <c r="S10" s="43" t="s">
        <v>20</v>
      </c>
      <c r="T10" s="38" t="str">
        <f>N13&amp;" "&amp;IF(N12="B",RTD("cqg.rtd",,"ContractData",O13,"NetLastTradeToday",,N12),TEXT(RTD("cqg.rtd",,"ContractData",O13,"NetLastTradeToday",,N12),N15))</f>
        <v xml:space="preserve"> -.00105</v>
      </c>
      <c r="U10" s="42" t="s">
        <v>17</v>
      </c>
      <c r="V10" s="42" t="str">
        <f>IF(N12="B",RTD("cqg.rtd",,"ContractData",O13,"Open",,N12),TEXT(RTD("cqg.rtd",,"ContractData",O13,"Open",,N12),N15))</f>
        <v>1.23540</v>
      </c>
      <c r="W10" s="42" t="s">
        <v>22</v>
      </c>
      <c r="X10" s="30" t="str">
        <f>IF(N12="B",RTD("cqg.rtd",,"ContractData",O13,"High",,N12),TEXT(RTD("cqg.rtd",,"ContractData",O13,"High",,N12),N15))</f>
        <v>1.23645</v>
      </c>
      <c r="Y10" s="42" t="s">
        <v>21</v>
      </c>
      <c r="Z10" s="44" t="str">
        <f>IF(N12="B",RTD("cqg.rtd",,"ContractData",O13,"Low",,N12),TEXT(RTD("cqg.rtd",,"ContractData",O13,"Low",,N12),N15))</f>
        <v>1.23205</v>
      </c>
    </row>
    <row r="11" spans="1:26" ht="15" customHeight="1" x14ac:dyDescent="0.3">
      <c r="A11" s="62">
        <f>RTD("cqg.rtd", ,"ContractData",B13, "TickSize",, "T")</f>
        <v>0.25</v>
      </c>
      <c r="B11" s="148" t="s">
        <v>0</v>
      </c>
      <c r="C11" s="3"/>
      <c r="D11" s="3" t="s">
        <v>1</v>
      </c>
      <c r="E11" s="3" t="s">
        <v>1</v>
      </c>
      <c r="F11" s="144" t="s">
        <v>26</v>
      </c>
      <c r="G11" s="145"/>
      <c r="H11" s="3" t="s">
        <v>23</v>
      </c>
      <c r="I11" s="133" t="s">
        <v>6</v>
      </c>
      <c r="J11" s="134"/>
      <c r="K11" s="133" t="s">
        <v>30</v>
      </c>
      <c r="L11" s="134"/>
      <c r="M11" s="8" t="s">
        <v>8</v>
      </c>
      <c r="N11" s="62">
        <f>RTD("cqg.rtd", ,"ContractData",O13, "TickSize",, "T")</f>
        <v>5.0000000000000002E-5</v>
      </c>
      <c r="O11" s="148" t="s">
        <v>0</v>
      </c>
      <c r="P11" s="3"/>
      <c r="Q11" s="3" t="s">
        <v>1</v>
      </c>
      <c r="R11" s="3" t="s">
        <v>1</v>
      </c>
      <c r="S11" s="144" t="s">
        <v>26</v>
      </c>
      <c r="T11" s="145"/>
      <c r="U11" s="3" t="s">
        <v>23</v>
      </c>
      <c r="V11" s="133" t="s">
        <v>6</v>
      </c>
      <c r="W11" s="134"/>
      <c r="X11" s="133" t="s">
        <v>30</v>
      </c>
      <c r="Y11" s="134"/>
      <c r="Z11" s="8" t="s">
        <v>8</v>
      </c>
    </row>
    <row r="12" spans="1:26" s="1" customFormat="1" ht="15" customHeight="1" x14ac:dyDescent="0.3">
      <c r="A12" s="65" t="str">
        <f>IF(OR(A11=0.0078125,A11=0.015625,A11=0.03125),"B","T")</f>
        <v>T</v>
      </c>
      <c r="B12" s="149"/>
      <c r="C12" s="2"/>
      <c r="D12" s="4" t="s">
        <v>7</v>
      </c>
      <c r="E12" s="4" t="s">
        <v>4</v>
      </c>
      <c r="F12" s="146"/>
      <c r="G12" s="147"/>
      <c r="H12" s="2" t="s">
        <v>4</v>
      </c>
      <c r="I12" s="100" t="s">
        <v>16</v>
      </c>
      <c r="J12" s="101"/>
      <c r="K12" s="135" t="s">
        <v>29</v>
      </c>
      <c r="L12" s="136"/>
      <c r="M12" s="5" t="s">
        <v>9</v>
      </c>
      <c r="N12" s="65" t="str">
        <f>IF(OR(N11=0.0078125,N11=0.015625,N11=0.03125),"B","T")</f>
        <v>T</v>
      </c>
      <c r="O12" s="149"/>
      <c r="P12" s="2"/>
      <c r="Q12" s="4" t="s">
        <v>7</v>
      </c>
      <c r="R12" s="4" t="s">
        <v>4</v>
      </c>
      <c r="S12" s="146"/>
      <c r="T12" s="147"/>
      <c r="U12" s="2" t="s">
        <v>4</v>
      </c>
      <c r="V12" s="100" t="s">
        <v>16</v>
      </c>
      <c r="W12" s="101"/>
      <c r="X12" s="135" t="s">
        <v>29</v>
      </c>
      <c r="Y12" s="136"/>
      <c r="Z12" s="5" t="s">
        <v>9</v>
      </c>
    </row>
    <row r="13" spans="1:26" s="47" customFormat="1" ht="17.45" customHeight="1" x14ac:dyDescent="0.25">
      <c r="A13" s="66" t="str">
        <f>IF(A12="B","",(IF(RTD("cqg.rtd",,"ContractData",B13,"NetLastTradeToday",,A12)&gt;0,"+","")))</f>
        <v>+</v>
      </c>
      <c r="B13" s="110" t="s">
        <v>10</v>
      </c>
      <c r="C13" s="45" t="s">
        <v>2</v>
      </c>
      <c r="D13" s="46" t="str">
        <f>IF(A12="B",RTD("cqg.rtd", ,"ContractData",B13, "Ask",,A12),TEXT(RTD("cqg.rtd", ,"ContractData",B13, "Ask",,A12),A15))</f>
        <v>2732.75</v>
      </c>
      <c r="E13" s="46">
        <f>RTD("cqg.rtd", ,"ContractData",B13, "MT_LastAskVolume",, "T")</f>
        <v>119</v>
      </c>
      <c r="F13" s="123" t="str">
        <f>IF(A12="B",RTD("cqg.rtd",,"ContractData",B13,"LastTradeToday",,A12),TEXT(RTD("cqg.rtd",,"ContractData",B13,"LastTradeToday",,A12),A15))</f>
        <v>2732.50</v>
      </c>
      <c r="G13" s="124"/>
      <c r="H13" s="127">
        <f>RTD("cqg.rtd", ,"ContractData",B13, "VolumeLastTrade",, "T")</f>
        <v>1</v>
      </c>
      <c r="I13" s="129">
        <f>IF(G15="","",IFERROR(RTD("cqg.rtd",,"StudyData","FPVol(FootprintOp ("&amp;B13&amp;", 0),"&amp;G15&amp;")", "Bar",, "Close","D","0","all",,,,"T"),""))</f>
        <v>5996</v>
      </c>
      <c r="J13" s="130"/>
      <c r="K13" s="118" t="str">
        <f>IF(A12="B",TRUNC(RTD("cqg.rtd",,"StudyData",B13,"TFlow", "AggregateBy=TFlowSimpleAggregation, Aggregation=1", "High",,"0",,,,,"T"))&amp;"'"&amp;RIGHT(TEXT(DOLLARFR(MOD(RTD("cqg.rtd",,"StudyData",B13,"TFlow", "AggregateBy=TFlowSimpleAggregation, Aggregation=1", "High",,"0",,,,,"T"),1),32),A15),A14),TEXT(RTD("cqg.rtd",,"StudyData",B13,"TFlow", "AggregateBy=TFlowSimpleAggregation, Aggregation=1", "High",,"0",,,,,"T"),A15))</f>
        <v>2732.75</v>
      </c>
      <c r="L13" s="119"/>
      <c r="M13" s="9">
        <f>RTD("cqg.rtd",,"StudyData","(TFlowSimpleAggregation(TFlowOp("&amp;B13&amp;", 0, 0), 1))","Vol",, "VolAsk",,,"all",,,,"T")</f>
        <v>2</v>
      </c>
      <c r="N13" s="66" t="str">
        <f>IF(N12="B","",(IF(RTD("cqg.rtd",,"ContractData",O13,"NetLastTradeToday",,N12)&gt;0,"+","")))</f>
        <v/>
      </c>
      <c r="O13" s="110" t="s">
        <v>24</v>
      </c>
      <c r="P13" s="45" t="s">
        <v>2</v>
      </c>
      <c r="Q13" s="46" t="str">
        <f>IF(N12="B",RTD("cqg.rtd", ,"ContractData",O13, "Ask",,N12),TEXT(RTD("cqg.rtd", ,"ContractData",O13, "Ask",,N12),N15))</f>
        <v>1.23465</v>
      </c>
      <c r="R13" s="46">
        <f>RTD("cqg.rtd", ,"ContractData",O13, "MT_LastAskVolume",, "T")</f>
        <v>33</v>
      </c>
      <c r="S13" s="123" t="str">
        <f>IF(N12="B",RTD("cqg.rtd",,"ContractData",O13,"LastTradeToday",,N12),TEXT(RTD("cqg.rtd",,"ContractData",O13,"LastTradeToday",,N12),N15))</f>
        <v>1.23460</v>
      </c>
      <c r="T13" s="124"/>
      <c r="U13" s="127">
        <f>RTD("cqg.rtd", ,"ContractData",O13, "VolumeLastTrade",, "T")</f>
        <v>1</v>
      </c>
      <c r="V13" s="129">
        <f>IF(T15="","",IFERROR(RTD("cqg.rtd",,"StudyData","FPVol(FootprintOp ("&amp;O13&amp;", 0),"&amp;T15&amp;")", "Bar",, "Close","D","0","all",,,,"T"),""))</f>
        <v>2619</v>
      </c>
      <c r="W13" s="130"/>
      <c r="X13" s="118" t="str">
        <f>IF(N12="B",TRUNC(RTD("cqg.rtd",,"StudyData",O13,"TFlow", "AggregateBy=TFlowSimpleAggregation, Aggregation=1", "High",,"0",,,,,"T"))&amp;"'"&amp;RIGHT(TEXT(DOLLARFR(MOD(RTD("cqg.rtd",,"StudyData",O13,"TFlow", "AggregateBy=TFlowSimpleAggregation, Aggregation=1", "High",,"0",,,,,"T"),1),32),N15),N14),TEXT(RTD("cqg.rtd",,"StudyData",O13,"TFlow", "AggregateBy=TFlowSimpleAggregation, Aggregation=1", "High",,"0",,,,,"T"),N15))</f>
        <v>1.23465</v>
      </c>
      <c r="Y13" s="119"/>
      <c r="Z13" s="9">
        <f>RTD("cqg.rtd",,"StudyData","(TFlowSimpleAggregation(TFlowOp("&amp;O13&amp;", 0, 0), 1))","Vol",, "VolAsk",,,"all",,,,"T")</f>
        <v>5</v>
      </c>
    </row>
    <row r="14" spans="1:26" s="47" customFormat="1" ht="17.45" customHeight="1" x14ac:dyDescent="0.25">
      <c r="A14" s="66">
        <f>IF(A12="B",LEN(DOLLARFR(A11,32))-2,LEN(A11)-LEN(RIGHT(A11,2)))</f>
        <v>2</v>
      </c>
      <c r="B14" s="111"/>
      <c r="C14" s="48" t="s">
        <v>3</v>
      </c>
      <c r="D14" s="49" t="str">
        <f>IF(A12="B",RTD("cqg.rtd", ,"ContractData",B13, "Bid",,A12),TEXT(RTD("cqg.rtd", ,"ContractData",B13, "Bid",,A12),A15))</f>
        <v>2732.50</v>
      </c>
      <c r="E14" s="49">
        <f>RTD("cqg.rtd", ,"ContractData",B13, "MT_LastBidVolume",, "T")</f>
        <v>67</v>
      </c>
      <c r="F14" s="125"/>
      <c r="G14" s="126"/>
      <c r="H14" s="137"/>
      <c r="I14" s="131"/>
      <c r="J14" s="132"/>
      <c r="K14" s="120" t="str">
        <f>IF(A12="B",TRUNC(RTD("cqg.rtd",,"StudyData",B13,"TFlow", "AggregateBy=TFlowSimpleAggregation, Aggregation=1", "Low",,"0",,,,,"T"))&amp;"'"&amp;RIGHT(TEXT(DOLLARFR(MOD(RTD("cqg.rtd",,"StudyData",B13,"TFlow", "AggregateBy=TFlowSimpleAggregation, Aggregation=1", "Low",,"0",,,,,"T"),1),32),A15),A14),TEXT(RTD("cqg.rtd",,"StudyData",B13,"TFlow", "AggregateBy=TFlowSimpleAggregation, Aggregation=1", "Low",,"0",,,,,"T"),A15))</f>
        <v>2732.50</v>
      </c>
      <c r="L14" s="121"/>
      <c r="M14" s="35">
        <f>RTD("cqg.rtd",,"StudyData","(TFlowSimpleAggregation(TFlowOp("&amp;B13&amp;", 0, 0), 1))","Vol",, "VolBid",,,"all",,,,"T")</f>
        <v>109</v>
      </c>
      <c r="N14" s="66">
        <f>IF(N12="B",LEN(DOLLARFR(N11,32))-2,LEN(N11)-LEN(RIGHT(N11,2)))</f>
        <v>5</v>
      </c>
      <c r="O14" s="111"/>
      <c r="P14" s="48" t="s">
        <v>3</v>
      </c>
      <c r="Q14" s="49" t="str">
        <f>IF(N12="B",RTD("cqg.rtd", ,"ContractData",O13, "Bid",,N12),TEXT(RTD("cqg.rtd", ,"ContractData",O13, "Bid",,N12),N15))</f>
        <v>1.23455</v>
      </c>
      <c r="R14" s="49">
        <f>RTD("cqg.rtd", ,"ContractData",O13, "MT_LastBidVolume",, "T")</f>
        <v>31</v>
      </c>
      <c r="S14" s="125"/>
      <c r="T14" s="126"/>
      <c r="U14" s="137"/>
      <c r="V14" s="131"/>
      <c r="W14" s="132"/>
      <c r="X14" s="120" t="str">
        <f>IF(N12="B",TRUNC(RTD("cqg.rtd",,"StudyData",O13,"TFlow", "AggregateBy=TFlowSimpleAggregation, Aggregation=1", "Low",,"0",,,,,"T"))&amp;"'"&amp;RIGHT(TEXT(DOLLARFR(MOD(RTD("cqg.rtd",,"StudyData",O13,"TFlow", "AggregateBy=TFlowSimpleAggregation, Aggregation=1", "Low",,"0",,,,,"T"),1),32),N15),N14),TEXT(RTD("cqg.rtd",,"StudyData",O13,"TFlow", "AggregateBy=TFlowSimpleAggregation, Aggregation=1", "Low",,"0",,,,,"T"),N15))</f>
        <v>1.23460</v>
      </c>
      <c r="Y14" s="121"/>
      <c r="Z14" s="35">
        <f>RTD("cqg.rtd",,"StudyData","(TFlowSimpleAggregation(TFlowOp("&amp;O13&amp;", 0, 0), 1))","Vol",, "VolBid",,,"all",,,,"T")</f>
        <v>7</v>
      </c>
    </row>
    <row r="15" spans="1:26" ht="2.1" customHeight="1" x14ac:dyDescent="0.3">
      <c r="A15" s="78" t="str">
        <f>IF(A14=0,"#",IF(A14=1,"#.00",IF(A14=2,"#.00",IF(A14=3,"#.000",IF(A14=4,"#.0000",IF(A14=5,"#.00000",IF(A14=6,"#.000000",IF(A14=7,"#.0000000"))))))))</f>
        <v>#.00</v>
      </c>
      <c r="B15" s="50">
        <f>RTD("cqg.rtd",,"DOMData",B13,"Price",-5,"T")</f>
        <v>2731.5</v>
      </c>
      <c r="C15" s="51">
        <f>RTD("cqg.rtd",,"DOMData",B13,"Price",-4,"T")</f>
        <v>2731.75</v>
      </c>
      <c r="D15" s="52">
        <f>RTD("cqg.rtd",,"DOMData",B13,"Price",-3,"T")</f>
        <v>2732</v>
      </c>
      <c r="E15" s="51">
        <f>RTD("cqg.rtd",,"DOMData",B13,"Price",-2,"T")</f>
        <v>2732.25</v>
      </c>
      <c r="F15" s="52" t="str">
        <f>TEXT(RTD("cqg.rtd",,"DOMData",B13,"Price",-1,"T"),A15)</f>
        <v>2732.50</v>
      </c>
      <c r="G15" s="52">
        <f>RTD("cqg.rtd",,"ContractData",B13,"LastTradeToday",,"T")</f>
        <v>2732.5</v>
      </c>
      <c r="H15" s="51" t="str">
        <f>TEXT(RTD("cqg.rtd",,"DOMData",B13,"Price",1,"T"),A15)</f>
        <v>2732.75</v>
      </c>
      <c r="I15" s="51"/>
      <c r="J15" s="51">
        <f>RTD("cqg.rtd",,"DOMData",B13,"Price",2,"T")</f>
        <v>2733</v>
      </c>
      <c r="K15" s="52">
        <f>RTD("cqg.rtd",,"DOMData",B13,"Price",3,"T")</f>
        <v>2733.25</v>
      </c>
      <c r="L15" s="52">
        <f>RTD("cqg.rtd",,"DOMData",B13,"Price",4,"T")</f>
        <v>2733.5</v>
      </c>
      <c r="M15" s="34">
        <f>RTD("cqg.rtd",,"DOMData",B13,"Price",5,"T")</f>
        <v>2733.75</v>
      </c>
      <c r="N15" s="62" t="str">
        <f>IF(N14=0,"#",IF(N14=1,"#.00",IF(N14=2,"#.00",IF(N14=3,"#.000",IF(N14=4,"#.0000",IF(N14=5,"#.00000",IF(N14=6,"#.000000",IF(N14=7,"#.0000000"))))))))</f>
        <v>#.00000</v>
      </c>
      <c r="O15" s="50">
        <f>RTD("cqg.rtd",,"DOMData",O13,"Price",-5,"T")</f>
        <v>1.2343500000000001</v>
      </c>
      <c r="P15" s="51">
        <f>RTD("cqg.rtd",,"DOMData",O13,"Price",-4,"T")</f>
        <v>1.2343999999999999</v>
      </c>
      <c r="Q15" s="52">
        <f>RTD("cqg.rtd",,"DOMData",O13,"Price",-3,"T")</f>
        <v>1.23445</v>
      </c>
      <c r="R15" s="51">
        <f>RTD("cqg.rtd",,"DOMData",O13,"Price",-2,"T")</f>
        <v>1.2344999999999999</v>
      </c>
      <c r="S15" s="52" t="str">
        <f>TEXT(RTD("cqg.rtd",,"DOMData",O13,"Price",-1,"T"),N15)</f>
        <v>1.23455</v>
      </c>
      <c r="T15" s="52">
        <f>RTD("cqg.rtd",,"ContractData",O13,"LastTradeToday",,"T")</f>
        <v>1.2346000000000001</v>
      </c>
      <c r="U15" s="51" t="str">
        <f>TEXT(RTD("cqg.rtd",,"DOMData",O13,"Price",1,"T"),N15)</f>
        <v>1.23465</v>
      </c>
      <c r="V15" s="51"/>
      <c r="W15" s="51">
        <f>RTD("cqg.rtd",,"DOMData",O13,"Price",2,"T")</f>
        <v>1.2346999999999999</v>
      </c>
      <c r="X15" s="52">
        <f>RTD("cqg.rtd",,"DOMData",O13,"Price",3,"T")</f>
        <v>1.23475</v>
      </c>
      <c r="Y15" s="52">
        <f>RTD("cqg.rtd",,"DOMData",O13,"Price",4,"T")</f>
        <v>1.2347999999999999</v>
      </c>
      <c r="Z15" s="34">
        <f>RTD("cqg.rtd",,"DOMData",O13,"Price",5,"T")</f>
        <v>1.23485</v>
      </c>
    </row>
    <row r="16" spans="1:26" ht="21.95" customHeight="1" x14ac:dyDescent="0.3">
      <c r="A16" s="64">
        <f>RTD("cqg.rtd",,"StudyData","FPMax(FootprintOp("&amp;B25&amp;",0))", "Bar",, "Close","D","0","all",,,,"T")</f>
        <v>6837.5</v>
      </c>
      <c r="B16" s="180" t="str">
        <f>RTD("cqg.rtd",,"ContractData",B25,"LongDescription",,"T")</f>
        <v>E-mini NASDAQ-100, Mar 18</v>
      </c>
      <c r="C16" s="181"/>
      <c r="D16" s="181"/>
      <c r="E16" s="181"/>
      <c r="F16" s="181"/>
      <c r="G16" s="181"/>
      <c r="H16" s="182" t="str">
        <f>"  Price with highest traded volume:  "&amp;TEXT(A17,A27)&amp;"      "&amp;A18</f>
        <v xml:space="preserve">  Price with highest traded volume:  6837.50      2,628</v>
      </c>
      <c r="I16" s="182"/>
      <c r="J16" s="182"/>
      <c r="K16" s="182"/>
      <c r="L16" s="182"/>
      <c r="M16" s="183"/>
      <c r="N16" s="64">
        <f>RTD("cqg.rtd",,"StudyData","FPMax(FootprintOp("&amp;O25&amp;",0))", "Bar",, "Close","D","0","all",,,,"T")</f>
        <v>1.3954</v>
      </c>
      <c r="O16" s="180" t="str">
        <f>RTD("cqg.rtd",,"ContractData",O25,"LongDescription",,"T")</f>
        <v>British Pound (Globex), Mar 18</v>
      </c>
      <c r="P16" s="181"/>
      <c r="Q16" s="181"/>
      <c r="R16" s="181"/>
      <c r="S16" s="181"/>
      <c r="T16" s="181"/>
      <c r="U16" s="186" t="str">
        <f>"  Price with highest traded volume:  "&amp;TEXT(N17,N27)&amp;"      "&amp;N18</f>
        <v xml:space="preserve">  Price with highest traded volume:  1.3954      2,349</v>
      </c>
      <c r="V16" s="186"/>
      <c r="W16" s="186"/>
      <c r="X16" s="186"/>
      <c r="Y16" s="186"/>
      <c r="Z16" s="187"/>
    </row>
    <row r="17" spans="1:26" ht="17.100000000000001" customHeight="1" x14ac:dyDescent="0.3">
      <c r="A17" s="62" t="str">
        <f>IF(A24="B",TRUNC(RTD("cqg.rtd",,"StudyData","FPMax(FootprintOp("&amp;B25&amp;",0))", "Bar",, "Close","D","0","all",,,,"T"))&amp;"'"&amp;RIGHT(TEXT(DOLLARFR(RTD("cqg.rtd",,"StudyData","FPMax(FootprintOp("&amp;B25&amp;",0))", "Bar",, "Close","D","0","all",,,,"T"),32),A27),A26),TEXT(RTD("cqg.rtd",,"StudyData","FPMax(FootprintOp("&amp;B25&amp;",0))", "Bar",, "Close","D","0","all",,,,"T"),A27))</f>
        <v>6837.50</v>
      </c>
      <c r="B17" s="138" t="str">
        <f>IF(A24="B",TRUNC(RTD("cqg.rtd",,"DOMData",B25,"Price",-5,"T"))&amp;"'"&amp;RIGHT(TEXT(DOLLARFR(RTD("cqg.rtd",,"DOMData",B25,"Price",-5,"T"),32),A27),A26),TEXT(RTD("cqg.rtd",,"DOMData",B25,"Price",-5,"T"),A27))</f>
        <v>6836.75</v>
      </c>
      <c r="C17" s="140" t="str">
        <f>IF(A24="B",TRUNC(RTD("cqg.rtd",,"DOMData",B25,"Price",-4,"T"))&amp;"'"&amp;RIGHT(TEXT(DOLLARFR(RTD("cqg.rtd",,"DOMData",B25,"Price",-4,"T"),32),A27),A26),TEXT(RTD("cqg.rtd",,"DOMData",B25,"Price",-4,"T"),A27))</f>
        <v>6837.00</v>
      </c>
      <c r="D17" s="142" t="str">
        <f>IF(A24="B",TRUNC(RTD("cqg.rtd",,"DOMData",B25,"Price",-3,"T"))&amp;"'"&amp;RIGHT(TEXT(DOLLARFR(RTD("cqg.rtd",,"DOMData",B25,"Price",-3,"T"),32),A27),A26),TEXT(RTD("cqg.rtd",,"DOMData",B25,"Price",-3,"T"),A27))</f>
        <v>6837.25</v>
      </c>
      <c r="E17" s="102" t="str">
        <f>IF(A24="B",TRUNC(RTD("cqg.rtd",,"DOMData",B25,"Price",-2,"T"))&amp;"'"&amp;RIGHT(TEXT(DOLLARFR(RTD("cqg.rtd",,"DOMData",B25,"Price",-2,"T"),32),A27),A26),TEXT(RTD("cqg.rtd",,"DOMData",B25,"Price",-2,"T"),A27))</f>
        <v>6837.50</v>
      </c>
      <c r="F17" s="31" t="str">
        <f>IFERROR(IF(A24="B",LEFT(A22,FIND("'",A22)),LEFT(TEXT(RTD("cqg.rtd",,"DOMData",B25,"Price",-1,"T"),A27),FIND(".",F27))),"")</f>
        <v>6837.</v>
      </c>
      <c r="G17" s="104" t="str">
        <f>IFERROR(IF(A24="B",RIGHT(A22,LEN(A22)-FIND("'",A22)),RIGHT(TEXT(RTD("cqg.rtd",,"DOMData",B25,"Price",-1,"T"),A27),LEN(D26)-FIND(".",D26))),A22)</f>
        <v>75</v>
      </c>
      <c r="H17" s="33" t="str">
        <f>IFERROR(IF(A24="B",LEFT(A21,FIND("'",A21)),LEFT(TEXT(RTD("cqg.rtd",,"DOMData",B25,"Price",1,"T"),A27),FIND(".",H27))),"")</f>
        <v>6838.</v>
      </c>
      <c r="I17" s="106" t="str">
        <f>IFERROR(IF(A24="B",RIGHT(A21,LEN(A21)-FIND("'",A21)),RIGHT(TEXT(RTD("cqg.rtd",,"DOMData",B25,"Price",1,"T"),A27),LEN(D26)-FIND(".",D26))),A21)</f>
        <v>25</v>
      </c>
      <c r="J17" s="108" t="str">
        <f>IF(A24="B",TRUNC(RTD("cqg.rtd",,"DOMData",B25,"Price",2,"T"))&amp;"'"&amp;RIGHT(TEXT(DOLLARFR(RTD("cqg.rtd",,"DOMData",B25,"Price",2,"T"),32),A27),A26),TEXT(RTD("cqg.rtd",,"DOMData",B25,"Price",2,"T"),A27))</f>
        <v>6838.50</v>
      </c>
      <c r="K17" s="152" t="str">
        <f>IF(A24="B",TRUNC(RTD("cqg.rtd",,"DOMData",B25,"Price",3,"T"))&amp;"'"&amp;RIGHT(TEXT(DOLLARFR(RTD("cqg.rtd",,"DOMData",B25,"Price",3,"T"),32),A27),A26),TEXT(RTD("cqg.rtd",,"DOMData",B25,"Price",3,"T"),A27))</f>
        <v>6838.75</v>
      </c>
      <c r="L17" s="154" t="str">
        <f>IF(A24="B",TRUNC(RTD("cqg.rtd",,"DOMData",B25,"Price",4,"T"))&amp;"'"&amp;RIGHT(TEXT(DOLLARFR(RTD("cqg.rtd",,"DOMData",B25,"Price",4,"T"),32),A27),A26),TEXT(RTD("cqg.rtd",,"DOMData",B25,"Price",4,"T"),A27))</f>
        <v>6839.00</v>
      </c>
      <c r="M17" s="150" t="str">
        <f>IF(A24="B",TRUNC(RTD("cqg.rtd",,"DOMData",B25,"Price",5,"T"))&amp;"'"&amp;RIGHT(TEXT(DOLLARFR(RTD("cqg.rtd",,"DOMData",B25,"Price",5,"T"),32),A27),A26),TEXT(RTD("cqg.rtd",,"DOMData",B25,"Price",5,"T"),A27))</f>
        <v>6839.25</v>
      </c>
      <c r="N17" s="62" t="str">
        <f>IF(N24="B",TRUNC(RTD("cqg.rtd",,"StudyData","FPMax(FootprintOp("&amp;O25&amp;",0))", "Bar",, "Close","D","0","all",,,,"T"))&amp;"'"&amp;RIGHT(TEXT(DOLLARFR(RTD("cqg.rtd",,"StudyData","FPMax(FootprintOp("&amp;O25&amp;",0))", "Bar",, "Close","D","0","all",,,,"T"),32),N27),N26),TEXT(RTD("cqg.rtd",,"StudyData","FPMax(FootprintOp("&amp;O25&amp;",0))", "Bar",, "Close","D","0","all",,,,"T"),N27))</f>
        <v>1.3954</v>
      </c>
      <c r="O17" s="138" t="str">
        <f>IF(N24="B",TRUNC(RTD("cqg.rtd",,"DOMData",O25,"Price",-5,"T"))&amp;"'"&amp;RIGHT(TEXT(DOLLARFR(RTD("cqg.rtd",,"DOMData",O25,"Price",-5,"T"),32),N27),N26),TEXT(RTD("cqg.rtd",,"DOMData",O25,"Price",-5,"T"),N27))</f>
        <v>1.3975</v>
      </c>
      <c r="P17" s="140" t="str">
        <f>IF(N24="B",TRUNC(RTD("cqg.rtd",,"DOMData",O25,"Price",-4,"T"))&amp;"'"&amp;RIGHT(TEXT(DOLLARFR(RTD("cqg.rtd",,"DOMData",O25,"Price",-4,"T"),32),N27),N26),TEXT(RTD("cqg.rtd",,"DOMData",O25,"Price",-4,"T"),N27))</f>
        <v>1.3976</v>
      </c>
      <c r="Q17" s="142" t="str">
        <f>IF(N24="B",TRUNC(RTD("cqg.rtd",,"DOMData",O25,"Price",-3,"T"))&amp;"'"&amp;RIGHT(TEXT(DOLLARFR(RTD("cqg.rtd",,"DOMData",O25,"Price",-3,"T"),32),N27),N26),TEXT(RTD("cqg.rtd",,"DOMData",O25,"Price",-3,"T"),N27))</f>
        <v>1.3977</v>
      </c>
      <c r="R17" s="102" t="str">
        <f>IF(N24="B",TRUNC(RTD("cqg.rtd",,"DOMData",O25,"Price",-2,"T"))&amp;"'"&amp;RIGHT(TEXT(DOLLARFR(RTD("cqg.rtd",,"DOMData",O25,"Price",-2,"T"),32),N27),N26),TEXT(RTD("cqg.rtd",,"DOMData",O25,"Price",-2,"T"),N27))</f>
        <v>1.3978</v>
      </c>
      <c r="S17" s="31" t="str">
        <f>IFERROR(IF(N24="B",LEFT(N22,FIND("'",N22)),LEFT(TEXT(RTD("cqg.rtd",,"DOMData",O25,"Price",-1,"T"),N27),FIND(".",S27))),"")</f>
        <v>1.</v>
      </c>
      <c r="T17" s="104" t="str">
        <f>IFERROR(IF(N24="B",RIGHT(N22,LEN(N22)-FIND("'",N22)),RIGHT(TEXT(RTD("cqg.rtd",,"DOMData",O25,"Price",-1,"T"),N27),LEN(Q26)-FIND(".",Q26))),N22)</f>
        <v>3979</v>
      </c>
      <c r="U17" s="33" t="str">
        <f>IFERROR(IF(N24="B",LEFT(N21,FIND("'",N21)),LEFT(TEXT(RTD("cqg.rtd",,"DOMData",O25,"Price",1,"T"),N27),FIND(".",U27))),"")</f>
        <v>1.</v>
      </c>
      <c r="V17" s="106" t="str">
        <f>IFERROR(IF(N24="B",RIGHT(N21,LEN(N21)-FIND("'",N21)),RIGHT(TEXT(RTD("cqg.rtd",,"DOMData",O25,"Price",1,"T"),N27),LEN(Q26)-FIND(".",Q26))),N21)</f>
        <v>3980</v>
      </c>
      <c r="W17" s="108" t="str">
        <f>IF(N24="B",TRUNC(RTD("cqg.rtd",,"DOMData",O25,"Price",2,"T"))&amp;"'"&amp;RIGHT(TEXT(DOLLARFR(RTD("cqg.rtd",,"DOMData",O25,"Price",2,"T"),32),N27),N26),TEXT(RTD("cqg.rtd",,"DOMData",O25,"Price",2,"T"),N27))</f>
        <v>1.3981</v>
      </c>
      <c r="X17" s="152" t="str">
        <f>IF(N24="B",TRUNC(RTD("cqg.rtd",,"DOMData",O25,"Price",3,"T"))&amp;"'"&amp;RIGHT(TEXT(DOLLARFR(RTD("cqg.rtd",,"DOMData",O25,"Price",3,"T"),32),N27),N26),TEXT(RTD("cqg.rtd",,"DOMData",O25,"Price",3,"T"),N27))</f>
        <v>1.3982</v>
      </c>
      <c r="Y17" s="154" t="str">
        <f>IF(N24="B",TRUNC(RTD("cqg.rtd",,"DOMData",O25,"Price",4,"T"))&amp;"'"&amp;RIGHT(TEXT(DOLLARFR(RTD("cqg.rtd",,"DOMData",O25,"Price",4,"T"),32),N27),N26),TEXT(RTD("cqg.rtd",,"DOMData",O25,"Price",4,"T"),N27))</f>
        <v>1.3983</v>
      </c>
      <c r="Z17" s="150" t="str">
        <f>IF(N24="B",TRUNC(RTD("cqg.rtd",,"DOMData",O25,"Price",5,"T"))&amp;"'"&amp;RIGHT(TEXT(DOLLARFR(RTD("cqg.rtd",,"DOMData",O25,"Price",5,"T"),32),N27),N26),TEXT(RTD("cqg.rtd",,"DOMData",O25,"Price",5,"T"),N27))</f>
        <v>1.3984</v>
      </c>
    </row>
    <row r="18" spans="1:26" ht="17.100000000000001" customHeight="1" x14ac:dyDescent="0.3">
      <c r="A18" s="63" t="str">
        <f>IF(A17="","",TEXT(RTD("cqg.rtd",,"StudyData","FPVol(FootprintOp ("&amp;B25&amp;", 0),"&amp;A16&amp;")", "Bar",, "Close","D","0","all",,,,"T"),"#,###"))</f>
        <v>2,628</v>
      </c>
      <c r="B18" s="139"/>
      <c r="C18" s="141"/>
      <c r="D18" s="143"/>
      <c r="E18" s="103"/>
      <c r="F18" s="32">
        <f>RTD("cqg.rtd",,"DOMData",B25,"Price",-1,"T")</f>
        <v>6837.75</v>
      </c>
      <c r="G18" s="105"/>
      <c r="H18" s="37">
        <f>RTD("cqg.rtd",,"DOMData",B25,"Price",1,"T")</f>
        <v>6838.25</v>
      </c>
      <c r="I18" s="107"/>
      <c r="J18" s="109"/>
      <c r="K18" s="153"/>
      <c r="L18" s="155"/>
      <c r="M18" s="151"/>
      <c r="N18" s="63" t="str">
        <f>IF(N17="","",TEXT(RTD("cqg.rtd",,"StudyData","FPVol(FootprintOp ("&amp;O25&amp;", 0),"&amp;N16&amp;")", "Bar",, "Close","D","0","all",,,,"T"),"#,###"))</f>
        <v>2,349</v>
      </c>
      <c r="O18" s="139"/>
      <c r="P18" s="141"/>
      <c r="Q18" s="143"/>
      <c r="R18" s="103"/>
      <c r="S18" s="32">
        <f>RTD("cqg.rtd",,"DOMData",O25,"Price",-1,"T")</f>
        <v>1.3978999999999999</v>
      </c>
      <c r="T18" s="105"/>
      <c r="U18" s="37">
        <f>RTD("cqg.rtd",,"DOMData",O25,"Price",1,"T")</f>
        <v>1.3979999999999999</v>
      </c>
      <c r="V18" s="107"/>
      <c r="W18" s="109"/>
      <c r="X18" s="153"/>
      <c r="Y18" s="155"/>
      <c r="Z18" s="151"/>
    </row>
    <row r="19" spans="1:26" ht="17.45" customHeight="1" x14ac:dyDescent="0.3">
      <c r="A19" s="62">
        <f>IF(RTD("cqg.rtd",,"ContractData",B25,"NetLastTradeToday",,"T")&gt;=0,1,0)</f>
        <v>1</v>
      </c>
      <c r="B19" s="10">
        <f>RTD("cqg.rtd",,"DOMData",B25,"Volume",-5)</f>
        <v>17</v>
      </c>
      <c r="C19" s="11">
        <f>RTD("cqg.rtd",,"DOMData",B25,"Volume",-4)</f>
        <v>22</v>
      </c>
      <c r="D19" s="12">
        <f>RTD("cqg.rtd",,"DOMData",B25,"Volume",-3)</f>
        <v>12</v>
      </c>
      <c r="E19" s="13">
        <f>RTD("cqg.rtd",,"DOMData",B25,"Volume",-2)</f>
        <v>6</v>
      </c>
      <c r="F19" s="112">
        <f>RTD("cqg.rtd",,"DOMData",B25,"Volume",-1)</f>
        <v>3</v>
      </c>
      <c r="G19" s="113"/>
      <c r="H19" s="114">
        <f>RTD("cqg.rtd",,"DOMData",B25,"Volume",1)</f>
        <v>3</v>
      </c>
      <c r="I19" s="115"/>
      <c r="J19" s="14">
        <f>RTD("cqg.rtd",,"DOMData",B25,"Volume",2)</f>
        <v>7</v>
      </c>
      <c r="K19" s="15">
        <f>RTD("cqg.rtd",,"DOMData",B25,"Volume",3)</f>
        <v>9</v>
      </c>
      <c r="L19" s="16">
        <f>RTD("cqg.rtd",,"DOMData",B25,"Volume",4)</f>
        <v>16</v>
      </c>
      <c r="M19" s="17">
        <f>RTD("cqg.rtd",,"DOMData",B25,"Volume",5)</f>
        <v>18</v>
      </c>
      <c r="N19" s="62">
        <f>IF(RTD("cqg.rtd",,"ContractData",O25,"NetLastTradeToday",,"T")&gt;=0,1,0)</f>
        <v>0</v>
      </c>
      <c r="O19" s="10">
        <f>RTD("cqg.rtd",,"DOMData",O25,"Volume",-5)</f>
        <v>85</v>
      </c>
      <c r="P19" s="11">
        <f>RTD("cqg.rtd",,"DOMData",O25,"Volume",-4)</f>
        <v>66</v>
      </c>
      <c r="Q19" s="12">
        <f>RTD("cqg.rtd",,"DOMData",O25,"Volume",-3)</f>
        <v>48</v>
      </c>
      <c r="R19" s="13">
        <f>RTD("cqg.rtd",,"DOMData",O25,"Volume",-2)</f>
        <v>51</v>
      </c>
      <c r="S19" s="112">
        <f>RTD("cqg.rtd",,"DOMData",O25,"Volume",-1)</f>
        <v>20</v>
      </c>
      <c r="T19" s="113"/>
      <c r="U19" s="114">
        <f>RTD("cqg.rtd",,"DOMData",O25,"Volume",1)</f>
        <v>7</v>
      </c>
      <c r="V19" s="115"/>
      <c r="W19" s="14">
        <f>RTD("cqg.rtd",,"DOMData",O25,"Volume",2)</f>
        <v>45</v>
      </c>
      <c r="X19" s="15">
        <f>RTD("cqg.rtd",,"DOMData",O25,"Volume",3)</f>
        <v>66</v>
      </c>
      <c r="Y19" s="16">
        <f>RTD("cqg.rtd",,"DOMData",O25,"Volume",4)</f>
        <v>65</v>
      </c>
      <c r="Z19" s="17">
        <f>RTD("cqg.rtd",,"DOMData",O25,"Volume",5)</f>
        <v>59</v>
      </c>
    </row>
    <row r="20" spans="1:26" s="72" customFormat="1" ht="12.95" customHeight="1" x14ac:dyDescent="0.2">
      <c r="A20" s="76"/>
      <c r="B20" s="73">
        <f>IFERROR(MOD(RTD("cqg.rtd",,"DOMData",B25,"Time",-5),1),"")</f>
        <v>0.50328592592995847</v>
      </c>
      <c r="C20" s="73">
        <f>IFERROR(MOD(RTD("cqg.rtd",,"DOMData",B25,"Time",-4),1),"")</f>
        <v>0.5032862962980289</v>
      </c>
      <c r="D20" s="73">
        <f>IFERROR(MOD(RTD("cqg.rtd",,"DOMData",B25,"Time",-3),1),"")</f>
        <v>0.50328592592995847</v>
      </c>
      <c r="E20" s="74">
        <f>IFERROR(MOD(RTD("cqg.rtd",,"DOMData",B25,"Time",-2),1),"")</f>
        <v>0.50328722222184297</v>
      </c>
      <c r="F20" s="96">
        <f>IFERROR(MOD(RTD("cqg.rtd",,"DOMData",B25,"Time",-1),1),"")</f>
        <v>0.50328592592995847</v>
      </c>
      <c r="G20" s="97"/>
      <c r="H20" s="96">
        <f>IFERROR(MOD(RTD("cqg.rtd",,"DOMData",B25,"Time",1),1),"")</f>
        <v>0.5032862962980289</v>
      </c>
      <c r="I20" s="97"/>
      <c r="J20" s="75">
        <f>IFERROR(MOD(RTD("cqg.rtd",,"DOMData",B25,"Time",2),1),"")</f>
        <v>0.5032862962980289</v>
      </c>
      <c r="K20" s="73">
        <f>IFERROR(MOD(RTD("cqg.rtd",,"DOMData",B25,"Time",3),1),"")</f>
        <v>0.5032862962980289</v>
      </c>
      <c r="L20" s="73">
        <f>IFERROR(MOD(RTD("cqg.rtd",,"DOMData",B25,"Time",4),1),"")</f>
        <v>0.5032862962980289</v>
      </c>
      <c r="M20" s="73">
        <f>IFERROR(MOD(RTD("cqg.rtd",,"DOMData",B25,"Time",5),1),"")</f>
        <v>0.5032862962980289</v>
      </c>
      <c r="N20" s="79"/>
      <c r="O20" s="73">
        <f>IFERROR(MOD(RTD("cqg.rtd",,"DOMData",O25,"Time",-5),1),"")</f>
        <v>0.50322935185249662</v>
      </c>
      <c r="P20" s="73">
        <f>IFERROR(MOD(RTD("cqg.rtd",,"DOMData",O25,"Time",-4),1),"")</f>
        <v>0.50322935185249662</v>
      </c>
      <c r="Q20" s="73">
        <f>IFERROR(MOD(RTD("cqg.rtd",,"DOMData",O25,"Time",-3),1),"")</f>
        <v>0.50322935185249662</v>
      </c>
      <c r="R20" s="74">
        <f>IFERROR(MOD(RTD("cqg.rtd",,"DOMData",O25,"Time",-2),1),"")</f>
        <v>0.50322935185249662</v>
      </c>
      <c r="S20" s="96">
        <f>IFERROR(MOD(RTD("cqg.rtd",,"DOMData",O25,"Time",-1),1),"")</f>
        <v>0.50322986111132195</v>
      </c>
      <c r="T20" s="97"/>
      <c r="U20" s="96">
        <f>IFERROR(MOD(RTD("cqg.rtd",,"DOMData",O25,"Time",1),1),"")</f>
        <v>0.50327259259211132</v>
      </c>
      <c r="V20" s="97"/>
      <c r="W20" s="75">
        <f>IFERROR(MOD(RTD("cqg.rtd",,"DOMData",O25,"Time",2),1),"")</f>
        <v>0.50328796296525979</v>
      </c>
      <c r="X20" s="73">
        <f>IFERROR(MOD(RTD("cqg.rtd",,"DOMData",O25,"Time",3),1),"")</f>
        <v>0.50327152777754236</v>
      </c>
      <c r="Y20" s="73">
        <f>IFERROR(MOD(RTD("cqg.rtd",,"DOMData",O25,"Time",4),1),"")</f>
        <v>0.50324935185199138</v>
      </c>
      <c r="Z20" s="73">
        <f>IFERROR(MOD(RTD("cqg.rtd",,"DOMData",O25,"Time",5),1),"")</f>
        <v>0.50322935185249662</v>
      </c>
    </row>
    <row r="21" spans="1:26" ht="17.25" customHeight="1" x14ac:dyDescent="0.3">
      <c r="A21" s="62" t="str">
        <f>IF(A24="B",TRUNC(RTD("cqg.rtd",,"DOMData",B25,"Price",1,"T"))&amp;"'"&amp;RIGHT(TEXT(DOLLARFR(RTD("cqg.rtd",,"DOMData",B25,"Price",1,"T"),32),A27),A26),TEXT(RTD("cqg.rtd",,"DOMData",B25,"Price",1,"T"),A27))</f>
        <v>6838.25</v>
      </c>
      <c r="B21" s="6">
        <f>IF(LEFT(IFERROR(RTD("cqg.rtd",,"StudyData","FPVol(FootprintOp ("&amp;B25&amp;", 0),"&amp;B27&amp;")", "Bar",, "Close","D","0","all",,,,"T"),""),3)="777","",IFERROR(RTD("cqg.rtd",,"StudyData","FPVol(FootprintOp ("&amp;B25&amp;", 0),"&amp;B27&amp;")", "Bar",, "Close","D","0","all",,,,"T"),""))</f>
        <v>1970</v>
      </c>
      <c r="C21" s="6">
        <f>IF(LEFT(IFERROR(RTD("cqg.rtd",,"StudyData","FPVol(FootprintOp ("&amp;B25&amp;", 0),"&amp;C27&amp;")", "Bar",, "Close","D","0","all",,,,"T"),""),3)="777","",IFERROR(RTD("cqg.rtd",,"StudyData","FPVol(FootprintOp ("&amp;B25&amp;", 0),"&amp;C27&amp;")", "Bar",, "Close","D","0","all",,,,"T"),""))</f>
        <v>1944</v>
      </c>
      <c r="D21" s="7">
        <f>IF(LEFT(IFERROR(RTD("cqg.rtd",,"StudyData","FPVol(FootprintOp ("&amp;B25&amp;", 0),"&amp;D27&amp;")", "Bar",, "Close","D","0","all",,,,"T"),""),3)="777","",IFERROR(RTD("cqg.rtd",,"StudyData","FPVol(FootprintOp ("&amp;B25&amp;", 0),"&amp;D27&amp;")", "Bar",, "Close","D","0","all",,,,"T"),""))</f>
        <v>2084</v>
      </c>
      <c r="E21" s="7">
        <f>IF(LEFT(IFERROR(RTD("cqg.rtd",,"StudyData","FPVol(FootprintOp ("&amp;B25&amp;", 0),"&amp;E27&amp;")", "Bar",, "Close","D","0","all",,,,"T"),""),3)="777","",IFERROR(RTD("cqg.rtd",,"StudyData","FPVol(FootprintOp ("&amp;B25&amp;", 0),"&amp;E27&amp;")", "Bar",, "Close","D","0","all",,,,"T"),""))</f>
        <v>2628</v>
      </c>
      <c r="F21" s="116">
        <f>IF(LEFT(IFERROR(RTD("cqg.rtd",,"StudyData","FPVol(FootprintOp ("&amp;B25&amp;", 0),"&amp;F27&amp;")", "Bar",, "Close","D","0","all",,,,"T"),""),3)="777","",IFERROR(RTD("cqg.rtd",,"StudyData","FPVol(FootprintOp ("&amp;B25&amp;", 0),"&amp;F27&amp;")", "Bar",, "Close","D","0","all",,,,"T"),""))</f>
        <v>2310</v>
      </c>
      <c r="G21" s="117"/>
      <c r="H21" s="116">
        <f>IF(LEFT(IFERROR(RTD("cqg.rtd",,"StudyData","FPVol(FootprintOp ("&amp;B25&amp;", 0),"&amp;H27&amp;")", "Bar",, "Close","D","0","all",,,,"T"),""),3)="777","",IFERROR(RTD("cqg.rtd",,"StudyData","FPVol(FootprintOp ("&amp;B25&amp;", 0),"&amp;H27&amp;")", "Bar",, "Close","D","0","all",,,,"T"),""))</f>
        <v>1939</v>
      </c>
      <c r="I21" s="117"/>
      <c r="J21" s="7">
        <f>IF(LEFT(IFERROR(RTD("cqg.rtd",,"StudyData","FPVol(FootprintOp ("&amp;B25&amp;", 0),"&amp;J27&amp;")", "Bar",, "Close","D","0","all",,,,"T"),""),3)="777","",IFERROR(RTD("cqg.rtd",,"StudyData","FPVol(FootprintOp ("&amp;B25&amp;", 0),"&amp;J27&amp;")", "Bar",, "Close","D","0","all",,,,"T"),""))</f>
        <v>1982</v>
      </c>
      <c r="K21" s="7">
        <f>IF(LEFT(IFERROR(RTD("cqg.rtd",,"StudyData","FPVol(FootprintOp ("&amp;B25&amp;", 0),"&amp;K27&amp;")", "Bar",, "Close","D","0","all",,,,"T"),""),3)="777","",IFERROR(RTD("cqg.rtd",,"StudyData","FPVol(FootprintOp ("&amp;B25&amp;", 0),"&amp;K27&amp;")", "Bar",, "Close","D","0","all",,,,"T"),""))</f>
        <v>1666</v>
      </c>
      <c r="L21" s="6">
        <f>IF(LEFT(IFERROR(RTD("cqg.rtd",,"StudyData","FPVol(FootprintOp ("&amp;B25&amp;", 0),"&amp;L27&amp;")", "Bar",, "Close","D","0","all",,,,"T"),""),3)="777","",IFERROR(RTD("cqg.rtd",,"StudyData","FPVol(FootprintOp ("&amp;B25&amp;", 0),"&amp;L27&amp;")", "Bar",, "Close","D","0","all",,,,"T"),""))</f>
        <v>1780</v>
      </c>
      <c r="M21" s="6">
        <f>IF(LEFT(IFERROR(RTD("cqg.rtd",,"StudyData","FPVol(FootprintOp ("&amp;B25&amp;", 0),"&amp;M27&amp;")", "Bar",, "Close","D","0","all",,,,"T"),""),3)="777","",IFERROR(RTD("cqg.rtd",,"StudyData","FPVol(FootprintOp ("&amp;B25&amp;", 0),"&amp;M27&amp;")", "Bar",, "Close","D","0","all",,,,"T"),""))</f>
        <v>1580</v>
      </c>
      <c r="N21" s="62" t="str">
        <f>IF(N24="B",TRUNC(RTD("cqg.rtd",,"DOMData",O25,"Price",1,"T"))&amp;"'"&amp;RIGHT(TEXT(DOLLARFR(RTD("cqg.rtd",,"DOMData",O25,"Price",1,"T"),32),N27),N26),TEXT(RTD("cqg.rtd",,"DOMData",O25,"Price",1,"T"),N27))</f>
        <v>1.3980</v>
      </c>
      <c r="O21" s="6">
        <f>IF(LEFT(IFERROR(RTD("cqg.rtd",,"StudyData","FPVol(FootprintOp ("&amp;O25&amp;", 0),"&amp;O27&amp;")", "Bar",, "Close","D","0","all",,,,"T"),""),3)="777","",IFERROR(RTD("cqg.rtd",,"StudyData","FPVol(FootprintOp ("&amp;O25&amp;", 0),"&amp;O27&amp;")", "Bar",, "Close","D","0","all",,,,"T"),""))</f>
        <v>1469</v>
      </c>
      <c r="P21" s="6">
        <f>IF(LEFT(IFERROR(RTD("cqg.rtd",,"StudyData","FPVol(FootprintOp ("&amp;O25&amp;", 0),"&amp;P27&amp;")", "Bar",, "Close","D","0","all",,,,"T"),""),3)="777","",IFERROR(RTD("cqg.rtd",,"StudyData","FPVol(FootprintOp ("&amp;O25&amp;", 0),"&amp;P27&amp;")", "Bar",, "Close","D","0","all",,,,"T"),""))</f>
        <v>1765</v>
      </c>
      <c r="Q21" s="7">
        <f>IF(LEFT(IFERROR(RTD("cqg.rtd",,"StudyData","FPVol(FootprintOp ("&amp;O25&amp;", 0),"&amp;Q27&amp;")", "Bar",, "Close","D","0","all",,,,"T"),""),3)="777","",IFERROR(RTD("cqg.rtd",,"StudyData","FPVol(FootprintOp ("&amp;O25&amp;", 0),"&amp;Q27&amp;")", "Bar",, "Close","D","0","all",,,,"T"),""))</f>
        <v>1439</v>
      </c>
      <c r="R21" s="7">
        <f>IF(LEFT(IFERROR(RTD("cqg.rtd",,"StudyData","FPVol(FootprintOp ("&amp;O25&amp;", 0),"&amp;R27&amp;")", "Bar",, "Close","D","0","all",,,,"T"),""),3)="777","",IFERROR(RTD("cqg.rtd",,"StudyData","FPVol(FootprintOp ("&amp;O25&amp;", 0),"&amp;R27&amp;")", "Bar",, "Close","D","0","all",,,,"T"),""))</f>
        <v>1219</v>
      </c>
      <c r="S21" s="116">
        <f>IF(LEFT(IFERROR(RTD("cqg.rtd",,"StudyData","FPVol(FootprintOp ("&amp;O25&amp;", 0),"&amp;S27&amp;")", "Bar",, "Close","D","0","all",,,,"T"),""),3)="777","",IFERROR(RTD("cqg.rtd",,"StudyData","FPVol(FootprintOp ("&amp;O25&amp;", 0),"&amp;S27&amp;")", "Bar",, "Close","D","0","all",,,,"T"),""))</f>
        <v>1137</v>
      </c>
      <c r="T21" s="117"/>
      <c r="U21" s="116">
        <f>IF(LEFT(IFERROR(RTD("cqg.rtd",,"StudyData","FPVol(FootprintOp ("&amp;O25&amp;", 0),"&amp;U27&amp;")", "Bar",, "Close","D","0","all",,,,"T"),""),3)="777","",IFERROR(RTD("cqg.rtd",,"StudyData","FPVol(FootprintOp ("&amp;O25&amp;", 0),"&amp;U27&amp;")", "Bar",, "Close","D","0","all",,,,"T"),""))</f>
        <v>1016</v>
      </c>
      <c r="V21" s="117"/>
      <c r="W21" s="7">
        <f>IF(LEFT(IFERROR(RTD("cqg.rtd",,"StudyData","FPVol(FootprintOp ("&amp;O25&amp;", 0),"&amp;W27&amp;")", "Bar",, "Close","D","0","all",,,,"T"),""),3)="777","",IFERROR(RTD("cqg.rtd",,"StudyData","FPVol(FootprintOp ("&amp;O25&amp;", 0),"&amp;W27&amp;")", "Bar",, "Close","D","0","all",,,,"T"),""))</f>
        <v>1557</v>
      </c>
      <c r="X21" s="7">
        <f>IF(LEFT(IFERROR(RTD("cqg.rtd",,"StudyData","FPVol(FootprintOp ("&amp;O25&amp;", 0),"&amp;X27&amp;")", "Bar",, "Close","D","0","all",,,,"T"),""),3)="777","",IFERROR(RTD("cqg.rtd",,"StudyData","FPVol(FootprintOp ("&amp;O25&amp;", 0),"&amp;X27&amp;")", "Bar",, "Close","D","0","all",,,,"T"),""))</f>
        <v>1441</v>
      </c>
      <c r="Y21" s="6">
        <f>IF(LEFT(IFERROR(RTD("cqg.rtd",,"StudyData","FPVol(FootprintOp ("&amp;O25&amp;", 0),"&amp;Y27&amp;")", "Bar",, "Close","D","0","all",,,,"T"),""),3)="777","",IFERROR(RTD("cqg.rtd",,"StudyData","FPVol(FootprintOp ("&amp;O25&amp;", 0),"&amp;Y27&amp;")", "Bar",, "Close","D","0","all",,,,"T"),""))</f>
        <v>1274</v>
      </c>
      <c r="Z21" s="6">
        <f>IF(LEFT(IFERROR(RTD("cqg.rtd",,"StudyData","FPVol(FootprintOp ("&amp;O25&amp;", 0),"&amp;Z27&amp;")", "Bar",, "Close","D","0","all",,,,"T"),""),3)="777","",IFERROR(RTD("cqg.rtd",,"StudyData","FPVol(FootprintOp ("&amp;O25&amp;", 0),"&amp;Z27&amp;")", "Bar",, "Close","D","0","all",,,,"T"),""))</f>
        <v>1534</v>
      </c>
    </row>
    <row r="22" spans="1:26" ht="17.25" customHeight="1" x14ac:dyDescent="0.3">
      <c r="A22" s="62" t="str">
        <f>IF(A24="B",TRUNC(RTD("cqg.rtd",,"DOMData",B25,"Price",-1,"T"))&amp;"'"&amp;RIGHT(TEXT(DOLLARFR(RTD("cqg.rtd",,"DOMData",B25,"Price",-1,"T"),32),A27),A26),TEXT(RTD("cqg.rtd",,"DOMData",B25,"Price",-1,"T"),A27))</f>
        <v>6837.75</v>
      </c>
      <c r="B22" s="41" t="s">
        <v>18</v>
      </c>
      <c r="C22" s="30" t="str">
        <f>RTD("cqg.rtd", ,"ContractData",B25, "LongSymbol",, "T")</f>
        <v>F.US.ENQH18</v>
      </c>
      <c r="D22" s="42" t="s">
        <v>19</v>
      </c>
      <c r="E22" s="30" t="str">
        <f>IF(A24="B",RTD("cqg.rtd",,"ContractData",B25,"LastTradeToday",,A24),TEXT(RTD("cqg.rtd",,"ContractData",B25,"LastTradeToday",,A24),A27))</f>
        <v>6838.00</v>
      </c>
      <c r="F22" s="43" t="s">
        <v>20</v>
      </c>
      <c r="G22" s="38" t="str">
        <f>A25&amp;" "&amp;IF(A24="B",RTD("cqg.rtd",,"ContractData",B25,"NetLastTradeToday",,A24),TEXT(RTD("cqg.rtd",,"ContractData",B25,"NetLastTradeToday",,A24),A27))</f>
        <v>+ 47.50</v>
      </c>
      <c r="H22" s="42" t="s">
        <v>17</v>
      </c>
      <c r="I22" s="42" t="str">
        <f>IF(A24="B",RTD("cqg.rtd",,"ContractData",B25,"Open",,A24),TEXT(RTD("cqg.rtd",,"ContractData",B25,"Open",,A24),A27))</f>
        <v>6788.25</v>
      </c>
      <c r="J22" s="42" t="s">
        <v>22</v>
      </c>
      <c r="K22" s="30" t="str">
        <f>IF(A24="B",RTD("cqg.rtd",,"ContractData",B25,"High",,A24),TEXT(RTD("cqg.rtd",,"ContractData",B25,"High",,A24),A27))</f>
        <v>6862.75</v>
      </c>
      <c r="L22" s="42" t="s">
        <v>21</v>
      </c>
      <c r="M22" s="44" t="str">
        <f>IF(A24="B",RTD("cqg.rtd",,"ContractData",B25,"Low",,A24),TEXT(RTD("cqg.rtd",,"ContractData",B25,"Low",,A24),A27))</f>
        <v>6774.75</v>
      </c>
      <c r="N22" s="62" t="str">
        <f>IF(N24="B",TRUNC(RTD("cqg.rtd",,"DOMData",O25,"Price",-1,"T"))&amp;"'"&amp;RIGHT(TEXT(DOLLARFR(RTD("cqg.rtd",,"DOMData",O25,"Price",-1,"T"),32),N27),N26),TEXT(RTD("cqg.rtd",,"DOMData",O25,"Price",-1,"T"),N27))</f>
        <v>1.3979</v>
      </c>
      <c r="O22" s="41" t="s">
        <v>18</v>
      </c>
      <c r="P22" s="30" t="str">
        <f>RTD("cqg.rtd", ,"ContractData",O25, "LongSymbol",, "T")</f>
        <v>F.US.BP6H18</v>
      </c>
      <c r="Q22" s="42" t="s">
        <v>19</v>
      </c>
      <c r="R22" s="30" t="str">
        <f>IF(N24="B",RTD("cqg.rtd",,"ContractData",O25,"LastTradeToday",,N24),TEXT(RTD("cqg.rtd",,"ContractData",O25,"LastTradeToday",,N24),N27))</f>
        <v>1.3979</v>
      </c>
      <c r="S22" s="43" t="s">
        <v>20</v>
      </c>
      <c r="T22" s="38" t="str">
        <f>N25&amp;" "&amp;IF(N24="B",RTD("cqg.rtd",,"ContractData",O25,"NetLastTradeToday",,N24),TEXT(RTD("cqg.rtd",,"ContractData",O25,"NetLastTradeToday",,N24),N27))</f>
        <v xml:space="preserve"> -.0021</v>
      </c>
      <c r="U22" s="42" t="s">
        <v>17</v>
      </c>
      <c r="V22" s="42" t="str">
        <f>IF(N24="B",RTD("cqg.rtd",,"ContractData",O25,"Open",,N24),TEXT(RTD("cqg.rtd",,"ContractData",O25,"Open",,N24),N27))</f>
        <v>1.4011</v>
      </c>
      <c r="W22" s="42" t="s">
        <v>22</v>
      </c>
      <c r="X22" s="30" t="str">
        <f>IF(N24="B",RTD("cqg.rtd",,"ContractData",O25,"High",,N24),TEXT(RTD("cqg.rtd",,"ContractData",O25,"High",,N24),N27))</f>
        <v>1.4022</v>
      </c>
      <c r="Y22" s="42" t="s">
        <v>21</v>
      </c>
      <c r="Z22" s="44" t="str">
        <f>IF(N24="B",RTD("cqg.rtd",,"ContractData",O25,"Low",,N24),TEXT(RTD("cqg.rtd",,"ContractData",O25,"Low",,N24),N27))</f>
        <v>1.3916</v>
      </c>
    </row>
    <row r="23" spans="1:26" ht="15" customHeight="1" x14ac:dyDescent="0.3">
      <c r="A23" s="62">
        <f>RTD("cqg.rtd", ,"ContractData",B25, "TickSize",, "T")</f>
        <v>0.25</v>
      </c>
      <c r="B23" s="148" t="s">
        <v>0</v>
      </c>
      <c r="C23" s="3"/>
      <c r="D23" s="3" t="s">
        <v>1</v>
      </c>
      <c r="E23" s="3" t="s">
        <v>1</v>
      </c>
      <c r="F23" s="144" t="s">
        <v>26</v>
      </c>
      <c r="G23" s="145"/>
      <c r="H23" s="3" t="s">
        <v>23</v>
      </c>
      <c r="I23" s="133" t="s">
        <v>6</v>
      </c>
      <c r="J23" s="134"/>
      <c r="K23" s="133" t="s">
        <v>30</v>
      </c>
      <c r="L23" s="134"/>
      <c r="M23" s="8" t="s">
        <v>8</v>
      </c>
      <c r="N23" s="62">
        <f>RTD("cqg.rtd", ,"ContractData",O25, "TickSize",, "T")</f>
        <v>1E-4</v>
      </c>
      <c r="O23" s="148" t="s">
        <v>0</v>
      </c>
      <c r="P23" s="3"/>
      <c r="Q23" s="3" t="s">
        <v>1</v>
      </c>
      <c r="R23" s="3" t="s">
        <v>1</v>
      </c>
      <c r="S23" s="188" t="s">
        <v>26</v>
      </c>
      <c r="T23" s="189"/>
      <c r="U23" s="3" t="s">
        <v>23</v>
      </c>
      <c r="V23" s="133" t="s">
        <v>6</v>
      </c>
      <c r="W23" s="134"/>
      <c r="X23" s="133" t="s">
        <v>30</v>
      </c>
      <c r="Y23" s="134"/>
      <c r="Z23" s="8" t="s">
        <v>8</v>
      </c>
    </row>
    <row r="24" spans="1:26" ht="15" customHeight="1" x14ac:dyDescent="0.3">
      <c r="A24" s="65" t="str">
        <f>IF(OR(A23=0.0078125,A23=0.015625,A23=0.03125),"B","T")</f>
        <v>T</v>
      </c>
      <c r="B24" s="149"/>
      <c r="C24" s="2"/>
      <c r="D24" s="4" t="s">
        <v>7</v>
      </c>
      <c r="E24" s="4" t="s">
        <v>4</v>
      </c>
      <c r="F24" s="146"/>
      <c r="G24" s="147"/>
      <c r="H24" s="2" t="s">
        <v>4</v>
      </c>
      <c r="I24" s="100" t="s">
        <v>16</v>
      </c>
      <c r="J24" s="101"/>
      <c r="K24" s="135" t="s">
        <v>29</v>
      </c>
      <c r="L24" s="136"/>
      <c r="M24" s="5" t="s">
        <v>9</v>
      </c>
      <c r="N24" s="65" t="str">
        <f>IF(OR(N23=0.0078125,N23=0.015625,N23=0.03125),"B","T")</f>
        <v>T</v>
      </c>
      <c r="O24" s="149"/>
      <c r="P24" s="2"/>
      <c r="Q24" s="4" t="s">
        <v>7</v>
      </c>
      <c r="R24" s="4" t="s">
        <v>4</v>
      </c>
      <c r="S24" s="98"/>
      <c r="T24" s="99"/>
      <c r="U24" s="2" t="s">
        <v>4</v>
      </c>
      <c r="V24" s="100" t="s">
        <v>16</v>
      </c>
      <c r="W24" s="101"/>
      <c r="X24" s="135" t="s">
        <v>29</v>
      </c>
      <c r="Y24" s="136"/>
      <c r="Z24" s="5" t="s">
        <v>9</v>
      </c>
    </row>
    <row r="25" spans="1:26" ht="17.25" customHeight="1" x14ac:dyDescent="0.3">
      <c r="A25" s="66" t="str">
        <f>IF(A24="B","",(IF(RTD("cqg.rtd",,"ContractData",B25,"NetLastTradeToday",,A24)&gt;0,"+","")))</f>
        <v>+</v>
      </c>
      <c r="B25" s="110" t="s">
        <v>25</v>
      </c>
      <c r="C25" s="45" t="s">
        <v>2</v>
      </c>
      <c r="D25" s="46" t="str">
        <f>IF(A24="B",RTD("cqg.rtd", ,"ContractData",B25, "Ask",,A24),TEXT(RTD("cqg.rtd", ,"ContractData",B25, "Ask",,A24),A27))</f>
        <v>6838.25</v>
      </c>
      <c r="E25" s="46">
        <f>RTD("cqg.rtd", ,"ContractData",B25, "MT_LastAskVolume",, "T")</f>
        <v>3</v>
      </c>
      <c r="F25" s="123" t="str">
        <f>IF(A24="B",RTD("cqg.rtd",,"ContractData",B25,"LastTradeToday",,A24),TEXT(RTD("cqg.rtd",,"ContractData",B25,"LastTradeToday",,A24),A27))</f>
        <v>6838.00</v>
      </c>
      <c r="G25" s="124"/>
      <c r="H25" s="127">
        <f>RTD("cqg.rtd", ,"ContractData",B25, "VolumeLastTrade",, "T")</f>
        <v>1</v>
      </c>
      <c r="I25" s="129">
        <f>IF(G27="","",IFERROR(RTD("cqg.rtd",,"StudyData","FPVol(FootprintOp ("&amp;B25&amp;", 0),"&amp;G27&amp;")", "Bar",, "Close","D","0","all",,,,"T"),""))</f>
        <v>2506</v>
      </c>
      <c r="J25" s="130"/>
      <c r="K25" s="118" t="str">
        <f>IF(A24="B",TRUNC(RTD("cqg.rtd",,"StudyData",B25,"TFlow", "AggregateBy=TFlowSimpleAggregation, Aggregation=1", "High",,"0",,,,,"T"))&amp;"'"&amp;RIGHT(TEXT(DOLLARFR(MOD(RTD("cqg.rtd",,"StudyData",B25,"TFlow", "AggregateBy=TFlowSimpleAggregation, Aggregation=1", "High",,"0",,,,,"T"),1),32),A27),A26),TEXT(RTD("cqg.rtd",,"StudyData",B25,"TFlow", "AggregateBy=TFlowSimpleAggregation, Aggregation=1", "High",,"0",,,,,"T"),A27))</f>
        <v>6838.00</v>
      </c>
      <c r="L25" s="119"/>
      <c r="M25" s="9">
        <f>RTD("cqg.rtd",,"StudyData","(TFlowSimpleAggregation(TFlowOp("&amp;B25&amp;", 0, 0), 1))","Vol",, "VolAsk",,,"all",,,,"T")</f>
        <v>0</v>
      </c>
      <c r="N25" s="66" t="str">
        <f>IF(N24="B","",(IF(RTD("cqg.rtd",,"ContractData",O25,"NetLastTradeToday",,N24)&gt;0,"+","")))</f>
        <v/>
      </c>
      <c r="O25" s="110" t="s">
        <v>27</v>
      </c>
      <c r="P25" s="45" t="s">
        <v>2</v>
      </c>
      <c r="Q25" s="46" t="str">
        <f>IF(N24="B",RTD("cqg.rtd", ,"ContractData",O25, "Ask",,N24),TEXT(RTD("cqg.rtd", ,"ContractData",O25, "Ask",,N24),N27))</f>
        <v>1.3980</v>
      </c>
      <c r="R25" s="46">
        <f>RTD("cqg.rtd", ,"ContractData",O25, "MT_LastAskVolume",, "T")</f>
        <v>7</v>
      </c>
      <c r="S25" s="123" t="str">
        <f>IF(N24="B",RTD("cqg.rtd",,"ContractData",O25,"LastTradeToday",,N24),TEXT(RTD("cqg.rtd",,"ContractData",O25,"LastTradeToday",,N24),N27))</f>
        <v>1.3979</v>
      </c>
      <c r="T25" s="124"/>
      <c r="U25" s="127">
        <f>RTD("cqg.rtd", ,"ContractData",O25, "VolumeLastTrade",, "T")</f>
        <v>1</v>
      </c>
      <c r="V25" s="129">
        <f>IF(T27="","",IFERROR(RTD("cqg.rtd",,"StudyData","FPVol(FootprintOp ("&amp;O25&amp;", 0),"&amp;T27&amp;")", "Bar",, "Close","D","0","all",,,,"T"),""))</f>
        <v>1137</v>
      </c>
      <c r="W25" s="130"/>
      <c r="X25" s="118" t="str">
        <f>IF(N24="B",TRUNC(RTD("cqg.rtd",,"StudyData",O25,"TFlow", "AggregateBy=TFlowSimpleAggregation, Aggregation=1", "High",,"0",,,,,"T"))&amp;"'"&amp;RIGHT(TEXT(DOLLARFR(MOD(RTD("cqg.rtd",,"StudyData",O25,"TFlow", "AggregateBy=TFlowSimpleAggregation, Aggregation=1", "High",,"0",,,,,"T"),1),32),N27),N26),TEXT(RTD("cqg.rtd",,"StudyData",O25,"TFlow", "AggregateBy=TFlowSimpleAggregation, Aggregation=1", "High",,"0",,,,,"T"),N27))</f>
        <v>1.3980</v>
      </c>
      <c r="Y25" s="119"/>
      <c r="Z25" s="9">
        <f>RTD("cqg.rtd",,"StudyData","(TFlowSimpleAggregation(TFlowOp("&amp;O25&amp;", 0, 0), 1))","Vol",, "VolAsk",,,"all",,,,"T")</f>
        <v>0</v>
      </c>
    </row>
    <row r="26" spans="1:26" ht="17.45" customHeight="1" x14ac:dyDescent="0.3">
      <c r="A26" s="66">
        <f>IF(A24="B",LEN(DOLLARFR(A23,32))-2,LEN(A23)-LEN(RIGHT(A23,2)))</f>
        <v>2</v>
      </c>
      <c r="B26" s="111"/>
      <c r="C26" s="48" t="s">
        <v>3</v>
      </c>
      <c r="D26" s="49" t="str">
        <f>IF(A24="B",RTD("cqg.rtd", ,"ContractData",B25, "Bid",,A24),TEXT(RTD("cqg.rtd", ,"ContractData",B25, "Bid",,A24),A27))</f>
        <v>6837.75</v>
      </c>
      <c r="E26" s="49">
        <f>RTD("cqg.rtd", ,"ContractData",B25, "MT_LastBidVolume",, "T")</f>
        <v>3</v>
      </c>
      <c r="F26" s="125"/>
      <c r="G26" s="126"/>
      <c r="H26" s="137"/>
      <c r="I26" s="131"/>
      <c r="J26" s="132"/>
      <c r="K26" s="120" t="str">
        <f>IF(A24="B",TRUNC(RTD("cqg.rtd",,"StudyData",B25,"TFlow", "AggregateBy=TFlowSimpleAggregation, Aggregation=1", "Low",,"0",,,,,"T"))&amp;"'"&amp;RIGHT(TEXT(DOLLARFR(MOD(RTD("cqg.rtd",,"StudyData",B25,"TFlow", "AggregateBy=TFlowSimpleAggregation, Aggregation=1", "Low",,"0",,,,,"T"),1),32),A27),A26),TEXT(RTD("cqg.rtd",,"StudyData",B25,"TFlow", "AggregateBy=TFlowSimpleAggregation, Aggregation=1", "Low",,"0",,,,,"T"),A27))</f>
        <v>6837.75</v>
      </c>
      <c r="L26" s="121"/>
      <c r="M26" s="35">
        <f>RTD("cqg.rtd",,"StudyData","(TFlowSimpleAggregation(TFlowOp("&amp;B25&amp;", 0, 0), 1))","Vol",, "VolBid",,,"all",,,,"T")</f>
        <v>0</v>
      </c>
      <c r="N26" s="66">
        <f>IF(N24="B",LEN(DOLLARFR(N23,32))-2,LEN(N23)-LEN(RIGHT(N23,2)))</f>
        <v>4</v>
      </c>
      <c r="O26" s="111"/>
      <c r="P26" s="48" t="s">
        <v>3</v>
      </c>
      <c r="Q26" s="49" t="str">
        <f>IF(N24="B",RTD("cqg.rtd", ,"ContractData",O25, "Bid",,N24),TEXT(RTD("cqg.rtd", ,"ContractData",O25, "Bid",,N24),N27))</f>
        <v>1.3979</v>
      </c>
      <c r="R26" s="49">
        <f>RTD("cqg.rtd", ,"ContractData",O25, "MT_LastBidVolume",, "T")</f>
        <v>20</v>
      </c>
      <c r="S26" s="125"/>
      <c r="T26" s="126"/>
      <c r="U26" s="137"/>
      <c r="V26" s="131"/>
      <c r="W26" s="132"/>
      <c r="X26" s="120" t="str">
        <f>IF(N24="B",TRUNC(RTD("cqg.rtd",,"StudyData",O25,"TFlow", "AggregateBy=TFlowSimpleAggregation, Aggregation=1", "Low",,"0",,,,,"T"))&amp;"'"&amp;RIGHT(TEXT(DOLLARFR(MOD(RTD("cqg.rtd",,"StudyData",O25,"TFlow", "AggregateBy=TFlowSimpleAggregation, Aggregation=1", "Low",,"0",,,,,"T"),1),32),N27),N26),TEXT(RTD("cqg.rtd",,"StudyData",O25,"TFlow", "AggregateBy=TFlowSimpleAggregation, Aggregation=1", "Low",,"0",,,,,"T"),N27))</f>
        <v>1.3979</v>
      </c>
      <c r="Y26" s="121"/>
      <c r="Z26" s="35">
        <f>RTD("cqg.rtd",,"StudyData","(TFlowSimpleAggregation(TFlowOp("&amp;O25&amp;", 0, 0), 1))","Vol",, "VolBid",,,"all",,,,"T")</f>
        <v>1</v>
      </c>
    </row>
    <row r="27" spans="1:26" ht="2.1" customHeight="1" x14ac:dyDescent="0.3">
      <c r="A27" s="78" t="str">
        <f>IF(A26=0,"#",IF(A26=1,"#.00",IF(A26=2,"#.00",IF(A26=3,"#.000",IF(A26=4,"#.0000",IF(A26=5,"#.00000",IF(A26=6,"#.000000",IF(A26=7,"#.0000000"))))))))</f>
        <v>#.00</v>
      </c>
      <c r="B27" s="50">
        <f>RTD("cqg.rtd",,"DOMData",B25,"Price",-5,"T")</f>
        <v>6836.75</v>
      </c>
      <c r="C27" s="51">
        <f>RTD("cqg.rtd",,"DOMData",B25,"Price",-4,"T")</f>
        <v>6837</v>
      </c>
      <c r="D27" s="52">
        <f>RTD("cqg.rtd",,"DOMData",B25,"Price",-3,"T")</f>
        <v>6837.25</v>
      </c>
      <c r="E27" s="51">
        <f>RTD("cqg.rtd",,"DOMData",B25,"Price",-2,"T")</f>
        <v>6837.5</v>
      </c>
      <c r="F27" s="52" t="str">
        <f>TEXT(RTD("cqg.rtd",,"DOMData",B25,"Price",-1,"T"),A27)</f>
        <v>6837.75</v>
      </c>
      <c r="G27" s="52">
        <f>RTD("cqg.rtd",,"ContractData",B25,"LastTradeToday",,"T")</f>
        <v>6838</v>
      </c>
      <c r="H27" s="51" t="str">
        <f>TEXT(RTD("cqg.rtd",,"DOMData",B25,"Price",1,"T"),A27)</f>
        <v>6838.25</v>
      </c>
      <c r="I27" s="51"/>
      <c r="J27" s="51">
        <f>RTD("cqg.rtd",,"DOMData",B25,"Price",2,"T")</f>
        <v>6838.5</v>
      </c>
      <c r="K27" s="52">
        <f>RTD("cqg.rtd",,"DOMData",B25,"Price",3,"T")</f>
        <v>6838.75</v>
      </c>
      <c r="L27" s="52">
        <f>RTD("cqg.rtd",,"DOMData",B25,"Price",4,"T")</f>
        <v>6839</v>
      </c>
      <c r="M27" s="34">
        <f>RTD("cqg.rtd",,"DOMData",B25,"Price",5,"T")</f>
        <v>6839.25</v>
      </c>
      <c r="N27" s="62" t="str">
        <f>IF(N26=0,"#",IF(N26=1,"#.00",IF(N26=2,"#.00",IF(N26=3,"#.000",IF(N26=4,"#.0000",IF(N26=5,"#.00000",IF(N26=6,"#.000000",IF(N26=7,"#.0000000"))))))))</f>
        <v>#.0000</v>
      </c>
      <c r="O27" s="50">
        <f>RTD("cqg.rtd",,"DOMData",O25,"Price",-5,"T")</f>
        <v>1.3975</v>
      </c>
      <c r="P27" s="51">
        <f>RTD("cqg.rtd",,"DOMData",O25,"Price",-4,"T")</f>
        <v>1.3976</v>
      </c>
      <c r="Q27" s="52">
        <f>RTD("cqg.rtd",,"DOMData",O25,"Price",-3,"T")</f>
        <v>1.3976999999999999</v>
      </c>
      <c r="R27" s="51">
        <f>RTD("cqg.rtd",,"DOMData",O25,"Price",-2,"T")</f>
        <v>1.3977999999999999</v>
      </c>
      <c r="S27" s="52" t="str">
        <f>TEXT(RTD("cqg.rtd",,"DOMData",O25,"Price",-1,"T"),N27)</f>
        <v>1.3979</v>
      </c>
      <c r="T27" s="52">
        <f>RTD("cqg.rtd",,"ContractData",O25,"LastTradeToday",,"T")</f>
        <v>1.3979000000000001</v>
      </c>
      <c r="U27" s="51" t="str">
        <f>TEXT(RTD("cqg.rtd",,"DOMData",O25,"Price",1,"T"),N27)</f>
        <v>1.3980</v>
      </c>
      <c r="V27" s="51"/>
      <c r="W27" s="51">
        <f>RTD("cqg.rtd",,"DOMData",O25,"Price",2,"T")</f>
        <v>1.3980999999999999</v>
      </c>
      <c r="X27" s="52">
        <f>RTD("cqg.rtd",,"DOMData",O25,"Price",3,"T")</f>
        <v>1.3982000000000001</v>
      </c>
      <c r="Y27" s="52">
        <f>RTD("cqg.rtd",,"DOMData",O25,"Price",4,"T")</f>
        <v>1.3983000000000001</v>
      </c>
      <c r="Z27" s="34">
        <f>RTD("cqg.rtd",,"DOMData",O25,"Price",5,"T")</f>
        <v>1.3984000000000001</v>
      </c>
    </row>
    <row r="28" spans="1:26" ht="21.95" customHeight="1" x14ac:dyDescent="0.3">
      <c r="A28" s="64">
        <f>RTD("cqg.rtd",,"StudyData","FPMax(FootprintOp("&amp;B37&amp;",0))", "Bar",, "Close","D","0","all",,,,"T")</f>
        <v>61.47</v>
      </c>
      <c r="B28" s="180" t="str">
        <f>RTD("cqg.rtd",,"ContractData",B37,"LongDescription",,"T")</f>
        <v>Crude Light (Globex), Apr 18</v>
      </c>
      <c r="C28" s="181"/>
      <c r="D28" s="181"/>
      <c r="E28" s="181"/>
      <c r="F28" s="181"/>
      <c r="G28" s="181"/>
      <c r="H28" s="182" t="str">
        <f>"  Price with highest traded volume:  "&amp;TEXT(A29,A39)&amp;"      "&amp;A30</f>
        <v xml:space="preserve">  Price with highest traded volume:  61.47      7,165</v>
      </c>
      <c r="I28" s="182"/>
      <c r="J28" s="182"/>
      <c r="K28" s="182"/>
      <c r="L28" s="182"/>
      <c r="M28" s="183"/>
      <c r="N28" s="64">
        <f>RTD("cqg.rtd",,"StudyData","FPMax(FootprintOp("&amp;O37&amp;",0))", "Bar",, "Close","D","0","all",,,,"T")</f>
        <v>120.484375</v>
      </c>
      <c r="O28" s="180" t="str">
        <f>RTD("cqg.rtd",,"ContractData",O37,"LongDescription",,"T")</f>
        <v>10yr US Treasury Notes (Globex), Mar 18</v>
      </c>
      <c r="P28" s="181"/>
      <c r="Q28" s="181"/>
      <c r="R28" s="181"/>
      <c r="S28" s="181"/>
      <c r="T28" s="181"/>
      <c r="U28" s="182" t="str">
        <f>"  Price with highest traded volume:  "&amp;TEXT(N29,N39)&amp;"      "&amp;N30</f>
        <v xml:space="preserve">  Price with highest traded volume:  120'155      129,588</v>
      </c>
      <c r="V28" s="182"/>
      <c r="W28" s="182"/>
      <c r="X28" s="182"/>
      <c r="Y28" s="182"/>
      <c r="Z28" s="183"/>
    </row>
    <row r="29" spans="1:26" ht="17.100000000000001" customHeight="1" x14ac:dyDescent="0.3">
      <c r="A29" s="62" t="str">
        <f>IF(A36="B",TRUNC(RTD("cqg.rtd",,"StudyData","FPMax(FootprintOp("&amp;B37&amp;",0))", "Bar",, "Close","D","0","all",,,,"T"))&amp;"'"&amp;RIGHT(TEXT(DOLLARFR(RTD("cqg.rtd",,"StudyData","FPMax(FootprintOp("&amp;B37&amp;",0))", "Bar",, "Close","D","0","all",,,,"T"),32),A39),A38),TEXT(RTD("cqg.rtd",,"StudyData","FPMax(FootprintOp("&amp;B37&amp;",0))", "Bar",, "Close","D","0","all",,,,"T"),A39))</f>
        <v>61.47</v>
      </c>
      <c r="B29" s="138" t="str">
        <f>IF(A36="B",TRUNC(RTD("cqg.rtd",,"DOMData",B37,"Price",-5,"T"))&amp;"'"&amp;RIGHT(TEXT(DOLLARFR(RTD("cqg.rtd",,"DOMData",B37,"Price",-5,"T"),32),A39),A38),TEXT(RTD("cqg.rtd",,"DOMData",B37,"Price",-5,"T"),A39))</f>
        <v>61.48</v>
      </c>
      <c r="C29" s="140" t="str">
        <f>IF(A36="B",TRUNC(RTD("cqg.rtd",,"DOMData",B37,"Price",-4,"T"))&amp;"'"&amp;RIGHT(TEXT(DOLLARFR(RTD("cqg.rtd",,"DOMData",B37,"Price",-4,"T"),32),A39),A38),TEXT(RTD("cqg.rtd",,"DOMData",B37,"Price",-4,"T"),A39))</f>
        <v>61.49</v>
      </c>
      <c r="D29" s="142" t="str">
        <f>IF(A36="B",TRUNC(RTD("cqg.rtd",,"DOMData",B37,"Price",-3,"T"))&amp;"'"&amp;RIGHT(TEXT(DOLLARFR(RTD("cqg.rtd",,"DOMData",B37,"Price",-3,"T"),32),A39),A38),TEXT(RTD("cqg.rtd",,"DOMData",B37,"Price",-3,"T"),A39))</f>
        <v>61.50</v>
      </c>
      <c r="E29" s="102" t="str">
        <f>IF(A36="B",TRUNC(RTD("cqg.rtd",,"DOMData",B37,"Price",-2,"T"))&amp;"'"&amp;RIGHT(TEXT(DOLLARFR(RTD("cqg.rtd",,"DOMData",B37,"Price",-2,"T"),32),A39),A38),TEXT(RTD("cqg.rtd",,"DOMData",B37,"Price",-2,"T"),A39))</f>
        <v>61.51</v>
      </c>
      <c r="F29" s="31" t="str">
        <f>IFERROR(IF(A36="B",LEFT(A34,FIND("'",A34)),LEFT(TEXT(RTD("cqg.rtd",,"DOMData",B37,"Price",-1,"T"),A39),FIND(".",F39))),"")</f>
        <v>61.</v>
      </c>
      <c r="G29" s="104" t="str">
        <f>IFERROR(IF(A36="B",RIGHT(A34,LEN(A34)-FIND("'",A34)),RIGHT(TEXT(RTD("cqg.rtd",,"DOMData",B37,"Price",-1,"T"),A39),LEN(D38)-FIND(".",D38))),A34)</f>
        <v>52</v>
      </c>
      <c r="H29" s="33" t="str">
        <f>IFERROR(IF(A36="B",LEFT(A33,FIND("'",A33)),LEFT(TEXT(RTD("cqg.rtd",,"DOMData",B37,"Price",1,"T"),A39),FIND(".",H39))),"")</f>
        <v>61.</v>
      </c>
      <c r="I29" s="106" t="str">
        <f>IFERROR(IF(A36="B",RIGHT(A33,LEN(A33)-FIND("'",A33)),RIGHT(TEXT(RTD("cqg.rtd",,"DOMData",B37,"Price",1,"T"),A39),LEN(D38)-FIND(".",D38))),A33)</f>
        <v>53</v>
      </c>
      <c r="J29" s="108" t="str">
        <f>IF(A36="B",TRUNC(RTD("cqg.rtd",,"DOMData",B37,"Price",2,"T"))&amp;"'"&amp;RIGHT(TEXT(DOLLARFR(RTD("cqg.rtd",,"DOMData",B37,"Price",2,"T"),32),A39),A38),TEXT(RTD("cqg.rtd",,"DOMData",B37,"Price",2,"T"),A39))</f>
        <v>61.54</v>
      </c>
      <c r="K29" s="152" t="str">
        <f>IF(A36="B",TRUNC(RTD("cqg.rtd",,"DOMData",B37,"Price",3,"T"))&amp;"'"&amp;RIGHT(TEXT(DOLLARFR(RTD("cqg.rtd",,"DOMData",B37,"Price",3,"T"),32),A39),A38),TEXT(RTD("cqg.rtd",,"DOMData",B37,"Price",3,"T"),A39))</f>
        <v>61.55</v>
      </c>
      <c r="L29" s="154" t="str">
        <f>IF(A36="B",TRUNC(RTD("cqg.rtd",,"DOMData",B37,"Price",4,"T"))&amp;"'"&amp;RIGHT(TEXT(DOLLARFR(RTD("cqg.rtd",,"DOMData",B37,"Price",4,"T"),32),A39),A38),TEXT(RTD("cqg.rtd",,"DOMData",B37,"Price",4,"T"),A39))</f>
        <v>61.56</v>
      </c>
      <c r="M29" s="150" t="str">
        <f>IF(A36="B",TRUNC(RTD("cqg.rtd",,"DOMData",B37,"Price",5,"T"))&amp;"'"&amp;RIGHT(TEXT(DOLLARFR(RTD("cqg.rtd",,"DOMData",B37,"Price",5,"T"),32),A39),A38),TEXT(RTD("cqg.rtd",,"DOMData",B37,"Price",5,"T"),A39))</f>
        <v>61.57</v>
      </c>
      <c r="N29" s="62" t="str">
        <f>IF(N36="B",TRUNC(RTD("cqg.rtd",,"StudyData","FPMax(FootprintOp("&amp;O37&amp;",0))", "Bar",, "Close","D","0","all",,,,"T"))&amp;"'"&amp;RIGHT(TEXT(DOLLARFR(RTD("cqg.rtd",,"StudyData","FPMax(FootprintOp("&amp;O37&amp;",0))", "Bar",, "Close","D","0","all",,,,"T"),32),N39),N38),TEXT(RTD("cqg.rtd",,"StudyData","FPMax(FootprintOp("&amp;O37&amp;",0))", "Bar",, "Close","D","0","all",,,,"T"),N39))</f>
        <v>120'155</v>
      </c>
      <c r="O29" s="138" t="str">
        <f>IF(N36="B",TRUNC(RTD("cqg.rtd",,"DOMData",O37,"Price",-5,"T"))&amp;"'"&amp;RIGHT(TEXT(DOLLARFR(RTD("cqg.rtd",,"DOMData",O37,"Price",-5,"T"),32),N39),N38),TEXT(RTD("cqg.rtd",,"DOMData",O37,"Price",-5,"T"),N39))</f>
        <v>120'125</v>
      </c>
      <c r="P29" s="140" t="str">
        <f>IF(N36="B",TRUNC(RTD("cqg.rtd",,"DOMData",O37,"Price",-4,"T"))&amp;"'"&amp;RIGHT(TEXT(DOLLARFR(RTD("cqg.rtd",,"DOMData",O37,"Price",-4,"T"),32),N39),N38),TEXT(RTD("cqg.rtd",,"DOMData",O37,"Price",-4,"T"),N39))</f>
        <v>120'130</v>
      </c>
      <c r="Q29" s="142" t="str">
        <f>IF(N36="B",TRUNC(RTD("cqg.rtd",,"DOMData",O37,"Price",-3,"T"))&amp;"'"&amp;RIGHT(TEXT(DOLLARFR(RTD("cqg.rtd",,"DOMData",O37,"Price",-3,"T"),32),N39),N38),TEXT(RTD("cqg.rtd",,"DOMData",O37,"Price",-3,"T"),N39))</f>
        <v>120'135</v>
      </c>
      <c r="R29" s="102" t="str">
        <f>IF(N36="B",TRUNC(RTD("cqg.rtd",,"DOMData",O37,"Price",-2,"T"))&amp;"'"&amp;RIGHT(TEXT(DOLLARFR(RTD("cqg.rtd",,"DOMData",O37,"Price",-2,"T"),32),N39),N38),TEXT(RTD("cqg.rtd",,"DOMData",O37,"Price",-2,"T"),N39))</f>
        <v>120'140</v>
      </c>
      <c r="S29" s="31" t="str">
        <f>IFERROR(IF(N36="B",LEFT(N34,FIND("'",N34)),LEFT(TEXT(RTD("cqg.rtd",,"DOMData",O37,"Price",-1,"T"),N39),FIND(".",S39))),"")</f>
        <v>120'</v>
      </c>
      <c r="T29" s="104" t="str">
        <f>IFERROR(IF(N36="B",RIGHT(N34,LEN(N34)-FIND("'",N34)),RIGHT(TEXT(RTD("cqg.rtd",,"DOMData",O37,"Price",-1,"T"),N39),LEN(Q38)-FIND(".",Q38))),N34)</f>
        <v>145</v>
      </c>
      <c r="U29" s="33" t="str">
        <f>IFERROR(IF(N36="B",LEFT(N33,FIND("'",N33)),LEFT(TEXT(RTD("cqg.rtd",,"DOMData",O37,"Price",1,"T"),N39),FIND(".",U39))),"")</f>
        <v>120'</v>
      </c>
      <c r="V29" s="106" t="str">
        <f>IFERROR(IF(N36="B",RIGHT(N33,LEN(N33)-FIND("'",N33)),RIGHT(TEXT(RTD("cqg.rtd",,"DOMData",O37,"Price",1,"T"),N39),LEN(Q38)-FIND(".",Q38))),N33)</f>
        <v>150</v>
      </c>
      <c r="W29" s="108" t="str">
        <f>IF(N36="B",TRUNC(RTD("cqg.rtd",,"DOMData",O37,"Price",2,"T"))&amp;"'"&amp;RIGHT(TEXT(DOLLARFR(RTD("cqg.rtd",,"DOMData",O37,"Price",2,"T"),32),N39),N38),TEXT(RTD("cqg.rtd",,"DOMData",O37,"Price",2,"T"),N39))</f>
        <v>120'155</v>
      </c>
      <c r="X29" s="152" t="str">
        <f>IF(N36="B",TRUNC(RTD("cqg.rtd",,"DOMData",O37,"Price",3,"T"))&amp;"'"&amp;RIGHT(TEXT(DOLLARFR(RTD("cqg.rtd",,"DOMData",O37,"Price",3,"T"),32),N39),N38),TEXT(RTD("cqg.rtd",,"DOMData",O37,"Price",3,"T"),N39))</f>
        <v>120'160</v>
      </c>
      <c r="Y29" s="154" t="str">
        <f>IF(N36="B",TRUNC(RTD("cqg.rtd",,"DOMData",O37,"Price",4,"T"))&amp;"'"&amp;RIGHT(TEXT(DOLLARFR(RTD("cqg.rtd",,"DOMData",O37,"Price",4,"T"),32),N39),N38),TEXT(RTD("cqg.rtd",,"DOMData",O37,"Price",4,"T"),N39))</f>
        <v>120'165</v>
      </c>
      <c r="Z29" s="150" t="str">
        <f>IF(N36="B",TRUNC(RTD("cqg.rtd",,"DOMData",O37,"Price",5,"T"))&amp;"'"&amp;RIGHT(TEXT(DOLLARFR(RTD("cqg.rtd",,"DOMData",O37,"Price",5,"T"),32),N39),N38),TEXT(RTD("cqg.rtd",,"DOMData",O37,"Price",5,"T"),N39))</f>
        <v>120'170</v>
      </c>
    </row>
    <row r="30" spans="1:26" ht="17.100000000000001" customHeight="1" x14ac:dyDescent="0.3">
      <c r="A30" s="63" t="str">
        <f>IF(A29="","",TEXT(RTD("cqg.rtd",,"StudyData","FPVol(FootprintOp ("&amp;B37&amp;", 0),"&amp;A28&amp;")", "Bar",, "Close","D","0","all",,,,"T"),"#,###"))</f>
        <v>7,165</v>
      </c>
      <c r="B30" s="139"/>
      <c r="C30" s="141"/>
      <c r="D30" s="143"/>
      <c r="E30" s="103"/>
      <c r="F30" s="32">
        <f>RTD("cqg.rtd",,"DOMData",B37,"Price",-1,"T")</f>
        <v>61.52</v>
      </c>
      <c r="G30" s="105"/>
      <c r="H30" s="37">
        <f>RTD("cqg.rtd",,"DOMData",B37,"Price",1,"T")</f>
        <v>61.53</v>
      </c>
      <c r="I30" s="107"/>
      <c r="J30" s="109"/>
      <c r="K30" s="153"/>
      <c r="L30" s="155"/>
      <c r="M30" s="151"/>
      <c r="N30" s="63" t="str">
        <f>IF(N29="","",TEXT(RTD("cqg.rtd",,"StudyData","FPVol(FootprintOp ("&amp;O37&amp;", 0),"&amp;N28&amp;")", "Bar",, "Close","D","0","all",,,,"T"),"#,###"))</f>
        <v>129,588</v>
      </c>
      <c r="O30" s="139"/>
      <c r="P30" s="141"/>
      <c r="Q30" s="143"/>
      <c r="R30" s="103"/>
      <c r="S30" s="32">
        <f>RTD("cqg.rtd",,"DOMData",O37,"Price",-1,"T")</f>
        <v>120.453125</v>
      </c>
      <c r="T30" s="105"/>
      <c r="U30" s="37">
        <f>RTD("cqg.rtd",,"DOMData",O37,"Price",1,"T")</f>
        <v>120.46875</v>
      </c>
      <c r="V30" s="107"/>
      <c r="W30" s="109"/>
      <c r="X30" s="153"/>
      <c r="Y30" s="155"/>
      <c r="Z30" s="151"/>
    </row>
    <row r="31" spans="1:26" ht="17.45" customHeight="1" x14ac:dyDescent="0.3">
      <c r="A31" s="62">
        <f>IF(RTD("cqg.rtd",,"ContractData",B37,"NetLastTradeToday",,"T")&gt;=0,1,0)</f>
        <v>0</v>
      </c>
      <c r="B31" s="10">
        <f>RTD("cqg.rtd",,"DOMData",B37,"Volume",-5)</f>
        <v>53</v>
      </c>
      <c r="C31" s="11">
        <f>RTD("cqg.rtd",,"DOMData",B37,"Volume",-4)</f>
        <v>78</v>
      </c>
      <c r="D31" s="12">
        <f>RTD("cqg.rtd",,"DOMData",B37,"Volume",-3)</f>
        <v>76</v>
      </c>
      <c r="E31" s="13">
        <f>RTD("cqg.rtd",,"DOMData",B37,"Volume",-2)</f>
        <v>56</v>
      </c>
      <c r="F31" s="112">
        <f>RTD("cqg.rtd",,"DOMData",B37,"Volume",-1)</f>
        <v>4</v>
      </c>
      <c r="G31" s="113"/>
      <c r="H31" s="114">
        <f>RTD("cqg.rtd",,"DOMData",B37,"Volume",1)</f>
        <v>42</v>
      </c>
      <c r="I31" s="115"/>
      <c r="J31" s="14">
        <f>RTD("cqg.rtd",,"DOMData",B37,"Volume",2)</f>
        <v>68</v>
      </c>
      <c r="K31" s="15">
        <f>RTD("cqg.rtd",,"DOMData",B37,"Volume",3)</f>
        <v>42</v>
      </c>
      <c r="L31" s="16">
        <f>RTD("cqg.rtd",,"DOMData",B37,"Volume",4)</f>
        <v>50</v>
      </c>
      <c r="M31" s="17">
        <f>RTD("cqg.rtd",,"DOMData",B37,"Volume",5)</f>
        <v>37</v>
      </c>
      <c r="N31" s="62">
        <f>IF(RTD("cqg.rtd",,"ContractData",O37,"NetLastTradeToday",,"T")&gt;=0,1,0)</f>
        <v>0</v>
      </c>
      <c r="O31" s="10">
        <f>RTD("cqg.rtd",,"DOMData",O37,"Volume",-5)</f>
        <v>2759</v>
      </c>
      <c r="P31" s="11">
        <f>RTD("cqg.rtd",,"DOMData",O37,"Volume",-4)</f>
        <v>4795</v>
      </c>
      <c r="Q31" s="12">
        <f>RTD("cqg.rtd",,"DOMData",O37,"Volume",-3)</f>
        <v>2527</v>
      </c>
      <c r="R31" s="13">
        <f>RTD("cqg.rtd",,"DOMData",O37,"Volume",-2)</f>
        <v>2502</v>
      </c>
      <c r="S31" s="112">
        <f>RTD("cqg.rtd",,"DOMData",O37,"Volume",-1)</f>
        <v>1071</v>
      </c>
      <c r="T31" s="113"/>
      <c r="U31" s="114">
        <f>RTD("cqg.rtd",,"DOMData",O37,"Volume",1)</f>
        <v>1238</v>
      </c>
      <c r="V31" s="115"/>
      <c r="W31" s="14">
        <f>RTD("cqg.rtd",,"DOMData",O37,"Volume",2)</f>
        <v>2511</v>
      </c>
      <c r="X31" s="15">
        <f>RTD("cqg.rtd",,"DOMData",O37,"Volume",3)</f>
        <v>2527</v>
      </c>
      <c r="Y31" s="16">
        <f>RTD("cqg.rtd",,"DOMData",O37,"Volume",4)</f>
        <v>2416</v>
      </c>
      <c r="Z31" s="17">
        <f>RTD("cqg.rtd",,"DOMData",O37,"Volume",5)</f>
        <v>2557</v>
      </c>
    </row>
    <row r="32" spans="1:26" s="72" customFormat="1" ht="12.95" customHeight="1" x14ac:dyDescent="0.2">
      <c r="A32" s="76"/>
      <c r="B32" s="73">
        <f>IFERROR(MOD(RTD("cqg.rtd",,"DOMData",B37,"Time",-5),1),"")</f>
        <v>0.50326708333159331</v>
      </c>
      <c r="C32" s="73">
        <f>IFERROR(MOD(RTD("cqg.rtd",,"DOMData",B37,"Time",-4),1),"")</f>
        <v>0.50327500000275904</v>
      </c>
      <c r="D32" s="73">
        <f>IFERROR(MOD(RTD("cqg.rtd",,"DOMData",B37,"Time",-3),1),"")</f>
        <v>0.50328592592995847</v>
      </c>
      <c r="E32" s="74">
        <f>IFERROR(MOD(RTD("cqg.rtd",,"DOMData",B37,"Time",-2),1),"")</f>
        <v>0.50328199074283475</v>
      </c>
      <c r="F32" s="96">
        <f>IFERROR(MOD(RTD("cqg.rtd",,"DOMData",B37,"Time",-1),1),"")</f>
        <v>0.50328333333163755</v>
      </c>
      <c r="G32" s="97"/>
      <c r="H32" s="96">
        <f>IFERROR(MOD(RTD("cqg.rtd",,"DOMData",B37,"Time",1),1),"")</f>
        <v>0.50328199074283475</v>
      </c>
      <c r="I32" s="97"/>
      <c r="J32" s="75">
        <f>IFERROR(MOD(RTD("cqg.rtd",,"DOMData",B37,"Time",2),1),"")</f>
        <v>0.50327726852265187</v>
      </c>
      <c r="K32" s="73">
        <f>IFERROR(MOD(RTD("cqg.rtd",,"DOMData",B37,"Time",3),1),"")</f>
        <v>0.50327259259211132</v>
      </c>
      <c r="L32" s="73">
        <f>IFERROR(MOD(RTD("cqg.rtd",,"DOMData",B37,"Time",4),1),"")</f>
        <v>0.50327259259211132</v>
      </c>
      <c r="M32" s="73">
        <f>IFERROR(MOD(RTD("cqg.rtd",,"DOMData",B37,"Time",5),1),"")</f>
        <v>0.50327259259211132</v>
      </c>
      <c r="N32" s="79"/>
      <c r="O32" s="73">
        <f>IFERROR(MOD(RTD("cqg.rtd",,"DOMData",O37,"Time",-5),1),"")</f>
        <v>0.50328425926272757</v>
      </c>
      <c r="P32" s="73">
        <f>IFERROR(MOD(RTD("cqg.rtd",,"DOMData",O37,"Time",-4),1),"")</f>
        <v>0.50328425926272757</v>
      </c>
      <c r="Q32" s="73">
        <f>IFERROR(MOD(RTD("cqg.rtd",,"DOMData",O37,"Time",-3),1),"")</f>
        <v>0.50328425926272757</v>
      </c>
      <c r="R32" s="74">
        <f>IFERROR(MOD(RTD("cqg.rtd",,"DOMData",O37,"Time",-2),1),"")</f>
        <v>0.50328425926272757</v>
      </c>
      <c r="S32" s="96">
        <f>IFERROR(MOD(RTD("cqg.rtd",,"DOMData",O37,"Time",-1),1),"")</f>
        <v>0.50327074074448319</v>
      </c>
      <c r="T32" s="97"/>
      <c r="U32" s="96">
        <f>IFERROR(MOD(RTD("cqg.rtd",,"DOMData",O37,"Time",1),1),"")</f>
        <v>0.50327152777754236</v>
      </c>
      <c r="V32" s="97"/>
      <c r="W32" s="75">
        <f>IFERROR(MOD(RTD("cqg.rtd",,"DOMData",O37,"Time",2),1),"")</f>
        <v>0.50328425926272757</v>
      </c>
      <c r="X32" s="73">
        <f>IFERROR(MOD(RTD("cqg.rtd",,"DOMData",O37,"Time",3),1),"")</f>
        <v>0.50328425926272757</v>
      </c>
      <c r="Y32" s="73">
        <f>IFERROR(MOD(RTD("cqg.rtd",,"DOMData",O37,"Time",4),1),"")</f>
        <v>0.50328425926272757</v>
      </c>
      <c r="Z32" s="73">
        <f>IFERROR(MOD(RTD("cqg.rtd",,"DOMData",O37,"Time",5),1),"")</f>
        <v>0.50328425926272757</v>
      </c>
    </row>
    <row r="33" spans="1:26" ht="17.45" customHeight="1" x14ac:dyDescent="0.3">
      <c r="A33" s="62" t="str">
        <f>IF(A36="B",TRUNC(RTD("cqg.rtd",,"DOMData",B37,"Price",1,"T"))&amp;"'"&amp;RIGHT(TEXT(DOLLARFR(RTD("cqg.rtd",,"DOMData",B37,"Price",1,"T"),32),A39),A38),TEXT(RTD("cqg.rtd",,"DOMData",B37,"Price",1,"T"),A39))</f>
        <v>61.53</v>
      </c>
      <c r="B33" s="6">
        <f>IF(LEFT(IFERROR(RTD("cqg.rtd",,"StudyData","FPVol(FootprintOp ("&amp;B37&amp;", 0),"&amp;B39&amp;")", "Bar",, "Close","D","0","all",,,,"T"),""),3)="777","",IFERROR(RTD("cqg.rtd",,"StudyData","FPVol(FootprintOp ("&amp;B37&amp;", 0),"&amp;B39&amp;")", "Bar",, "Close","D","0","all",,,,"T"),""))</f>
        <v>7122</v>
      </c>
      <c r="C33" s="6">
        <f>IF(LEFT(IFERROR(RTD("cqg.rtd",,"StudyData","FPVol(FootprintOp ("&amp;B37&amp;", 0),"&amp;C39&amp;")", "Bar",, "Close","D","0","all",,,,"T"),""),3)="777","",IFERROR(RTD("cqg.rtd",,"StudyData","FPVol(FootprintOp ("&amp;B37&amp;", 0),"&amp;C39&amp;")", "Bar",, "Close","D","0","all",,,,"T"),""))</f>
        <v>6511</v>
      </c>
      <c r="D33" s="7">
        <f>IF(LEFT(IFERROR(RTD("cqg.rtd",,"StudyData","FPVol(FootprintOp ("&amp;B37&amp;", 0),"&amp;D39&amp;")", "Bar",, "Close","D","0","all",,,,"T"),""),3)="777","",IFERROR(RTD("cqg.rtd",,"StudyData","FPVol(FootprintOp ("&amp;B37&amp;", 0),"&amp;D39&amp;")", "Bar",, "Close","D","0","all",,,,"T"),""))</f>
        <v>6642</v>
      </c>
      <c r="E33" s="7">
        <f>IF(LEFT(IFERROR(RTD("cqg.rtd",,"StudyData","FPVol(FootprintOp ("&amp;B37&amp;", 0),"&amp;E39&amp;")", "Bar",, "Close","D","0","all",,,,"T"),""),3)="777","",IFERROR(RTD("cqg.rtd",,"StudyData","FPVol(FootprintOp ("&amp;B37&amp;", 0),"&amp;E39&amp;")", "Bar",, "Close","D","0","all",,,,"T"),""))</f>
        <v>6325</v>
      </c>
      <c r="F33" s="116">
        <f>IF(LEFT(IFERROR(RTD("cqg.rtd",,"StudyData","FPVol(FootprintOp ("&amp;B37&amp;", 0),"&amp;F39&amp;")", "Bar",, "Close","D","0","all",,,,"T"),""),3)="777","",IFERROR(RTD("cqg.rtd",,"StudyData","FPVol(FootprintOp ("&amp;B37&amp;", 0),"&amp;F39&amp;")", "Bar",, "Close","D","0","all",,,,"T"),""))</f>
        <v>6551</v>
      </c>
      <c r="G33" s="117"/>
      <c r="H33" s="116">
        <f>IF(LEFT(IFERROR(RTD("cqg.rtd",,"StudyData","FPVol(FootprintOp ("&amp;B37&amp;", 0),"&amp;H39&amp;")", "Bar",, "Close","D","0","all",,,,"T"),""),3)="777","",IFERROR(RTD("cqg.rtd",,"StudyData","FPVol(FootprintOp ("&amp;B37&amp;", 0),"&amp;H39&amp;")", "Bar",, "Close","D","0","all",,,,"T"),""))</f>
        <v>6836</v>
      </c>
      <c r="I33" s="117"/>
      <c r="J33" s="7">
        <f>IF(LEFT(IFERROR(RTD("cqg.rtd",,"StudyData","FPVol(FootprintOp ("&amp;B37&amp;", 0),"&amp;J39&amp;")", "Bar",, "Close","D","0","all",,,,"T"),""),3)="777","",IFERROR(RTD("cqg.rtd",,"StudyData","FPVol(FootprintOp ("&amp;B37&amp;", 0),"&amp;J39&amp;")", "Bar",, "Close","D","0","all",,,,"T"),""))</f>
        <v>5624</v>
      </c>
      <c r="K33" s="7">
        <f>IF(LEFT(IFERROR(RTD("cqg.rtd",,"StudyData","FPVol(FootprintOp ("&amp;B37&amp;", 0),"&amp;K39&amp;")", "Bar",, "Close","D","0","all",,,,"T"),""),3)="777","",IFERROR(RTD("cqg.rtd",,"StudyData","FPVol(FootprintOp ("&amp;B37&amp;", 0),"&amp;K39&amp;")", "Bar",, "Close","D","0","all",,,,"T"),""))</f>
        <v>4991</v>
      </c>
      <c r="L33" s="6">
        <f>IF(LEFT(IFERROR(RTD("cqg.rtd",,"StudyData","FPVol(FootprintOp ("&amp;B37&amp;", 0),"&amp;L39&amp;")", "Bar",, "Close","D","0","all",,,,"T"),""),3)="777","",IFERROR(RTD("cqg.rtd",,"StudyData","FPVol(FootprintOp ("&amp;B37&amp;", 0),"&amp;L39&amp;")", "Bar",, "Close","D","0","all",,,,"T"),""))</f>
        <v>5457</v>
      </c>
      <c r="M33" s="6">
        <f>IF(LEFT(IFERROR(RTD("cqg.rtd",,"StudyData","FPVol(FootprintOp ("&amp;B37&amp;", 0),"&amp;M39&amp;")", "Bar",, "Close","D","0","all",,,,"T"),""),3)="777","",IFERROR(RTD("cqg.rtd",,"StudyData","FPVol(FootprintOp ("&amp;B37&amp;", 0),"&amp;M39&amp;")", "Bar",, "Close","D","0","all",,,,"T"),""))</f>
        <v>5776</v>
      </c>
      <c r="N33" s="62" t="str">
        <f>IF(N36="B",TRUNC(RTD("cqg.rtd",,"DOMData",O37,"Price",1,"T"))&amp;"'"&amp;RIGHT(TEXT(DOLLARFR(RTD("cqg.rtd",,"DOMData",O37,"Price",1,"T"),32),N39),N38),TEXT(RTD("cqg.rtd",,"DOMData",O37,"Price",1,"T"),N39))</f>
        <v>120'150</v>
      </c>
      <c r="O33" s="6" t="str">
        <f>IF(LEFT(IFERROR(RTD("cqg.rtd",,"StudyData","FPVol(FootprintOp ("&amp;O37&amp;", 0),"&amp;O39&amp;")", "Bar",, "Close","D","0","all",,,,"T"),""),3)="777","",IFERROR(RTD("cqg.rtd",,"StudyData","FPVol(FootprintOp ("&amp;O37&amp;", 0),"&amp;O39&amp;")", "Bar",, "Close","D","0","all",,,,"T"),""))</f>
        <v/>
      </c>
      <c r="P33" s="6" t="str">
        <f>IF(LEFT(IFERROR(RTD("cqg.rtd",,"StudyData","FPVol(FootprintOp ("&amp;O37&amp;", 0),"&amp;P39&amp;")", "Bar",, "Close","D","0","all",,,,"T"),""),3)="777","",IFERROR(RTD("cqg.rtd",,"StudyData","FPVol(FootprintOp ("&amp;O37&amp;", 0),"&amp;P39&amp;")", "Bar",, "Close","D","0","all",,,,"T"),""))</f>
        <v/>
      </c>
      <c r="Q33" s="7">
        <f>IF(LEFT(IFERROR(RTD("cqg.rtd",,"StudyData","FPVol(FootprintOp ("&amp;O37&amp;", 0),"&amp;Q39&amp;")", "Bar",, "Close","D","0","all",,,,"T"),""),3)="777","",IFERROR(RTD("cqg.rtd",,"StudyData","FPVol(FootprintOp ("&amp;O37&amp;", 0),"&amp;Q39&amp;")", "Bar",, "Close","D","0","all",,,,"T"),""))</f>
        <v>4867</v>
      </c>
      <c r="R33" s="7">
        <f>IF(LEFT(IFERROR(RTD("cqg.rtd",,"StudyData","FPVol(FootprintOp ("&amp;O37&amp;", 0),"&amp;R39&amp;")", "Bar",, "Close","D","0","all",,,,"T"),""),3)="777","",IFERROR(RTD("cqg.rtd",,"StudyData","FPVol(FootprintOp ("&amp;O37&amp;", 0),"&amp;R39&amp;")", "Bar",, "Close","D","0","all",,,,"T"),""))</f>
        <v>29016</v>
      </c>
      <c r="S33" s="116">
        <f>IF(LEFT(IFERROR(RTD("cqg.rtd",,"StudyData","FPVol(FootprintOp ("&amp;O37&amp;", 0),"&amp;S39&amp;")", "Bar",, "Close","D","0","all",,,,"T"),""),3)="777","",IFERROR(RTD("cqg.rtd",,"StudyData","FPVol(FootprintOp ("&amp;O37&amp;", 0),"&amp;S39&amp;")", "Bar",, "Close","D","0","all",,,,"T"),""))</f>
        <v>70043</v>
      </c>
      <c r="T33" s="117"/>
      <c r="U33" s="116">
        <f>IF(LEFT(IFERROR(RTD("cqg.rtd",,"StudyData","FPVol(FootprintOp ("&amp;O37&amp;", 0),"&amp;U39&amp;")", "Bar",, "Close","D","0","all",,,,"T"),""),3)="777","",IFERROR(RTD("cqg.rtd",,"StudyData","FPVol(FootprintOp ("&amp;O37&amp;", 0),"&amp;U39&amp;")", "Bar",, "Close","D","0","all",,,,"T"),""))</f>
        <v>89758</v>
      </c>
      <c r="V33" s="117"/>
      <c r="W33" s="7">
        <f>IF(LEFT(IFERROR(RTD("cqg.rtd",,"StudyData","FPVol(FootprintOp ("&amp;O37&amp;", 0),"&amp;W39&amp;")", "Bar",, "Close","D","0","all",,,,"T"),""),3)="777","",IFERROR(RTD("cqg.rtd",,"StudyData","FPVol(FootprintOp ("&amp;O37&amp;", 0),"&amp;W39&amp;")", "Bar",, "Close","D","0","all",,,,"T"),""))</f>
        <v>129588</v>
      </c>
      <c r="X33" s="7">
        <f>IF(LEFT(IFERROR(RTD("cqg.rtd",,"StudyData","FPVol(FootprintOp ("&amp;O37&amp;", 0),"&amp;X39&amp;")", "Bar",, "Close","D","0","all",,,,"T"),""),3)="777","",IFERROR(RTD("cqg.rtd",,"StudyData","FPVol(FootprintOp ("&amp;O37&amp;", 0),"&amp;X39&amp;")", "Bar",, "Close","D","0","all",,,,"T"),""))</f>
        <v>77872</v>
      </c>
      <c r="Y33" s="6">
        <f>IF(LEFT(IFERROR(RTD("cqg.rtd",,"StudyData","FPVol(FootprintOp ("&amp;O37&amp;", 0),"&amp;Y39&amp;")", "Bar",, "Close","D","0","all",,,,"T"),""),3)="777","",IFERROR(RTD("cqg.rtd",,"StudyData","FPVol(FootprintOp ("&amp;O37&amp;", 0),"&amp;Y39&amp;")", "Bar",, "Close","D","0","all",,,,"T"),""))</f>
        <v>86469</v>
      </c>
      <c r="Z33" s="6">
        <f>IF(LEFT(IFERROR(RTD("cqg.rtd",,"StudyData","FPVol(FootprintOp ("&amp;O37&amp;", 0),"&amp;Z39&amp;")", "Bar",, "Close","D","0","all",,,,"T"),""),3)="777","",IFERROR(RTD("cqg.rtd",,"StudyData","FPVol(FootprintOp ("&amp;O37&amp;", 0),"&amp;Z39&amp;")", "Bar",, "Close","D","0","all",,,,"T"),""))</f>
        <v>128619</v>
      </c>
    </row>
    <row r="34" spans="1:26" ht="17.45" customHeight="1" x14ac:dyDescent="0.3">
      <c r="A34" s="62" t="str">
        <f>IF(A36="B",TRUNC(RTD("cqg.rtd",,"DOMData",B37,"Price",-1,"T"))&amp;"'"&amp;RIGHT(TEXT(DOLLARFR(RTD("cqg.rtd",,"DOMData",B37,"Price",-1,"T"),32),A39),A38),TEXT(RTD("cqg.rtd",,"DOMData",B37,"Price",-1,"T"),A39))</f>
        <v>61.52</v>
      </c>
      <c r="B34" s="41" t="s">
        <v>18</v>
      </c>
      <c r="C34" s="30" t="str">
        <f>RTD("cqg.rtd", ,"ContractData",B37, "LongSymbol",, "T")</f>
        <v>F.US.CLEJ18</v>
      </c>
      <c r="D34" s="42" t="s">
        <v>19</v>
      </c>
      <c r="E34" s="30" t="str">
        <f>IF(A36="B",RTD("cqg.rtd",,"ContractData",B37,"LastTradeToday",,A36),TEXT(RTD("cqg.rtd",,"ContractData",B37,"LastTradeToday",,A36),A39))</f>
        <v>61.52</v>
      </c>
      <c r="F34" s="43" t="s">
        <v>20</v>
      </c>
      <c r="G34" s="38" t="str">
        <f>A37&amp;" "&amp;IF(A36="B",RTD("cqg.rtd",,"ContractData",B37,"NetLastTradeToday",,A36),TEXT(RTD("cqg.rtd",,"ContractData",B37,"NetLastTradeToday",,A36),A39))</f>
        <v xml:space="preserve"> -.27</v>
      </c>
      <c r="H34" s="42" t="s">
        <v>17</v>
      </c>
      <c r="I34" s="42" t="str">
        <f>IF(A36="B",RTD("cqg.rtd",,"ContractData",B37,"Open",,A36),TEXT(RTD("cqg.rtd",,"ContractData",B37,"Open",,A36),A39))</f>
        <v>61.63</v>
      </c>
      <c r="J34" s="42" t="s">
        <v>22</v>
      </c>
      <c r="K34" s="30" t="str">
        <f>IF(A36="B",RTD("cqg.rtd",,"ContractData",B37,"High",,A36),TEXT(RTD("cqg.rtd",,"ContractData",B37,"High",,A36),A39))</f>
        <v>61.81</v>
      </c>
      <c r="L34" s="42" t="s">
        <v>21</v>
      </c>
      <c r="M34" s="44" t="str">
        <f>IF(A36="B",RTD("cqg.rtd",,"ContractData",B37,"Low",,A36),TEXT(RTD("cqg.rtd",,"ContractData",B37,"Low",,A36),A39))</f>
        <v>60.92</v>
      </c>
      <c r="N34" s="62" t="str">
        <f>IF(N36="B",TRUNC(RTD("cqg.rtd",,"DOMData",O37,"Price",-1,"T"))&amp;"'"&amp;RIGHT(TEXT(DOLLARFR(RTD("cqg.rtd",,"DOMData",O37,"Price",-1,"T"),32),N39),N38),TEXT(RTD("cqg.rtd",,"DOMData",O37,"Price",-1,"T"),N39))</f>
        <v>120'145</v>
      </c>
      <c r="O34" s="41" t="s">
        <v>18</v>
      </c>
      <c r="P34" s="30" t="str">
        <f>RTD("cqg.rtd", ,"ContractData",O37, "LongSymbol",, "T")</f>
        <v>F.US.TYAH18</v>
      </c>
      <c r="Q34" s="42" t="s">
        <v>19</v>
      </c>
      <c r="R34" s="30" t="str">
        <f>IF(N36="B",RTD("cqg.rtd",,"ContractData",O37,"LastTradeToday",,N36),TEXT(RTD("cqg.rtd",,"ContractData",O37,"LastTradeToday",,N36),N39))</f>
        <v>120'14.5</v>
      </c>
      <c r="S34" s="43" t="s">
        <v>20</v>
      </c>
      <c r="T34" s="38" t="str">
        <f>N37&amp;" "&amp;IF(N36="B",RTD("cqg.rtd",,"ContractData",O37,"NetLastTradeToday",,N36),TEXT(RTD("cqg.rtd",,"ContractData",O37,"NetLastTradeToday",,N36),N39))</f>
        <v xml:space="preserve"> -0'01.0</v>
      </c>
      <c r="U34" s="42" t="s">
        <v>17</v>
      </c>
      <c r="V34" s="42" t="str">
        <f>IF(N36="B",RTD("cqg.rtd",,"ContractData",O37,"Open",,N36),TEXT(RTD("cqg.rtd",,"ContractData",O37,"Open",,N36),N39))</f>
        <v>120'15.5</v>
      </c>
      <c r="W34" s="42" t="s">
        <v>22</v>
      </c>
      <c r="X34" s="30" t="str">
        <f>IF(N36="B",RTD("cqg.rtd",,"ContractData",O37,"High",,N36),TEXT(RTD("cqg.rtd",,"ContractData",O37,"High",,N36),N39))</f>
        <v>120'19.5</v>
      </c>
      <c r="Y34" s="42" t="s">
        <v>21</v>
      </c>
      <c r="Z34" s="44" t="str">
        <f>IF(N36="B",RTD("cqg.rtd",,"ContractData",O37,"Low",,N36),TEXT(RTD("cqg.rtd",,"ContractData",O37,"Low",,N36),N39))</f>
        <v>120'13.5</v>
      </c>
    </row>
    <row r="35" spans="1:26" ht="15" customHeight="1" x14ac:dyDescent="0.3">
      <c r="A35" s="62">
        <f>RTD("cqg.rtd", ,"ContractData",B37, "TickSize",, "T")</f>
        <v>0.01</v>
      </c>
      <c r="B35" s="148" t="s">
        <v>0</v>
      </c>
      <c r="C35" s="3"/>
      <c r="D35" s="3" t="s">
        <v>1</v>
      </c>
      <c r="E35" s="3" t="s">
        <v>1</v>
      </c>
      <c r="F35" s="144" t="s">
        <v>5</v>
      </c>
      <c r="G35" s="145"/>
      <c r="H35" s="3" t="s">
        <v>23</v>
      </c>
      <c r="I35" s="133" t="s">
        <v>6</v>
      </c>
      <c r="J35" s="134"/>
      <c r="K35" s="133" t="s">
        <v>30</v>
      </c>
      <c r="L35" s="134"/>
      <c r="M35" s="8" t="s">
        <v>8</v>
      </c>
      <c r="N35" s="62">
        <f>RTD("cqg.rtd", ,"ContractData",O37, "TickSize",, "T")</f>
        <v>1.5625E-2</v>
      </c>
      <c r="O35" s="148" t="s">
        <v>0</v>
      </c>
      <c r="P35" s="3"/>
      <c r="Q35" s="3" t="s">
        <v>1</v>
      </c>
      <c r="R35" s="3" t="s">
        <v>1</v>
      </c>
      <c r="S35" s="144" t="s">
        <v>26</v>
      </c>
      <c r="T35" s="145"/>
      <c r="U35" s="3" t="s">
        <v>23</v>
      </c>
      <c r="V35" s="133" t="s">
        <v>6</v>
      </c>
      <c r="W35" s="134"/>
      <c r="X35" s="133" t="s">
        <v>30</v>
      </c>
      <c r="Y35" s="134"/>
      <c r="Z35" s="8" t="s">
        <v>8</v>
      </c>
    </row>
    <row r="36" spans="1:26" ht="15" customHeight="1" x14ac:dyDescent="0.3">
      <c r="A36" s="65" t="str">
        <f>IF(OR(A35=0.0078125,A35=0.015625,A35=0.03125),"B","T")</f>
        <v>T</v>
      </c>
      <c r="B36" s="149"/>
      <c r="C36" s="2"/>
      <c r="D36" s="4" t="s">
        <v>7</v>
      </c>
      <c r="E36" s="4" t="s">
        <v>4</v>
      </c>
      <c r="F36" s="146"/>
      <c r="G36" s="147"/>
      <c r="H36" s="2" t="s">
        <v>4</v>
      </c>
      <c r="I36" s="100" t="s">
        <v>16</v>
      </c>
      <c r="J36" s="101"/>
      <c r="K36" s="135" t="s">
        <v>29</v>
      </c>
      <c r="L36" s="136"/>
      <c r="M36" s="5" t="s">
        <v>9</v>
      </c>
      <c r="N36" s="65" t="str">
        <f>IF(OR(N35=0.0078125,N35=0.015625,N35=0.03125),"B","T")</f>
        <v>B</v>
      </c>
      <c r="O36" s="149"/>
      <c r="P36" s="2"/>
      <c r="Q36" s="4" t="s">
        <v>7</v>
      </c>
      <c r="R36" s="4" t="s">
        <v>4</v>
      </c>
      <c r="S36" s="146"/>
      <c r="T36" s="147"/>
      <c r="U36" s="2" t="s">
        <v>4</v>
      </c>
      <c r="V36" s="100" t="s">
        <v>16</v>
      </c>
      <c r="W36" s="101"/>
      <c r="X36" s="135" t="s">
        <v>29</v>
      </c>
      <c r="Y36" s="136"/>
      <c r="Z36" s="5" t="s">
        <v>9</v>
      </c>
    </row>
    <row r="37" spans="1:26" ht="17.45" customHeight="1" x14ac:dyDescent="0.3">
      <c r="A37" s="66" t="str">
        <f>IF(A36="B","",(IF(RTD("cqg.rtd",,"ContractData",B37,"NetLastTradeToday",,A36)&gt;0,"+","")))</f>
        <v/>
      </c>
      <c r="B37" s="110" t="s">
        <v>11</v>
      </c>
      <c r="C37" s="45" t="s">
        <v>2</v>
      </c>
      <c r="D37" s="46" t="str">
        <f>IF(A36="B",RTD("cqg.rtd", ,"ContractData",B37, "Ask",,A36),TEXT(RTD("cqg.rtd", ,"ContractData",B37, "Ask",,A36),A39))</f>
        <v>61.53</v>
      </c>
      <c r="E37" s="46">
        <f>RTD("cqg.rtd", ,"ContractData",B37, "MT_LastAskVolume",, "T")</f>
        <v>42</v>
      </c>
      <c r="F37" s="123" t="str">
        <f>IF(A36="B",RTD("cqg.rtd",,"ContractData",B37,"LastTradeToday",,A36),TEXT(RTD("cqg.rtd",,"ContractData",B37,"LastTradeToday",,A36),A39))</f>
        <v>61.52</v>
      </c>
      <c r="G37" s="124"/>
      <c r="H37" s="127">
        <f>RTD("cqg.rtd", ,"ContractData",B37, "VolumeLastTrade",, "T")</f>
        <v>1</v>
      </c>
      <c r="I37" s="129">
        <f>IF(G39="","",IFERROR(RTD("cqg.rtd",,"StudyData","FPVol(FootprintOp ("&amp;B37&amp;", 0),"&amp;G39&amp;")", "Bar",, "Close","D","0","all",,,,"T"),""))</f>
        <v>6551</v>
      </c>
      <c r="J37" s="130"/>
      <c r="K37" s="118" t="str">
        <f>IF(A36="B",TRUNC(RTD("cqg.rtd",,"StudyData",B37,"TFlow", "AggregateBy=TFlowSimpleAggregation, Aggregation=1", "High",,"0",,,,,"T"))&amp;"'"&amp;RIGHT(TEXT(DOLLARFR(MOD(RTD("cqg.rtd",,"StudyData",B37,"TFlow", "AggregateBy=TFlowSimpleAggregation, Aggregation=1", "High",,"0",,,,,"T"),1),32),A39),A38),TEXT(RTD("cqg.rtd",,"StudyData",B37,"TFlow", "AggregateBy=TFlowSimpleAggregation, Aggregation=1", "High",,"0",,,,,"T"),A39))</f>
        <v>61.53</v>
      </c>
      <c r="L37" s="119"/>
      <c r="M37" s="9">
        <f>RTD("cqg.rtd",,"StudyData","(TFlowSimpleAggregation(TFlowOp("&amp;B37&amp;", 0, 0), 1))","Vol",, "VolAsk",,,"all",,,,"T")</f>
        <v>6</v>
      </c>
      <c r="N37" s="66" t="str">
        <f>IF(N36="B","",(IF(RTD("cqg.rtd",,"ContractData",O37,"NetLastTradeToday",,N36)&gt;0,"+","")))</f>
        <v/>
      </c>
      <c r="O37" s="110" t="s">
        <v>28</v>
      </c>
      <c r="P37" s="45" t="s">
        <v>2</v>
      </c>
      <c r="Q37" s="46" t="str">
        <f>IF(N36="B",RTD("cqg.rtd", ,"ContractData",O37, "Ask",,N36),TEXT(RTD("cqg.rtd", ,"ContractData",O37, "Ask",,N36),N39))</f>
        <v>120'15.0</v>
      </c>
      <c r="R37" s="46">
        <f>RTD("cqg.rtd", ,"ContractData",O37, "MT_LastAskVolume",, "T")</f>
        <v>1238</v>
      </c>
      <c r="S37" s="123" t="str">
        <f>IF(N36="B",RTD("cqg.rtd",,"ContractData",O37,"LastTradeToday",,N36),TEXT(RTD("cqg.rtd",,"ContractData",O37,"LastTradeToday",,N36),N39))</f>
        <v>120'14.5</v>
      </c>
      <c r="T37" s="124"/>
      <c r="U37" s="127">
        <f>RTD("cqg.rtd", ,"ContractData",O37, "VolumeLastTrade",, "T")</f>
        <v>4</v>
      </c>
      <c r="V37" s="129">
        <f>IF(T39="","",IFERROR(RTD("cqg.rtd",,"StudyData","FPVol(FootprintOp ("&amp;O37&amp;", 0),"&amp;T39&amp;")", "Bar",, "Close","D","0","all",,,,"T"),""))</f>
        <v>70043</v>
      </c>
      <c r="W37" s="130"/>
      <c r="X37" s="118" t="str">
        <f>IF(N36="B",TRUNC(RTD("cqg.rtd",,"StudyData",O37,"TFlow", "AggregateBy=TFlowSimpleAggregation, Aggregation=1", "High",,"0",,,,,"T"))&amp;"'"&amp;RIGHT(TEXT(DOLLARFR(MOD(RTD("cqg.rtd",,"StudyData",O37,"TFlow", "AggregateBy=TFlowSimpleAggregation, Aggregation=1", "High",,"0",,,,,"T"),1),32),N39),N38),TEXT(RTD("cqg.rtd",,"StudyData",O37,"TFlow", "AggregateBy=TFlowSimpleAggregation, Aggregation=1", "High",,"0",,,,,"T"),N39))</f>
        <v>120'150</v>
      </c>
      <c r="Y37" s="119"/>
      <c r="Z37" s="9">
        <f>RTD("cqg.rtd",,"StudyData","(TFlowSimpleAggregation(TFlowOp("&amp;O37&amp;", 0, 0), 1))","Vol",, "VolAsk",,,"all",,,,"T")</f>
        <v>43</v>
      </c>
    </row>
    <row r="38" spans="1:26" ht="17.45" customHeight="1" x14ac:dyDescent="0.3">
      <c r="A38" s="66">
        <f>IF(A36="B",LEN(DOLLARFR(A35,32))-2,LEN(A35)-LEN(RIGHT(A35,2)))</f>
        <v>2</v>
      </c>
      <c r="B38" s="111"/>
      <c r="C38" s="48" t="s">
        <v>3</v>
      </c>
      <c r="D38" s="49" t="str">
        <f>IF(A36="B",RTD("cqg.rtd", ,"ContractData",B37, "Bid",,A36),TEXT(RTD("cqg.rtd", ,"ContractData",B37, "Bid",,A36),A39))</f>
        <v>61.52</v>
      </c>
      <c r="E38" s="49">
        <f>RTD("cqg.rtd", ,"ContractData",B37, "MT_LastBidVolume",, "T")</f>
        <v>4</v>
      </c>
      <c r="F38" s="125"/>
      <c r="G38" s="126"/>
      <c r="H38" s="137"/>
      <c r="I38" s="131"/>
      <c r="J38" s="132"/>
      <c r="K38" s="120" t="str">
        <f>IF(A36="B",TRUNC(RTD("cqg.rtd",,"StudyData",B37,"TFlow", "AggregateBy=TFlowSimpleAggregation, Aggregation=1", "Low",,"0",,,,,"T"))&amp;"'"&amp;RIGHT(TEXT(DOLLARFR(MOD(RTD("cqg.rtd",,"StudyData",B37,"TFlow", "AggregateBy=TFlowSimpleAggregation, Aggregation=1", "Low",,"0",,,,,"T"),1),32),A39),A38),TEXT(RTD("cqg.rtd",,"StudyData",B37,"TFlow", "AggregateBy=TFlowSimpleAggregation, Aggregation=1", "Low",,"0",,,,,"T"),A39))</f>
        <v>61.52</v>
      </c>
      <c r="L38" s="121"/>
      <c r="M38" s="35">
        <f>RTD("cqg.rtd",,"StudyData","(TFlowSimpleAggregation(TFlowOp("&amp;B37&amp;", 0, 0), 1))","Vol",, "VolBid",,,"all",,,,"T")</f>
        <v>8</v>
      </c>
      <c r="N38" s="66">
        <f>IF(N36="B",LEN(DOLLARFR(N35,32))-2,LEN(N35)-LEN(RIGHT(N35,2)))</f>
        <v>3</v>
      </c>
      <c r="O38" s="122"/>
      <c r="P38" s="53" t="s">
        <v>3</v>
      </c>
      <c r="Q38" s="54" t="str">
        <f>IF(N36="B",RTD("cqg.rtd", ,"ContractData",O37, "Bid",,N36),TEXT(RTD("cqg.rtd", ,"ContractData",O37, "Bid",,N36),N39))</f>
        <v>120'14.5</v>
      </c>
      <c r="R38" s="54">
        <f>RTD("cqg.rtd", ,"ContractData",O37, "MT_LastBidVolume",, "T")</f>
        <v>1071</v>
      </c>
      <c r="S38" s="125"/>
      <c r="T38" s="126"/>
      <c r="U38" s="128"/>
      <c r="V38" s="131"/>
      <c r="W38" s="132"/>
      <c r="X38" s="120" t="str">
        <f>IF(N36="B",TRUNC(RTD("cqg.rtd",,"StudyData",O37,"TFlow", "AggregateBy=TFlowSimpleAggregation, Aggregation=1", "Low",,"0",,,,,"T"))&amp;"'"&amp;RIGHT(TEXT(DOLLARFR(MOD(RTD("cqg.rtd",,"StudyData",O37,"TFlow", "AggregateBy=TFlowSimpleAggregation, Aggregation=1", "Low",,"0",,,,,"T"),1),32),N39),N38),TEXT(RTD("cqg.rtd",,"StudyData",O37,"TFlow", "AggregateBy=TFlowSimpleAggregation, Aggregation=1", "Low",,"0",,,,,"T"),N39))</f>
        <v>120'145</v>
      </c>
      <c r="Y38" s="121"/>
      <c r="Z38" s="36">
        <f>RTD("cqg.rtd",,"StudyData","(TFlowSimpleAggregation(TFlowOp("&amp;O37&amp;", 0, 0), 1))","Vol",, "VolBid",,,"all",,,,"T")</f>
        <v>168</v>
      </c>
    </row>
    <row r="39" spans="1:26" ht="2.1" customHeight="1" x14ac:dyDescent="0.3">
      <c r="A39" s="78" t="str">
        <f>IF(A38=0,"#",IF(A38=1,"#.00",IF(A38=2,"#.00",IF(A38=3,"#.000",IF(A38=4,"#.0000",IF(A38=5,"#.00000",IF(A38=6,"#.000000",IF(A38=7,"#.0000000"))))))))</f>
        <v>#.00</v>
      </c>
      <c r="B39" s="50">
        <f>RTD("cqg.rtd",,"DOMData",B37,"Price",-5,"T")</f>
        <v>61.48</v>
      </c>
      <c r="C39" s="51">
        <f>RTD("cqg.rtd",,"DOMData",B37,"Price",-4,"T")</f>
        <v>61.49</v>
      </c>
      <c r="D39" s="52">
        <f>RTD("cqg.rtd",,"DOMData",B37,"Price",-3,"T")</f>
        <v>61.5</v>
      </c>
      <c r="E39" s="51">
        <f>RTD("cqg.rtd",,"DOMData",B37,"Price",-2,"T")</f>
        <v>61.51</v>
      </c>
      <c r="F39" s="52" t="str">
        <f>TEXT(RTD("cqg.rtd",,"DOMData",B37,"Price",-1,"T"),A39)</f>
        <v>61.52</v>
      </c>
      <c r="G39" s="52">
        <f>RTD("cqg.rtd",,"ContractData",B37,"LastTradeToday",,"T")</f>
        <v>61.52</v>
      </c>
      <c r="H39" s="51" t="str">
        <f>TEXT(RTD("cqg.rtd",,"DOMData",B37,"Price",1,"T"),A39)</f>
        <v>61.53</v>
      </c>
      <c r="I39" s="51"/>
      <c r="J39" s="51">
        <f>RTD("cqg.rtd",,"DOMData",B37,"Price",2,"T")</f>
        <v>61.54</v>
      </c>
      <c r="K39" s="52">
        <f>RTD("cqg.rtd",,"DOMData",B37,"Price",3,"T")</f>
        <v>61.55</v>
      </c>
      <c r="L39" s="52">
        <f>RTD("cqg.rtd",,"DOMData",B37,"Price",4,"T")</f>
        <v>61.56</v>
      </c>
      <c r="M39" s="34">
        <f>RTD("cqg.rtd",,"DOMData",B37,"Price",5,"T")</f>
        <v>61.57</v>
      </c>
      <c r="N39" s="62" t="str">
        <f>IF(N38=0,"#",IF(N38=1,"#.00",IF(N38=2,"#.00",IF(N38=3,"#.000",IF(N38=4,"#.0000",IF(N38=5,"#.00000",IF(N38=6,"#.000000",IF(N38=7,"#.0000000"))))))))</f>
        <v>#.000</v>
      </c>
      <c r="O39" s="50">
        <f>RTD("cqg.rtd",,"DOMData",O37,"Price",-5,"T")</f>
        <v>120.390625</v>
      </c>
      <c r="P39" s="51">
        <f>RTD("cqg.rtd",,"DOMData",O37,"Price",-4,"T")</f>
        <v>120.40625</v>
      </c>
      <c r="Q39" s="52">
        <f>RTD("cqg.rtd",,"DOMData",O37,"Price",-3,"T")</f>
        <v>120.421875</v>
      </c>
      <c r="R39" s="51">
        <f>RTD("cqg.rtd",,"DOMData",O37,"Price",-2,"T")</f>
        <v>120.4375</v>
      </c>
      <c r="S39" s="52" t="str">
        <f>TEXT(RTD("cqg.rtd",,"DOMData",O37,"Price",-1,"T"),N39)</f>
        <v>120.453</v>
      </c>
      <c r="T39" s="52">
        <f>RTD("cqg.rtd",,"ContractData",O37,"LastTradeToday",,"T")</f>
        <v>120.453125</v>
      </c>
      <c r="U39" s="51" t="str">
        <f>TEXT(RTD("cqg.rtd",,"DOMData",O37,"Price",1,"T"),N39)</f>
        <v>120.469</v>
      </c>
      <c r="V39" s="51"/>
      <c r="W39" s="51">
        <f>RTD("cqg.rtd",,"DOMData",O37,"Price",2,"T")</f>
        <v>120.484375</v>
      </c>
      <c r="X39" s="52">
        <f>RTD("cqg.rtd",,"DOMData",O37,"Price",3,"T")</f>
        <v>120.5</v>
      </c>
      <c r="Y39" s="52">
        <f>RTD("cqg.rtd",,"DOMData",O37,"Price",4,"T")</f>
        <v>120.515625</v>
      </c>
      <c r="Z39" s="34">
        <f>RTD("cqg.rtd",,"DOMData",O37,"Price",5,"T")</f>
        <v>120.53125</v>
      </c>
    </row>
    <row r="40" spans="1:26" ht="21.95" customHeight="1" x14ac:dyDescent="0.3">
      <c r="A40" s="64">
        <f>RTD("cqg.rtd",,"StudyData","FPMax(FootprintOp("&amp;B49&amp;",0))", "Bar",, "Close","D","0","all",,,,"T")</f>
        <v>1330.9</v>
      </c>
      <c r="B40" s="180" t="str">
        <f>RTD("cqg.rtd",,"ContractData",B49,"LongDescription",,"T")</f>
        <v>Gold (Globex), Apr 18</v>
      </c>
      <c r="C40" s="181"/>
      <c r="D40" s="181"/>
      <c r="E40" s="181"/>
      <c r="F40" s="181"/>
      <c r="G40" s="181"/>
      <c r="H40" s="182" t="str">
        <f>"  Price with highest traded volume:  "&amp;TEXT(A41,A51)&amp;"      "&amp;A42</f>
        <v xml:space="preserve">  Price with highest traded volume:  1330.90      5,299</v>
      </c>
      <c r="I40" s="182"/>
      <c r="J40" s="182"/>
      <c r="K40" s="182"/>
      <c r="L40" s="182"/>
      <c r="M40" s="183"/>
      <c r="N40" s="64">
        <f>RTD("cqg.rtd",,"StudyData","FPMax(FootprintOp("&amp;O49&amp;",0))", "Bar",, "Close","D","0","all",,,,"T")</f>
        <v>12450</v>
      </c>
      <c r="O40" s="180" t="str">
        <f>RTD("cqg.rtd",,"ContractData",O49,"LongDescription",,"T")</f>
        <v>DAX Index, Mar 18</v>
      </c>
      <c r="P40" s="181"/>
      <c r="Q40" s="181"/>
      <c r="R40" s="181"/>
      <c r="S40" s="181"/>
      <c r="T40" s="181"/>
      <c r="U40" s="182" t="str">
        <f>"  Price with highest traded volume:  "&amp;TEXT(N41,N51)&amp;"      "&amp;N42</f>
        <v xml:space="preserve">  Price with highest traded volume:  12450.00      667</v>
      </c>
      <c r="V40" s="182"/>
      <c r="W40" s="182"/>
      <c r="X40" s="182"/>
      <c r="Y40" s="182"/>
      <c r="Z40" s="183"/>
    </row>
    <row r="41" spans="1:26" ht="17.100000000000001" customHeight="1" x14ac:dyDescent="0.3">
      <c r="A41" s="62" t="str">
        <f>IF(A48="B",TRUNC(RTD("cqg.rtd",,"StudyData","FPMax(FootprintOp("&amp;B49&amp;",0))", "Bar",, "Close","D","0","all",,,,"T"))&amp;"'"&amp;RIGHT(TEXT(DOLLARFR(RTD("cqg.rtd",,"StudyData","FPMax(FootprintOp("&amp;B49&amp;",0))", "Bar",, "Close","D","0","all",,,,"T"),32),A51),A50),TEXT(RTD("cqg.rtd",,"StudyData","FPMax(FootprintOp("&amp;B49&amp;",0))", "Bar",, "Close","D","0","all",,,,"T"),A51))</f>
        <v>1330.90</v>
      </c>
      <c r="B41" s="138" t="str">
        <f>IF(A48="B",TRUNC(RTD("cqg.rtd",,"DOMData",B49,"Price",-5,"T"))&amp;"'"&amp;RIGHT(TEXT(DOLLARFR(RTD("cqg.rtd",,"DOMData",B49,"Price",-5,"T"),32),A51),A50),TEXT(RTD("cqg.rtd",,"DOMData",B49,"Price",-5,"T"),A51))</f>
        <v>1330.90</v>
      </c>
      <c r="C41" s="140" t="str">
        <f>IF(A48="B",TRUNC(RTD("cqg.rtd",,"DOMData",B49,"Price",-4,"T"))&amp;"'"&amp;RIGHT(TEXT(DOLLARFR(RTD("cqg.rtd",,"DOMData",B49,"Price",-4,"T"),32),A51),A50),TEXT(RTD("cqg.rtd",,"DOMData",B49,"Price",-4,"T"),A51))</f>
        <v>1331.00</v>
      </c>
      <c r="D41" s="142" t="str">
        <f>IF(A48="B",TRUNC(RTD("cqg.rtd",,"DOMData",B49,"Price",-3,"T"))&amp;"'"&amp;RIGHT(TEXT(DOLLARFR(RTD("cqg.rtd",,"DOMData",B49,"Price",-3,"T"),32),A51),A50),TEXT(RTD("cqg.rtd",,"DOMData",B49,"Price",-3,"T"),A51))</f>
        <v>1331.10</v>
      </c>
      <c r="E41" s="102" t="str">
        <f>IF(A48="B",TRUNC(RTD("cqg.rtd",,"DOMData",B49,"Price",-2,"T"))&amp;"'"&amp;RIGHT(TEXT(DOLLARFR(RTD("cqg.rtd",,"DOMData",B49,"Price",-2,"T"),32),A51),A50),TEXT(RTD("cqg.rtd",,"DOMData",B49,"Price",-2,"T"),A51))</f>
        <v>1331.20</v>
      </c>
      <c r="F41" s="31" t="str">
        <f>IFERROR(IF(A48="B",LEFT(A46,FIND("'",A46)),LEFT(TEXT(RTD("cqg.rtd",,"DOMData",B49,"Price",-1,"T"),A51),FIND(".",F51))),"")</f>
        <v>1331.</v>
      </c>
      <c r="G41" s="104" t="str">
        <f>IFERROR(IF(A48="B",RIGHT(A46,LEN(A46)-FIND("'",A46)),RIGHT(TEXT(RTD("cqg.rtd",,"DOMData",B49,"Price",-1,"T"),A51),LEN(D50)-FIND(".",D50))),A46)</f>
        <v>30</v>
      </c>
      <c r="H41" s="33" t="str">
        <f>IFERROR(IF(A48="B",LEFT(A45,FIND("'",A45)),LEFT(TEXT(RTD("cqg.rtd",,"DOMData",B49,"Price",1,"T"),A51),FIND(".",H51))),"")</f>
        <v>1331.</v>
      </c>
      <c r="I41" s="106" t="str">
        <f>IFERROR(IF(A48="B",RIGHT(A45,LEN(A45)-FIND("'",A45)),RIGHT(TEXT(RTD("cqg.rtd",,"DOMData",B49,"Price",1,"T"),A51),LEN(D50)-FIND(".",D50))),A45)</f>
        <v>40</v>
      </c>
      <c r="J41" s="108" t="str">
        <f>IF(A48="B",TRUNC(RTD("cqg.rtd",,"DOMData",B49,"Price",2,"T"))&amp;"'"&amp;RIGHT(TEXT(DOLLARFR(RTD("cqg.rtd",,"DOMData",B49,"Price",2,"T"),32),A51),A50),TEXT(RTD("cqg.rtd",,"DOMData",B49,"Price",2,"T"),A51))</f>
        <v>1331.50</v>
      </c>
      <c r="K41" s="152" t="str">
        <f>IF(A48="B",TRUNC(RTD("cqg.rtd",,"DOMData",B49,"Price",3,"T"))&amp;"'"&amp;RIGHT(TEXT(DOLLARFR(RTD("cqg.rtd",,"DOMData",B49,"Price",3,"T"),32),A51),A50),TEXT(RTD("cqg.rtd",,"DOMData",B49,"Price",3,"T"),A51))</f>
        <v>1331.60</v>
      </c>
      <c r="L41" s="154" t="str">
        <f>IF(A48="B",TRUNC(RTD("cqg.rtd",,"DOMData",B49,"Price",4,"T"))&amp;"'"&amp;RIGHT(TEXT(DOLLARFR(RTD("cqg.rtd",,"DOMData",B49,"Price",4,"T"),32),A51),A50),TEXT(RTD("cqg.rtd",,"DOMData",B49,"Price",4,"T"),A51))</f>
        <v>1331.70</v>
      </c>
      <c r="M41" s="150" t="str">
        <f>IF(A48="B",TRUNC(RTD("cqg.rtd",,"DOMData",B49,"Price",5,"T"))&amp;"'"&amp;RIGHT(TEXT(DOLLARFR(RTD("cqg.rtd",,"DOMData",B49,"Price",5,"T"),32),A51),A50),TEXT(RTD("cqg.rtd",,"DOMData",B49,"Price",5,"T"),A51))</f>
        <v>1331.80</v>
      </c>
      <c r="N41" s="62" t="str">
        <f>IF(N48="B",TRUNC(RTD("cqg.rtd",,"StudyData","FPMax(FootprintOp("&amp;O49&amp;",0))", "Bar",, "Close","D","0","all",,,,"T"))&amp;"'"&amp;RIGHT(TEXT(DOLLARFR(RTD("cqg.rtd",,"StudyData","FPMax(FootprintOp("&amp;O49&amp;",0))", "Bar",, "Close","D","0","all",,,,"T"),32),N51),N50),TEXT(RTD("cqg.rtd",,"StudyData","FPMax(FootprintOp("&amp;O49&amp;",0))", "Bar",, "Close","D","0","all",,,,"T"),N51))</f>
        <v>12450.00</v>
      </c>
      <c r="O41" s="138" t="str">
        <f>IF(N48="B",TRUNC(RTD("cqg.rtd",,"DOMData",O49,"Price",-5,"T"))&amp;"'"&amp;RIGHT(TEXT(DOLLARFR(RTD("cqg.rtd",,"DOMData",O49,"Price",-5,"T"),32),N51),N50),TEXT(RTD("cqg.rtd",,"DOMData",O49,"Price",-5,"T"),N51))</f>
        <v>12450.00</v>
      </c>
      <c r="P41" s="140" t="str">
        <f>IF(N48="B",TRUNC(RTD("cqg.rtd",,"DOMData",O49,"Price",-4,"T"))&amp;"'"&amp;RIGHT(TEXT(DOLLARFR(RTD("cqg.rtd",,"DOMData",O49,"Price",-4,"T"),32),N51),N50),TEXT(RTD("cqg.rtd",,"DOMData",O49,"Price",-4,"T"),N51))</f>
        <v>12450.50</v>
      </c>
      <c r="Q41" s="142" t="str">
        <f>IF(N48="B",TRUNC(RTD("cqg.rtd",,"DOMData",O49,"Price",-3,"T"))&amp;"'"&amp;RIGHT(TEXT(DOLLARFR(RTD("cqg.rtd",,"DOMData",O49,"Price",-3,"T"),32),N51),N50),TEXT(RTD("cqg.rtd",,"DOMData",O49,"Price",-3,"T"),N51))</f>
        <v>12451.00</v>
      </c>
      <c r="R41" s="102" t="str">
        <f>IF(N48="B",TRUNC(RTD("cqg.rtd",,"DOMData",O49,"Price",-2,"T"))&amp;"'"&amp;RIGHT(TEXT(DOLLARFR(RTD("cqg.rtd",,"DOMData",O49,"Price",-2,"T"),32),N51),N50),TEXT(RTD("cqg.rtd",,"DOMData",O49,"Price",-2,"T"),N51))</f>
        <v>12451.50</v>
      </c>
      <c r="S41" s="31" t="str">
        <f>IFERROR(IF(N48="B",LEFT(N46,FIND("'",N46)),LEFT(TEXT(RTD("cqg.rtd",,"DOMData",O49,"Price",-1,"T"),N51),FIND(".",S51))),"")</f>
        <v>12452.</v>
      </c>
      <c r="T41" s="104" t="str">
        <f>IFERROR(IF(N48="B",RIGHT(N46,LEN(N46)-FIND("'",N46)),RIGHT(TEXT(RTD("cqg.rtd",,"DOMData",O49,"Price",-1,"T"),N51),LEN(Q50)-FIND(".",Q50))),N46)</f>
        <v>00</v>
      </c>
      <c r="U41" s="33" t="str">
        <f>IFERROR(IF(N48="B",LEFT(N45,FIND("'",N45)),LEFT(TEXT(RTD("cqg.rtd",,"DOMData",O49,"Price",1,"T"),N51),FIND(".",U51))),"")</f>
        <v>12452.</v>
      </c>
      <c r="V41" s="106" t="str">
        <f>IFERROR(IF(N48="B",RIGHT(N45,LEN(N45)-FIND("'",N45)),RIGHT(TEXT(RTD("cqg.rtd",,"DOMData",O49,"Price",1,"T"),N51),LEN(Q50)-FIND(".",Q50))),N45)</f>
        <v>50</v>
      </c>
      <c r="W41" s="108" t="str">
        <f>IF(N48="B",TRUNC(RTD("cqg.rtd",,"DOMData",O49,"Price",2,"T"))&amp;"'"&amp;RIGHT(TEXT(DOLLARFR(RTD("cqg.rtd",,"DOMData",O49,"Price",2,"T"),32),N51),N50),TEXT(RTD("cqg.rtd",,"DOMData",O49,"Price",2,"T"),N51))</f>
        <v>12453.00</v>
      </c>
      <c r="X41" s="152" t="str">
        <f>IF(N48="B",TRUNC(RTD("cqg.rtd",,"DOMData",O49,"Price",3,"T"))&amp;"'"&amp;RIGHT(TEXT(DOLLARFR(RTD("cqg.rtd",,"DOMData",O49,"Price",3,"T"),32),N51),N50),TEXT(RTD("cqg.rtd",,"DOMData",O49,"Price",3,"T"),N51))</f>
        <v>12453.50</v>
      </c>
      <c r="Y41" s="154" t="str">
        <f>IF(N48="B",TRUNC(RTD("cqg.rtd",,"DOMData",O49,"Price",4,"T"))&amp;"'"&amp;RIGHT(TEXT(DOLLARFR(RTD("cqg.rtd",,"DOMData",O49,"Price",4,"T"),32),N51),N50),TEXT(RTD("cqg.rtd",,"DOMData",O49,"Price",4,"T"),N51))</f>
        <v>12454.00</v>
      </c>
      <c r="Z41" s="150" t="str">
        <f>IF(N48="B",TRUNC(RTD("cqg.rtd",,"DOMData",O49,"Price",5,"T"))&amp;"'"&amp;RIGHT(TEXT(DOLLARFR(RTD("cqg.rtd",,"DOMData",O49,"Price",5,"T"),32),N51),N50),TEXT(RTD("cqg.rtd",,"DOMData",O49,"Price",5,"T"),N51))</f>
        <v>12454.50</v>
      </c>
    </row>
    <row r="42" spans="1:26" ht="17.100000000000001" customHeight="1" x14ac:dyDescent="0.3">
      <c r="A42" s="63" t="str">
        <f>IF(A41="","",TEXT(RTD("cqg.rtd",,"StudyData","FPVol(FootprintOp ("&amp;B49&amp;", 0),"&amp;A40&amp;")", "Bar",, "Close","D","0","all",,,,"T"),"#,###"))</f>
        <v>5,299</v>
      </c>
      <c r="B42" s="139"/>
      <c r="C42" s="141"/>
      <c r="D42" s="143"/>
      <c r="E42" s="103"/>
      <c r="F42" s="32">
        <f>RTD("cqg.rtd",,"DOMData",B49,"Price",-1,"T")</f>
        <v>1331.3</v>
      </c>
      <c r="G42" s="105"/>
      <c r="H42" s="37">
        <f>RTD("cqg.rtd",,"DOMData",B49,"Price",1,"T")</f>
        <v>1331.4</v>
      </c>
      <c r="I42" s="107"/>
      <c r="J42" s="109"/>
      <c r="K42" s="153"/>
      <c r="L42" s="155"/>
      <c r="M42" s="151"/>
      <c r="N42" s="63" t="str">
        <f>IF(N41="","",TEXT(RTD("cqg.rtd",,"StudyData","FPVol(FootprintOp ("&amp;O49&amp;", 0),"&amp;N40&amp;")", "Bar",, "Close","D","0","all",,,,"T"),"#,###"))</f>
        <v>667</v>
      </c>
      <c r="O42" s="139"/>
      <c r="P42" s="141"/>
      <c r="Q42" s="143"/>
      <c r="R42" s="103"/>
      <c r="S42" s="32">
        <f>RTD("cqg.rtd",,"DOMData",O49,"Price",-1,"T")</f>
        <v>12452</v>
      </c>
      <c r="T42" s="105"/>
      <c r="U42" s="37">
        <f>RTD("cqg.rtd",,"DOMData",O49,"Price",1,"T")</f>
        <v>12452.5</v>
      </c>
      <c r="V42" s="107"/>
      <c r="W42" s="109"/>
      <c r="X42" s="153"/>
      <c r="Y42" s="155"/>
      <c r="Z42" s="151"/>
    </row>
    <row r="43" spans="1:26" ht="17.45" customHeight="1" x14ac:dyDescent="0.3">
      <c r="A43" s="62">
        <f>IF(RTD("cqg.rtd",,"ContractData",B49,"NetLastTradeToday",,"T")&gt;=0,1,0)</f>
        <v>1</v>
      </c>
      <c r="B43" s="10">
        <f>RTD("cqg.rtd",,"DOMData",B49,"Volume",-5)</f>
        <v>28</v>
      </c>
      <c r="C43" s="11">
        <f>RTD("cqg.rtd",,"DOMData",B49,"Volume",-4)</f>
        <v>38</v>
      </c>
      <c r="D43" s="12">
        <f>RTD("cqg.rtd",,"DOMData",B49,"Volume",-3)</f>
        <v>36</v>
      </c>
      <c r="E43" s="13">
        <f>RTD("cqg.rtd",,"DOMData",B49,"Volume",-2)</f>
        <v>44</v>
      </c>
      <c r="F43" s="112">
        <f>RTD("cqg.rtd",,"DOMData",B49,"Volume",-1)</f>
        <v>34</v>
      </c>
      <c r="G43" s="113"/>
      <c r="H43" s="114">
        <f>RTD("cqg.rtd",,"DOMData",B49,"Volume",1)</f>
        <v>20</v>
      </c>
      <c r="I43" s="115"/>
      <c r="J43" s="14">
        <f>RTD("cqg.rtd",,"DOMData",B49,"Volume",2)</f>
        <v>35</v>
      </c>
      <c r="K43" s="15">
        <f>RTD("cqg.rtd",,"DOMData",B49,"Volume",3)</f>
        <v>33</v>
      </c>
      <c r="L43" s="16">
        <f>RTD("cqg.rtd",,"DOMData",B49,"Volume",4)</f>
        <v>30</v>
      </c>
      <c r="M43" s="17">
        <f>RTD("cqg.rtd",,"DOMData",B49,"Volume",5)</f>
        <v>34</v>
      </c>
      <c r="N43" s="62">
        <f>IF(RTD("cqg.rtd",,"ContractData",O49,"NetLastTradeToday",,"T")&gt;=0,1,0)</f>
        <v>0</v>
      </c>
      <c r="O43" s="10">
        <f>RTD("cqg.rtd",,"DOMData",O49,"Volume",-5)</f>
        <v>5</v>
      </c>
      <c r="P43" s="11">
        <f>RTD("cqg.rtd",,"DOMData",O49,"Volume",-4)</f>
        <v>7</v>
      </c>
      <c r="Q43" s="12">
        <f>RTD("cqg.rtd",,"DOMData",O49,"Volume",-3)</f>
        <v>8</v>
      </c>
      <c r="R43" s="13">
        <f>RTD("cqg.rtd",,"DOMData",O49,"Volume",-2)</f>
        <v>6</v>
      </c>
      <c r="S43" s="112">
        <f>RTD("cqg.rtd",,"DOMData",O49,"Volume",-1)</f>
        <v>1</v>
      </c>
      <c r="T43" s="113"/>
      <c r="U43" s="114">
        <f>RTD("cqg.rtd",,"DOMData",O49,"Volume",1)</f>
        <v>2</v>
      </c>
      <c r="V43" s="115"/>
      <c r="W43" s="14">
        <f>RTD("cqg.rtd",,"DOMData",O49,"Volume",2)</f>
        <v>3</v>
      </c>
      <c r="X43" s="15">
        <f>RTD("cqg.rtd",,"DOMData",O49,"Volume",3)</f>
        <v>3</v>
      </c>
      <c r="Y43" s="16">
        <f>RTD("cqg.rtd",,"DOMData",O49,"Volume",4)</f>
        <v>4</v>
      </c>
      <c r="Z43" s="17">
        <f>RTD("cqg.rtd",,"DOMData",O49,"Volume",5)</f>
        <v>5</v>
      </c>
    </row>
    <row r="44" spans="1:26" s="72" customFormat="1" ht="12.95" customHeight="1" x14ac:dyDescent="0.2">
      <c r="A44" s="76"/>
      <c r="B44" s="73">
        <f>IFERROR(MOD(RTD("cqg.rtd",,"DOMData",B49,"Time",-5),1),"")</f>
        <v>0.50322986111132195</v>
      </c>
      <c r="C44" s="73">
        <f>IFERROR(MOD(RTD("cqg.rtd",,"DOMData",B49,"Time",-4),1),"")</f>
        <v>0.50327152777754236</v>
      </c>
      <c r="D44" s="73">
        <f>IFERROR(MOD(RTD("cqg.rtd",,"DOMData",B49,"Time",-3),1),"")</f>
        <v>0.50322986111132195</v>
      </c>
      <c r="E44" s="74">
        <f>IFERROR(MOD(RTD("cqg.rtd",,"DOMData",B49,"Time",-2),1),"")</f>
        <v>0.5032428240738227</v>
      </c>
      <c r="F44" s="96">
        <f>IFERROR(MOD(RTD("cqg.rtd",,"DOMData",B49,"Time",-1),1),"")</f>
        <v>0.50328425926272757</v>
      </c>
      <c r="G44" s="97"/>
      <c r="H44" s="96">
        <f>IFERROR(MOD(RTD("cqg.rtd",,"DOMData",B49,"Time",1),1),"")</f>
        <v>0.50327152777754236</v>
      </c>
      <c r="I44" s="97"/>
      <c r="J44" s="75">
        <f>IFERROR(MOD(RTD("cqg.rtd",,"DOMData",B49,"Time",2),1),"")</f>
        <v>0.50324625000212109</v>
      </c>
      <c r="K44" s="73">
        <f>IFERROR(MOD(RTD("cqg.rtd",,"DOMData",B49,"Time",3),1),"")</f>
        <v>0.50322986111132195</v>
      </c>
      <c r="L44" s="73">
        <f>IFERROR(MOD(RTD("cqg.rtd",,"DOMData",B49,"Time",4),1),"")</f>
        <v>0.50313347222254379</v>
      </c>
      <c r="M44" s="73">
        <f>IFERROR(MOD(RTD("cqg.rtd",,"DOMData",B49,"Time",5),1),"")</f>
        <v>0.50313347222254379</v>
      </c>
      <c r="N44" s="79"/>
      <c r="O44" s="73">
        <f>IFERROR(MOD(RTD("cqg.rtd",,"DOMData",O49,"Time",-5),1),"")</f>
        <v>0.50324625000212109</v>
      </c>
      <c r="P44" s="73">
        <f>IFERROR(MOD(RTD("cqg.rtd",,"DOMData",O49,"Time",-4),1),"")</f>
        <v>0.50326472222513985</v>
      </c>
      <c r="Q44" s="73">
        <f>IFERROR(MOD(RTD("cqg.rtd",,"DOMData",O49,"Time",-3),1),"")</f>
        <v>0.50326583333662711</v>
      </c>
      <c r="R44" s="74">
        <f>IFERROR(MOD(RTD("cqg.rtd",,"DOMData",O49,"Time",-2),1),"")</f>
        <v>0.50324796296627028</v>
      </c>
      <c r="S44" s="96">
        <f>IFERROR(MOD(RTD("cqg.rtd",,"DOMData",O49,"Time",-1),1),"")</f>
        <v>0.50328333333163755</v>
      </c>
      <c r="T44" s="97"/>
      <c r="U44" s="96">
        <f>IFERROR(MOD(RTD("cqg.rtd",,"DOMData",O49,"Time",1),1),"")</f>
        <v>0.50328592592995847</v>
      </c>
      <c r="V44" s="97"/>
      <c r="W44" s="75">
        <f>IFERROR(MOD(RTD("cqg.rtd",,"DOMData",O49,"Time",2),1),"")</f>
        <v>0.50327643518539844</v>
      </c>
      <c r="X44" s="73">
        <f>IFERROR(MOD(RTD("cqg.rtd",,"DOMData",O49,"Time",3),1),"")</f>
        <v>0.50326472222513985</v>
      </c>
      <c r="Y44" s="73">
        <f>IFERROR(MOD(RTD("cqg.rtd",,"DOMData",O49,"Time",4),1),"")</f>
        <v>0.50328333333163755</v>
      </c>
      <c r="Z44" s="73">
        <f>IFERROR(MOD(RTD("cqg.rtd",,"DOMData",O49,"Time",5),1),"")</f>
        <v>0.50324625000212109</v>
      </c>
    </row>
    <row r="45" spans="1:26" ht="17.45" customHeight="1" x14ac:dyDescent="0.3">
      <c r="A45" s="62" t="str">
        <f>IF(A48="B",TRUNC(RTD("cqg.rtd",,"DOMData",B49,"Price",1,"T"))&amp;"'"&amp;RIGHT(TEXT(DOLLARFR(RTD("cqg.rtd",,"DOMData",B49,"Price",1,"T"),32),A51),A50),TEXT(RTD("cqg.rtd",,"DOMData",B49,"Price",1,"T"),A51))</f>
        <v>1331.40</v>
      </c>
      <c r="B45" s="6">
        <f>IF(LEFT(IFERROR(RTD("cqg.rtd",,"StudyData","FPVol(FootprintOp ("&amp;B49&amp;", 0),"&amp;B51&amp;")", "Bar",, "Close","D","0","all",,,,"T"),""),3)="777","",IFERROR(RTD("cqg.rtd",,"StudyData","FPVol(FootprintOp ("&amp;B49&amp;", 0),"&amp;B51&amp;")", "Bar",, "Close","D","0","all",,,,"T"),""))</f>
        <v>5299</v>
      </c>
      <c r="C45" s="6">
        <f>IF(LEFT(IFERROR(RTD("cqg.rtd",,"StudyData","FPVol(FootprintOp ("&amp;B49&amp;", 0),"&amp;C51&amp;")", "Bar",, "Close","D","0","all",,,,"T"),""),3)="777","",IFERROR(RTD("cqg.rtd",,"StudyData","FPVol(FootprintOp ("&amp;B49&amp;", 0),"&amp;C51&amp;")", "Bar",, "Close","D","0","all",,,,"T"),""))</f>
        <v>4931</v>
      </c>
      <c r="D45" s="7">
        <f>IF(LEFT(IFERROR(RTD("cqg.rtd",,"StudyData","FPVol(FootprintOp ("&amp;B49&amp;", 0),"&amp;D51&amp;")", "Bar",, "Close","D","0","all",,,,"T"),""),3)="777","",IFERROR(RTD("cqg.rtd",,"StudyData","FPVol(FootprintOp ("&amp;B49&amp;", 0),"&amp;D51&amp;")", "Bar",, "Close","D","0","all",,,,"T"),""))</f>
        <v>3455</v>
      </c>
      <c r="E45" s="7">
        <f>IF(LEFT(IFERROR(RTD("cqg.rtd",,"StudyData","FPVol(FootprintOp ("&amp;B49&amp;", 0),"&amp;E51&amp;")", "Bar",, "Close","D","0","all",,,,"T"),""),3)="777","",IFERROR(RTD("cqg.rtd",,"StudyData","FPVol(FootprintOp ("&amp;B49&amp;", 0),"&amp;E51&amp;")", "Bar",, "Close","D","0","all",,,,"T"),""))</f>
        <v>3591</v>
      </c>
      <c r="F45" s="116">
        <f>IF(LEFT(IFERROR(RTD("cqg.rtd",,"StudyData","FPVol(FootprintOp ("&amp;B49&amp;", 0),"&amp;F51&amp;")", "Bar",, "Close","D","0","all",,,,"T"),""),3)="777","",IFERROR(RTD("cqg.rtd",,"StudyData","FPVol(FootprintOp ("&amp;B49&amp;", 0),"&amp;F51&amp;")", "Bar",, "Close","D","0","all",,,,"T"),""))</f>
        <v>3439</v>
      </c>
      <c r="G45" s="117"/>
      <c r="H45" s="116">
        <f>IF(LEFT(IFERROR(RTD("cqg.rtd",,"StudyData","FPVol(FootprintOp ("&amp;B49&amp;", 0),"&amp;H51&amp;")", "Bar",, "Close","D","0","all",,,,"T"),""),3)="777","",IFERROR(RTD("cqg.rtd",,"StudyData","FPVol(FootprintOp ("&amp;B49&amp;", 0),"&amp;H51&amp;")", "Bar",, "Close","D","0","all",,,,"T"),""))</f>
        <v>3539</v>
      </c>
      <c r="I45" s="117"/>
      <c r="J45" s="7">
        <f>IF(LEFT(IFERROR(RTD("cqg.rtd",,"StudyData","FPVol(FootprintOp ("&amp;B49&amp;", 0),"&amp;J51&amp;")", "Bar",, "Close","D","0","all",,,,"T"),""),3)="777","",IFERROR(RTD("cqg.rtd",,"StudyData","FPVol(FootprintOp ("&amp;B49&amp;", 0),"&amp;J51&amp;")", "Bar",, "Close","D","0","all",,,,"T"),""))</f>
        <v>3361</v>
      </c>
      <c r="K45" s="7">
        <f>IF(LEFT(IFERROR(RTD("cqg.rtd",,"StudyData","FPVol(FootprintOp ("&amp;B49&amp;", 0),"&amp;K51&amp;")", "Bar",, "Close","D","0","all",,,,"T"),""),3)="777","",IFERROR(RTD("cqg.rtd",,"StudyData","FPVol(FootprintOp ("&amp;B49&amp;", 0),"&amp;K51&amp;")", "Bar",, "Close","D","0","all",,,,"T"),""))</f>
        <v>2768</v>
      </c>
      <c r="L45" s="6">
        <f>IF(LEFT(IFERROR(RTD("cqg.rtd",,"StudyData","FPVol(FootprintOp ("&amp;B49&amp;", 0),"&amp;L51&amp;")", "Bar",, "Close","D","0","all",,,,"T"),""),3)="777","",IFERROR(RTD("cqg.rtd",,"StudyData","FPVol(FootprintOp ("&amp;B49&amp;", 0),"&amp;L51&amp;")", "Bar",, "Close","D","0","all",,,,"T"),""))</f>
        <v>2610</v>
      </c>
      <c r="M45" s="6">
        <f>IF(LEFT(IFERROR(RTD("cqg.rtd",,"StudyData","FPVol(FootprintOp ("&amp;B49&amp;", 0),"&amp;M51&amp;")", "Bar",, "Close","D","0","all",,,,"T"),""),3)="777","",IFERROR(RTD("cqg.rtd",,"StudyData","FPVol(FootprintOp ("&amp;B49&amp;", 0),"&amp;M51&amp;")", "Bar",, "Close","D","0","all",,,,"T"),""))</f>
        <v>2226</v>
      </c>
      <c r="N45" s="62" t="str">
        <f>IF(N48="B",TRUNC(RTD("cqg.rtd",,"DOMData",O49,"Price",1,"T"))&amp;"'"&amp;RIGHT(TEXT(DOLLARFR(RTD("cqg.rtd",,"DOMData",O49,"Price",1,"T"),32),N51),N50),TEXT(RTD("cqg.rtd",,"DOMData",O49,"Price",1,"T"),N51))</f>
        <v>12452.50</v>
      </c>
      <c r="O45" s="6">
        <f>IF(LEFT(IFERROR(RTD("cqg.rtd",,"StudyData","FPVol(FootprintOp ("&amp;O49&amp;", 0),"&amp;O51&amp;")", "Bar",, "Close","D","0","all",,,,"T"),""),3)="777","",IFERROR(RTD("cqg.rtd",,"StudyData","FPVol(FootprintOp ("&amp;O49&amp;", 0),"&amp;O51&amp;")", "Bar",, "Close","D","0","all",,,,"T"),""))</f>
        <v>667</v>
      </c>
      <c r="P45" s="6">
        <f>IF(LEFT(IFERROR(RTD("cqg.rtd",,"StudyData","FPVol(FootprintOp ("&amp;O49&amp;", 0),"&amp;P51&amp;")", "Bar",, "Close","D","0","all",,,,"T"),""),3)="777","",IFERROR(RTD("cqg.rtd",,"StudyData","FPVol(FootprintOp ("&amp;O49&amp;", 0),"&amp;P51&amp;")", "Bar",, "Close","D","0","all",,,,"T"),""))</f>
        <v>404</v>
      </c>
      <c r="Q45" s="7">
        <f>IF(LEFT(IFERROR(RTD("cqg.rtd",,"StudyData","FPVol(FootprintOp ("&amp;O49&amp;", 0),"&amp;Q51&amp;")", "Bar",, "Close","D","0","all",,,,"T"),""),3)="777","",IFERROR(RTD("cqg.rtd",,"StudyData","FPVol(FootprintOp ("&amp;O49&amp;", 0),"&amp;Q51&amp;")", "Bar",, "Close","D","0","all",,,,"T"),""))</f>
        <v>435</v>
      </c>
      <c r="R45" s="7">
        <f>IF(LEFT(IFERROR(RTD("cqg.rtd",,"StudyData","FPVol(FootprintOp ("&amp;O49&amp;", 0),"&amp;R51&amp;")", "Bar",, "Close","D","0","all",,,,"T"),""),3)="777","",IFERROR(RTD("cqg.rtd",,"StudyData","FPVol(FootprintOp ("&amp;O49&amp;", 0),"&amp;R51&amp;")", "Bar",, "Close","D","0","all",,,,"T"),""))</f>
        <v>498</v>
      </c>
      <c r="S45" s="116">
        <f>IF(LEFT(IFERROR(RTD("cqg.rtd",,"StudyData","FPVol(FootprintOp ("&amp;O49&amp;", 0),"&amp;S51&amp;")", "Bar",, "Close","D","0","all",,,,"T"),""),3)="777","",IFERROR(RTD("cqg.rtd",,"StudyData","FPVol(FootprintOp ("&amp;O49&amp;", 0),"&amp;S51&amp;")", "Bar",, "Close","D","0","all",,,,"T"),""))</f>
        <v>506</v>
      </c>
      <c r="T45" s="117"/>
      <c r="U45" s="116">
        <f>IF(LEFT(IFERROR(RTD("cqg.rtd",,"StudyData","FPVol(FootprintOp ("&amp;O49&amp;", 0),"&amp;U51&amp;")", "Bar",, "Close","D","0","all",,,,"T"),""),3)="777","",IFERROR(RTD("cqg.rtd",,"StudyData","FPVol(FootprintOp ("&amp;O49&amp;", 0),"&amp;U51&amp;")", "Bar",, "Close","D","0","all",,,,"T"),""))</f>
        <v>354</v>
      </c>
      <c r="V45" s="117"/>
      <c r="W45" s="7">
        <f>IF(LEFT(IFERROR(RTD("cqg.rtd",,"StudyData","FPVol(FootprintOp ("&amp;O49&amp;", 0),"&amp;W51&amp;")", "Bar",, "Close","D","0","all",,,,"T"),""),3)="777","",IFERROR(RTD("cqg.rtd",,"StudyData","FPVol(FootprintOp ("&amp;O49&amp;", 0),"&amp;W51&amp;")", "Bar",, "Close","D","0","all",,,,"T"),""))</f>
        <v>389</v>
      </c>
      <c r="X45" s="7">
        <f>IF(LEFT(IFERROR(RTD("cqg.rtd",,"StudyData","FPVol(FootprintOp ("&amp;O49&amp;", 0),"&amp;X51&amp;")", "Bar",, "Close","D","0","all",,,,"T"),""),3)="777","",IFERROR(RTD("cqg.rtd",,"StudyData","FPVol(FootprintOp ("&amp;O49&amp;", 0),"&amp;X51&amp;")", "Bar",, "Close","D","0","all",,,,"T"),""))</f>
        <v>364</v>
      </c>
      <c r="Y45" s="6">
        <f>IF(LEFT(IFERROR(RTD("cqg.rtd",,"StudyData","FPVol(FootprintOp ("&amp;O49&amp;", 0),"&amp;Y51&amp;")", "Bar",, "Close","D","0","all",,,,"T"),""),3)="777","",IFERROR(RTD("cqg.rtd",,"StudyData","FPVol(FootprintOp ("&amp;O49&amp;", 0),"&amp;Y51&amp;")", "Bar",, "Close","D","0","all",,,,"T"),""))</f>
        <v>376</v>
      </c>
      <c r="Z45" s="6">
        <f>IF(LEFT(IFERROR(RTD("cqg.rtd",,"StudyData","FPVol(FootprintOp ("&amp;O49&amp;", 0),"&amp;Z51&amp;")", "Bar",, "Close","D","0","all",,,,"T"),""),3)="777","",IFERROR(RTD("cqg.rtd",,"StudyData","FPVol(FootprintOp ("&amp;O49&amp;", 0),"&amp;Z51&amp;")", "Bar",, "Close","D","0","all",,,,"T"),""))</f>
        <v>439</v>
      </c>
    </row>
    <row r="46" spans="1:26" ht="17.45" customHeight="1" x14ac:dyDescent="0.3">
      <c r="A46" s="62" t="str">
        <f>IF(A48="B",TRUNC(RTD("cqg.rtd",,"DOMData",B49,"Price",-1,"T"))&amp;"'"&amp;RIGHT(TEXT(DOLLARFR(RTD("cqg.rtd",,"DOMData",B49,"Price",-1,"T"),32),A51),A50),TEXT(RTD("cqg.rtd",,"DOMData",B49,"Price",-1,"T"),A51))</f>
        <v>1331.30</v>
      </c>
      <c r="B46" s="41" t="s">
        <v>18</v>
      </c>
      <c r="C46" s="30" t="str">
        <f>RTD("cqg.rtd", ,"ContractData",B49, "LongSymbol",, "T")</f>
        <v>F.US.GCEJ18</v>
      </c>
      <c r="D46" s="42" t="s">
        <v>19</v>
      </c>
      <c r="E46" s="30" t="str">
        <f>IF(A48="B",RTD("cqg.rtd",,"ContractData",B49,"LastTradeToday",,A48),TEXT(RTD("cqg.rtd",,"ContractData",B49,"LastTradeToday",,A48),A51))</f>
        <v>1331.30</v>
      </c>
      <c r="F46" s="43" t="s">
        <v>20</v>
      </c>
      <c r="G46" s="38" t="str">
        <f>A49&amp;" "&amp;IF(A48="B",RTD("cqg.rtd",,"ContractData",B49,"NetLastTradeToday",,A48),TEXT(RTD("cqg.rtd",,"ContractData",B49,"NetLastTradeToday",,A48),A51))</f>
        <v>+ .10</v>
      </c>
      <c r="H46" s="42" t="s">
        <v>17</v>
      </c>
      <c r="I46" s="42" t="str">
        <f>IF(A48="B",RTD("cqg.rtd",,"ContractData",B49,"Open",,A48),TEXT(RTD("cqg.rtd",,"ContractData",B49,"Open",,A48),A51))</f>
        <v>1331.20</v>
      </c>
      <c r="J46" s="42" t="s">
        <v>22</v>
      </c>
      <c r="K46" s="30" t="str">
        <f>IF(A48="B",RTD("cqg.rtd",,"ContractData",B49,"High",,A48),TEXT(RTD("cqg.rtd",,"ContractData",B49,"High",,A48),A51))</f>
        <v>1335.30</v>
      </c>
      <c r="L46" s="42" t="s">
        <v>21</v>
      </c>
      <c r="M46" s="44" t="str">
        <f>IF(A48="B",RTD("cqg.rtd",,"ContractData",B49,"Low",,A48),TEXT(RTD("cqg.rtd",,"ContractData",B49,"Low",,A48),A51))</f>
        <v>1326.80</v>
      </c>
      <c r="N46" s="62" t="str">
        <f>IF(N48="B",TRUNC(RTD("cqg.rtd",,"DOMData",O49,"Price",-1,"T"))&amp;"'"&amp;RIGHT(TEXT(DOLLARFR(RTD("cqg.rtd",,"DOMData",O49,"Price",-1,"T"),32),N51),N50),TEXT(RTD("cqg.rtd",,"DOMData",O49,"Price",-1,"T"),N51))</f>
        <v>12452.00</v>
      </c>
      <c r="O46" s="41" t="s">
        <v>18</v>
      </c>
      <c r="P46" s="30" t="str">
        <f>RTD("cqg.rtd", ,"ContractData",O49, "LongSymbol",, "T")</f>
        <v>F.US.DDH18</v>
      </c>
      <c r="Q46" s="42" t="s">
        <v>19</v>
      </c>
      <c r="R46" s="30" t="str">
        <f>IF(N48="B",RTD("cqg.rtd",,"ContractData",O49,"LastTradeToday",,N48),TEXT(RTD("cqg.rtd",,"ContractData",O49,"LastTradeToday",,N48),N51))</f>
        <v>12453.00</v>
      </c>
      <c r="S46" s="43" t="s">
        <v>20</v>
      </c>
      <c r="T46" s="38" t="str">
        <f>N49&amp;" "&amp;IF(N48="B",RTD("cqg.rtd",,"ContractData",O49,"NetLastTradeToday",,N48),TEXT(RTD("cqg.rtd",,"ContractData",O49,"NetLastTradeToday",,N48),N51))</f>
        <v xml:space="preserve"> -36.50</v>
      </c>
      <c r="U46" s="42" t="s">
        <v>17</v>
      </c>
      <c r="V46" s="42" t="str">
        <f>IF(N48="B",RTD("cqg.rtd",,"ContractData",O49,"Open",,N48),TEXT(RTD("cqg.rtd",,"ContractData",O49,"Open",,N48),N51))</f>
        <v>12436.00</v>
      </c>
      <c r="W46" s="42" t="s">
        <v>22</v>
      </c>
      <c r="X46" s="30" t="str">
        <f>IF(N48="B",RTD("cqg.rtd",,"ContractData",O49,"High",,N48),TEXT(RTD("cqg.rtd",,"ContractData",O49,"High",,N48),N51))</f>
        <v>12476.00</v>
      </c>
      <c r="Y46" s="42" t="s">
        <v>21</v>
      </c>
      <c r="Z46" s="44" t="str">
        <f>IF(N48="B",RTD("cqg.rtd",,"ContractData",O49,"Low",,N48),TEXT(RTD("cqg.rtd",,"ContractData",O49,"Low",,N48),N51))</f>
        <v>12363.50</v>
      </c>
    </row>
    <row r="47" spans="1:26" ht="15" customHeight="1" x14ac:dyDescent="0.3">
      <c r="A47" s="62">
        <f>RTD("cqg.rtd", ,"ContractData",B49, "TickSize",, "T")</f>
        <v>0.1</v>
      </c>
      <c r="B47" s="148" t="s">
        <v>0</v>
      </c>
      <c r="C47" s="3"/>
      <c r="D47" s="3" t="s">
        <v>1</v>
      </c>
      <c r="E47" s="3" t="s">
        <v>1</v>
      </c>
      <c r="F47" s="144" t="s">
        <v>26</v>
      </c>
      <c r="G47" s="145"/>
      <c r="H47" s="3" t="s">
        <v>23</v>
      </c>
      <c r="I47" s="133" t="s">
        <v>6</v>
      </c>
      <c r="J47" s="134"/>
      <c r="K47" s="133" t="s">
        <v>30</v>
      </c>
      <c r="L47" s="134"/>
      <c r="M47" s="8" t="s">
        <v>8</v>
      </c>
      <c r="N47" s="62">
        <f>RTD("cqg.rtd", ,"ContractData",O49, "TickSize",, "T")</f>
        <v>0.5</v>
      </c>
      <c r="O47" s="148" t="s">
        <v>0</v>
      </c>
      <c r="P47" s="3"/>
      <c r="Q47" s="3" t="s">
        <v>1</v>
      </c>
      <c r="R47" s="3" t="s">
        <v>1</v>
      </c>
      <c r="S47" s="144" t="s">
        <v>26</v>
      </c>
      <c r="T47" s="145"/>
      <c r="U47" s="3" t="s">
        <v>23</v>
      </c>
      <c r="V47" s="133" t="s">
        <v>6</v>
      </c>
      <c r="W47" s="134"/>
      <c r="X47" s="133" t="s">
        <v>30</v>
      </c>
      <c r="Y47" s="134"/>
      <c r="Z47" s="8" t="s">
        <v>8</v>
      </c>
    </row>
    <row r="48" spans="1:26" ht="15" customHeight="1" x14ac:dyDescent="0.3">
      <c r="A48" s="65" t="str">
        <f>IF(OR(A47=0.0078125,A47=0.015625,A47=0.03125),"B","T")</f>
        <v>T</v>
      </c>
      <c r="B48" s="149"/>
      <c r="C48" s="2"/>
      <c r="D48" s="4" t="s">
        <v>7</v>
      </c>
      <c r="E48" s="4" t="s">
        <v>4</v>
      </c>
      <c r="F48" s="146"/>
      <c r="G48" s="147"/>
      <c r="H48" s="2" t="s">
        <v>4</v>
      </c>
      <c r="I48" s="100" t="s">
        <v>16</v>
      </c>
      <c r="J48" s="101"/>
      <c r="K48" s="135" t="s">
        <v>29</v>
      </c>
      <c r="L48" s="136"/>
      <c r="M48" s="5" t="s">
        <v>9</v>
      </c>
      <c r="N48" s="65" t="str">
        <f>IF(OR(N47=0.0078125,N47=0.015625,N47=0.03125),"B","T")</f>
        <v>T</v>
      </c>
      <c r="O48" s="149"/>
      <c r="P48" s="2"/>
      <c r="Q48" s="4" t="s">
        <v>7</v>
      </c>
      <c r="R48" s="4" t="s">
        <v>4</v>
      </c>
      <c r="S48" s="146"/>
      <c r="T48" s="147"/>
      <c r="U48" s="2" t="s">
        <v>4</v>
      </c>
      <c r="V48" s="100" t="s">
        <v>16</v>
      </c>
      <c r="W48" s="101"/>
      <c r="X48" s="135" t="s">
        <v>29</v>
      </c>
      <c r="Y48" s="136"/>
      <c r="Z48" s="5" t="s">
        <v>9</v>
      </c>
    </row>
    <row r="49" spans="1:26" ht="17.45" customHeight="1" x14ac:dyDescent="0.3">
      <c r="A49" s="66" t="str">
        <f>IF(A48="B","",(IF(RTD("cqg.rtd",,"ContractData",B49,"NetLastTradeToday",,A48)&gt;0,"+","")))</f>
        <v>+</v>
      </c>
      <c r="B49" s="110" t="s">
        <v>12</v>
      </c>
      <c r="C49" s="45" t="s">
        <v>2</v>
      </c>
      <c r="D49" s="46" t="str">
        <f>IF(A48="B",RTD("cqg.rtd", ,"ContractData",B49, "Ask",,A48),TEXT(RTD("cqg.rtd", ,"ContractData",B49, "Ask",,A48),A51))</f>
        <v>1331.40</v>
      </c>
      <c r="E49" s="46">
        <f>RTD("cqg.rtd", ,"ContractData",B49, "MT_LastAskVolume",, "T")</f>
        <v>20</v>
      </c>
      <c r="F49" s="123" t="str">
        <f>IF(A48="B",RTD("cqg.rtd",,"ContractData",B49,"LastTradeToday",,A48),TEXT(RTD("cqg.rtd",,"ContractData",B49,"LastTradeToday",,A48),A51))</f>
        <v>1331.30</v>
      </c>
      <c r="G49" s="124"/>
      <c r="H49" s="127">
        <f>RTD("cqg.rtd", ,"ContractData",B49, "VolumeLastTrade",, "T")</f>
        <v>1</v>
      </c>
      <c r="I49" s="129">
        <f>IF(G51="","",IFERROR(RTD("cqg.rtd",,"StudyData","FPVol(FootprintOp ("&amp;B49&amp;", 0),"&amp;G51&amp;")", "Bar",, "Close","D","0","all",,,,"T"),""))</f>
        <v>3439</v>
      </c>
      <c r="J49" s="130"/>
      <c r="K49" s="118" t="str">
        <f>IF(A48="B",TRUNC(RTD("cqg.rtd",,"StudyData",B49,"TFlow", "AggregateBy=TFlowSimpleAggregation, Aggregation=1", "High",,"0",,,,,"T"))&amp;"'"&amp;RIGHT(TEXT(DOLLARFR(MOD(RTD("cqg.rtd",,"StudyData",B49,"TFlow", "AggregateBy=TFlowSimpleAggregation, Aggregation=1", "High",,"0",,,,,"T"),1),32),A51),A50),TEXT(RTD("cqg.rtd",,"StudyData",B49,"TFlow", "AggregateBy=TFlowSimpleAggregation, Aggregation=1", "High",,"0",,,,,"T"),A51))</f>
        <v>1331.40</v>
      </c>
      <c r="L49" s="119"/>
      <c r="M49" s="9">
        <f>RTD("cqg.rtd",,"StudyData","(TFlowSimpleAggregation(TFlowOp("&amp;B49&amp;", 0, 0), 1))","Vol",, "VolAsk",,,"all",,,,"T")</f>
        <v>8</v>
      </c>
      <c r="N49" s="66" t="str">
        <f>IF(N48="B","",(IF(RTD("cqg.rtd",,"ContractData",O49,"NetLastTradeToday",,N48)&gt;0,"+","")))</f>
        <v/>
      </c>
      <c r="O49" s="110" t="s">
        <v>32</v>
      </c>
      <c r="P49" s="45" t="s">
        <v>2</v>
      </c>
      <c r="Q49" s="46" t="str">
        <f>IF(N48="B",RTD("cqg.rtd", ,"ContractData",O49, "Ask",,N48),TEXT(RTD("cqg.rtd", ,"ContractData",O49, "Ask",,N48),N51))</f>
        <v>12452.50</v>
      </c>
      <c r="R49" s="46">
        <f>RTD("cqg.rtd", ,"ContractData",O49, "MT_LastAskVolume",, "T")</f>
        <v>2</v>
      </c>
      <c r="S49" s="123" t="str">
        <f>IF(N48="B",RTD("cqg.rtd",,"ContractData",O49,"LastTradeToday",,N48),TEXT(RTD("cqg.rtd",,"ContractData",O49,"LastTradeToday",,N48),N51))</f>
        <v>12453.00</v>
      </c>
      <c r="T49" s="124"/>
      <c r="U49" s="127">
        <f>RTD("cqg.rtd", ,"ContractData",O49, "VolumeLastTrade",, "T")</f>
        <v>2</v>
      </c>
      <c r="V49" s="129">
        <f>IF(T51="","",IFERROR(RTD("cqg.rtd",,"StudyData","FPVol(FootprintOp ("&amp;O49&amp;", 0),"&amp;T51&amp;")", "Bar",, "Close","D","0","all",,,,"T"),""))</f>
        <v>389</v>
      </c>
      <c r="W49" s="130"/>
      <c r="X49" s="118" t="str">
        <f>IF(N48="B",TRUNC(RTD("cqg.rtd",,"StudyData",O49,"TFlow", "AggregateBy=TFlowSimpleAggregation, Aggregation=1", "High",,"0",,,,,"T"))&amp;"'"&amp;RIGHT(TEXT(DOLLARFR(MOD(RTD("cqg.rtd",,"StudyData",O49,"TFlow", "AggregateBy=TFlowSimpleAggregation, Aggregation=1", "High",,"0",,,,,"T"),1),32),N51),N50),TEXT(RTD("cqg.rtd",,"StudyData",O49,"TFlow", "AggregateBy=TFlowSimpleAggregation, Aggregation=1", "High",,"0",,,,,"T"),N51))</f>
        <v>12452.50</v>
      </c>
      <c r="Y49" s="119"/>
      <c r="Z49" s="9">
        <f>RTD("cqg.rtd",,"StudyData","(TFlowSimpleAggregation(TFlowOp("&amp;O49&amp;", 0, 0), 1))","Vol",, "VolAsk",,,"all",,,,"T")</f>
        <v>0</v>
      </c>
    </row>
    <row r="50" spans="1:26" ht="17.45" customHeight="1" x14ac:dyDescent="0.3">
      <c r="A50" s="66">
        <f>IF(A48="B",LEN(DOLLARFR(A47,32))-2,LEN(A47)-LEN(RIGHT(A47,2)))</f>
        <v>1</v>
      </c>
      <c r="B50" s="122"/>
      <c r="C50" s="53" t="s">
        <v>3</v>
      </c>
      <c r="D50" s="54" t="str">
        <f>IF(A48="B",RTD("cqg.rtd", ,"ContractData",B49, "Bid",,A48),TEXT(RTD("cqg.rtd", ,"ContractData",B49, "Bid",,A48),A51))</f>
        <v>1331.30</v>
      </c>
      <c r="E50" s="54">
        <f>RTD("cqg.rtd", ,"ContractData",B49, "MT_LastBidVolume",, "T")</f>
        <v>34</v>
      </c>
      <c r="F50" s="125"/>
      <c r="G50" s="126"/>
      <c r="H50" s="128"/>
      <c r="I50" s="131"/>
      <c r="J50" s="132"/>
      <c r="K50" s="120" t="str">
        <f>IF(A48="B",TRUNC(RTD("cqg.rtd",,"StudyData",B49,"TFlow", "AggregateBy=TFlowSimpleAggregation, Aggregation=1", "Low",,"0",,,,,"T"))&amp;"'"&amp;RIGHT(TEXT(DOLLARFR(MOD(RTD("cqg.rtd",,"StudyData",B49,"TFlow", "AggregateBy=TFlowSimpleAggregation, Aggregation=1", "Low",,"0",,,,,"T"),1),32),A51),A50),TEXT(RTD("cqg.rtd",,"StudyData",B49,"TFlow", "AggregateBy=TFlowSimpleAggregation, Aggregation=1", "Low",,"0",,,,,"T"),A51))</f>
        <v>1331.30</v>
      </c>
      <c r="L50" s="121"/>
      <c r="M50" s="36">
        <f>RTD("cqg.rtd",,"StudyData","(TFlowSimpleAggregation(TFlowOp("&amp;B49&amp;", 0, 0), 1))","Vol",, "VolBid",,,"all",,,,"T")</f>
        <v>11</v>
      </c>
      <c r="N50" s="66">
        <f>IF(N48="B",LEN(DOLLARFR(N47,32))-2,LEN(N47)-LEN(RIGHT(N47,2)))</f>
        <v>1</v>
      </c>
      <c r="O50" s="122"/>
      <c r="P50" s="53" t="s">
        <v>3</v>
      </c>
      <c r="Q50" s="54" t="str">
        <f>IF(N48="B",RTD("cqg.rtd", ,"ContractData",O49, "Bid",,N48),TEXT(RTD("cqg.rtd", ,"ContractData",O49, "Bid",,N48),N51))</f>
        <v>12452.00</v>
      </c>
      <c r="R50" s="54">
        <f>RTD("cqg.rtd", ,"ContractData",O49, "MT_LastBidVolume",, "T")</f>
        <v>1</v>
      </c>
      <c r="S50" s="125"/>
      <c r="T50" s="126"/>
      <c r="U50" s="128"/>
      <c r="V50" s="131"/>
      <c r="W50" s="132"/>
      <c r="X50" s="120" t="str">
        <f>IF(N48="B",TRUNC(RTD("cqg.rtd",,"StudyData",O49,"TFlow", "AggregateBy=TFlowSimpleAggregation, Aggregation=1", "Low",,"0",,,,,"T"))&amp;"'"&amp;RIGHT(TEXT(DOLLARFR(MOD(RTD("cqg.rtd",,"StudyData",O49,"TFlow", "AggregateBy=TFlowSimpleAggregation, Aggregation=1", "Low",,"0",,,,,"T"),1),32),N51),N50),TEXT(RTD("cqg.rtd",,"StudyData",O49,"TFlow", "AggregateBy=TFlowSimpleAggregation, Aggregation=1", "Low",,"0",,,,,"T"),N51))</f>
        <v>12452.00</v>
      </c>
      <c r="Y50" s="121"/>
      <c r="Z50" s="36">
        <f>RTD("cqg.rtd",,"StudyData","(TFlowSimpleAggregation(TFlowOp("&amp;O49&amp;", 0, 0), 1))","Vol",, "VolBid",,,"all",,,,"T")</f>
        <v>0</v>
      </c>
    </row>
    <row r="51" spans="1:26" ht="2.1" customHeight="1" x14ac:dyDescent="0.3">
      <c r="A51" s="78" t="str">
        <f>IF(A50=0,"#",IF(A50=1,"#.00",IF(A50=2,"#.00",IF(A50=3,"#.000",IF(A50=4,"#.0000",IF(A50=5,"#.00000",IF(A50=6,"#.000000",IF(A50=7,"#.0000000"))))))))</f>
        <v>#.00</v>
      </c>
      <c r="B51" s="87">
        <f>RTD("cqg.rtd",,"DOMData",B49,"Price",-5,"T")</f>
        <v>1330.9</v>
      </c>
      <c r="C51" s="88">
        <f>RTD("cqg.rtd",,"DOMData",B49,"Price",-4,"T")</f>
        <v>1331</v>
      </c>
      <c r="D51" s="89">
        <f>RTD("cqg.rtd",,"DOMData",B49,"Price",-3,"T")</f>
        <v>1331.1</v>
      </c>
      <c r="E51" s="88">
        <f>RTD("cqg.rtd",,"DOMData",B49,"Price",-2,"T")</f>
        <v>1331.2</v>
      </c>
      <c r="F51" s="89" t="str">
        <f>TEXT(RTD("cqg.rtd",,"DOMData",B49,"Price",-1,"T"),A51)</f>
        <v>1331.30</v>
      </c>
      <c r="G51" s="89">
        <f>RTD("cqg.rtd",,"ContractData",B49,"LastTradeToday",,"T")</f>
        <v>1331.3000000000002</v>
      </c>
      <c r="H51" s="88" t="str">
        <f>TEXT(RTD("cqg.rtd",,"DOMData",B49,"Price",1,"T"),A51)</f>
        <v>1331.40</v>
      </c>
      <c r="I51" s="88"/>
      <c r="J51" s="88">
        <f>RTD("cqg.rtd",,"DOMData",B49,"Price",2,"T")</f>
        <v>1331.5</v>
      </c>
      <c r="K51" s="89">
        <f>RTD("cqg.rtd",,"DOMData",B49,"Price",3,"T")</f>
        <v>1331.6</v>
      </c>
      <c r="L51" s="89">
        <f>RTD("cqg.rtd",,"DOMData",B49,"Price",4,"T")</f>
        <v>1331.7</v>
      </c>
      <c r="M51" s="90">
        <f>RTD("cqg.rtd",,"DOMData",B49,"Price",5,"T")</f>
        <v>1331.8</v>
      </c>
      <c r="N51" s="62" t="str">
        <f>IF(N50=0,"#",IF(N50=1,"#.00",IF(N50=2,"#.00",IF(N50=3,"#.000",IF(N50=4,"#.0000",IF(N50=5,"#.00000",IF(N50=6,"#.000000",IF(N50=7,"#.0000000"))))))))</f>
        <v>#.00</v>
      </c>
      <c r="O51" s="87">
        <f>RTD("cqg.rtd",,"DOMData",O49,"Price",-5,"T")</f>
        <v>12450</v>
      </c>
      <c r="P51" s="88">
        <f>RTD("cqg.rtd",,"DOMData",O49,"Price",-4,"T")</f>
        <v>12450.5</v>
      </c>
      <c r="Q51" s="89">
        <f>RTD("cqg.rtd",,"DOMData",O49,"Price",-3,"T")</f>
        <v>12451</v>
      </c>
      <c r="R51" s="88">
        <f>RTD("cqg.rtd",,"DOMData",O49,"Price",-2,"T")</f>
        <v>12451.5</v>
      </c>
      <c r="S51" s="89" t="str">
        <f>TEXT(RTD("cqg.rtd",,"DOMData",O49,"Price",-1,"T"),N51)</f>
        <v>12452.00</v>
      </c>
      <c r="T51" s="89">
        <f>RTD("cqg.rtd",,"ContractData",O49,"LastTradeToday",,"T")</f>
        <v>12453</v>
      </c>
      <c r="U51" s="88" t="str">
        <f>TEXT(RTD("cqg.rtd",,"DOMData",O49,"Price",1,"T"),N51)</f>
        <v>12452.50</v>
      </c>
      <c r="V51" s="88"/>
      <c r="W51" s="88">
        <f>RTD("cqg.rtd",,"DOMData",O49,"Price",2,"T")</f>
        <v>12453</v>
      </c>
      <c r="X51" s="89">
        <f>RTD("cqg.rtd",,"DOMData",O49,"Price",3,"T")</f>
        <v>12453.5</v>
      </c>
      <c r="Y51" s="89">
        <f>RTD("cqg.rtd",,"DOMData",O49,"Price",4,"T")</f>
        <v>12454</v>
      </c>
      <c r="Z51" s="90">
        <f>RTD("cqg.rtd",,"DOMData",O49,"Price",5,"T")</f>
        <v>12454.5</v>
      </c>
    </row>
    <row r="52" spans="1:26" ht="17.45" customHeight="1" x14ac:dyDescent="0.3">
      <c r="B52" s="170" t="s">
        <v>31</v>
      </c>
      <c r="C52" s="171"/>
      <c r="D52" s="171"/>
      <c r="E52" s="95" t="s">
        <v>13</v>
      </c>
      <c r="F52" s="95"/>
      <c r="G52" s="95"/>
      <c r="H52" s="95"/>
      <c r="I52" s="91"/>
      <c r="J52" s="162"/>
      <c r="K52" s="162"/>
      <c r="L52" s="162"/>
      <c r="M52" s="162"/>
      <c r="N52" s="92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4"/>
    </row>
    <row r="53" spans="1:26" ht="17.45" customHeight="1" x14ac:dyDescent="0.3">
      <c r="B53" s="86"/>
      <c r="C53" s="67"/>
      <c r="D53" s="67"/>
      <c r="E53" s="67"/>
      <c r="F53" s="67"/>
      <c r="G53" s="169"/>
      <c r="H53" s="169"/>
      <c r="I53" s="67"/>
      <c r="J53" s="163"/>
      <c r="K53" s="163"/>
      <c r="L53" s="163"/>
      <c r="M53" s="163"/>
      <c r="N53" s="80"/>
      <c r="O53" s="85"/>
      <c r="P53" s="85"/>
      <c r="Q53" s="85"/>
      <c r="R53" s="85"/>
      <c r="S53" s="85"/>
      <c r="T53" s="85"/>
      <c r="U53" s="85"/>
      <c r="V53" s="85"/>
      <c r="W53" s="85"/>
    </row>
    <row r="54" spans="1:26" ht="17.25" customHeight="1" x14ac:dyDescent="0.3">
      <c r="B54" s="160"/>
      <c r="C54" s="69"/>
      <c r="D54" s="69"/>
      <c r="E54" s="70"/>
      <c r="F54" s="70"/>
      <c r="G54" s="161"/>
      <c r="H54" s="161"/>
      <c r="I54" s="160"/>
      <c r="J54" s="160"/>
      <c r="K54" s="160"/>
      <c r="L54" s="161"/>
      <c r="M54" s="161"/>
      <c r="N54" s="81"/>
    </row>
    <row r="55" spans="1:26" ht="17.25" customHeight="1" x14ac:dyDescent="0.3">
      <c r="B55" s="160"/>
      <c r="C55" s="55"/>
      <c r="D55" s="69"/>
      <c r="E55" s="70"/>
      <c r="F55" s="70"/>
      <c r="G55" s="161"/>
      <c r="H55" s="161"/>
      <c r="I55" s="160"/>
      <c r="J55" s="160"/>
      <c r="K55" s="160"/>
      <c r="L55" s="161"/>
      <c r="M55" s="161"/>
      <c r="N55" s="81"/>
    </row>
    <row r="56" spans="1:26" ht="17.25" customHeight="1" x14ac:dyDescent="0.3">
      <c r="B56" s="56"/>
      <c r="C56" s="55"/>
      <c r="D56" s="55"/>
      <c r="E56" s="57"/>
      <c r="F56" s="55"/>
      <c r="G56" s="57"/>
      <c r="H56" s="57"/>
      <c r="I56" s="55"/>
      <c r="J56" s="55"/>
      <c r="K56" s="55"/>
      <c r="L56" s="57"/>
      <c r="M56" s="57"/>
      <c r="N56" s="82"/>
    </row>
    <row r="57" spans="1:26" x14ac:dyDescent="0.3"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82"/>
      <c r="O57" s="1"/>
      <c r="P57" s="1"/>
      <c r="Q57" s="1"/>
      <c r="R57" s="1"/>
      <c r="S57" s="1"/>
      <c r="T57" s="1"/>
      <c r="U57" s="1"/>
      <c r="V57" s="1"/>
    </row>
    <row r="58" spans="1:26" ht="26.25" x14ac:dyDescent="0.3">
      <c r="B58" s="156"/>
      <c r="C58" s="68"/>
      <c r="D58" s="157"/>
      <c r="E58" s="158"/>
      <c r="F58" s="159"/>
      <c r="G58" s="18"/>
      <c r="H58" s="19"/>
      <c r="I58" s="20"/>
      <c r="J58" s="21"/>
      <c r="K58" s="159"/>
      <c r="L58" s="158"/>
      <c r="M58" s="157"/>
      <c r="N58" s="172"/>
    </row>
    <row r="59" spans="1:26" ht="19.5" x14ac:dyDescent="0.3">
      <c r="B59" s="156"/>
      <c r="C59" s="68"/>
      <c r="D59" s="157"/>
      <c r="E59" s="158"/>
      <c r="F59" s="159"/>
      <c r="G59" s="173"/>
      <c r="H59" s="22"/>
      <c r="I59" s="173"/>
      <c r="J59" s="23"/>
      <c r="K59" s="159"/>
      <c r="L59" s="158"/>
      <c r="M59" s="157"/>
      <c r="N59" s="172"/>
    </row>
    <row r="60" spans="1:26" x14ac:dyDescent="0.3">
      <c r="B60" s="24"/>
      <c r="C60" s="24"/>
      <c r="D60" s="25"/>
      <c r="E60" s="26"/>
      <c r="F60" s="27"/>
      <c r="G60" s="173"/>
      <c r="H60" s="28"/>
      <c r="I60" s="173"/>
      <c r="J60" s="29"/>
      <c r="K60" s="27"/>
      <c r="L60" s="26"/>
      <c r="M60" s="25"/>
      <c r="N60" s="83"/>
    </row>
    <row r="61" spans="1:26" x14ac:dyDescent="0.3">
      <c r="B61" s="24"/>
      <c r="C61" s="24"/>
      <c r="D61" s="24"/>
      <c r="E61" s="25"/>
      <c r="F61" s="25"/>
      <c r="G61" s="164"/>
      <c r="H61" s="164"/>
      <c r="I61" s="164"/>
      <c r="J61" s="164"/>
      <c r="K61" s="25"/>
      <c r="L61" s="25"/>
      <c r="M61" s="24"/>
      <c r="N61" s="83"/>
    </row>
    <row r="62" spans="1:26" x14ac:dyDescent="0.3">
      <c r="B62" s="58"/>
      <c r="C62" s="58"/>
      <c r="D62" s="59"/>
      <c r="E62" s="58"/>
      <c r="F62" s="59"/>
      <c r="G62" s="58"/>
      <c r="H62" s="60"/>
      <c r="I62" s="58"/>
      <c r="J62" s="58"/>
      <c r="K62" s="58"/>
      <c r="L62" s="59"/>
      <c r="M62" s="58"/>
      <c r="N62" s="84"/>
    </row>
    <row r="74" spans="10:13" x14ac:dyDescent="0.3">
      <c r="J74" s="39" t="s">
        <v>15</v>
      </c>
      <c r="L74" s="61"/>
      <c r="M74" s="39" t="s">
        <v>13</v>
      </c>
    </row>
  </sheetData>
  <sheetProtection algorithmName="SHA-512" hashValue="rhKKGmpBt70CgPPI+msZNr+LtlDPZGiQxpZ+myPrVA3u2TYAtqSBDns9PbbFkpPvzG8yaziGbI7hpT8VClIWkg==" saltValue="SLwCNEHOpnJTuww19AY3Yg==" spinCount="100000" sheet="1" objects="1" scenarios="1" selectLockedCells="1"/>
  <mergeCells count="269">
    <mergeCell ref="Z41:Z42"/>
    <mergeCell ref="O49:O50"/>
    <mergeCell ref="C17:C18"/>
    <mergeCell ref="D17:D18"/>
    <mergeCell ref="E17:E18"/>
    <mergeCell ref="B47:B48"/>
    <mergeCell ref="H49:H50"/>
    <mergeCell ref="K48:L48"/>
    <mergeCell ref="M41:M42"/>
    <mergeCell ref="H19:I19"/>
    <mergeCell ref="G29:G30"/>
    <mergeCell ref="I29:I30"/>
    <mergeCell ref="F31:G31"/>
    <mergeCell ref="H31:I31"/>
    <mergeCell ref="G41:G42"/>
    <mergeCell ref="I41:I42"/>
    <mergeCell ref="B29:B30"/>
    <mergeCell ref="O28:T28"/>
    <mergeCell ref="O40:T40"/>
    <mergeCell ref="O47:O48"/>
    <mergeCell ref="C29:C30"/>
    <mergeCell ref="D29:D30"/>
    <mergeCell ref="E29:E30"/>
    <mergeCell ref="L29:L30"/>
    <mergeCell ref="U4:Z4"/>
    <mergeCell ref="O16:T16"/>
    <mergeCell ref="U16:Z16"/>
    <mergeCell ref="U28:Z28"/>
    <mergeCell ref="U40:Z40"/>
    <mergeCell ref="H4:M4"/>
    <mergeCell ref="W17:W18"/>
    <mergeCell ref="X17:X18"/>
    <mergeCell ref="Y17:Y18"/>
    <mergeCell ref="M29:M30"/>
    <mergeCell ref="Z17:Z18"/>
    <mergeCell ref="S19:T19"/>
    <mergeCell ref="U19:V19"/>
    <mergeCell ref="S21:T21"/>
    <mergeCell ref="U21:V21"/>
    <mergeCell ref="X29:X30"/>
    <mergeCell ref="Y29:Y30"/>
    <mergeCell ref="Z29:Z30"/>
    <mergeCell ref="O23:O24"/>
    <mergeCell ref="S23:T23"/>
    <mergeCell ref="V23:W23"/>
    <mergeCell ref="X23:Y23"/>
    <mergeCell ref="X37:Y37"/>
    <mergeCell ref="X38:Y38"/>
    <mergeCell ref="R41:R42"/>
    <mergeCell ref="Q41:Q42"/>
    <mergeCell ref="P41:P42"/>
    <mergeCell ref="B4:G4"/>
    <mergeCell ref="B16:G16"/>
    <mergeCell ref="H16:M16"/>
    <mergeCell ref="B28:G28"/>
    <mergeCell ref="H28:M28"/>
    <mergeCell ref="B40:G40"/>
    <mergeCell ref="H40:M40"/>
    <mergeCell ref="O41:O42"/>
    <mergeCell ref="O4:T4"/>
    <mergeCell ref="E5:E6"/>
    <mergeCell ref="K5:K6"/>
    <mergeCell ref="M17:M18"/>
    <mergeCell ref="K11:L11"/>
    <mergeCell ref="K12:L12"/>
    <mergeCell ref="K13:L13"/>
    <mergeCell ref="K14:L14"/>
    <mergeCell ref="L5:L6"/>
    <mergeCell ref="J17:J18"/>
    <mergeCell ref="H9:I9"/>
    <mergeCell ref="M5:M6"/>
    <mergeCell ref="F9:G9"/>
    <mergeCell ref="X50:Y50"/>
    <mergeCell ref="X49:Y49"/>
    <mergeCell ref="V49:W50"/>
    <mergeCell ref="U49:U50"/>
    <mergeCell ref="S49:T50"/>
    <mergeCell ref="U43:V43"/>
    <mergeCell ref="S43:T43"/>
    <mergeCell ref="V41:V42"/>
    <mergeCell ref="T41:T42"/>
    <mergeCell ref="X48:Y48"/>
    <mergeCell ref="V48:W48"/>
    <mergeCell ref="X47:Y47"/>
    <mergeCell ref="V47:W47"/>
    <mergeCell ref="S47:T48"/>
    <mergeCell ref="Y41:Y42"/>
    <mergeCell ref="X41:X42"/>
    <mergeCell ref="W41:W42"/>
    <mergeCell ref="U45:V45"/>
    <mergeCell ref="S45:T45"/>
    <mergeCell ref="W2:Z3"/>
    <mergeCell ref="H37:H38"/>
    <mergeCell ref="I25:J26"/>
    <mergeCell ref="I37:J38"/>
    <mergeCell ref="H13:H14"/>
    <mergeCell ref="I13:J14"/>
    <mergeCell ref="H21:I21"/>
    <mergeCell ref="K23:L23"/>
    <mergeCell ref="K24:L24"/>
    <mergeCell ref="I5:I6"/>
    <mergeCell ref="S13:T14"/>
    <mergeCell ref="U13:U14"/>
    <mergeCell ref="V13:W14"/>
    <mergeCell ref="X13:Y13"/>
    <mergeCell ref="X14:Y14"/>
    <mergeCell ref="O17:O18"/>
    <mergeCell ref="P17:P18"/>
    <mergeCell ref="Q17:Q18"/>
    <mergeCell ref="R17:R18"/>
    <mergeCell ref="T17:T18"/>
    <mergeCell ref="F2:V3"/>
    <mergeCell ref="V17:V18"/>
    <mergeCell ref="J29:J30"/>
    <mergeCell ref="K29:K30"/>
    <mergeCell ref="N58:N59"/>
    <mergeCell ref="G59:G60"/>
    <mergeCell ref="I59:I60"/>
    <mergeCell ref="F25:G26"/>
    <mergeCell ref="F37:G38"/>
    <mergeCell ref="F33:G33"/>
    <mergeCell ref="H33:I33"/>
    <mergeCell ref="L54:M54"/>
    <mergeCell ref="L55:M55"/>
    <mergeCell ref="K49:L49"/>
    <mergeCell ref="K50:L50"/>
    <mergeCell ref="J54:K55"/>
    <mergeCell ref="I48:J48"/>
    <mergeCell ref="J52:K52"/>
    <mergeCell ref="J53:K53"/>
    <mergeCell ref="I49:J50"/>
    <mergeCell ref="L58:L59"/>
    <mergeCell ref="M58:M59"/>
    <mergeCell ref="K41:K42"/>
    <mergeCell ref="L41:L42"/>
    <mergeCell ref="K47:L47"/>
    <mergeCell ref="I47:J47"/>
    <mergeCell ref="G61:H61"/>
    <mergeCell ref="I61:J61"/>
    <mergeCell ref="B2:E3"/>
    <mergeCell ref="I12:J12"/>
    <mergeCell ref="I11:J11"/>
    <mergeCell ref="I23:J23"/>
    <mergeCell ref="I24:J24"/>
    <mergeCell ref="I35:J35"/>
    <mergeCell ref="I36:J36"/>
    <mergeCell ref="F21:G21"/>
    <mergeCell ref="B5:B6"/>
    <mergeCell ref="J5:J6"/>
    <mergeCell ref="F47:G48"/>
    <mergeCell ref="F49:G50"/>
    <mergeCell ref="G53:H53"/>
    <mergeCell ref="F45:G45"/>
    <mergeCell ref="G5:G6"/>
    <mergeCell ref="F7:G7"/>
    <mergeCell ref="B23:B24"/>
    <mergeCell ref="B17:B18"/>
    <mergeCell ref="B25:B26"/>
    <mergeCell ref="B37:B38"/>
    <mergeCell ref="B35:B36"/>
    <mergeCell ref="B52:D52"/>
    <mergeCell ref="K25:L25"/>
    <mergeCell ref="F13:G14"/>
    <mergeCell ref="H7:I7"/>
    <mergeCell ref="I17:I18"/>
    <mergeCell ref="K26:L26"/>
    <mergeCell ref="K37:L37"/>
    <mergeCell ref="K38:L38"/>
    <mergeCell ref="L17:L18"/>
    <mergeCell ref="K17:K18"/>
    <mergeCell ref="K35:L35"/>
    <mergeCell ref="K36:L36"/>
    <mergeCell ref="F11:G12"/>
    <mergeCell ref="F23:G24"/>
    <mergeCell ref="H8:I8"/>
    <mergeCell ref="F8:G8"/>
    <mergeCell ref="X24:Y24"/>
    <mergeCell ref="S11:T12"/>
    <mergeCell ref="Y5:Y6"/>
    <mergeCell ref="B58:B59"/>
    <mergeCell ref="D58:D59"/>
    <mergeCell ref="E58:E59"/>
    <mergeCell ref="F58:F59"/>
    <mergeCell ref="K58:K59"/>
    <mergeCell ref="C41:C42"/>
    <mergeCell ref="D41:D42"/>
    <mergeCell ref="E41:E42"/>
    <mergeCell ref="B49:B50"/>
    <mergeCell ref="I54:I55"/>
    <mergeCell ref="F43:G43"/>
    <mergeCell ref="H43:I43"/>
    <mergeCell ref="B41:B42"/>
    <mergeCell ref="H45:I45"/>
    <mergeCell ref="H25:H26"/>
    <mergeCell ref="J41:J42"/>
    <mergeCell ref="B13:B14"/>
    <mergeCell ref="B54:B55"/>
    <mergeCell ref="G54:H55"/>
    <mergeCell ref="L52:M52"/>
    <mergeCell ref="L53:M53"/>
    <mergeCell ref="B11:B12"/>
    <mergeCell ref="Z5:Z6"/>
    <mergeCell ref="S7:T7"/>
    <mergeCell ref="U7:V7"/>
    <mergeCell ref="S9:T9"/>
    <mergeCell ref="U9:V9"/>
    <mergeCell ref="O11:O12"/>
    <mergeCell ref="V11:W11"/>
    <mergeCell ref="X11:Y11"/>
    <mergeCell ref="V12:W12"/>
    <mergeCell ref="X12:Y12"/>
    <mergeCell ref="O5:O6"/>
    <mergeCell ref="P5:P6"/>
    <mergeCell ref="Q5:Q6"/>
    <mergeCell ref="R5:R6"/>
    <mergeCell ref="T5:T6"/>
    <mergeCell ref="V5:V6"/>
    <mergeCell ref="W5:W6"/>
    <mergeCell ref="X5:X6"/>
    <mergeCell ref="C5:C6"/>
    <mergeCell ref="D5:D6"/>
    <mergeCell ref="X25:Y25"/>
    <mergeCell ref="X26:Y26"/>
    <mergeCell ref="F44:G44"/>
    <mergeCell ref="H44:I44"/>
    <mergeCell ref="S44:T44"/>
    <mergeCell ref="U44:V44"/>
    <mergeCell ref="O37:O38"/>
    <mergeCell ref="S37:T38"/>
    <mergeCell ref="U37:U38"/>
    <mergeCell ref="V37:W38"/>
    <mergeCell ref="X35:Y35"/>
    <mergeCell ref="V36:W36"/>
    <mergeCell ref="X36:Y36"/>
    <mergeCell ref="O25:O26"/>
    <mergeCell ref="S25:T26"/>
    <mergeCell ref="U25:U26"/>
    <mergeCell ref="V25:W26"/>
    <mergeCell ref="O29:O30"/>
    <mergeCell ref="P29:P30"/>
    <mergeCell ref="Q29:Q30"/>
    <mergeCell ref="S35:T36"/>
    <mergeCell ref="F35:G36"/>
    <mergeCell ref="O35:O36"/>
    <mergeCell ref="V35:W35"/>
    <mergeCell ref="E52:H52"/>
    <mergeCell ref="S8:T8"/>
    <mergeCell ref="U8:V8"/>
    <mergeCell ref="F20:G20"/>
    <mergeCell ref="H20:I20"/>
    <mergeCell ref="S20:T20"/>
    <mergeCell ref="U20:V20"/>
    <mergeCell ref="F32:G32"/>
    <mergeCell ref="H32:I32"/>
    <mergeCell ref="S32:T32"/>
    <mergeCell ref="U32:V32"/>
    <mergeCell ref="S24:T24"/>
    <mergeCell ref="V24:W24"/>
    <mergeCell ref="R29:R30"/>
    <mergeCell ref="T29:T30"/>
    <mergeCell ref="V29:V30"/>
    <mergeCell ref="W29:W30"/>
    <mergeCell ref="O13:O14"/>
    <mergeCell ref="F19:G19"/>
    <mergeCell ref="G17:G18"/>
    <mergeCell ref="S31:T31"/>
    <mergeCell ref="U31:V31"/>
    <mergeCell ref="S33:T33"/>
    <mergeCell ref="U33:V33"/>
  </mergeCells>
  <conditionalFormatting sqref="D13">
    <cfRule type="expression" dxfId="42" priority="69">
      <formula>D13=F13</formula>
    </cfRule>
  </conditionalFormatting>
  <conditionalFormatting sqref="D14">
    <cfRule type="expression" dxfId="41" priority="68">
      <formula>D14=F13</formula>
    </cfRule>
  </conditionalFormatting>
  <conditionalFormatting sqref="M13">
    <cfRule type="expression" dxfId="40" priority="51">
      <formula>M13&gt;M14</formula>
    </cfRule>
  </conditionalFormatting>
  <conditionalFormatting sqref="M14">
    <cfRule type="expression" dxfId="39" priority="49">
      <formula>M14&gt;M13</formula>
    </cfRule>
  </conditionalFormatting>
  <conditionalFormatting sqref="N54">
    <cfRule type="expression" dxfId="38" priority="42">
      <formula>$N$54&gt;$N$55</formula>
    </cfRule>
  </conditionalFormatting>
  <conditionalFormatting sqref="N55">
    <cfRule type="expression" dxfId="37" priority="41">
      <formula>$N$55&gt;$N$54</formula>
    </cfRule>
  </conditionalFormatting>
  <conditionalFormatting sqref="D25">
    <cfRule type="expression" dxfId="36" priority="37">
      <formula>D25=F25</formula>
    </cfRule>
  </conditionalFormatting>
  <conditionalFormatting sqref="D26">
    <cfRule type="expression" dxfId="35" priority="36">
      <formula>D26=F25</formula>
    </cfRule>
  </conditionalFormatting>
  <conditionalFormatting sqref="M25">
    <cfRule type="expression" dxfId="34" priority="35">
      <formula>M25&gt;M26</formula>
    </cfRule>
  </conditionalFormatting>
  <conditionalFormatting sqref="M26">
    <cfRule type="expression" dxfId="33" priority="34">
      <formula>M26&gt;M25</formula>
    </cfRule>
  </conditionalFormatting>
  <conditionalFormatting sqref="D37">
    <cfRule type="expression" dxfId="32" priority="33">
      <formula>D37=F37</formula>
    </cfRule>
  </conditionalFormatting>
  <conditionalFormatting sqref="D38">
    <cfRule type="expression" dxfId="31" priority="32">
      <formula>D38=F37</formula>
    </cfRule>
  </conditionalFormatting>
  <conditionalFormatting sqref="M37">
    <cfRule type="expression" dxfId="30" priority="31">
      <formula>M37&gt;M38</formula>
    </cfRule>
  </conditionalFormatting>
  <conditionalFormatting sqref="M38">
    <cfRule type="expression" dxfId="29" priority="30">
      <formula>M38&gt;M37</formula>
    </cfRule>
  </conditionalFormatting>
  <conditionalFormatting sqref="D49">
    <cfRule type="expression" dxfId="28" priority="29">
      <formula>D49=F49</formula>
    </cfRule>
  </conditionalFormatting>
  <conditionalFormatting sqref="D50">
    <cfRule type="expression" dxfId="27" priority="28">
      <formula>D50=F49</formula>
    </cfRule>
  </conditionalFormatting>
  <conditionalFormatting sqref="M49">
    <cfRule type="expression" dxfId="26" priority="27">
      <formula>M49&gt;M50</formula>
    </cfRule>
  </conditionalFormatting>
  <conditionalFormatting sqref="M50">
    <cfRule type="expression" dxfId="25" priority="26">
      <formula>M50&gt;M49</formula>
    </cfRule>
  </conditionalFormatting>
  <conditionalFormatting sqref="Q13">
    <cfRule type="expression" dxfId="24" priority="25">
      <formula>Q13=S13</formula>
    </cfRule>
  </conditionalFormatting>
  <conditionalFormatting sqref="Q14">
    <cfRule type="expression" dxfId="23" priority="24">
      <formula>Q14=S13</formula>
    </cfRule>
  </conditionalFormatting>
  <conditionalFormatting sqref="Z13">
    <cfRule type="expression" dxfId="22" priority="23">
      <formula>Z13&gt;Z14</formula>
    </cfRule>
  </conditionalFormatting>
  <conditionalFormatting sqref="Z14">
    <cfRule type="expression" dxfId="21" priority="22">
      <formula>Z14&gt;Z13</formula>
    </cfRule>
  </conditionalFormatting>
  <conditionalFormatting sqref="Q25">
    <cfRule type="expression" dxfId="20" priority="21">
      <formula>Q25=S25</formula>
    </cfRule>
  </conditionalFormatting>
  <conditionalFormatting sqref="Q26">
    <cfRule type="expression" dxfId="19" priority="20">
      <formula>Q26=S25</formula>
    </cfRule>
  </conditionalFormatting>
  <conditionalFormatting sqref="Z25">
    <cfRule type="expression" dxfId="18" priority="19">
      <formula>Z25&gt;Z26</formula>
    </cfRule>
  </conditionalFormatting>
  <conditionalFormatting sqref="Z26">
    <cfRule type="expression" dxfId="17" priority="18">
      <formula>Z26&gt;Z25</formula>
    </cfRule>
  </conditionalFormatting>
  <conditionalFormatting sqref="Q37">
    <cfRule type="expression" dxfId="16" priority="17">
      <formula>Q37=S37</formula>
    </cfRule>
  </conditionalFormatting>
  <conditionalFormatting sqref="Q38">
    <cfRule type="expression" dxfId="15" priority="16">
      <formula>Q38=S37</formula>
    </cfRule>
  </conditionalFormatting>
  <conditionalFormatting sqref="Z37">
    <cfRule type="expression" dxfId="14" priority="15">
      <formula>Z37&gt;Z38</formula>
    </cfRule>
  </conditionalFormatting>
  <conditionalFormatting sqref="Z38">
    <cfRule type="expression" dxfId="13" priority="14">
      <formula>Z38&gt;Z37</formula>
    </cfRule>
  </conditionalFormatting>
  <conditionalFormatting sqref="Q49">
    <cfRule type="expression" dxfId="12" priority="13">
      <formula>Q49=S49</formula>
    </cfRule>
  </conditionalFormatting>
  <conditionalFormatting sqref="Q50">
    <cfRule type="expression" dxfId="11" priority="12">
      <formula>Q50=S49</formula>
    </cfRule>
  </conditionalFormatting>
  <conditionalFormatting sqref="Z49">
    <cfRule type="expression" dxfId="10" priority="11">
      <formula>Z49&gt;Z50</formula>
    </cfRule>
  </conditionalFormatting>
  <conditionalFormatting sqref="Z50">
    <cfRule type="expression" dxfId="9" priority="10">
      <formula>Z50&gt;Z49</formula>
    </cfRule>
  </conditionalFormatting>
  <conditionalFormatting sqref="G10">
    <cfRule type="expression" dxfId="8" priority="9">
      <formula>$A$7=1</formula>
    </cfRule>
  </conditionalFormatting>
  <conditionalFormatting sqref="F10">
    <cfRule type="expression" dxfId="7" priority="8">
      <formula>$A$7=1</formula>
    </cfRule>
  </conditionalFormatting>
  <conditionalFormatting sqref="F22:G22">
    <cfRule type="expression" dxfId="6" priority="7">
      <formula>$A$19=1</formula>
    </cfRule>
  </conditionalFormatting>
  <conditionalFormatting sqref="F34:G34">
    <cfRule type="expression" dxfId="5" priority="6">
      <formula>$A$31=1</formula>
    </cfRule>
  </conditionalFormatting>
  <conditionalFormatting sqref="F46:G46">
    <cfRule type="expression" dxfId="4" priority="5">
      <formula>$A$43=1</formula>
    </cfRule>
  </conditionalFormatting>
  <conditionalFormatting sqref="S10:T10">
    <cfRule type="expression" dxfId="3" priority="4">
      <formula>$N$7=1</formula>
    </cfRule>
  </conditionalFormatting>
  <conditionalFormatting sqref="S22:T22">
    <cfRule type="expression" dxfId="2" priority="3">
      <formula>$N$19=1</formula>
    </cfRule>
  </conditionalFormatting>
  <conditionalFormatting sqref="S34:T34">
    <cfRule type="expression" dxfId="1" priority="2">
      <formula>$N$31=1</formula>
    </cfRule>
  </conditionalFormatting>
  <conditionalFormatting sqref="S46:T46">
    <cfRule type="expression" dxfId="0" priority="1">
      <formula>$N$43=1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2017-12-20T14:59:03Z</dcterms:created>
  <dcterms:modified xsi:type="dcterms:W3CDTF">2018-02-21T18:04:46Z</dcterms:modified>
</cp:coreProperties>
</file>