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showVerticalScroll="0" xWindow="0" yWindow="0" windowWidth="28800" windowHeight="14175"/>
  </bookViews>
  <sheets>
    <sheet name="QSA Master" sheetId="2" r:id="rId1"/>
    <sheet name="QSA" sheetId="6" state="hidden" r:id="rId2"/>
  </sheets>
  <calcPr calcId="162913"/>
</workbook>
</file>

<file path=xl/calcChain.xml><?xml version="1.0" encoding="utf-8"?>
<calcChain xmlns="http://schemas.openxmlformats.org/spreadsheetml/2006/main">
  <c r="AF35" i="6" l="1"/>
  <c r="U35" i="6"/>
  <c r="M4" i="2"/>
  <c r="Z43" i="2"/>
  <c r="M29" i="2"/>
  <c r="A24" i="2"/>
  <c r="P45" i="2"/>
  <c r="M42" i="2"/>
  <c r="U27" i="2"/>
  <c r="Y42" i="2"/>
  <c r="T44" i="2"/>
  <c r="AA29" i="2"/>
  <c r="X26" i="2"/>
  <c r="AD45" i="2"/>
  <c r="AA42" i="2"/>
  <c r="O28" i="2"/>
  <c r="A20" i="2"/>
  <c r="Z44" i="2"/>
  <c r="A32" i="2"/>
  <c r="AD26" i="2"/>
  <c r="S45" i="2"/>
  <c r="P42" i="2"/>
  <c r="X27" i="2"/>
  <c r="Q42" i="2"/>
  <c r="O44" i="2"/>
  <c r="V29" i="2"/>
  <c r="S26" i="2"/>
  <c r="Q45" i="2"/>
  <c r="Y43" i="2"/>
  <c r="A46" i="2"/>
  <c r="S44" i="2"/>
  <c r="A52" i="2"/>
  <c r="AB43" i="2"/>
  <c r="Z45" i="2"/>
  <c r="AC29" i="2"/>
  <c r="AB45" i="2"/>
  <c r="AC28" i="2"/>
  <c r="A21" i="2"/>
  <c r="A50" i="2"/>
  <c r="A45" i="2"/>
  <c r="N44" i="2"/>
  <c r="U29" i="2"/>
  <c r="U42" i="2"/>
  <c r="A34" i="2"/>
  <c r="W28" i="2"/>
  <c r="A40" i="2"/>
  <c r="AA45" i="2"/>
  <c r="W44" i="2"/>
  <c r="X35" i="6"/>
  <c r="A56" i="2"/>
  <c r="R43" i="2"/>
  <c r="Z28" i="2"/>
  <c r="A16" i="2"/>
  <c r="AC44" i="2"/>
  <c r="A35" i="2"/>
  <c r="M27" i="2"/>
  <c r="P29" i="2"/>
  <c r="L44" i="2"/>
  <c r="S29" i="2"/>
  <c r="P26" i="2"/>
  <c r="V45" i="2"/>
  <c r="S42" i="2"/>
  <c r="AA27" i="2"/>
  <c r="Y44" i="2"/>
  <c r="R44" i="2"/>
  <c r="Y29" i="2"/>
  <c r="V26" i="2"/>
  <c r="K45" i="2"/>
  <c r="A38" i="2"/>
  <c r="P27" i="2"/>
  <c r="M28" i="2"/>
  <c r="AA43" i="2"/>
  <c r="N29" i="2"/>
  <c r="A17" i="2"/>
  <c r="V27" i="2"/>
  <c r="L29" i="2"/>
  <c r="N26" i="2"/>
  <c r="N43" i="2"/>
  <c r="L26" i="2"/>
  <c r="U26" i="2"/>
  <c r="Z26" i="2"/>
  <c r="Q28" i="2"/>
  <c r="L42" i="2"/>
  <c r="A29" i="2"/>
  <c r="Z27" i="2"/>
  <c r="K26" i="2"/>
  <c r="A37" i="2"/>
  <c r="X45" i="2"/>
  <c r="AB44" i="2"/>
  <c r="A53" i="2"/>
  <c r="A13" i="2"/>
  <c r="R27" i="2"/>
  <c r="L28" i="2"/>
  <c r="AA26" i="2"/>
  <c r="A48" i="2"/>
  <c r="AD42" i="2"/>
  <c r="R28" i="2"/>
  <c r="A51" i="2"/>
  <c r="U44" i="2"/>
  <c r="AB29" i="2"/>
  <c r="Y26" i="2"/>
  <c r="AC26" i="2"/>
  <c r="X43" i="2"/>
  <c r="K29" i="2"/>
  <c r="A22" i="2"/>
  <c r="N45" i="2"/>
  <c r="K42" i="2"/>
  <c r="S27" i="2"/>
  <c r="U28" i="2"/>
  <c r="AD43" i="2"/>
  <c r="Q29" i="2"/>
  <c r="L45" i="2"/>
  <c r="X44" i="2"/>
  <c r="A30" i="2"/>
  <c r="AB26" i="2"/>
  <c r="M26" i="2"/>
  <c r="S43" i="2"/>
  <c r="AA28" i="2"/>
  <c r="AC43" i="2"/>
  <c r="N42" i="2"/>
  <c r="A23" i="2"/>
  <c r="AB42" i="2"/>
  <c r="Z29" i="2"/>
  <c r="V28" i="2"/>
  <c r="O29" i="2"/>
  <c r="W42" i="2"/>
  <c r="V44" i="2"/>
  <c r="AC42" i="2"/>
  <c r="T27" i="2"/>
  <c r="U45" i="2"/>
  <c r="T28" i="2"/>
  <c r="Y45" i="2"/>
  <c r="V42" i="2"/>
  <c r="AD27" i="2"/>
  <c r="A39" i="2"/>
  <c r="M44" i="2"/>
  <c r="T29" i="2"/>
  <c r="Q26" i="2"/>
  <c r="A54" i="2"/>
  <c r="P43" i="2"/>
  <c r="X28" i="2"/>
  <c r="A14" i="2"/>
  <c r="AA44" i="2"/>
  <c r="A33" i="2"/>
  <c r="K27" i="2"/>
  <c r="A19" i="2"/>
  <c r="V43" i="2"/>
  <c r="AD28" i="2"/>
  <c r="M43" i="2"/>
  <c r="P44" i="2"/>
  <c r="W29" i="2"/>
  <c r="T26" i="2"/>
  <c r="A49" i="2"/>
  <c r="K43" i="2"/>
  <c r="S28" i="2"/>
  <c r="X29" i="2"/>
  <c r="Q27" i="2"/>
  <c r="P28" i="2"/>
  <c r="W26" i="2"/>
  <c r="A31" i="2"/>
  <c r="K28" i="2"/>
  <c r="A47" i="2"/>
  <c r="O45" i="2"/>
  <c r="W43" i="2"/>
  <c r="R42" i="2"/>
  <c r="L43" i="2"/>
  <c r="O27" i="2"/>
  <c r="R26" i="2"/>
  <c r="U43" i="2"/>
  <c r="L27" i="2"/>
  <c r="O43" i="2"/>
  <c r="M45" i="2"/>
  <c r="X42" i="2"/>
  <c r="AD29" i="2"/>
  <c r="AC27" i="2"/>
  <c r="Q44" i="2"/>
  <c r="AD44" i="2"/>
  <c r="A36" i="2"/>
  <c r="N27" i="2"/>
  <c r="A55" i="2"/>
  <c r="Q43" i="2"/>
  <c r="Y28" i="2"/>
  <c r="A15" i="2"/>
  <c r="W45" i="2"/>
  <c r="T42" i="2"/>
  <c r="AB27" i="2"/>
  <c r="T45" i="2"/>
  <c r="K44" i="2"/>
  <c r="R29" i="2"/>
  <c r="O26" i="2"/>
  <c r="AC45" i="2"/>
  <c r="Z42" i="2"/>
  <c r="N28" i="2"/>
  <c r="Y27" i="2"/>
  <c r="T43" i="2"/>
  <c r="AB28" i="2"/>
  <c r="A18" i="2"/>
  <c r="R45" i="2"/>
  <c r="O42" i="2"/>
  <c r="W27" i="2"/>
  <c r="Y35" i="6"/>
  <c r="AE36" i="6" l="1"/>
  <c r="AF36" i="6" s="1"/>
  <c r="V35" i="6"/>
  <c r="Z35" i="6"/>
  <c r="AG35" i="6"/>
  <c r="AA35" i="6" l="1"/>
  <c r="AB35" i="6"/>
  <c r="AC35" i="6"/>
  <c r="AE37" i="6"/>
  <c r="AF37" i="6" s="1"/>
  <c r="T36" i="6"/>
  <c r="U36" i="6" s="1"/>
  <c r="AG37" i="6"/>
  <c r="AI35" i="6"/>
  <c r="AJ35" i="6"/>
  <c r="AK35" i="6"/>
  <c r="AG36" i="6"/>
  <c r="AE38" i="6" l="1"/>
  <c r="AF38" i="6" s="1"/>
  <c r="T37" i="6"/>
  <c r="U37" i="6" s="1"/>
  <c r="AL35" i="6"/>
  <c r="AN35" i="6"/>
  <c r="AM35" i="6"/>
  <c r="AE39" i="6"/>
  <c r="AF39" i="6" s="1"/>
  <c r="AG38" i="6"/>
  <c r="AB4" i="2"/>
  <c r="U21" i="6"/>
  <c r="U17" i="6"/>
  <c r="AK36" i="6"/>
  <c r="U20" i="6"/>
  <c r="U22" i="6"/>
  <c r="AJ37" i="6"/>
  <c r="AI37" i="6"/>
  <c r="U18" i="6"/>
  <c r="W31" i="6"/>
  <c r="U23" i="6"/>
  <c r="U19" i="6"/>
  <c r="AJ39" i="6"/>
  <c r="AI36" i="6"/>
  <c r="U15" i="6"/>
  <c r="U16" i="6"/>
  <c r="AJ36" i="6"/>
  <c r="U14" i="6"/>
  <c r="AK37" i="6"/>
  <c r="T38" i="6" l="1"/>
  <c r="U38" i="6" s="1"/>
  <c r="AM37" i="6"/>
  <c r="AM36" i="6"/>
  <c r="AN36" i="6"/>
  <c r="AN37" i="6"/>
  <c r="AL37" i="6"/>
  <c r="AL36" i="6"/>
  <c r="AE40" i="6"/>
  <c r="AF40" i="6" s="1"/>
  <c r="T39" i="6"/>
  <c r="U39" i="6" s="1"/>
  <c r="Y36" i="6"/>
  <c r="V37" i="6"/>
  <c r="V36" i="6"/>
  <c r="AK38" i="6"/>
  <c r="AG39" i="6"/>
  <c r="X36" i="6"/>
  <c r="AJ38" i="6"/>
  <c r="Z37" i="6"/>
  <c r="X37" i="6"/>
  <c r="Z36" i="6"/>
  <c r="Y37" i="6"/>
  <c r="AI38" i="6"/>
  <c r="AG40" i="6"/>
  <c r="AM39" i="6" l="1"/>
  <c r="AB36" i="6"/>
  <c r="AC36" i="6"/>
  <c r="AB37" i="6"/>
  <c r="AA37" i="6"/>
  <c r="AA36" i="6"/>
  <c r="AC37" i="6"/>
  <c r="AN38" i="6"/>
  <c r="AM38" i="6"/>
  <c r="AL38" i="6"/>
  <c r="AE41" i="6"/>
  <c r="AF41" i="6" s="1"/>
  <c r="T40" i="6"/>
  <c r="U40" i="6" s="1"/>
  <c r="X38" i="6"/>
  <c r="V39" i="6"/>
  <c r="U8" i="6"/>
  <c r="U6" i="6"/>
  <c r="AG41" i="6"/>
  <c r="S36" i="6"/>
  <c r="U7" i="6"/>
  <c r="U13" i="6"/>
  <c r="U5" i="6"/>
  <c r="U4" i="6"/>
  <c r="U11" i="6"/>
  <c r="Y39" i="6"/>
  <c r="V38" i="6"/>
  <c r="Z39" i="6"/>
  <c r="U9" i="6"/>
  <c r="Y38" i="6"/>
  <c r="U2" i="6"/>
  <c r="U10" i="6"/>
  <c r="Z38" i="6"/>
  <c r="U12" i="6"/>
  <c r="AK39" i="6"/>
  <c r="AI39" i="6"/>
  <c r="U3" i="6"/>
  <c r="S35" i="6"/>
  <c r="AC38" i="6" l="1"/>
  <c r="AB38" i="6"/>
  <c r="AC39" i="6"/>
  <c r="AB39" i="6"/>
  <c r="AA38" i="6"/>
  <c r="AL39" i="6"/>
  <c r="AN39" i="6"/>
  <c r="AE42" i="6"/>
  <c r="AF42" i="6" s="1"/>
  <c r="T41" i="6"/>
  <c r="U41" i="6" s="1"/>
  <c r="R36" i="6"/>
  <c r="Z40" i="6"/>
  <c r="V40" i="6"/>
  <c r="AK40" i="6"/>
  <c r="Y40" i="6"/>
  <c r="AI40" i="6"/>
  <c r="X39" i="6"/>
  <c r="AJ40" i="6"/>
  <c r="AG42" i="6"/>
  <c r="AC40" i="6" l="1"/>
  <c r="AB40" i="6"/>
  <c r="AA39" i="6"/>
  <c r="AL40" i="6"/>
  <c r="AM40" i="6"/>
  <c r="AN40" i="6"/>
  <c r="AE43" i="6"/>
  <c r="AF43" i="6" s="1"/>
  <c r="T42" i="6"/>
  <c r="U42" i="6" s="1"/>
  <c r="R37" i="6"/>
  <c r="E49" i="2"/>
  <c r="D35" i="2"/>
  <c r="F18" i="2"/>
  <c r="H35" i="2"/>
  <c r="D51" i="2"/>
  <c r="C52" i="2"/>
  <c r="I17" i="2"/>
  <c r="B16" i="2"/>
  <c r="C48" i="2"/>
  <c r="G51" i="2"/>
  <c r="I39" i="2"/>
  <c r="I24" i="2"/>
  <c r="C13" i="2"/>
  <c r="D40" i="2"/>
  <c r="D34" i="2"/>
  <c r="H55" i="2"/>
  <c r="G56" i="2"/>
  <c r="D31" i="2"/>
  <c r="I23" i="2"/>
  <c r="H45" i="2"/>
  <c r="B45" i="2"/>
  <c r="D20" i="2"/>
  <c r="D22" i="2"/>
  <c r="I48" i="2"/>
  <c r="G18" i="2"/>
  <c r="F21" i="2"/>
  <c r="I36" i="2"/>
  <c r="E53" i="2"/>
  <c r="D16" i="2"/>
  <c r="E23" i="2"/>
  <c r="G47" i="2"/>
  <c r="H34" i="2"/>
  <c r="H31" i="2"/>
  <c r="AK41" i="6"/>
  <c r="E45" i="2"/>
  <c r="H36" i="2"/>
  <c r="E39" i="2"/>
  <c r="B33" i="2"/>
  <c r="Z41" i="6"/>
  <c r="D33" i="2"/>
  <c r="I50" i="2"/>
  <c r="D47" i="2"/>
  <c r="C22" i="2"/>
  <c r="C50" i="2"/>
  <c r="E31" i="2"/>
  <c r="D18" i="2"/>
  <c r="I49" i="2"/>
  <c r="H13" i="2"/>
  <c r="H50" i="2"/>
  <c r="D46" i="2"/>
  <c r="I20" i="2"/>
  <c r="B19" i="2"/>
  <c r="D32" i="2"/>
  <c r="B49" i="2"/>
  <c r="G49" i="2"/>
  <c r="C40" i="2"/>
  <c r="C17" i="2"/>
  <c r="E48" i="2"/>
  <c r="B20" i="2"/>
  <c r="C36" i="2"/>
  <c r="H37" i="2"/>
  <c r="F23" i="2"/>
  <c r="H19" i="2"/>
  <c r="F31" i="2"/>
  <c r="B56" i="2"/>
  <c r="H30" i="2"/>
  <c r="F20" i="2"/>
  <c r="G22" i="2"/>
  <c r="F47" i="2"/>
  <c r="H32" i="2"/>
  <c r="C21" i="2"/>
  <c r="F16" i="2"/>
  <c r="G45" i="2"/>
  <c r="I40" i="2"/>
  <c r="C15" i="2"/>
  <c r="B15" i="2"/>
  <c r="I46" i="2"/>
  <c r="F32" i="2"/>
  <c r="H24" i="2"/>
  <c r="H53" i="2"/>
  <c r="C34" i="2"/>
  <c r="H21" i="2"/>
  <c r="E16" i="2"/>
  <c r="F54" i="2"/>
  <c r="B36" i="2"/>
  <c r="F22" i="2"/>
  <c r="E34" i="2"/>
  <c r="C45" i="2"/>
  <c r="B53" i="2"/>
  <c r="E51" i="2"/>
  <c r="B14" i="2"/>
  <c r="F24" i="2"/>
  <c r="I33" i="2"/>
  <c r="C30" i="2"/>
  <c r="D49" i="2"/>
  <c r="G46" i="2"/>
  <c r="E19" i="2"/>
  <c r="B24" i="2"/>
  <c r="C33" i="2"/>
  <c r="D48" i="2"/>
  <c r="I19" i="2"/>
  <c r="C19" i="2"/>
  <c r="H47" i="2"/>
  <c r="E46" i="2"/>
  <c r="E15" i="2"/>
  <c r="B39" i="2"/>
  <c r="H16" i="2"/>
  <c r="H46" i="2"/>
  <c r="F17" i="2"/>
  <c r="D37" i="2"/>
  <c r="I21" i="2"/>
  <c r="H49" i="2"/>
  <c r="B35" i="2"/>
  <c r="I18" i="2"/>
  <c r="C38" i="2"/>
  <c r="C51" i="2"/>
  <c r="C39" i="2"/>
  <c r="H22" i="2"/>
  <c r="C56" i="2"/>
  <c r="H14" i="2"/>
  <c r="C29" i="2"/>
  <c r="I15" i="2"/>
  <c r="G50" i="2"/>
  <c r="X40" i="6"/>
  <c r="B21" i="2"/>
  <c r="F19" i="2"/>
  <c r="H51" i="2"/>
  <c r="B18" i="2"/>
  <c r="F40" i="2"/>
  <c r="C14" i="2"/>
  <c r="F46" i="2"/>
  <c r="C31" i="2"/>
  <c r="H56" i="2"/>
  <c r="E56" i="2"/>
  <c r="G33" i="2"/>
  <c r="C35" i="2"/>
  <c r="G35" i="2"/>
  <c r="B55" i="2"/>
  <c r="AG43" i="6"/>
  <c r="F30" i="2"/>
  <c r="D52" i="2"/>
  <c r="E13" i="2"/>
  <c r="E32" i="2"/>
  <c r="H29" i="2"/>
  <c r="F29" i="2"/>
  <c r="F13" i="2"/>
  <c r="F33" i="2"/>
  <c r="D15" i="2"/>
  <c r="D53" i="2"/>
  <c r="I55" i="2"/>
  <c r="G52" i="2"/>
  <c r="I30" i="2"/>
  <c r="D55" i="2"/>
  <c r="F55" i="2"/>
  <c r="B51" i="2"/>
  <c r="E18" i="2"/>
  <c r="G38" i="2"/>
  <c r="G13" i="2"/>
  <c r="C54" i="2"/>
  <c r="C16" i="2"/>
  <c r="G36" i="2"/>
  <c r="H23" i="2"/>
  <c r="C53" i="2"/>
  <c r="G24" i="2"/>
  <c r="C32" i="2"/>
  <c r="D29" i="2"/>
  <c r="E21" i="2"/>
  <c r="I34" i="2"/>
  <c r="B22" i="2"/>
  <c r="G53" i="2"/>
  <c r="G31" i="2"/>
  <c r="G34" i="2"/>
  <c r="V41" i="6"/>
  <c r="G48" i="2"/>
  <c r="G20" i="2"/>
  <c r="F14" i="2"/>
  <c r="E47" i="2"/>
  <c r="E54" i="2"/>
  <c r="E35" i="2"/>
  <c r="B29" i="2"/>
  <c r="D24" i="2"/>
  <c r="C46" i="2"/>
  <c r="E17" i="2"/>
  <c r="B54" i="2"/>
  <c r="H40" i="2"/>
  <c r="G29" i="2"/>
  <c r="B37" i="2"/>
  <c r="D54" i="2"/>
  <c r="B47" i="2"/>
  <c r="D14" i="2"/>
  <c r="H20" i="2"/>
  <c r="F34" i="2"/>
  <c r="D50" i="2"/>
  <c r="F36" i="2"/>
  <c r="I32" i="2"/>
  <c r="F35" i="2"/>
  <c r="C55" i="2"/>
  <c r="F39" i="2"/>
  <c r="E22" i="2"/>
  <c r="F48" i="2"/>
  <c r="C18" i="2"/>
  <c r="C20" i="2"/>
  <c r="E40" i="2"/>
  <c r="I13" i="2"/>
  <c r="C49" i="2"/>
  <c r="H38" i="2"/>
  <c r="E29" i="2"/>
  <c r="F52" i="2"/>
  <c r="B50" i="2"/>
  <c r="H18" i="2"/>
  <c r="G14" i="2"/>
  <c r="E37" i="2"/>
  <c r="G16" i="2"/>
  <c r="C23" i="2"/>
  <c r="Y41" i="6"/>
  <c r="B46" i="2"/>
  <c r="G30" i="2"/>
  <c r="E33" i="2"/>
  <c r="B52" i="2"/>
  <c r="B48" i="2"/>
  <c r="B40" i="2"/>
  <c r="F38" i="2"/>
  <c r="C47" i="2"/>
  <c r="F50" i="2"/>
  <c r="C24" i="2"/>
  <c r="I31" i="2"/>
  <c r="D13" i="2"/>
  <c r="F37" i="2"/>
  <c r="B30" i="2"/>
  <c r="D56" i="2"/>
  <c r="H54" i="2"/>
  <c r="E36" i="2"/>
  <c r="D30" i="2"/>
  <c r="D23" i="2"/>
  <c r="I54" i="2"/>
  <c r="AJ41" i="6"/>
  <c r="I38" i="2"/>
  <c r="AI41" i="6"/>
  <c r="E20" i="2"/>
  <c r="E38" i="2"/>
  <c r="B23" i="2"/>
  <c r="I16" i="2"/>
  <c r="I51" i="2"/>
  <c r="G32" i="2"/>
  <c r="H48" i="2"/>
  <c r="D36" i="2"/>
  <c r="C37" i="2"/>
  <c r="F45" i="2"/>
  <c r="H17" i="2"/>
  <c r="I29" i="2"/>
  <c r="B34" i="2"/>
  <c r="F51" i="2"/>
  <c r="I52" i="2"/>
  <c r="F15" i="2"/>
  <c r="G40" i="2"/>
  <c r="D45" i="2"/>
  <c r="I47" i="2"/>
  <c r="H33" i="2"/>
  <c r="G21" i="2"/>
  <c r="G23" i="2"/>
  <c r="E14" i="2"/>
  <c r="I22" i="2"/>
  <c r="G55" i="2"/>
  <c r="G54" i="2"/>
  <c r="E24" i="2"/>
  <c r="I14" i="2"/>
  <c r="I45" i="2"/>
  <c r="I53" i="2"/>
  <c r="D17" i="2"/>
  <c r="G37" i="2"/>
  <c r="F49" i="2"/>
  <c r="D39" i="2"/>
  <c r="B17" i="2"/>
  <c r="G39" i="2"/>
  <c r="B13" i="2"/>
  <c r="B32" i="2"/>
  <c r="H15" i="2"/>
  <c r="I56" i="2"/>
  <c r="H39" i="2"/>
  <c r="Q3" i="6"/>
  <c r="Q2" i="6"/>
  <c r="B31" i="2"/>
  <c r="F53" i="2"/>
  <c r="G15" i="2"/>
  <c r="B38" i="2"/>
  <c r="I37" i="2"/>
  <c r="E55" i="2"/>
  <c r="E52" i="2"/>
  <c r="D38" i="2"/>
  <c r="E50" i="2"/>
  <c r="F56" i="2"/>
  <c r="G19" i="2"/>
  <c r="D19" i="2"/>
  <c r="H52" i="2"/>
  <c r="E30" i="2"/>
  <c r="G17" i="2"/>
  <c r="I35" i="2"/>
  <c r="D21" i="2"/>
  <c r="P2" i="6" l="1"/>
  <c r="P3" i="6"/>
  <c r="AB41" i="6"/>
  <c r="AC41" i="6"/>
  <c r="AA40" i="6"/>
  <c r="AL41" i="6"/>
  <c r="AM41" i="6"/>
  <c r="AN41" i="6"/>
  <c r="AE44" i="6"/>
  <c r="AF44" i="6" s="1"/>
  <c r="T43" i="6"/>
  <c r="U43" i="6" s="1"/>
  <c r="A2" i="6"/>
  <c r="A3" i="6"/>
  <c r="R38" i="6"/>
  <c r="T2" i="6"/>
  <c r="B3" i="6"/>
  <c r="C26" i="6"/>
  <c r="B26" i="6"/>
  <c r="V42" i="6"/>
  <c r="T3" i="6"/>
  <c r="AJ42" i="6"/>
  <c r="D27" i="6"/>
  <c r="K6" i="2"/>
  <c r="AI42" i="6"/>
  <c r="S3" i="6"/>
  <c r="X41" i="6"/>
  <c r="AG44" i="6"/>
  <c r="R2" i="6"/>
  <c r="S2" i="6"/>
  <c r="B2" i="6"/>
  <c r="R3" i="6"/>
  <c r="Y42" i="6"/>
  <c r="Z42" i="6"/>
  <c r="Q4" i="6"/>
  <c r="L6" i="2"/>
  <c r="AK42" i="6"/>
  <c r="B27" i="6"/>
  <c r="D26" i="6"/>
  <c r="C27" i="6"/>
  <c r="P4" i="6" l="1"/>
  <c r="AC42" i="6"/>
  <c r="AB42" i="6"/>
  <c r="AA41" i="6"/>
  <c r="G26" i="6"/>
  <c r="F26" i="6"/>
  <c r="E26" i="6"/>
  <c r="E27" i="6"/>
  <c r="G27" i="6"/>
  <c r="F27" i="6"/>
  <c r="AL42" i="6"/>
  <c r="AM42" i="6"/>
  <c r="AN42" i="6"/>
  <c r="AE45" i="6"/>
  <c r="AF45" i="6" s="1"/>
  <c r="T44" i="6"/>
  <c r="U44" i="6" s="1"/>
  <c r="C2" i="6"/>
  <c r="D2" i="6" s="1"/>
  <c r="AI6" i="2"/>
  <c r="K7" i="2" s="1"/>
  <c r="AJ6" i="2"/>
  <c r="L7" i="2" s="1"/>
  <c r="C3" i="6"/>
  <c r="A4" i="6"/>
  <c r="R39" i="6"/>
  <c r="I9" i="2"/>
  <c r="L8" i="2"/>
  <c r="E7" i="2"/>
  <c r="K10" i="2"/>
  <c r="L10" i="2"/>
  <c r="AI43" i="6"/>
  <c r="M6" i="2"/>
  <c r="C9" i="2"/>
  <c r="V43" i="6"/>
  <c r="C7" i="2"/>
  <c r="K9" i="2"/>
  <c r="AJ43" i="6"/>
  <c r="E9" i="2"/>
  <c r="B4" i="6"/>
  <c r="Q5" i="6"/>
  <c r="L9" i="2"/>
  <c r="R4" i="6"/>
  <c r="X42" i="6"/>
  <c r="B4" i="2"/>
  <c r="Y43" i="6"/>
  <c r="Z43" i="6"/>
  <c r="T4" i="6"/>
  <c r="B28" i="6"/>
  <c r="G9" i="2"/>
  <c r="C28" i="6"/>
  <c r="K8" i="2"/>
  <c r="D28" i="6"/>
  <c r="S4" i="6"/>
  <c r="AK43" i="6"/>
  <c r="AG45" i="6"/>
  <c r="P5" i="6" l="1"/>
  <c r="AB43" i="6"/>
  <c r="AC43" i="6"/>
  <c r="AA42" i="6"/>
  <c r="G28" i="6"/>
  <c r="F28" i="6"/>
  <c r="E28" i="6"/>
  <c r="AN43" i="6"/>
  <c r="AM43" i="6"/>
  <c r="AL43" i="6"/>
  <c r="AE46" i="6"/>
  <c r="AF46" i="6" s="1"/>
  <c r="T45" i="6"/>
  <c r="U45" i="6" s="1"/>
  <c r="AK6" i="2"/>
  <c r="M7" i="2" s="1"/>
  <c r="C4" i="6"/>
  <c r="A5" i="6"/>
  <c r="R40" i="6"/>
  <c r="D3" i="6"/>
  <c r="E2" i="6"/>
  <c r="Q6" i="6"/>
  <c r="B29" i="6"/>
  <c r="AJ44" i="6"/>
  <c r="V44" i="6"/>
  <c r="M8" i="2"/>
  <c r="Y44" i="6"/>
  <c r="C29" i="6"/>
  <c r="X43" i="6"/>
  <c r="T5" i="6"/>
  <c r="Z44" i="6"/>
  <c r="M9" i="2"/>
  <c r="AI44" i="6"/>
  <c r="M10" i="2"/>
  <c r="D29" i="6"/>
  <c r="R5" i="6"/>
  <c r="AG46" i="6"/>
  <c r="S5" i="6"/>
  <c r="N6" i="2"/>
  <c r="AK44" i="6"/>
  <c r="B5" i="6"/>
  <c r="P6" i="6" l="1"/>
  <c r="AB44" i="6"/>
  <c r="AC44" i="6"/>
  <c r="AA43" i="6"/>
  <c r="F29" i="6"/>
  <c r="G29" i="6"/>
  <c r="E29" i="6"/>
  <c r="AN44" i="6"/>
  <c r="AM44" i="6"/>
  <c r="AL44" i="6"/>
  <c r="AE47" i="6"/>
  <c r="AF47" i="6" s="1"/>
  <c r="T46" i="6"/>
  <c r="U46" i="6" s="1"/>
  <c r="AL6" i="2"/>
  <c r="N7" i="2" s="1"/>
  <c r="A6" i="6"/>
  <c r="C5" i="6"/>
  <c r="D4" i="6"/>
  <c r="F2" i="6"/>
  <c r="R41" i="6"/>
  <c r="B30" i="6"/>
  <c r="AI45" i="6"/>
  <c r="N9" i="2"/>
  <c r="V45" i="6"/>
  <c r="AJ45" i="6"/>
  <c r="X44" i="6"/>
  <c r="N10" i="2"/>
  <c r="D30" i="6"/>
  <c r="N8" i="2"/>
  <c r="Z45" i="6"/>
  <c r="B6" i="6"/>
  <c r="Y45" i="6"/>
  <c r="S6" i="6"/>
  <c r="R6" i="6"/>
  <c r="Q7" i="6"/>
  <c r="AG47" i="6"/>
  <c r="AK45" i="6"/>
  <c r="C30" i="6"/>
  <c r="T6" i="6"/>
  <c r="O6" i="2"/>
  <c r="P7" i="6" l="1"/>
  <c r="AC45" i="6"/>
  <c r="AB45" i="6"/>
  <c r="AA44" i="6"/>
  <c r="G30" i="6"/>
  <c r="F30" i="6"/>
  <c r="E30" i="6"/>
  <c r="AM45" i="6"/>
  <c r="AL45" i="6"/>
  <c r="AN45" i="6"/>
  <c r="AE48" i="6"/>
  <c r="AF48" i="6" s="1"/>
  <c r="T47" i="6"/>
  <c r="U47" i="6" s="1"/>
  <c r="AM6" i="2"/>
  <c r="O7" i="2" s="1"/>
  <c r="A7" i="6"/>
  <c r="C6" i="6"/>
  <c r="R42" i="6"/>
  <c r="D5" i="6"/>
  <c r="G2" i="6"/>
  <c r="S7" i="6"/>
  <c r="AK46" i="6"/>
  <c r="O8" i="2"/>
  <c r="AI46" i="6"/>
  <c r="V46" i="6"/>
  <c r="B7" i="6"/>
  <c r="P6" i="2"/>
  <c r="O9" i="2"/>
  <c r="X45" i="6"/>
  <c r="O10" i="2"/>
  <c r="Y46" i="6"/>
  <c r="Z46" i="6"/>
  <c r="T7" i="6"/>
  <c r="B31" i="6"/>
  <c r="Q8" i="6"/>
  <c r="AG48" i="6"/>
  <c r="D31" i="6"/>
  <c r="C31" i="6"/>
  <c r="R7" i="6"/>
  <c r="AJ46" i="6"/>
  <c r="P8" i="6" l="1"/>
  <c r="AC46" i="6"/>
  <c r="AB46" i="6"/>
  <c r="AA45" i="6"/>
  <c r="G31" i="6"/>
  <c r="E31" i="6"/>
  <c r="F31" i="6"/>
  <c r="AM46" i="6"/>
  <c r="AL46" i="6"/>
  <c r="AN46" i="6"/>
  <c r="AE49" i="6"/>
  <c r="AF49" i="6" s="1"/>
  <c r="T48" i="6"/>
  <c r="U48" i="6" s="1"/>
  <c r="AN6" i="2"/>
  <c r="P7" i="2" s="1"/>
  <c r="C7" i="6"/>
  <c r="A8" i="6"/>
  <c r="R43" i="6"/>
  <c r="D6" i="6"/>
  <c r="H2" i="6"/>
  <c r="AJ47" i="6"/>
  <c r="T8" i="6"/>
  <c r="Y47" i="6"/>
  <c r="AG49" i="6"/>
  <c r="X46" i="6"/>
  <c r="R8" i="6"/>
  <c r="P8" i="2"/>
  <c r="P10" i="2"/>
  <c r="P9" i="2"/>
  <c r="C32" i="6"/>
  <c r="Q9" i="6"/>
  <c r="Q6" i="2"/>
  <c r="V47" i="6"/>
  <c r="D32" i="6"/>
  <c r="Z47" i="6"/>
  <c r="B32" i="6"/>
  <c r="AI47" i="6"/>
  <c r="AK47" i="6"/>
  <c r="S8" i="6"/>
  <c r="B8" i="6"/>
  <c r="P9" i="6" l="1"/>
  <c r="AC47" i="6"/>
  <c r="AB47" i="6"/>
  <c r="AA46" i="6"/>
  <c r="G32" i="6"/>
  <c r="E32" i="6"/>
  <c r="F32" i="6"/>
  <c r="AL47" i="6"/>
  <c r="AM47" i="6"/>
  <c r="AN47" i="6"/>
  <c r="AE50" i="6"/>
  <c r="AF50" i="6" s="1"/>
  <c r="T49" i="6"/>
  <c r="U49" i="6" s="1"/>
  <c r="AO6" i="2"/>
  <c r="Q7" i="2" s="1"/>
  <c r="C8" i="6"/>
  <c r="A9" i="6"/>
  <c r="D7" i="6"/>
  <c r="I2" i="6"/>
  <c r="R44" i="6"/>
  <c r="R9" i="6"/>
  <c r="V48" i="6"/>
  <c r="Q10" i="2"/>
  <c r="AJ48" i="6"/>
  <c r="X47" i="6"/>
  <c r="C33" i="6"/>
  <c r="R6" i="2"/>
  <c r="Z48" i="6"/>
  <c r="B9" i="6"/>
  <c r="D33" i="6"/>
  <c r="T9" i="6"/>
  <c r="Q9" i="2"/>
  <c r="AI48" i="6"/>
  <c r="AK48" i="6"/>
  <c r="AG50" i="6"/>
  <c r="Q10" i="6"/>
  <c r="Q8" i="2"/>
  <c r="B33" i="6"/>
  <c r="Y48" i="6"/>
  <c r="S9" i="6"/>
  <c r="P10" i="6" l="1"/>
  <c r="AC48" i="6"/>
  <c r="AB48" i="6"/>
  <c r="G33" i="6"/>
  <c r="E33" i="6"/>
  <c r="F33" i="6"/>
  <c r="AA47" i="6"/>
  <c r="AM48" i="6"/>
  <c r="AL48" i="6"/>
  <c r="AN48" i="6"/>
  <c r="AE51" i="6"/>
  <c r="AF51" i="6" s="1"/>
  <c r="T50" i="6"/>
  <c r="U50" i="6" s="1"/>
  <c r="AP6" i="2"/>
  <c r="R7" i="2" s="1"/>
  <c r="C9" i="6"/>
  <c r="A10" i="6"/>
  <c r="R45" i="6"/>
  <c r="D8" i="6"/>
  <c r="J2" i="6"/>
  <c r="R10" i="2"/>
  <c r="Z49" i="6"/>
  <c r="X48" i="6"/>
  <c r="B34" i="6"/>
  <c r="AI49" i="6"/>
  <c r="Q11" i="6"/>
  <c r="AK49" i="6"/>
  <c r="T10" i="6"/>
  <c r="R8" i="2"/>
  <c r="S10" i="6"/>
  <c r="R9" i="2"/>
  <c r="V49" i="6"/>
  <c r="D34" i="6"/>
  <c r="C34" i="6"/>
  <c r="AG51" i="6"/>
  <c r="B10" i="6"/>
  <c r="Y49" i="6"/>
  <c r="R10" i="6"/>
  <c r="AJ49" i="6"/>
  <c r="S6" i="2"/>
  <c r="P11" i="6" l="1"/>
  <c r="AC49" i="6"/>
  <c r="AB49" i="6"/>
  <c r="AA48" i="6"/>
  <c r="E34" i="6"/>
  <c r="F34" i="6"/>
  <c r="G34" i="6"/>
  <c r="AM49" i="6"/>
  <c r="AL49" i="6"/>
  <c r="AN49" i="6"/>
  <c r="AE52" i="6"/>
  <c r="AF52" i="6" s="1"/>
  <c r="T51" i="6"/>
  <c r="U51" i="6" s="1"/>
  <c r="AQ6" i="2"/>
  <c r="S7" i="2" s="1"/>
  <c r="C10" i="6"/>
  <c r="A11" i="6"/>
  <c r="D9" i="6"/>
  <c r="K2" i="6"/>
  <c r="R46" i="6"/>
  <c r="R47" i="6" s="1"/>
  <c r="AK50" i="6"/>
  <c r="V50" i="6"/>
  <c r="T11" i="6"/>
  <c r="B11" i="6"/>
  <c r="C35" i="6"/>
  <c r="AJ50" i="6"/>
  <c r="Z50" i="6"/>
  <c r="X49" i="6"/>
  <c r="S8" i="2"/>
  <c r="D35" i="6"/>
  <c r="AI50" i="6"/>
  <c r="S11" i="6"/>
  <c r="AG52" i="6"/>
  <c r="S9" i="2"/>
  <c r="Q12" i="6"/>
  <c r="T6" i="2"/>
  <c r="R11" i="6"/>
  <c r="Y50" i="6"/>
  <c r="B35" i="6"/>
  <c r="S10" i="2"/>
  <c r="P12" i="6" l="1"/>
  <c r="AB50" i="6"/>
  <c r="AC50" i="6"/>
  <c r="AA49" i="6"/>
  <c r="G35" i="6"/>
  <c r="F35" i="6"/>
  <c r="E35" i="6"/>
  <c r="AN50" i="6"/>
  <c r="AL50" i="6"/>
  <c r="AM50" i="6"/>
  <c r="AE53" i="6"/>
  <c r="AF53" i="6" s="1"/>
  <c r="T52" i="6"/>
  <c r="U52" i="6" s="1"/>
  <c r="R48" i="6"/>
  <c r="AR6" i="2"/>
  <c r="T7" i="2" s="1"/>
  <c r="A12" i="6"/>
  <c r="C11" i="6"/>
  <c r="D10" i="6"/>
  <c r="L2" i="6"/>
  <c r="Y51" i="6"/>
  <c r="B36" i="6"/>
  <c r="Z51" i="6"/>
  <c r="AI51" i="6"/>
  <c r="Q14" i="6"/>
  <c r="T12" i="6"/>
  <c r="X50" i="6"/>
  <c r="B12" i="6"/>
  <c r="V51" i="6"/>
  <c r="AJ51" i="6"/>
  <c r="T8" i="2"/>
  <c r="U6" i="2"/>
  <c r="T9" i="2"/>
  <c r="D36" i="6"/>
  <c r="R12" i="6"/>
  <c r="C36" i="6"/>
  <c r="Q13" i="6"/>
  <c r="S12" i="6"/>
  <c r="AK51" i="6"/>
  <c r="T10" i="2"/>
  <c r="AG53" i="6"/>
  <c r="P14" i="6" l="1"/>
  <c r="P13" i="6"/>
  <c r="AB51" i="6"/>
  <c r="AC51" i="6"/>
  <c r="AA50" i="6"/>
  <c r="G36" i="6"/>
  <c r="E36" i="6"/>
  <c r="F36" i="6"/>
  <c r="AM51" i="6"/>
  <c r="AN51" i="6"/>
  <c r="AL51" i="6"/>
  <c r="AE54" i="6"/>
  <c r="AF54" i="6" s="1"/>
  <c r="A13" i="6"/>
  <c r="T53" i="6"/>
  <c r="U53" i="6" s="1"/>
  <c r="R49" i="6"/>
  <c r="AS6" i="2"/>
  <c r="U7" i="2" s="1"/>
  <c r="C12" i="6"/>
  <c r="D11" i="6"/>
  <c r="M2" i="6"/>
  <c r="Y52" i="6"/>
  <c r="U8" i="2"/>
  <c r="D37" i="6"/>
  <c r="AI52" i="6"/>
  <c r="B37" i="6"/>
  <c r="X51" i="6"/>
  <c r="C38" i="6"/>
  <c r="R14" i="6"/>
  <c r="AJ52" i="6"/>
  <c r="C37" i="6"/>
  <c r="W6" i="2"/>
  <c r="U10" i="2"/>
  <c r="D38" i="6"/>
  <c r="V6" i="2"/>
  <c r="Z52" i="6"/>
  <c r="B38" i="6"/>
  <c r="T14" i="6"/>
  <c r="V52" i="6"/>
  <c r="B13" i="6"/>
  <c r="Q15" i="6"/>
  <c r="S14" i="6"/>
  <c r="AK52" i="6"/>
  <c r="R13" i="6"/>
  <c r="U9" i="2"/>
  <c r="AG54" i="6"/>
  <c r="S13" i="6"/>
  <c r="T13" i="6"/>
  <c r="P15" i="6" l="1"/>
  <c r="AB52" i="6"/>
  <c r="AC52" i="6"/>
  <c r="AA51" i="6"/>
  <c r="G38" i="6"/>
  <c r="E38" i="6"/>
  <c r="F38" i="6"/>
  <c r="E37" i="6"/>
  <c r="G37" i="6"/>
  <c r="F37" i="6"/>
  <c r="AN52" i="6"/>
  <c r="AM52" i="6"/>
  <c r="AL52" i="6"/>
  <c r="AT6" i="2"/>
  <c r="V7" i="2" s="1"/>
  <c r="C13" i="6"/>
  <c r="D13" i="6" s="1"/>
  <c r="T54" i="6"/>
  <c r="U54" i="6" s="1"/>
  <c r="AU6" i="2"/>
  <c r="W7" i="2" s="1"/>
  <c r="R50" i="6"/>
  <c r="D12" i="6"/>
  <c r="N2" i="6"/>
  <c r="AJ53" i="6"/>
  <c r="C39" i="6"/>
  <c r="W8" i="2"/>
  <c r="V8" i="2"/>
  <c r="T15" i="6"/>
  <c r="Q16" i="6"/>
  <c r="V53" i="6"/>
  <c r="V9" i="2"/>
  <c r="X52" i="6"/>
  <c r="R15" i="6"/>
  <c r="AK53" i="6"/>
  <c r="AI53" i="6"/>
  <c r="Y53" i="6"/>
  <c r="D39" i="6"/>
  <c r="X6" i="2"/>
  <c r="AI54" i="6"/>
  <c r="B39" i="6"/>
  <c r="AK54" i="6"/>
  <c r="Z53" i="6"/>
  <c r="AJ54" i="6"/>
  <c r="W9" i="2"/>
  <c r="V10" i="2"/>
  <c r="S15" i="6"/>
  <c r="W10" i="2"/>
  <c r="P16" i="6" l="1"/>
  <c r="AC53" i="6"/>
  <c r="AB53" i="6"/>
  <c r="AA52" i="6"/>
  <c r="E39" i="6"/>
  <c r="F39" i="6"/>
  <c r="G39" i="6"/>
  <c r="AL54" i="6"/>
  <c r="AN54" i="6"/>
  <c r="AM54" i="6"/>
  <c r="AM53" i="6"/>
  <c r="AN53" i="6"/>
  <c r="AL53" i="6"/>
  <c r="O2" i="6"/>
  <c r="AV6" i="2"/>
  <c r="X7" i="2" s="1"/>
  <c r="R51" i="6"/>
  <c r="B40" i="6"/>
  <c r="Y6" i="2"/>
  <c r="X54" i="6"/>
  <c r="X10" i="2"/>
  <c r="Z54" i="6"/>
  <c r="S16" i="6"/>
  <c r="Q17" i="6"/>
  <c r="X9" i="2"/>
  <c r="T16" i="6"/>
  <c r="V54" i="6"/>
  <c r="X8" i="2"/>
  <c r="Y54" i="6"/>
  <c r="C40" i="6"/>
  <c r="X53" i="6"/>
  <c r="D40" i="6"/>
  <c r="R16" i="6"/>
  <c r="P17" i="6" l="1"/>
  <c r="AC54" i="6"/>
  <c r="AB54" i="6"/>
  <c r="AA54" i="6"/>
  <c r="AA53" i="6"/>
  <c r="G40" i="6"/>
  <c r="E40" i="6"/>
  <c r="F40" i="6"/>
  <c r="AW6" i="2"/>
  <c r="Y7" i="2" s="1"/>
  <c r="R52" i="6"/>
  <c r="B41" i="6"/>
  <c r="D41" i="6"/>
  <c r="S17" i="6"/>
  <c r="T17" i="6"/>
  <c r="R17" i="6"/>
  <c r="Y10" i="2"/>
  <c r="Q18" i="6"/>
  <c r="Y9" i="2"/>
  <c r="Y8" i="2"/>
  <c r="Z6" i="2"/>
  <c r="C41" i="6"/>
  <c r="P18" i="6" l="1"/>
  <c r="G41" i="6"/>
  <c r="F41" i="6"/>
  <c r="E41" i="6"/>
  <c r="AX6" i="2"/>
  <c r="Z7" i="2" s="1"/>
  <c r="R53" i="6"/>
  <c r="AB6" i="2"/>
  <c r="Z9" i="2"/>
  <c r="R18" i="6"/>
  <c r="D42" i="6"/>
  <c r="AA6" i="2"/>
  <c r="C42" i="6"/>
  <c r="Z10" i="2"/>
  <c r="Z8" i="2"/>
  <c r="Q19" i="6"/>
  <c r="S18" i="6"/>
  <c r="T18" i="6"/>
  <c r="B42" i="6"/>
  <c r="P19" i="6" l="1"/>
  <c r="G42" i="6"/>
  <c r="F42" i="6"/>
  <c r="E42" i="6"/>
  <c r="AZ6" i="2"/>
  <c r="AB7" i="2" s="1"/>
  <c r="AY6" i="2"/>
  <c r="AA7" i="2" s="1"/>
  <c r="R54" i="6"/>
  <c r="Q20" i="6"/>
  <c r="S19" i="6"/>
  <c r="C43" i="6"/>
  <c r="T19" i="6"/>
  <c r="AA9" i="2"/>
  <c r="AB9" i="2"/>
  <c r="AB8" i="2"/>
  <c r="AA10" i="2"/>
  <c r="D43" i="6"/>
  <c r="AB10" i="2"/>
  <c r="R19" i="6"/>
  <c r="AA8" i="2"/>
  <c r="B43" i="6"/>
  <c r="P20" i="6" l="1"/>
  <c r="G43" i="6"/>
  <c r="F43" i="6"/>
  <c r="E43" i="6"/>
  <c r="R55" i="6"/>
  <c r="C44" i="6"/>
  <c r="S20" i="6"/>
  <c r="D44" i="6"/>
  <c r="AC6" i="2"/>
  <c r="R20" i="6"/>
  <c r="Q21" i="6"/>
  <c r="B44" i="6"/>
  <c r="T20" i="6"/>
  <c r="P21" i="6" l="1"/>
  <c r="F44" i="6"/>
  <c r="G44" i="6"/>
  <c r="E44" i="6"/>
  <c r="BA6" i="2"/>
  <c r="AC7" i="2" s="1"/>
  <c r="R56" i="6"/>
  <c r="R21" i="6"/>
  <c r="AC9" i="2"/>
  <c r="AC8" i="2"/>
  <c r="AD6" i="2"/>
  <c r="C45" i="6"/>
  <c r="AC10" i="2"/>
  <c r="D45" i="6"/>
  <c r="T21" i="6"/>
  <c r="Q22" i="6"/>
  <c r="B45" i="6"/>
  <c r="S21" i="6"/>
  <c r="P22" i="6" l="1"/>
  <c r="G45" i="6"/>
  <c r="E45" i="6"/>
  <c r="F45" i="6"/>
  <c r="BB6" i="2"/>
  <c r="AD7" i="2" s="1"/>
  <c r="R57" i="6"/>
  <c r="R58" i="6" s="1"/>
  <c r="R59" i="6" s="1"/>
  <c r="R22" i="6"/>
  <c r="AD8" i="2"/>
  <c r="T22" i="6"/>
  <c r="S22" i="6"/>
  <c r="AD10" i="2"/>
  <c r="AD9" i="2"/>
  <c r="Q23" i="6"/>
  <c r="P23" i="6" l="1"/>
  <c r="T23" i="6"/>
  <c r="R23" i="6"/>
  <c r="S23" i="6"/>
</calcChain>
</file>

<file path=xl/sharedStrings.xml><?xml version="1.0" encoding="utf-8"?>
<sst xmlns="http://schemas.openxmlformats.org/spreadsheetml/2006/main" count="56" uniqueCount="22">
  <si>
    <t>Bid</t>
  </si>
  <si>
    <t>Ask</t>
  </si>
  <si>
    <t>S</t>
  </si>
  <si>
    <t>LastTradeorSettle</t>
  </si>
  <si>
    <t>NetLastQuoteToday</t>
  </si>
  <si>
    <t>Symbol Check</t>
  </si>
  <si>
    <t>Last</t>
  </si>
  <si>
    <t>Open</t>
  </si>
  <si>
    <t>High</t>
  </si>
  <si>
    <t>Low</t>
  </si>
  <si>
    <t>Net</t>
  </si>
  <si>
    <t>Volume</t>
  </si>
  <si>
    <t>Last Trade</t>
  </si>
  <si>
    <t>Symbols</t>
  </si>
  <si>
    <t>Yesterday</t>
  </si>
  <si>
    <t>5-days</t>
  </si>
  <si>
    <t>20-days</t>
  </si>
  <si>
    <t>One-Year Calendar Spreads</t>
  </si>
  <si>
    <t>CQG, Inc. Copyright © 2019</t>
  </si>
  <si>
    <t>Designed by Thom Hartle</t>
  </si>
  <si>
    <t>Three-Month Calendar Spreads</t>
  </si>
  <si>
    <t>QSA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</si>
</sst>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F400]h:mm:ss\ AM/PM"/>
    <numFmt numFmtId="165" formatCode="0.000"/>
    <numFmt numFmtId="166" formatCode="0.0000"/>
  </numFmts>
  <fonts count="31" x14ac:knownFonts="1">
    <font>
      <sz val="11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.5"/>
      <color theme="0"/>
      <name val="Tahoma"/>
      <family val="2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b/>
      <sz val="9.5"/>
      <color theme="1"/>
      <name val="Tahoma"/>
      <family val="2"/>
    </font>
    <font>
      <b/>
      <sz val="18"/>
      <color theme="0"/>
      <name val="Century Gothic"/>
      <family val="2"/>
    </font>
    <font>
      <sz val="12"/>
      <color theme="0"/>
      <name val="Century Gothic"/>
      <family val="2"/>
    </font>
    <font>
      <b/>
      <sz val="20"/>
      <color theme="1"/>
      <name val="Arial"/>
      <family val="2"/>
    </font>
    <font>
      <b/>
      <sz val="22"/>
      <color theme="1"/>
      <name val="Arial"/>
      <family val="2"/>
    </font>
    <font>
      <b/>
      <sz val="24"/>
      <color theme="1"/>
      <name val="Arial"/>
      <family val="2"/>
    </font>
    <font>
      <b/>
      <sz val="13"/>
      <color theme="0"/>
      <name val="Century Gothic"/>
      <family val="2"/>
    </font>
    <font>
      <b/>
      <sz val="13"/>
      <color theme="1"/>
      <name val="Century Gothic"/>
      <family val="2"/>
    </font>
    <font>
      <sz val="13"/>
      <color rgb="FF00B050"/>
      <name val="Century Gothic"/>
      <family val="2"/>
    </font>
    <font>
      <sz val="11"/>
      <color theme="0"/>
      <name val="Century Gothic"/>
      <family val="2"/>
    </font>
    <font>
      <sz val="12"/>
      <color theme="1"/>
      <name val="Century Gothic"/>
      <family val="2"/>
    </font>
    <font>
      <sz val="9.5"/>
      <color theme="0"/>
      <name val="Tahoma"/>
      <family val="2"/>
    </font>
    <font>
      <b/>
      <sz val="12"/>
      <color rgb="FF00B050"/>
      <name val="Century Gothic"/>
      <family val="2"/>
    </font>
    <font>
      <b/>
      <sz val="12"/>
      <color theme="9"/>
      <name val="Century Gothic"/>
      <family val="2"/>
    </font>
    <font>
      <b/>
      <sz val="12"/>
      <color rgb="FFFFC000"/>
      <name val="Century Gothic"/>
      <family val="2"/>
    </font>
    <font>
      <sz val="11"/>
      <color theme="1"/>
      <name val="Century Gothic"/>
      <family val="2"/>
    </font>
    <font>
      <sz val="12"/>
      <color rgb="FF00B050"/>
      <name val="Century Gothic"/>
      <family val="2"/>
    </font>
    <font>
      <sz val="24"/>
      <color theme="0"/>
      <name val="Century Gothic"/>
      <family val="2"/>
    </font>
    <font>
      <sz val="16"/>
      <color theme="0"/>
      <name val="Century Gothic"/>
      <family val="2"/>
    </font>
    <font>
      <b/>
      <sz val="9.5"/>
      <color theme="1"/>
      <name val="Cambria"/>
      <family val="1"/>
    </font>
    <font>
      <b/>
      <sz val="13"/>
      <color theme="1"/>
      <name val="Cambria"/>
      <family val="1"/>
    </font>
    <font>
      <sz val="11"/>
      <color theme="0"/>
      <name val="Arial"/>
      <family val="2"/>
    </font>
    <font>
      <sz val="22"/>
      <color theme="0"/>
      <name val="Century Gothic"/>
      <family val="2"/>
    </font>
    <font>
      <sz val="20"/>
      <color theme="3" tint="0.79998168889431442"/>
      <name val="Century Gothic"/>
      <family val="2"/>
    </font>
    <font>
      <sz val="10"/>
      <color theme="0"/>
      <name val="Century Gothic"/>
      <family val="2"/>
    </font>
  </fonts>
  <fills count="1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/>
        <bgColor auto="1"/>
      </patternFill>
    </fill>
    <fill>
      <gradientFill degree="90">
        <stop position="0">
          <color theme="1"/>
        </stop>
        <stop position="0.5">
          <color rgb="FF0070C0"/>
        </stop>
        <stop position="1">
          <color theme="1"/>
        </stop>
      </gradient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90">
        <stop position="0">
          <color theme="1"/>
        </stop>
        <stop position="0.5">
          <color theme="3"/>
        </stop>
        <stop position="1">
          <color theme="1"/>
        </stop>
      </gradientFill>
    </fill>
    <fill>
      <gradientFill degree="90">
        <stop position="0">
          <color rgb="FFC00000"/>
        </stop>
        <stop position="1">
          <color theme="0"/>
        </stop>
      </gradientFill>
    </fill>
    <fill>
      <gradientFill degree="270">
        <stop position="0">
          <color rgb="FF00B050"/>
        </stop>
        <stop position="1">
          <color theme="0"/>
        </stop>
      </gradientFill>
    </fill>
    <fill>
      <gradientFill degree="90">
        <stop position="0">
          <color theme="4"/>
        </stop>
        <stop position="1">
          <color theme="0"/>
        </stop>
      </gradientFill>
    </fill>
    <fill>
      <gradientFill degree="270">
        <stop position="0">
          <color theme="4"/>
        </stop>
        <stop position="1">
          <color theme="0"/>
        </stop>
      </gradientFill>
    </fill>
    <fill>
      <gradientFill degree="90">
        <stop position="0">
          <color rgb="FF002060"/>
        </stop>
        <stop position="0.5">
          <color theme="3"/>
        </stop>
        <stop position="1">
          <color rgb="FF002060"/>
        </stop>
      </gradientFill>
    </fill>
    <fill>
      <gradientFill>
        <stop position="0">
          <color theme="1"/>
        </stop>
        <stop position="0.5">
          <color rgb="FF002060"/>
        </stop>
        <stop position="1">
          <color theme="1"/>
        </stop>
      </gradientFill>
    </fill>
  </fills>
  <borders count="52">
    <border>
      <left/>
      <right/>
      <top/>
      <bottom/>
      <diagonal/>
    </border>
    <border>
      <left/>
      <right/>
      <top style="medium">
        <color theme="4"/>
      </top>
      <bottom/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/>
      <top/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FF0000"/>
      </left>
      <right style="thin">
        <color theme="3"/>
      </right>
      <top style="thin">
        <color rgb="FFFF0000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rgb="FFFF0000"/>
      </top>
      <bottom style="thin">
        <color theme="3"/>
      </bottom>
      <diagonal/>
    </border>
    <border>
      <left style="thin">
        <color theme="3"/>
      </left>
      <right style="thin">
        <color rgb="FFFF0000"/>
      </right>
      <top style="thin">
        <color rgb="FFFF0000"/>
      </top>
      <bottom style="thin">
        <color theme="3"/>
      </bottom>
      <diagonal/>
    </border>
    <border>
      <left style="thin">
        <color rgb="FFFF0000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rgb="FFFF0000"/>
      </right>
      <top style="thin">
        <color theme="3"/>
      </top>
      <bottom style="thin">
        <color theme="3"/>
      </bottom>
      <diagonal/>
    </border>
    <border>
      <left style="thin">
        <color rgb="FFFF0000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rgb="FFFF0000"/>
      </right>
      <top style="thin">
        <color theme="3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 style="thin">
        <color theme="3"/>
      </top>
      <bottom/>
      <diagonal/>
    </border>
    <border>
      <left style="medium">
        <color theme="4"/>
      </left>
      <right style="thin">
        <color theme="4"/>
      </right>
      <top/>
      <bottom style="thin">
        <color rgb="FFC00000"/>
      </bottom>
      <diagonal/>
    </border>
    <border>
      <left style="thin">
        <color theme="4"/>
      </left>
      <right style="thin">
        <color theme="4"/>
      </right>
      <top/>
      <bottom style="thin">
        <color rgb="FFC00000"/>
      </bottom>
      <diagonal/>
    </border>
    <border>
      <left style="thin">
        <color theme="4"/>
      </left>
      <right style="medium">
        <color theme="4"/>
      </right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medium">
        <color theme="3"/>
      </right>
      <top/>
      <bottom style="thin">
        <color rgb="FFC00000"/>
      </bottom>
      <diagonal/>
    </border>
    <border>
      <left/>
      <right style="thin">
        <color rgb="FFC00000"/>
      </right>
      <top/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/>
      <right style="thin">
        <color rgb="FFFF0000"/>
      </right>
      <top/>
      <bottom style="thin">
        <color rgb="FFC00000"/>
      </bottom>
      <diagonal/>
    </border>
    <border>
      <left style="thin">
        <color rgb="FFC00000"/>
      </left>
      <right style="thin">
        <color rgb="FFFF0000"/>
      </right>
      <top style="thin">
        <color rgb="FFC00000"/>
      </top>
      <bottom style="thin">
        <color rgb="FFC00000"/>
      </bottom>
      <diagonal/>
    </border>
    <border>
      <left style="thin">
        <color rgb="FFFF0000"/>
      </left>
      <right/>
      <top/>
      <bottom style="thin">
        <color theme="3"/>
      </bottom>
      <diagonal/>
    </border>
    <border>
      <left style="thin">
        <color rgb="FFFF0000"/>
      </left>
      <right style="thin">
        <color theme="3"/>
      </right>
      <top style="thin">
        <color theme="3"/>
      </top>
      <bottom style="thin">
        <color rgb="FFFF0000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rgb="FFFF0000"/>
      </bottom>
      <diagonal/>
    </border>
    <border>
      <left style="thin">
        <color theme="3"/>
      </left>
      <right style="thin">
        <color rgb="FFFF0000"/>
      </right>
      <top style="thin">
        <color theme="3"/>
      </top>
      <bottom style="thin">
        <color rgb="FFFF0000"/>
      </bottom>
      <diagonal/>
    </border>
    <border>
      <left/>
      <right style="medium">
        <color theme="4"/>
      </right>
      <top/>
      <bottom/>
      <diagonal/>
    </border>
    <border>
      <left/>
      <right/>
      <top style="thin">
        <color theme="4"/>
      </top>
      <bottom/>
      <diagonal/>
    </border>
    <border>
      <left/>
      <right style="thin">
        <color rgb="FFFF0000"/>
      </right>
      <top style="thin">
        <color theme="4"/>
      </top>
      <bottom/>
      <diagonal/>
    </border>
    <border>
      <left style="thin">
        <color rgb="FFFF0000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rgb="FFFF0000"/>
      </right>
      <top/>
      <bottom style="thin">
        <color theme="3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C00000"/>
      </left>
      <right/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</borders>
  <cellStyleXfs count="4">
    <xf numFmtId="0" fontId="0" fillId="0" borderId="0"/>
    <xf numFmtId="0" fontId="4" fillId="0" borderId="0"/>
    <xf numFmtId="0" fontId="2" fillId="0" borderId="0"/>
    <xf numFmtId="0" fontId="1" fillId="0" borderId="0"/>
  </cellStyleXfs>
  <cellXfs count="201">
    <xf numFmtId="0" fontId="0" fillId="0" borderId="0" xfId="0"/>
    <xf numFmtId="0" fontId="3" fillId="2" borderId="0" xfId="0" applyFont="1" applyFill="1"/>
    <xf numFmtId="0" fontId="3" fillId="3" borderId="0" xfId="0" applyFont="1" applyFill="1" applyBorder="1" applyAlignment="1">
      <alignment horizontal="center"/>
    </xf>
    <xf numFmtId="2" fontId="3" fillId="3" borderId="0" xfId="0" applyNumberFormat="1" applyFont="1" applyFill="1" applyBorder="1" applyAlignment="1">
      <alignment horizontal="center"/>
    </xf>
    <xf numFmtId="2" fontId="3" fillId="3" borderId="0" xfId="0" applyNumberFormat="1" applyFont="1" applyFill="1" applyBorder="1" applyAlignment="1">
      <alignment horizontal="right"/>
    </xf>
    <xf numFmtId="0" fontId="3" fillId="3" borderId="0" xfId="0" applyFont="1" applyFill="1" applyBorder="1"/>
    <xf numFmtId="0" fontId="3" fillId="3" borderId="0" xfId="0" applyFont="1" applyFill="1" applyBorder="1" applyAlignment="1">
      <alignment horizontal="right"/>
    </xf>
    <xf numFmtId="2" fontId="3" fillId="3" borderId="0" xfId="0" applyNumberFormat="1" applyFont="1" applyFill="1" applyBorder="1" applyAlignment="1">
      <alignment horizontal="center" shrinkToFit="1"/>
    </xf>
    <xf numFmtId="2" fontId="3" fillId="2" borderId="0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 shrinkToFit="1"/>
    </xf>
    <xf numFmtId="0" fontId="3" fillId="2" borderId="0" xfId="0" applyFont="1" applyFill="1"/>
    <xf numFmtId="0" fontId="6" fillId="2" borderId="0" xfId="0" applyFont="1" applyFill="1"/>
    <xf numFmtId="2" fontId="8" fillId="2" borderId="7" xfId="0" applyNumberFormat="1" applyFont="1" applyFill="1" applyBorder="1" applyAlignment="1">
      <alignment horizontal="center"/>
    </xf>
    <xf numFmtId="2" fontId="8" fillId="2" borderId="5" xfId="0" applyNumberFormat="1" applyFont="1" applyFill="1" applyBorder="1" applyAlignment="1">
      <alignment shrinkToFit="1"/>
    </xf>
    <xf numFmtId="2" fontId="8" fillId="2" borderId="6" xfId="0" applyNumberFormat="1" applyFont="1" applyFill="1" applyBorder="1" applyAlignment="1">
      <alignment shrinkToFit="1"/>
    </xf>
    <xf numFmtId="0" fontId="12" fillId="2" borderId="0" xfId="0" applyFont="1" applyFill="1"/>
    <xf numFmtId="0" fontId="8" fillId="11" borderId="12" xfId="0" applyFont="1" applyFill="1" applyBorder="1" applyAlignment="1">
      <alignment shrinkToFit="1"/>
    </xf>
    <xf numFmtId="0" fontId="8" fillId="11" borderId="14" xfId="0" applyFont="1" applyFill="1" applyBorder="1" applyAlignment="1">
      <alignment shrinkToFit="1"/>
    </xf>
    <xf numFmtId="3" fontId="8" fillId="2" borderId="13" xfId="0" applyNumberFormat="1" applyFont="1" applyFill="1" applyBorder="1" applyAlignment="1">
      <alignment shrinkToFit="1"/>
    </xf>
    <xf numFmtId="3" fontId="8" fillId="2" borderId="15" xfId="0" applyNumberFormat="1" applyFont="1" applyFill="1" applyBorder="1" applyAlignment="1">
      <alignment shrinkToFit="1"/>
    </xf>
    <xf numFmtId="0" fontId="15" fillId="11" borderId="7" xfId="0" applyFont="1" applyFill="1" applyBorder="1" applyAlignment="1">
      <alignment horizontal="center" vertical="center"/>
    </xf>
    <xf numFmtId="0" fontId="15" fillId="11" borderId="7" xfId="0" applyFont="1" applyFill="1" applyBorder="1" applyAlignment="1">
      <alignment horizontal="center" vertical="center" shrinkToFit="1"/>
    </xf>
    <xf numFmtId="0" fontId="17" fillId="4" borderId="20" xfId="0" applyFont="1" applyFill="1" applyBorder="1" applyAlignment="1">
      <alignment horizontal="center"/>
    </xf>
    <xf numFmtId="0" fontId="17" fillId="4" borderId="21" xfId="0" applyFont="1" applyFill="1" applyBorder="1" applyAlignment="1">
      <alignment horizontal="center"/>
    </xf>
    <xf numFmtId="0" fontId="17" fillId="4" borderId="22" xfId="0" applyFont="1" applyFill="1" applyBorder="1" applyAlignment="1">
      <alignment horizontal="center"/>
    </xf>
    <xf numFmtId="0" fontId="17" fillId="4" borderId="23" xfId="0" applyFont="1" applyFill="1" applyBorder="1" applyAlignment="1">
      <alignment horizontal="center"/>
    </xf>
    <xf numFmtId="0" fontId="17" fillId="4" borderId="24" xfId="0" applyFont="1" applyFill="1" applyBorder="1" applyAlignment="1">
      <alignment horizontal="center"/>
    </xf>
    <xf numFmtId="0" fontId="3" fillId="2" borderId="0" xfId="0" applyFont="1" applyFill="1" applyBorder="1"/>
    <xf numFmtId="0" fontId="3" fillId="2" borderId="17" xfId="0" applyFont="1" applyFill="1" applyBorder="1"/>
    <xf numFmtId="0" fontId="15" fillId="11" borderId="29" xfId="0" applyFont="1" applyFill="1" applyBorder="1" applyAlignment="1">
      <alignment horizontal="center" vertical="center" shrinkToFit="1"/>
    </xf>
    <xf numFmtId="2" fontId="3" fillId="2" borderId="0" xfId="0" applyNumberFormat="1" applyFont="1" applyFill="1" applyBorder="1" applyAlignment="1">
      <alignment horizontal="right"/>
    </xf>
    <xf numFmtId="0" fontId="3" fillId="2" borderId="0" xfId="0" applyFont="1" applyFill="1" applyBorder="1" applyAlignment="1">
      <alignment horizontal="right"/>
    </xf>
    <xf numFmtId="2" fontId="3" fillId="2" borderId="17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right"/>
    </xf>
    <xf numFmtId="2" fontId="16" fillId="3" borderId="0" xfId="0" applyNumberFormat="1" applyFont="1" applyFill="1" applyBorder="1" applyAlignment="1">
      <alignment horizontal="center"/>
    </xf>
    <xf numFmtId="2" fontId="3" fillId="3" borderId="23" xfId="0" applyNumberFormat="1" applyFont="1" applyFill="1" applyBorder="1" applyAlignment="1">
      <alignment horizontal="center"/>
    </xf>
    <xf numFmtId="2" fontId="3" fillId="3" borderId="23" xfId="0" applyNumberFormat="1" applyFont="1" applyFill="1" applyBorder="1" applyAlignment="1">
      <alignment horizontal="right"/>
    </xf>
    <xf numFmtId="0" fontId="3" fillId="3" borderId="23" xfId="0" applyFont="1" applyFill="1" applyBorder="1"/>
    <xf numFmtId="2" fontId="8" fillId="2" borderId="0" xfId="0" applyNumberFormat="1" applyFont="1" applyFill="1" applyBorder="1" applyAlignment="1">
      <alignment horizontal="center"/>
    </xf>
    <xf numFmtId="0" fontId="14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22" fillId="2" borderId="0" xfId="1" applyFont="1" applyFill="1" applyBorder="1" applyAlignment="1">
      <alignment horizontal="right" vertical="center"/>
    </xf>
    <xf numFmtId="0" fontId="7" fillId="6" borderId="1" xfId="1" applyFont="1" applyFill="1" applyBorder="1" applyAlignment="1">
      <alignment horizontal="center" vertical="center"/>
    </xf>
    <xf numFmtId="0" fontId="17" fillId="4" borderId="35" xfId="0" applyFont="1" applyFill="1" applyBorder="1" applyAlignment="1">
      <alignment horizontal="center"/>
    </xf>
    <xf numFmtId="0" fontId="22" fillId="2" borderId="0" xfId="1" applyFont="1" applyFill="1" applyBorder="1" applyAlignment="1">
      <alignment horizontal="center" vertical="center"/>
    </xf>
    <xf numFmtId="0" fontId="25" fillId="2" borderId="0" xfId="0" applyFont="1" applyFill="1"/>
    <xf numFmtId="2" fontId="27" fillId="5" borderId="9" xfId="0" applyNumberFormat="1" applyFont="1" applyFill="1" applyBorder="1" applyAlignment="1">
      <alignment horizontal="center" vertical="center" shrinkToFit="1"/>
    </xf>
    <xf numFmtId="0" fontId="27" fillId="5" borderId="10" xfId="0" applyFont="1" applyFill="1" applyBorder="1" applyAlignment="1">
      <alignment horizontal="center" vertical="center"/>
    </xf>
    <xf numFmtId="3" fontId="27" fillId="5" borderId="11" xfId="0" applyNumberFormat="1" applyFont="1" applyFill="1" applyBorder="1" applyAlignment="1">
      <alignment horizontal="center" vertical="center"/>
    </xf>
    <xf numFmtId="164" fontId="22" fillId="2" borderId="0" xfId="1" applyNumberFormat="1" applyFont="1" applyFill="1" applyBorder="1" applyAlignment="1">
      <alignment horizontal="left" vertical="center"/>
    </xf>
    <xf numFmtId="0" fontId="15" fillId="11" borderId="12" xfId="0" applyFont="1" applyFill="1" applyBorder="1" applyAlignment="1">
      <alignment horizontal="center" shrinkToFit="1"/>
    </xf>
    <xf numFmtId="165" fontId="15" fillId="2" borderId="5" xfId="0" applyNumberFormat="1" applyFont="1" applyFill="1" applyBorder="1" applyAlignment="1">
      <alignment horizontal="center" shrinkToFit="1"/>
    </xf>
    <xf numFmtId="165" fontId="21" fillId="2" borderId="5" xfId="0" applyNumberFormat="1" applyFont="1" applyFill="1" applyBorder="1" applyAlignment="1">
      <alignment shrinkToFit="1"/>
    </xf>
    <xf numFmtId="2" fontId="15" fillId="2" borderId="5" xfId="0" applyNumberFormat="1" applyFont="1" applyFill="1" applyBorder="1" applyAlignment="1">
      <alignment shrinkToFit="1"/>
    </xf>
    <xf numFmtId="3" fontId="15" fillId="2" borderId="13" xfId="0" applyNumberFormat="1" applyFont="1" applyFill="1" applyBorder="1" applyAlignment="1">
      <alignment shrinkToFit="1"/>
    </xf>
    <xf numFmtId="2" fontId="17" fillId="2" borderId="0" xfId="0" applyNumberFormat="1" applyFont="1" applyFill="1" applyBorder="1" applyAlignment="1">
      <alignment horizontal="center"/>
    </xf>
    <xf numFmtId="0" fontId="8" fillId="3" borderId="26" xfId="0" applyFont="1" applyFill="1" applyBorder="1" applyAlignment="1">
      <alignment horizontal="center" shrinkToFit="1"/>
    </xf>
    <xf numFmtId="0" fontId="8" fillId="3" borderId="27" xfId="0" applyFont="1" applyFill="1" applyBorder="1" applyAlignment="1">
      <alignment horizontal="center" shrinkToFit="1"/>
    </xf>
    <xf numFmtId="0" fontId="21" fillId="3" borderId="0" xfId="0" applyFont="1" applyFill="1" applyBorder="1" applyAlignment="1">
      <alignment horizontal="center" vertical="center" shrinkToFit="1"/>
    </xf>
    <xf numFmtId="0" fontId="21" fillId="3" borderId="25" xfId="0" applyFont="1" applyFill="1" applyBorder="1" applyAlignment="1">
      <alignment horizontal="center" vertical="center" shrinkToFit="1"/>
    </xf>
    <xf numFmtId="2" fontId="16" fillId="3" borderId="25" xfId="0" applyNumberFormat="1" applyFont="1" applyFill="1" applyBorder="1" applyAlignment="1">
      <alignment horizontal="center"/>
    </xf>
    <xf numFmtId="0" fontId="3" fillId="3" borderId="25" xfId="0" applyFont="1" applyFill="1" applyBorder="1" applyAlignment="1">
      <alignment horizontal="center" shrinkToFit="1"/>
    </xf>
    <xf numFmtId="2" fontId="3" fillId="3" borderId="25" xfId="0" applyNumberFormat="1" applyFont="1" applyFill="1" applyBorder="1" applyAlignment="1">
      <alignment horizontal="center"/>
    </xf>
    <xf numFmtId="0" fontId="3" fillId="3" borderId="25" xfId="0" applyFont="1" applyFill="1" applyBorder="1"/>
    <xf numFmtId="0" fontId="3" fillId="3" borderId="28" xfId="0" applyFont="1" applyFill="1" applyBorder="1"/>
    <xf numFmtId="0" fontId="7" fillId="3" borderId="0" xfId="0" applyFont="1" applyFill="1" applyBorder="1" applyAlignment="1" applyProtection="1">
      <alignment horizontal="center" vertical="center" shrinkToFit="1"/>
    </xf>
    <xf numFmtId="3" fontId="15" fillId="2" borderId="0" xfId="0" applyNumberFormat="1" applyFont="1" applyFill="1" applyBorder="1" applyAlignment="1">
      <alignment shrinkToFit="1"/>
    </xf>
    <xf numFmtId="3" fontId="8" fillId="2" borderId="0" xfId="0" applyNumberFormat="1" applyFont="1" applyFill="1" applyBorder="1" applyAlignment="1">
      <alignment shrinkToFit="1"/>
    </xf>
    <xf numFmtId="0" fontId="15" fillId="11" borderId="8" xfId="0" applyFont="1" applyFill="1" applyBorder="1" applyAlignment="1">
      <alignment horizontal="center" vertical="center"/>
    </xf>
    <xf numFmtId="0" fontId="7" fillId="3" borderId="33" xfId="0" applyFont="1" applyFill="1" applyBorder="1" applyAlignment="1" applyProtection="1">
      <alignment horizontal="center" vertical="center" shrinkToFit="1"/>
    </xf>
    <xf numFmtId="0" fontId="7" fillId="3" borderId="41" xfId="0" applyFont="1" applyFill="1" applyBorder="1" applyAlignment="1" applyProtection="1">
      <alignment horizontal="center" vertical="center" shrinkToFit="1"/>
    </xf>
    <xf numFmtId="2" fontId="15" fillId="2" borderId="8" xfId="0" applyNumberFormat="1" applyFont="1" applyFill="1" applyBorder="1" applyAlignment="1">
      <alignment horizontal="center" shrinkToFit="1"/>
    </xf>
    <xf numFmtId="2" fontId="15" fillId="2" borderId="7" xfId="0" applyNumberFormat="1" applyFont="1" applyFill="1" applyBorder="1" applyAlignment="1">
      <alignment horizontal="center" shrinkToFit="1"/>
    </xf>
    <xf numFmtId="2" fontId="15" fillId="2" borderId="36" xfId="0" applyNumberFormat="1" applyFont="1" applyFill="1" applyBorder="1" applyAlignment="1">
      <alignment horizontal="center" shrinkToFit="1"/>
    </xf>
    <xf numFmtId="2" fontId="15" fillId="3" borderId="7" xfId="0" applyNumberFormat="1" applyFont="1" applyFill="1" applyBorder="1" applyAlignment="1">
      <alignment horizontal="center"/>
    </xf>
    <xf numFmtId="0" fontId="25" fillId="2" borderId="0" xfId="0" applyFont="1" applyFill="1" applyBorder="1"/>
    <xf numFmtId="1" fontId="20" fillId="3" borderId="0" xfId="0" applyNumberFormat="1" applyFont="1" applyFill="1" applyBorder="1" applyAlignment="1">
      <alignment horizontal="right" shrinkToFit="1"/>
    </xf>
    <xf numFmtId="1" fontId="8" fillId="3" borderId="0" xfId="0" applyNumberFormat="1" applyFont="1" applyFill="1" applyBorder="1" applyAlignment="1" applyProtection="1">
      <alignment horizontal="center" shrinkToFit="1"/>
      <protection locked="0"/>
    </xf>
    <xf numFmtId="1" fontId="18" fillId="3" borderId="0" xfId="0" applyNumberFormat="1" applyFont="1" applyFill="1" applyBorder="1" applyAlignment="1">
      <alignment horizontal="right" shrinkToFit="1"/>
    </xf>
    <xf numFmtId="1" fontId="19" fillId="3" borderId="0" xfId="0" applyNumberFormat="1" applyFont="1" applyFill="1" applyBorder="1" applyAlignment="1">
      <alignment horizontal="right" shrinkToFit="1"/>
    </xf>
    <xf numFmtId="0" fontId="6" fillId="2" borderId="0" xfId="0" applyFont="1" applyFill="1" applyBorder="1"/>
    <xf numFmtId="0" fontId="24" fillId="3" borderId="0" xfId="0" applyFont="1" applyFill="1" applyBorder="1" applyAlignment="1">
      <alignment horizontal="center" vertical="center" shrinkToFit="1"/>
    </xf>
    <xf numFmtId="0" fontId="15" fillId="3" borderId="0" xfId="0" applyFont="1" applyFill="1" applyBorder="1" applyAlignment="1">
      <alignment horizontal="center" vertical="center" shrinkToFit="1"/>
    </xf>
    <xf numFmtId="2" fontId="27" fillId="3" borderId="0" xfId="0" applyNumberFormat="1" applyFont="1" applyFill="1" applyBorder="1" applyAlignment="1">
      <alignment horizontal="center" vertical="center" shrinkToFit="1"/>
    </xf>
    <xf numFmtId="0" fontId="27" fillId="3" borderId="0" xfId="0" applyFont="1" applyFill="1" applyBorder="1" applyAlignment="1">
      <alignment horizontal="center" vertical="center"/>
    </xf>
    <xf numFmtId="3" fontId="27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shrinkToFit="1"/>
    </xf>
    <xf numFmtId="2" fontId="8" fillId="2" borderId="0" xfId="0" applyNumberFormat="1" applyFont="1" applyFill="1" applyBorder="1" applyAlignment="1">
      <alignment horizontal="center" shrinkToFit="1"/>
    </xf>
    <xf numFmtId="2" fontId="16" fillId="2" borderId="0" xfId="0" applyNumberFormat="1" applyFont="1" applyFill="1" applyBorder="1" applyAlignment="1">
      <alignment shrinkToFit="1"/>
    </xf>
    <xf numFmtId="2" fontId="8" fillId="2" borderId="0" xfId="0" applyNumberFormat="1" applyFont="1" applyFill="1" applyBorder="1" applyAlignment="1">
      <alignment shrinkToFit="1"/>
    </xf>
    <xf numFmtId="0" fontId="8" fillId="3" borderId="0" xfId="0" applyFont="1" applyFill="1" applyBorder="1" applyAlignment="1">
      <alignment horizontal="center" shrinkToFit="1"/>
    </xf>
    <xf numFmtId="2" fontId="27" fillId="3" borderId="0" xfId="0" applyNumberFormat="1" applyFont="1" applyFill="1" applyBorder="1" applyAlignment="1">
      <alignment horizontal="center" vertical="center"/>
    </xf>
    <xf numFmtId="0" fontId="14" fillId="3" borderId="0" xfId="1" applyFont="1" applyFill="1" applyBorder="1" applyAlignment="1">
      <alignment vertical="center"/>
    </xf>
    <xf numFmtId="164" fontId="14" fillId="3" borderId="0" xfId="0" applyNumberFormat="1" applyFont="1" applyFill="1" applyBorder="1" applyAlignment="1">
      <alignment vertical="center"/>
    </xf>
    <xf numFmtId="0" fontId="14" fillId="3" borderId="0" xfId="1" applyFont="1" applyFill="1" applyBorder="1" applyAlignment="1">
      <alignment horizontal="right" vertical="center"/>
    </xf>
    <xf numFmtId="0" fontId="26" fillId="2" borderId="0" xfId="0" applyFont="1" applyFill="1" applyBorder="1"/>
    <xf numFmtId="0" fontId="13" fillId="2" borderId="0" xfId="0" applyFont="1" applyFill="1" applyBorder="1"/>
    <xf numFmtId="0" fontId="12" fillId="2" borderId="0" xfId="0" applyFont="1" applyFill="1" applyBorder="1"/>
    <xf numFmtId="0" fontId="8" fillId="3" borderId="0" xfId="0" applyFont="1" applyFill="1" applyBorder="1" applyAlignment="1">
      <alignment horizontal="center"/>
    </xf>
    <xf numFmtId="0" fontId="24" fillId="3" borderId="0" xfId="0" applyFont="1" applyFill="1" applyBorder="1" applyAlignment="1">
      <alignment horizontal="center" vertical="center" shrinkToFit="1"/>
    </xf>
    <xf numFmtId="0" fontId="6" fillId="2" borderId="33" xfId="0" applyFont="1" applyFill="1" applyBorder="1"/>
    <xf numFmtId="0" fontId="15" fillId="11" borderId="14" xfId="0" applyFont="1" applyFill="1" applyBorder="1" applyAlignment="1">
      <alignment horizontal="center" shrinkToFit="1"/>
    </xf>
    <xf numFmtId="165" fontId="15" fillId="2" borderId="6" xfId="0" applyNumberFormat="1" applyFont="1" applyFill="1" applyBorder="1" applyAlignment="1">
      <alignment horizontal="center" shrinkToFit="1"/>
    </xf>
    <xf numFmtId="165" fontId="21" fillId="2" borderId="6" xfId="0" applyNumberFormat="1" applyFont="1" applyFill="1" applyBorder="1" applyAlignment="1">
      <alignment shrinkToFit="1"/>
    </xf>
    <xf numFmtId="2" fontId="15" fillId="2" borderId="6" xfId="0" applyNumberFormat="1" applyFont="1" applyFill="1" applyBorder="1" applyAlignment="1">
      <alignment shrinkToFit="1"/>
    </xf>
    <xf numFmtId="3" fontId="15" fillId="2" borderId="15" xfId="0" applyNumberFormat="1" applyFont="1" applyFill="1" applyBorder="1" applyAlignment="1">
      <alignment shrinkToFit="1"/>
    </xf>
    <xf numFmtId="2" fontId="27" fillId="5" borderId="44" xfId="0" applyNumberFormat="1" applyFont="1" applyFill="1" applyBorder="1" applyAlignment="1">
      <alignment horizontal="center" vertical="center"/>
    </xf>
    <xf numFmtId="0" fontId="27" fillId="5" borderId="45" xfId="0" applyFont="1" applyFill="1" applyBorder="1" applyAlignment="1">
      <alignment horizontal="center" vertical="center"/>
    </xf>
    <xf numFmtId="0" fontId="27" fillId="5" borderId="46" xfId="0" applyFont="1" applyFill="1" applyBorder="1" applyAlignment="1">
      <alignment horizontal="center" vertical="center"/>
    </xf>
    <xf numFmtId="1" fontId="20" fillId="5" borderId="48" xfId="0" applyNumberFormat="1" applyFont="1" applyFill="1" applyBorder="1" applyAlignment="1">
      <alignment horizontal="right" shrinkToFit="1"/>
    </xf>
    <xf numFmtId="1" fontId="8" fillId="5" borderId="48" xfId="0" applyNumberFormat="1" applyFont="1" applyFill="1" applyBorder="1" applyAlignment="1" applyProtection="1">
      <alignment horizontal="center" shrinkToFit="1"/>
      <protection locked="0"/>
    </xf>
    <xf numFmtId="1" fontId="18" fillId="5" borderId="48" xfId="0" applyNumberFormat="1" applyFont="1" applyFill="1" applyBorder="1" applyAlignment="1">
      <alignment horizontal="right" shrinkToFit="1"/>
    </xf>
    <xf numFmtId="1" fontId="19" fillId="5" borderId="48" xfId="0" applyNumberFormat="1" applyFont="1" applyFill="1" applyBorder="1" applyAlignment="1">
      <alignment horizontal="right" shrinkToFit="1"/>
    </xf>
    <xf numFmtId="1" fontId="8" fillId="5" borderId="49" xfId="0" applyNumberFormat="1" applyFont="1" applyFill="1" applyBorder="1" applyAlignment="1" applyProtection="1">
      <alignment horizontal="center" shrinkToFit="1"/>
      <protection locked="0"/>
    </xf>
    <xf numFmtId="0" fontId="8" fillId="11" borderId="38" xfId="0" applyFont="1" applyFill="1" applyBorder="1" applyAlignment="1">
      <alignment shrinkToFit="1"/>
    </xf>
    <xf numFmtId="2" fontId="8" fillId="2" borderId="39" xfId="0" applyNumberFormat="1" applyFont="1" applyFill="1" applyBorder="1" applyAlignment="1">
      <alignment shrinkToFit="1"/>
    </xf>
    <xf numFmtId="3" fontId="8" fillId="2" borderId="40" xfId="0" applyNumberFormat="1" applyFont="1" applyFill="1" applyBorder="1" applyAlignment="1">
      <alignment shrinkToFit="1"/>
    </xf>
    <xf numFmtId="0" fontId="3" fillId="2" borderId="26" xfId="0" applyFont="1" applyFill="1" applyBorder="1"/>
    <xf numFmtId="0" fontId="3" fillId="3" borderId="26" xfId="0" applyFont="1" applyFill="1" applyBorder="1"/>
    <xf numFmtId="2" fontId="3" fillId="3" borderId="26" xfId="0" applyNumberFormat="1" applyFont="1" applyFill="1" applyBorder="1" applyAlignment="1">
      <alignment horizontal="center" shrinkToFit="1"/>
    </xf>
    <xf numFmtId="165" fontId="11" fillId="3" borderId="31" xfId="0" applyNumberFormat="1" applyFont="1" applyFill="1" applyBorder="1" applyAlignment="1">
      <alignment horizontal="center" vertical="center"/>
    </xf>
    <xf numFmtId="0" fontId="15" fillId="11" borderId="50" xfId="0" applyFont="1" applyFill="1" applyBorder="1" applyAlignment="1">
      <alignment horizontal="center" vertical="center" shrinkToFit="1"/>
    </xf>
    <xf numFmtId="2" fontId="15" fillId="3" borderId="51" xfId="0" applyNumberFormat="1" applyFont="1" applyFill="1" applyBorder="1" applyAlignment="1">
      <alignment horizontal="center"/>
    </xf>
    <xf numFmtId="2" fontId="8" fillId="2" borderId="51" xfId="0" applyNumberFormat="1" applyFont="1" applyFill="1" applyBorder="1" applyAlignment="1">
      <alignment horizontal="center"/>
    </xf>
    <xf numFmtId="0" fontId="0" fillId="2" borderId="0" xfId="0" applyFont="1" applyFill="1" applyAlignment="1">
      <alignment horizontal="center"/>
    </xf>
    <xf numFmtId="0" fontId="0" fillId="2" borderId="0" xfId="0" applyFont="1" applyFill="1"/>
    <xf numFmtId="0" fontId="5" fillId="2" borderId="0" xfId="0" applyFont="1" applyFill="1"/>
    <xf numFmtId="2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2" fontId="5" fillId="2" borderId="0" xfId="0" applyNumberFormat="1" applyFont="1" applyFill="1"/>
    <xf numFmtId="2" fontId="0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right"/>
    </xf>
    <xf numFmtId="165" fontId="5" fillId="2" borderId="0" xfId="0" applyNumberFormat="1" applyFont="1" applyFill="1"/>
    <xf numFmtId="166" fontId="5" fillId="2" borderId="0" xfId="0" applyNumberFormat="1" applyFont="1" applyFill="1"/>
    <xf numFmtId="2" fontId="0" fillId="2" borderId="0" xfId="0" applyNumberFormat="1" applyFont="1" applyFill="1"/>
    <xf numFmtId="166" fontId="0" fillId="2" borderId="0" xfId="0" applyNumberFormat="1" applyFont="1" applyFill="1"/>
    <xf numFmtId="0" fontId="0" fillId="2" borderId="0" xfId="0" applyNumberFormat="1" applyFont="1" applyFill="1"/>
    <xf numFmtId="165" fontId="0" fillId="2" borderId="0" xfId="0" applyNumberFormat="1" applyFont="1" applyFill="1"/>
    <xf numFmtId="165" fontId="15" fillId="2" borderId="39" xfId="0" applyNumberFormat="1" applyFont="1" applyFill="1" applyBorder="1" applyAlignment="1">
      <alignment horizontal="center" shrinkToFit="1"/>
    </xf>
    <xf numFmtId="165" fontId="21" fillId="2" borderId="39" xfId="0" applyNumberFormat="1" applyFont="1" applyFill="1" applyBorder="1" applyAlignment="1">
      <alignment shrinkToFit="1"/>
    </xf>
    <xf numFmtId="0" fontId="8" fillId="5" borderId="48" xfId="0" applyFont="1" applyFill="1" applyBorder="1" applyAlignment="1">
      <alignment horizontal="center" shrinkToFit="1"/>
    </xf>
    <xf numFmtId="1" fontId="30" fillId="5" borderId="48" xfId="0" applyNumberFormat="1" applyFont="1" applyFill="1" applyBorder="1" applyAlignment="1" applyProtection="1">
      <alignment horizontal="center" shrinkToFit="1"/>
      <protection locked="0"/>
    </xf>
    <xf numFmtId="164" fontId="29" fillId="3" borderId="31" xfId="1" applyNumberFormat="1" applyFont="1" applyFill="1" applyBorder="1" applyAlignment="1">
      <alignment horizontal="center" vertical="center" shrinkToFit="1"/>
    </xf>
    <xf numFmtId="164" fontId="29" fillId="3" borderId="32" xfId="1" applyNumberFormat="1" applyFont="1" applyFill="1" applyBorder="1" applyAlignment="1">
      <alignment horizontal="center" vertical="center" shrinkToFit="1"/>
    </xf>
    <xf numFmtId="164" fontId="29" fillId="3" borderId="17" xfId="1" applyNumberFormat="1" applyFont="1" applyFill="1" applyBorder="1" applyAlignment="1">
      <alignment horizontal="center" vertical="center" shrinkToFit="1"/>
    </xf>
    <xf numFmtId="164" fontId="29" fillId="3" borderId="18" xfId="1" applyNumberFormat="1" applyFont="1" applyFill="1" applyBorder="1" applyAlignment="1">
      <alignment horizontal="center" vertical="center" shrinkToFit="1"/>
    </xf>
    <xf numFmtId="0" fontId="23" fillId="12" borderId="31" xfId="0" applyFont="1" applyFill="1" applyBorder="1" applyAlignment="1" applyProtection="1">
      <alignment horizontal="center" vertical="center" shrinkToFit="1"/>
    </xf>
    <xf numFmtId="0" fontId="23" fillId="12" borderId="17" xfId="0" applyFont="1" applyFill="1" applyBorder="1" applyAlignment="1" applyProtection="1">
      <alignment horizontal="center" vertical="center" shrinkToFit="1"/>
    </xf>
    <xf numFmtId="165" fontId="11" fillId="10" borderId="0" xfId="0" applyNumberFormat="1" applyFont="1" applyFill="1" applyBorder="1" applyAlignment="1">
      <alignment horizontal="center" vertical="center"/>
    </xf>
    <xf numFmtId="165" fontId="11" fillId="10" borderId="34" xfId="0" applyNumberFormat="1" applyFont="1" applyFill="1" applyBorder="1" applyAlignment="1">
      <alignment horizontal="center" vertical="center"/>
    </xf>
    <xf numFmtId="0" fontId="28" fillId="12" borderId="30" xfId="0" applyFont="1" applyFill="1" applyBorder="1" applyAlignment="1" applyProtection="1">
      <alignment horizontal="center" vertical="center" shrinkToFit="1"/>
    </xf>
    <xf numFmtId="0" fontId="28" fillId="12" borderId="31" xfId="0" applyFont="1" applyFill="1" applyBorder="1" applyAlignment="1" applyProtection="1">
      <alignment horizontal="center" vertical="center" shrinkToFit="1"/>
    </xf>
    <xf numFmtId="0" fontId="28" fillId="12" borderId="32" xfId="0" applyFont="1" applyFill="1" applyBorder="1" applyAlignment="1" applyProtection="1">
      <alignment horizontal="center" vertical="center" shrinkToFit="1"/>
    </xf>
    <xf numFmtId="0" fontId="28" fillId="12" borderId="16" xfId="0" applyFont="1" applyFill="1" applyBorder="1" applyAlignment="1" applyProtection="1">
      <alignment horizontal="center" vertical="center" shrinkToFit="1"/>
    </xf>
    <xf numFmtId="0" fontId="28" fillId="12" borderId="17" xfId="0" applyFont="1" applyFill="1" applyBorder="1" applyAlignment="1" applyProtection="1">
      <alignment horizontal="center" vertical="center" shrinkToFit="1"/>
    </xf>
    <xf numFmtId="0" fontId="28" fillId="12" borderId="18" xfId="0" applyFont="1" applyFill="1" applyBorder="1" applyAlignment="1" applyProtection="1">
      <alignment horizontal="center" vertical="center" shrinkToFit="1"/>
    </xf>
    <xf numFmtId="166" fontId="10" fillId="9" borderId="31" xfId="0" applyNumberFormat="1" applyFont="1" applyFill="1" applyBorder="1" applyAlignment="1">
      <alignment horizontal="center" vertical="center" shrinkToFit="1"/>
    </xf>
    <xf numFmtId="166" fontId="10" fillId="9" borderId="32" xfId="0" applyNumberFormat="1" applyFont="1" applyFill="1" applyBorder="1" applyAlignment="1">
      <alignment horizontal="center" vertical="center" shrinkToFit="1"/>
    </xf>
    <xf numFmtId="166" fontId="10" fillId="9" borderId="0" xfId="0" applyNumberFormat="1" applyFont="1" applyFill="1" applyBorder="1" applyAlignment="1">
      <alignment horizontal="center" vertical="center" shrinkToFit="1"/>
    </xf>
    <xf numFmtId="166" fontId="10" fillId="9" borderId="34" xfId="0" applyNumberFormat="1" applyFont="1" applyFill="1" applyBorder="1" applyAlignment="1">
      <alignment horizontal="center" vertical="center" shrinkToFit="1"/>
    </xf>
    <xf numFmtId="165" fontId="11" fillId="10" borderId="0" xfId="0" applyNumberFormat="1" applyFont="1" applyFill="1" applyBorder="1" applyAlignment="1">
      <alignment horizontal="center" vertical="center" shrinkToFit="1"/>
    </xf>
    <xf numFmtId="165" fontId="9" fillId="7" borderId="31" xfId="0" applyNumberFormat="1" applyFont="1" applyFill="1" applyBorder="1" applyAlignment="1">
      <alignment horizontal="center" vertical="center" shrinkToFit="1"/>
    </xf>
    <xf numFmtId="165" fontId="9" fillId="7" borderId="32" xfId="0" applyNumberFormat="1" applyFont="1" applyFill="1" applyBorder="1" applyAlignment="1">
      <alignment horizontal="center" vertical="center" shrinkToFit="1"/>
    </xf>
    <xf numFmtId="165" fontId="9" fillId="7" borderId="0" xfId="0" applyNumberFormat="1" applyFont="1" applyFill="1" applyBorder="1" applyAlignment="1">
      <alignment horizontal="center" vertical="center" shrinkToFit="1"/>
    </xf>
    <xf numFmtId="165" fontId="9" fillId="7" borderId="34" xfId="0" applyNumberFormat="1" applyFont="1" applyFill="1" applyBorder="1" applyAlignment="1">
      <alignment horizontal="center" vertical="center" shrinkToFit="1"/>
    </xf>
    <xf numFmtId="165" fontId="9" fillId="8" borderId="42" xfId="0" applyNumberFormat="1" applyFont="1" applyFill="1" applyBorder="1" applyAlignment="1">
      <alignment horizontal="center" vertical="center" shrinkToFit="1"/>
    </xf>
    <xf numFmtId="165" fontId="9" fillId="8" borderId="43" xfId="0" applyNumberFormat="1" applyFont="1" applyFill="1" applyBorder="1" applyAlignment="1">
      <alignment horizontal="center" vertical="center" shrinkToFit="1"/>
    </xf>
    <xf numFmtId="165" fontId="9" fillId="8" borderId="0" xfId="0" applyNumberFormat="1" applyFont="1" applyFill="1" applyBorder="1" applyAlignment="1">
      <alignment horizontal="center" vertical="center" shrinkToFit="1"/>
    </xf>
    <xf numFmtId="165" fontId="9" fillId="8" borderId="34" xfId="0" applyNumberFormat="1" applyFont="1" applyFill="1" applyBorder="1" applyAlignment="1">
      <alignment horizontal="center" vertical="center" shrinkToFit="1"/>
    </xf>
    <xf numFmtId="1" fontId="9" fillId="7" borderId="31" xfId="0" applyNumberFormat="1" applyFont="1" applyFill="1" applyBorder="1" applyAlignment="1">
      <alignment horizontal="center" vertical="center" shrinkToFit="1"/>
    </xf>
    <xf numFmtId="1" fontId="9" fillId="7" borderId="3" xfId="0" applyNumberFormat="1" applyFont="1" applyFill="1" applyBorder="1" applyAlignment="1">
      <alignment horizontal="center" vertical="center" shrinkToFit="1"/>
    </xf>
    <xf numFmtId="1" fontId="9" fillId="8" borderId="4" xfId="0" applyNumberFormat="1" applyFont="1" applyFill="1" applyBorder="1" applyAlignment="1">
      <alignment horizontal="center" vertical="center" shrinkToFit="1"/>
    </xf>
    <xf numFmtId="1" fontId="9" fillId="8" borderId="0" xfId="0" applyNumberFormat="1" applyFont="1" applyFill="1" applyBorder="1" applyAlignment="1">
      <alignment horizontal="center" vertical="center" shrinkToFit="1"/>
    </xf>
    <xf numFmtId="2" fontId="9" fillId="7" borderId="30" xfId="0" applyNumberFormat="1" applyFont="1" applyFill="1" applyBorder="1" applyAlignment="1">
      <alignment horizontal="center" vertical="center" shrinkToFit="1"/>
    </xf>
    <xf numFmtId="2" fontId="9" fillId="7" borderId="37" xfId="0" applyNumberFormat="1" applyFont="1" applyFill="1" applyBorder="1" applyAlignment="1">
      <alignment horizontal="center" vertical="center" shrinkToFit="1"/>
    </xf>
    <xf numFmtId="0" fontId="24" fillId="5" borderId="33" xfId="0" applyFont="1" applyFill="1" applyBorder="1" applyAlignment="1">
      <alignment horizontal="center" vertical="center" shrinkToFit="1"/>
    </xf>
    <xf numFmtId="0" fontId="24" fillId="5" borderId="0" xfId="0" applyFont="1" applyFill="1" applyBorder="1" applyAlignment="1">
      <alignment horizontal="center" vertical="center" shrinkToFit="1"/>
    </xf>
    <xf numFmtId="0" fontId="24" fillId="5" borderId="34" xfId="0" applyFont="1" applyFill="1" applyBorder="1" applyAlignment="1">
      <alignment horizontal="center" vertical="center" shrinkToFit="1"/>
    </xf>
    <xf numFmtId="0" fontId="24" fillId="5" borderId="16" xfId="0" applyFont="1" applyFill="1" applyBorder="1" applyAlignment="1">
      <alignment horizontal="center" vertical="center" shrinkToFit="1"/>
    </xf>
    <xf numFmtId="0" fontId="24" fillId="5" borderId="17" xfId="0" applyFont="1" applyFill="1" applyBorder="1" applyAlignment="1">
      <alignment horizontal="center" vertical="center" shrinkToFit="1"/>
    </xf>
    <xf numFmtId="0" fontId="24" fillId="5" borderId="18" xfId="0" applyFont="1" applyFill="1" applyBorder="1" applyAlignment="1">
      <alignment horizontal="center" vertical="center" shrinkToFit="1"/>
    </xf>
    <xf numFmtId="0" fontId="15" fillId="5" borderId="47" xfId="0" applyFont="1" applyFill="1" applyBorder="1" applyAlignment="1">
      <alignment horizontal="center" shrinkToFit="1"/>
    </xf>
    <xf numFmtId="0" fontId="15" fillId="5" borderId="48" xfId="0" applyFont="1" applyFill="1" applyBorder="1" applyAlignment="1">
      <alignment horizontal="center" shrinkToFit="1"/>
    </xf>
    <xf numFmtId="164" fontId="14" fillId="3" borderId="0" xfId="0" applyNumberFormat="1" applyFont="1" applyFill="1" applyBorder="1" applyAlignment="1">
      <alignment horizontal="left" vertical="center"/>
    </xf>
    <xf numFmtId="0" fontId="7" fillId="6" borderId="1" xfId="1" applyFont="1" applyFill="1" applyBorder="1" applyAlignment="1">
      <alignment horizontal="center" vertical="center"/>
    </xf>
    <xf numFmtId="164" fontId="14" fillId="3" borderId="0" xfId="1" applyNumberFormat="1" applyFont="1" applyFill="1" applyBorder="1" applyAlignment="1">
      <alignment horizontal="left" vertical="center"/>
    </xf>
    <xf numFmtId="164" fontId="14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/>
    </xf>
    <xf numFmtId="0" fontId="14" fillId="3" borderId="0" xfId="1" applyFont="1" applyFill="1" applyBorder="1" applyAlignment="1">
      <alignment horizontal="right" vertical="center"/>
    </xf>
    <xf numFmtId="0" fontId="23" fillId="3" borderId="30" xfId="0" applyFont="1" applyFill="1" applyBorder="1" applyAlignment="1" applyProtection="1">
      <alignment horizontal="center" vertical="center" shrinkToFit="1"/>
    </xf>
    <xf numFmtId="0" fontId="23" fillId="3" borderId="31" xfId="0" applyFont="1" applyFill="1" applyBorder="1" applyAlignment="1" applyProtection="1">
      <alignment horizontal="center" vertical="center" shrinkToFit="1"/>
    </xf>
    <xf numFmtId="0" fontId="23" fillId="3" borderId="16" xfId="0" applyFont="1" applyFill="1" applyBorder="1" applyAlignment="1" applyProtection="1">
      <alignment horizontal="center" vertical="center" shrinkToFit="1"/>
    </xf>
    <xf numFmtId="0" fontId="23" fillId="3" borderId="17" xfId="0" applyFont="1" applyFill="1" applyBorder="1" applyAlignment="1" applyProtection="1">
      <alignment horizontal="center" vertical="center" shrinkToFit="1"/>
    </xf>
    <xf numFmtId="0" fontId="24" fillId="3" borderId="0" xfId="0" applyFont="1" applyFill="1" applyBorder="1" applyAlignment="1">
      <alignment horizontal="center" vertical="center" shrinkToFit="1"/>
    </xf>
    <xf numFmtId="0" fontId="8" fillId="3" borderId="0" xfId="0" applyFont="1" applyFill="1" applyBorder="1" applyAlignment="1">
      <alignment horizontal="center" shrinkToFit="1"/>
    </xf>
    <xf numFmtId="0" fontId="7" fillId="6" borderId="2" xfId="1" applyFont="1" applyFill="1" applyBorder="1" applyAlignment="1">
      <alignment horizontal="center" vertical="center"/>
    </xf>
    <xf numFmtId="2" fontId="9" fillId="8" borderId="19" xfId="0" applyNumberFormat="1" applyFont="1" applyFill="1" applyBorder="1" applyAlignment="1">
      <alignment horizontal="center" vertical="center" shrinkToFit="1"/>
    </xf>
    <xf numFmtId="2" fontId="9" fillId="8" borderId="33" xfId="0" applyNumberFormat="1" applyFont="1" applyFill="1" applyBorder="1" applyAlignment="1">
      <alignment horizontal="center" vertical="center" shrinkToFit="1"/>
    </xf>
    <xf numFmtId="0" fontId="8" fillId="5" borderId="47" xfId="0" applyFont="1" applyFill="1" applyBorder="1" applyAlignment="1">
      <alignment horizontal="center" shrinkToFit="1"/>
    </xf>
    <xf numFmtId="164" fontId="22" fillId="2" borderId="0" xfId="1" applyNumberFormat="1" applyFont="1" applyFill="1" applyBorder="1" applyAlignment="1">
      <alignment horizontal="left" vertical="center"/>
    </xf>
  </cellXfs>
  <cellStyles count="4">
    <cellStyle name="Normal" xfId="0" builtinId="0"/>
    <cellStyle name="Normal 2" xfId="1"/>
    <cellStyle name="Normal 2 2" xfId="2"/>
    <cellStyle name="Normal 2 3" xfId="3"/>
  </cellStyles>
  <dxfs count="1">
    <dxf>
      <font>
        <color rgb="FFFF0000"/>
      </font>
    </dxf>
  </dxfs>
  <tableStyles count="0" defaultTableStyle="TableStyleMedium2" defaultPivotStyle="PivotStyleLight16"/>
  <colors>
    <mruColors>
      <color rgb="FF00000F"/>
      <color rgb="FF7D0000"/>
      <color rgb="FF006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4.9999999999999906E-3</v>
        <stp/>
        <stp>ContractData</stp>
        <stp>QSAS12M21</stp>
        <stp>NetLastTradeToday</stp>
        <stp/>
        <stp>T</stp>
        <tr r="G36" s="2"/>
        <tr r="H36" s="2"/>
      </tp>
      <tp>
        <v>0</v>
        <stp/>
        <stp>ContractData</stp>
        <stp>QSAS12H21</stp>
        <stp>NetLastTradeToday</stp>
        <stp/>
        <stp>T</stp>
        <tr r="G35" s="2"/>
        <tr r="H35" s="2"/>
      </tp>
      <tp>
        <v>-5.0000000000000044E-3</v>
        <stp/>
        <stp>ContractData</stp>
        <stp>QSAS12Z21</stp>
        <stp>NetLastTradeToday</stp>
        <stp/>
        <stp>T</stp>
        <tr r="H39" s="2"/>
        <tr r="G39" s="2"/>
        <tr r="H38" s="2"/>
        <tr r="G38" s="2"/>
      </tp>
      <tp>
        <v>0</v>
        <stp/>
        <stp>ContractData</stp>
        <stp>QSAS12U21</stp>
        <stp>NetLastTradeToday</stp>
        <stp/>
        <stp>T</stp>
        <tr r="G37" s="2"/>
        <tr r="H37" s="2"/>
      </tp>
      <tp>
        <v>0</v>
        <stp/>
        <stp>ContractData</stp>
        <stp>QSAS12M20</stp>
        <stp>NetLastTradeToday</stp>
        <stp/>
        <stp>T</stp>
        <tr r="G32" s="2"/>
        <tr r="H32" s="2"/>
      </tp>
      <tp>
        <v>-5.000000000000001E-3</v>
        <stp/>
        <stp>ContractData</stp>
        <stp>QSAS12H20</stp>
        <stp>NetLastTradeToday</stp>
        <stp/>
        <stp>T</stp>
        <tr r="G31" s="2"/>
        <tr r="H31" s="2"/>
      </tp>
      <tp>
        <v>-4.9999999999999975E-3</v>
        <stp/>
        <stp>ContractData</stp>
        <stp>QSAS12Z20</stp>
        <stp>NetLastTradeToday</stp>
        <stp/>
        <stp>T</stp>
        <tr r="G34" s="2"/>
        <tr r="H34" s="2"/>
      </tp>
      <tp>
        <v>0</v>
        <stp/>
        <stp>ContractData</stp>
        <stp>QSAS12U20</stp>
        <stp>NetLastTradeToday</stp>
        <stp/>
        <stp>T</stp>
        <tr r="H33" s="2"/>
        <tr r="G33" s="2"/>
      </tp>
      <tp>
        <v>-9.999999999999995E-3</v>
        <stp/>
        <stp>ContractData</stp>
        <stp>QSAS12M22</stp>
        <stp>NetLastTradeToday</stp>
        <stp/>
        <stp>T</stp>
        <tr r="G40" s="2"/>
        <tr r="H40" s="2"/>
      </tp>
      <tp>
        <v>2.5000000000000001E-2</v>
        <stp/>
        <stp>ContractData</stp>
        <stp>QSAS3M22</stp>
        <stp>Open</stp>
        <stp/>
        <stp>T</stp>
        <tr r="C56" s="2"/>
      </tp>
      <tp>
        <v>-0.01</v>
        <stp/>
        <stp>ContractData</stp>
        <stp>QSAS3M20</stp>
        <stp>Open</stp>
        <stp/>
        <stp>T</stp>
        <tr r="C48" s="2"/>
      </tp>
      <tp>
        <v>1.4999999999999999E-2</v>
        <stp/>
        <stp>ContractData</stp>
        <stp>QSAS3M21</stp>
        <stp>Open</stp>
        <stp/>
        <stp>T</stp>
        <tr r="C52" s="2"/>
      </tp>
      <tp>
        <v>-5.0000000000000044E-3</v>
        <stp/>
        <stp>ContractData</stp>
        <stp>QSAS12Z19</stp>
        <stp>NetLastTradeToday</stp>
        <stp/>
        <stp>T</stp>
        <tr r="G30" s="2"/>
        <tr r="H30" s="2"/>
      </tp>
      <tp>
        <v>-9.999999999999995E-3</v>
        <stp/>
        <stp>ContractData</stp>
        <stp>QSAS12U19</stp>
        <stp>NetLastTradeToday</stp>
        <stp/>
        <stp>T</stp>
        <tr r="G29" s="2"/>
        <tr r="H29" s="2"/>
      </tp>
      <tp>
        <v>-1.4999999999999999E-2</v>
        <stp/>
        <stp>ContractData</stp>
        <stp>QSAS3H20</stp>
        <stp>High</stp>
        <stp/>
        <stp>T</stp>
        <tr r="D47" s="2"/>
      </tp>
      <tp>
        <v>1.4999999999999999E-2</v>
        <stp/>
        <stp>ContractData</stp>
        <stp>QSAS3H21</stp>
        <stp>High</stp>
        <stp/>
        <stp>T</stp>
        <tr r="D51" s="2"/>
      </tp>
      <tp>
        <v>0.02</v>
        <stp/>
        <stp>ContractData</stp>
        <stp>QSAS3H22</stp>
        <stp>High</stp>
        <stp/>
        <stp>T</stp>
        <tr r="D55" s="2"/>
      </tp>
      <tp t="s">
        <v/>
        <stp/>
        <stp>ContractData</stp>
        <stp>QSAS3?18</stp>
        <stp>LastTradeorSettle</stp>
        <stp/>
        <stp>T</stp>
        <tr r="AG52" s="6"/>
        <tr r="AB45" s="2"/>
      </tp>
      <tp>
        <v>-0.04</v>
        <stp/>
        <stp>ContractData</stp>
        <stp>QSAS3Z19</stp>
        <stp>LastTradeorSettle</stp>
        <stp/>
        <stp>T</stp>
        <tr r="F46" s="2"/>
      </tp>
      <tp>
        <v>2.5000000000000001E-2</v>
        <stp/>
        <stp>ContractData</stp>
        <stp>QSAS3U19</stp>
        <stp>LastTradeorSettle</stp>
        <stp/>
        <stp>T</stp>
        <tr r="F45" s="2"/>
      </tp>
      <tp>
        <v>2.5000000000000001E-2</v>
        <stp/>
        <stp>ContractData</stp>
        <stp>QSAS3?19</stp>
        <stp>LastTradeorSettle</stp>
        <stp/>
        <stp>T</stp>
        <tr r="AG53" s="6"/>
        <tr r="AG53" s="6"/>
        <tr r="AC45" s="2"/>
      </tp>
      <tp>
        <v>2.5000000000000001E-2</v>
        <stp/>
        <stp>ContractData</stp>
        <stp>QSAS3?16</stp>
        <stp>LastTradeorSettle</stp>
        <stp/>
        <stp>T</stp>
        <tr r="AG50" s="6"/>
        <tr r="AG50" s="6"/>
        <tr r="Z45" s="2"/>
      </tp>
      <tp t="s">
        <v/>
        <stp/>
        <stp>ContractData</stp>
        <stp>QSAS3?17</stp>
        <stp>LastTradeorSettle</stp>
        <stp/>
        <stp>T</stp>
        <tr r="AG51" s="6"/>
        <tr r="AA45" s="2"/>
      </tp>
      <tp t="s">
        <v/>
        <stp/>
        <stp>ContractData</stp>
        <stp>QSAS3?14</stp>
        <stp>LastTradeorSettle</stp>
        <stp/>
        <stp>T</stp>
        <tr r="AG48" s="6"/>
        <tr r="X45" s="2"/>
      </tp>
      <tp t="s">
        <v/>
        <stp/>
        <stp>ContractData</stp>
        <stp>QSAS3?15</stp>
        <stp>LastTradeorSettle</stp>
        <stp/>
        <stp>T</stp>
        <tr r="AG49" s="6"/>
        <tr r="Y45" s="2"/>
      </tp>
      <tp>
        <v>0.02</v>
        <stp/>
        <stp>ContractData</stp>
        <stp>QSAS3?12</stp>
        <stp>LastTradeorSettle</stp>
        <stp/>
        <stp>T</stp>
        <tr r="AG46" s="6"/>
        <tr r="AG46" s="6"/>
        <tr r="V45" s="2"/>
      </tp>
      <tp>
        <v>2.5000000000000001E-2</v>
        <stp/>
        <stp>ContractData</stp>
        <stp>QSAS3?13</stp>
        <stp>LastTradeorSettle</stp>
        <stp/>
        <stp>T</stp>
        <tr r="AG47" s="6"/>
        <tr r="AG47" s="6"/>
        <tr r="W45" s="2"/>
      </tp>
      <tp>
        <v>0.01</v>
        <stp/>
        <stp>ContractData</stp>
        <stp>QSAS3?10</stp>
        <stp>LastTradeorSettle</stp>
        <stp/>
        <stp>T</stp>
        <tr r="AG44" s="6"/>
        <tr r="AG44" s="6"/>
        <tr r="T45" s="2"/>
      </tp>
      <tp>
        <v>0.02</v>
        <stp/>
        <stp>ContractData</stp>
        <stp>QSAS3?11</stp>
        <stp>LastTradeorSettle</stp>
        <stp/>
        <stp>T</stp>
        <tr r="AG45" s="6"/>
        <tr r="AG45" s="6"/>
        <tr r="U45" s="2"/>
      </tp>
      <tp>
        <v>99.19</v>
        <stp/>
        <stp>ContractData</stp>
        <stp>QSAZ19</stp>
        <stp>LastTradeorSettle</stp>
        <stp/>
        <stp>T</stp>
        <tr r="L10" s="2"/>
        <tr r="R3" s="6"/>
        <tr r="F14" s="2"/>
      </tp>
      <tp>
        <v>99.215000000000003</v>
        <stp/>
        <stp>ContractData</stp>
        <stp>QSAU19</stp>
        <stp>LastTradeorSettle</stp>
        <stp/>
        <stp>T</stp>
        <tr r="G9" s="2"/>
        <tr r="K10" s="2"/>
        <tr r="R2" s="6"/>
        <tr r="F13" s="2"/>
      </tp>
      <tp>
        <v>0.02</v>
        <stp/>
        <stp>ContractData</stp>
        <stp>QSAS3H22</stp>
        <stp>Open</stp>
        <stp/>
        <stp>T</stp>
        <tr r="C55" s="2"/>
      </tp>
      <tp>
        <v>-1.4999999999999999E-2</v>
        <stp/>
        <stp>ContractData</stp>
        <stp>QSAS3H20</stp>
        <stp>Open</stp>
        <stp/>
        <stp>T</stp>
        <tr r="C47" s="2"/>
      </tp>
      <tp>
        <v>0.01</v>
        <stp/>
        <stp>ContractData</stp>
        <stp>QSAS3H21</stp>
        <stp>Open</stp>
        <stp/>
        <stp>T</stp>
        <tr r="C51" s="2"/>
      </tp>
      <tp>
        <v>-0.01</v>
        <stp/>
        <stp>ContractData</stp>
        <stp>QSAS3M20</stp>
        <stp>High</stp>
        <stp/>
        <stp>T</stp>
        <tr r="D48" s="2"/>
      </tp>
      <tp>
        <v>1.4999999999999999E-2</v>
        <stp/>
        <stp>ContractData</stp>
        <stp>QSAS3M21</stp>
        <stp>High</stp>
        <stp/>
        <stp>T</stp>
        <tr r="D52" s="2"/>
      </tp>
      <tp>
        <v>2.5000000000000001E-2</v>
        <stp/>
        <stp>ContractData</stp>
        <stp>QSAS3M22</stp>
        <stp>High</stp>
        <stp/>
        <stp>T</stp>
        <tr r="D56" s="2"/>
      </tp>
      <tp>
        <v>0.02</v>
        <stp/>
        <stp>ContractData</stp>
        <stp>QSAS3M22</stp>
        <stp>LastTradeorSettle</stp>
        <stp/>
        <stp>T</stp>
        <tr r="F56" s="2"/>
      </tp>
      <tp>
        <v>0.02</v>
        <stp/>
        <stp>ContractData</stp>
        <stp>QSAS3H22</stp>
        <stp>LastTradeorSettle</stp>
        <stp/>
        <stp>T</stp>
        <tr r="F55" s="2"/>
      </tp>
      <tp>
        <v>-0.01</v>
        <stp/>
        <stp>ContractData</stp>
        <stp>QSAS3Z20</stp>
        <stp>LastTradeorSettle</stp>
        <stp/>
        <stp>T</stp>
        <tr r="F50" s="2"/>
      </tp>
      <tp>
        <v>0.02</v>
        <stp/>
        <stp>ContractData</stp>
        <stp>QSAS3U20</stp>
        <stp>LastTradeorSettle</stp>
        <stp/>
        <stp>T</stp>
        <tr r="F49" s="2"/>
      </tp>
      <tp>
        <v>-0.01</v>
        <stp/>
        <stp>ContractData</stp>
        <stp>QSAS3M20</stp>
        <stp>LastTradeorSettle</stp>
        <stp/>
        <stp>T</stp>
        <tr r="F48" s="2"/>
      </tp>
      <tp>
        <v>-0.02</v>
        <stp/>
        <stp>ContractData</stp>
        <stp>QSAS3H20</stp>
        <stp>LastTradeorSettle</stp>
        <stp/>
        <stp>T</stp>
        <tr r="F47" s="2"/>
      </tp>
      <tp>
        <v>2.5000000000000001E-2</v>
        <stp/>
        <stp>ContractData</stp>
        <stp>QSAS3?20</stp>
        <stp>LastTradeorSettle</stp>
        <stp/>
        <stp>T</stp>
        <tr r="AG54" s="6"/>
        <tr r="AG54" s="6"/>
        <tr r="AD45" s="2"/>
      </tp>
      <tp>
        <v>0.01</v>
        <stp/>
        <stp>ContractData</stp>
        <stp>QSAS3Z21</stp>
        <stp>LastTradeorSettle</stp>
        <stp/>
        <stp>T</stp>
        <tr r="F54" s="2"/>
      </tp>
      <tp>
        <v>2.5000000000000001E-2</v>
        <stp/>
        <stp>ContractData</stp>
        <stp>QSAS3U21</stp>
        <stp>LastTradeorSettle</stp>
        <stp/>
        <stp>T</stp>
        <tr r="F53" s="2"/>
      </tp>
      <tp>
        <v>1.4999999999999999E-2</v>
        <stp/>
        <stp>ContractData</stp>
        <stp>QSAS3M21</stp>
        <stp>LastTradeorSettle</stp>
        <stp/>
        <stp>T</stp>
        <tr r="F52" s="2"/>
      </tp>
      <tp>
        <v>1.4999999999999999E-2</v>
        <stp/>
        <stp>ContractData</stp>
        <stp>QSAS3H21</stp>
        <stp>LastTradeorSettle</stp>
        <stp/>
        <stp>T</stp>
        <tr r="F51" s="2"/>
      </tp>
      <tp>
        <v>98.995000000000005</v>
        <stp/>
        <stp>ContractData</stp>
        <stp>QSAH24</stp>
        <stp>LastTradeorSettle</stp>
        <stp/>
        <stp>T</stp>
        <tr r="AC10" s="2"/>
        <tr r="R20" s="6"/>
      </tp>
      <tp>
        <v>98.965000000000003</v>
        <stp/>
        <stp>ContractData</stp>
        <stp>QSAM24</stp>
        <stp>LastTradeorSettle</stp>
        <stp/>
        <stp>T</stp>
        <tr r="AD10" s="2"/>
        <tr r="R21" s="6"/>
      </tp>
      <tp t="s">
        <v/>
        <stp/>
        <stp>ContractData</stp>
        <stp>QSAZ24</stp>
        <stp>LastTradeorSettle</stp>
        <stp/>
        <stp>T</stp>
        <tr r="R23" s="6"/>
      </tp>
      <tp>
        <v>98.97</v>
        <stp/>
        <stp>ContractData</stp>
        <stp>QSAU24</stp>
        <stp>LastTradeorSettle</stp>
        <stp/>
        <stp>T</stp>
        <tr r="R22" s="6"/>
      </tp>
      <tp>
        <v>99.18</v>
        <stp/>
        <stp>ContractData</stp>
        <stp>QSAH22</stp>
        <stp>LastTradeorSettle</stp>
        <stp/>
        <stp>T</stp>
        <tr r="U10" s="2"/>
        <tr r="R12" s="6"/>
        <tr r="F23" s="2"/>
      </tp>
      <tp>
        <v>99.16</v>
        <stp/>
        <stp>ContractData</stp>
        <stp>QSAM22</stp>
        <stp>LastTradeorSettle</stp>
        <stp/>
        <stp>T</stp>
        <tr r="V10" s="2"/>
        <tr r="R13" s="6"/>
        <tr r="F24" s="2"/>
      </tp>
      <tp>
        <v>99.115000000000009</v>
        <stp/>
        <stp>ContractData</stp>
        <stp>QSAZ22</stp>
        <stp>LastTradeorSettle</stp>
        <stp/>
        <stp>T</stp>
        <tr r="X10" s="2"/>
        <tr r="R15" s="6"/>
      </tp>
      <tp>
        <v>99.135000000000005</v>
        <stp/>
        <stp>ContractData</stp>
        <stp>QSAU22</stp>
        <stp>LastTradeorSettle</stp>
        <stp/>
        <stp>T</stp>
        <tr r="W10" s="2"/>
        <tr r="R14" s="6"/>
      </tp>
      <tp>
        <v>99.094999999999999</v>
        <stp/>
        <stp>ContractData</stp>
        <stp>QSAH23</stp>
        <stp>LastTradeorSettle</stp>
        <stp/>
        <stp>T</stp>
        <tr r="Y10" s="2"/>
        <tr r="R16" s="6"/>
      </tp>
      <tp>
        <v>99.070000000000007</v>
        <stp/>
        <stp>ContractData</stp>
        <stp>QSAM23</stp>
        <stp>LastTradeorSettle</stp>
        <stp/>
        <stp>T</stp>
        <tr r="Z10" s="2"/>
        <tr r="R17" s="6"/>
      </tp>
      <tp>
        <v>99.02</v>
        <stp/>
        <stp>ContractData</stp>
        <stp>QSAZ23</stp>
        <stp>LastTradeorSettle</stp>
        <stp/>
        <stp>T</stp>
        <tr r="R19" s="6"/>
      </tp>
      <tp>
        <v>99.045000000000002</v>
        <stp/>
        <stp>ContractData</stp>
        <stp>QSAU23</stp>
        <stp>LastTradeorSettle</stp>
        <stp/>
        <stp>T</stp>
        <tr r="AB10" s="2"/>
        <tr r="AA10" s="2"/>
        <tr r="R18" s="6"/>
      </tp>
      <tp>
        <v>99.23</v>
        <stp/>
        <stp>ContractData</stp>
        <stp>QSAH20</stp>
        <stp>LastTradeorSettle</stp>
        <stp/>
        <stp>T</stp>
        <tr r="M10" s="2"/>
        <tr r="R4" s="6"/>
        <tr r="F15" s="2"/>
      </tp>
      <tp>
        <v>99.25</v>
        <stp/>
        <stp>ContractData</stp>
        <stp>QSAM20</stp>
        <stp>LastTradeorSettle</stp>
        <stp/>
        <stp>T</stp>
        <tr r="N10" s="2"/>
        <tr r="R5" s="6"/>
        <tr r="F16" s="2"/>
      </tp>
      <tp>
        <v>99.240000000000009</v>
        <stp/>
        <stp>ContractData</stp>
        <stp>QSAZ20</stp>
        <stp>LastTradeorSettle</stp>
        <stp/>
        <stp>T</stp>
        <tr r="P10" s="2"/>
        <tr r="R7" s="6"/>
        <tr r="F18" s="2"/>
      </tp>
      <tp>
        <v>99.26</v>
        <stp/>
        <stp>ContractData</stp>
        <stp>QSAU20</stp>
        <stp>LastTradeorSettle</stp>
        <stp/>
        <stp>T</stp>
        <tr r="O10" s="2"/>
        <tr r="R6" s="6"/>
        <tr r="F17" s="2"/>
      </tp>
      <tp>
        <v>99.25</v>
        <stp/>
        <stp>ContractData</stp>
        <stp>QSAH21</stp>
        <stp>LastTradeorSettle</stp>
        <stp/>
        <stp>T</stp>
        <tr r="Q10" s="2"/>
        <tr r="R8" s="6"/>
        <tr r="F19" s="2"/>
      </tp>
      <tp>
        <v>99.234999999999999</v>
        <stp/>
        <stp>ContractData</stp>
        <stp>QSAM21</stp>
        <stp>LastTradeorSettle</stp>
        <stp/>
        <stp>T</stp>
        <tr r="R10" s="2"/>
        <tr r="R9" s="6"/>
        <tr r="F20" s="2"/>
      </tp>
      <tp>
        <v>99.19</v>
        <stp/>
        <stp>ContractData</stp>
        <stp>QSAZ21</stp>
        <stp>LastTradeorSettle</stp>
        <stp/>
        <stp>T</stp>
        <tr r="T10" s="2"/>
        <tr r="R11" s="6"/>
        <tr r="F22" s="2"/>
      </tp>
      <tp>
        <v>99.215000000000003</v>
        <stp/>
        <stp>ContractData</stp>
        <stp>QSAU21</stp>
        <stp>LastTradeorSettle</stp>
        <stp/>
        <stp>T</stp>
        <tr r="S10" s="2"/>
        <tr r="R10" s="6"/>
        <tr r="F21" s="2"/>
      </tp>
      <tp>
        <v>7.4999999999999997E-2</v>
        <stp/>
        <stp>ContractData</stp>
        <stp>QSAS12?8</stp>
        <stp>LastTradeorSettle</stp>
        <stp/>
        <stp>T</stp>
        <tr r="V42" s="6"/>
        <tr r="V42" s="6"/>
        <tr r="R29" s="2"/>
      </tp>
      <tp>
        <v>0.08</v>
        <stp/>
        <stp>ContractData</stp>
        <stp>QSAS12?9</stp>
        <stp>LastTradeorSettle</stp>
        <stp/>
        <stp>T</stp>
        <tr r="V43" s="6"/>
        <tr r="V43" s="6"/>
        <tr r="S29" s="2"/>
      </tp>
      <tp>
        <v>1.5000000000000568E-2</v>
        <stp/>
        <stp>ContractData</stp>
        <stp>F.QSA?12</stp>
        <stp>NetLastQuoteToday</stp>
        <stp/>
        <stp>T</stp>
        <tr r="U13" s="6"/>
        <tr r="U14" s="6"/>
        <tr r="U16" s="6"/>
        <tr r="U15" s="6"/>
        <tr r="U19" s="6"/>
        <tr r="U23" s="6"/>
        <tr r="U18" s="6"/>
        <tr r="U22" s="6"/>
        <tr r="U20" s="6"/>
        <tr r="U17" s="6"/>
        <tr r="U21" s="6"/>
      </tp>
      <tp>
        <v>0.04</v>
        <stp/>
        <stp>ContractData</stp>
        <stp>QSAS12?6</stp>
        <stp>LastTradeorSettle</stp>
        <stp/>
        <stp>T</stp>
        <tr r="V40" s="6"/>
        <tr r="V40" s="6"/>
        <tr r="P29" s="2"/>
      </tp>
      <tp>
        <v>6.5000000000000002E-2</v>
        <stp/>
        <stp>ContractData</stp>
        <stp>QSAS12?7</stp>
        <stp>LastTradeorSettle</stp>
        <stp/>
        <stp>T</stp>
        <tr r="V41" s="6"/>
        <tr r="V41" s="6"/>
        <tr r="Q29" s="2"/>
      </tp>
      <tp>
        <v>9.9999999999909051E-3</v>
        <stp/>
        <stp>ContractData</stp>
        <stp>F.QSA?10</stp>
        <stp>NetLastQuoteToday</stp>
        <stp/>
        <stp>T</stp>
        <tr r="U11" s="6"/>
      </tp>
      <tp>
        <v>1.4999999999999999E-2</v>
        <stp/>
        <stp>ContractData</stp>
        <stp>QSAS12?4</stp>
        <stp>LastTradeorSettle</stp>
        <stp/>
        <stp>T</stp>
        <tr r="V38" s="6"/>
        <tr r="V38" s="6"/>
        <tr r="N29" s="2"/>
      </tp>
      <tp>
        <v>1.5000000000000568E-2</v>
        <stp/>
        <stp>ContractData</stp>
        <stp>F.QSA?11</stp>
        <stp>NetLastQuoteToday</stp>
        <stp/>
        <stp>T</stp>
        <tr r="U12" s="6"/>
      </tp>
      <tp>
        <v>0.04</v>
        <stp/>
        <stp>ContractData</stp>
        <stp>QSAS12?5</stp>
        <stp>LastTradeorSettle</stp>
        <stp/>
        <stp>T</stp>
        <tr r="V39" s="6"/>
        <tr r="V39" s="6"/>
        <tr r="O29" s="2"/>
      </tp>
      <tp>
        <v>-0.05</v>
        <stp/>
        <stp>ContractData</stp>
        <stp>QSAS12?2</stp>
        <stp>LastTradeorSettle</stp>
        <stp/>
        <stp>T</stp>
        <tr r="V36" s="6"/>
        <tr r="V36" s="6"/>
        <tr r="L29" s="2"/>
      </tp>
      <tp>
        <v>-0.02</v>
        <stp/>
        <stp>ContractData</stp>
        <stp>QSAS12?3</stp>
        <stp>LastTradeorSettle</stp>
        <stp/>
        <stp>T</stp>
        <tr r="V37" s="6"/>
        <tr r="V37" s="6"/>
        <tr r="M29" s="2"/>
      </tp>
      <tp>
        <v>-4.4999999999999998E-2</v>
        <stp/>
        <stp>ContractData</stp>
        <stp>QSAS12?1</stp>
        <stp>LastTradeorSettle</stp>
        <stp/>
        <stp>T</stp>
        <tr r="V35" s="6"/>
        <tr r="V35" s="6"/>
        <tr r="K29" s="2"/>
      </tp>
      <tp>
        <v>-1.4999999999999999E-2</v>
        <stp/>
        <stp>ContractData</stp>
        <stp>QSAS3M20</stp>
        <stp>Low</stp>
        <stp/>
        <stp>T</stp>
        <tr r="E48" s="2"/>
      </tp>
      <tp>
        <v>1.4999999999999999E-2</v>
        <stp/>
        <stp>ContractData</stp>
        <stp>QSAS3M21</stp>
        <stp>Low</stp>
        <stp/>
        <stp>T</stp>
        <tr r="E52" s="2"/>
      </tp>
      <tp>
        <v>0.02</v>
        <stp/>
        <stp>ContractData</stp>
        <stp>QSAS3M22</stp>
        <stp>Low</stp>
        <stp/>
        <stp>T</stp>
        <tr r="E56" s="2"/>
      </tp>
      <tp>
        <v>-0.02</v>
        <stp/>
        <stp>ContractData</stp>
        <stp>QSAS3H20</stp>
        <stp>Low</stp>
        <stp/>
        <stp>T</stp>
        <tr r="E47" s="2"/>
      </tp>
      <tp>
        <v>0.01</v>
        <stp/>
        <stp>ContractData</stp>
        <stp>QSAS3H21</stp>
        <stp>Low</stp>
        <stp/>
        <stp>T</stp>
        <tr r="E51" s="2"/>
      </tp>
      <tp>
        <v>0.02</v>
        <stp/>
        <stp>ContractData</stp>
        <stp>QSAS3H22</stp>
        <stp>Low</stp>
        <stp/>
        <stp>T</stp>
        <tr r="E55" s="2"/>
      </tp>
      <tp>
        <v>-1.4999999999999999E-2</v>
        <stp/>
        <stp>ContractData</stp>
        <stp>QSAS3Z20</stp>
        <stp>Low</stp>
        <stp/>
        <stp>T</stp>
        <tr r="E50" s="2"/>
      </tp>
      <tp>
        <v>0.01</v>
        <stp/>
        <stp>ContractData</stp>
        <stp>QSAS3Z21</stp>
        <stp>Low</stp>
        <stp/>
        <stp>T</stp>
        <tr r="E54" s="2"/>
      </tp>
      <tp>
        <v>-0.05</v>
        <stp/>
        <stp>ContractData</stp>
        <stp>QSAS3Z19</stp>
        <stp>Low</stp>
        <stp/>
        <stp>T</stp>
        <tr r="E46" s="2"/>
      </tp>
      <tp>
        <v>1.4999999999999999E-2</v>
        <stp/>
        <stp>ContractData</stp>
        <stp>QSAS3U20</stp>
        <stp>Low</stp>
        <stp/>
        <stp>T</stp>
        <tr r="E49" s="2"/>
      </tp>
      <tp>
        <v>2.5000000000000001E-2</v>
        <stp/>
        <stp>ContractData</stp>
        <stp>QSAS3U21</stp>
        <stp>Low</stp>
        <stp/>
        <stp>T</stp>
        <tr r="E53" s="2"/>
      </tp>
      <tp>
        <v>0.02</v>
        <stp/>
        <stp>ContractData</stp>
        <stp>QSAS3U19</stp>
        <stp>Low</stp>
        <stp/>
        <stp>T</stp>
        <tr r="E45" s="2"/>
      </tp>
      <tp>
        <v>9.5000000000000001E-2</v>
        <stp/>
        <stp>StudyData</stp>
        <stp>QSAS12?9</stp>
        <stp>Bar</stp>
        <stp/>
        <stp>Close</stp>
        <stp>D</stp>
        <stp>-20</stp>
        <stp>All</stp>
        <stp/>
        <stp/>
        <stp/>
        <stp>T</stp>
        <tr r="Z43" s="6"/>
        <tr r="Z43" s="6"/>
      </tp>
      <tp>
        <v>6.5000000000000002E-2</v>
        <stp/>
        <stp>ContractData</stp>
        <stp>QSAS12H21</stp>
        <stp>LastTradeorSettle</stp>
        <stp/>
        <stp>T</stp>
        <tr r="F35" s="2"/>
      </tp>
      <tp>
        <v>7.4999999999999997E-2</v>
        <stp/>
        <stp>ContractData</stp>
        <stp>QSAS12M21</stp>
        <stp>LastTradeorSettle</stp>
        <stp/>
        <stp>T</stp>
        <tr r="F36" s="2"/>
      </tp>
      <tp>
        <v>0.08</v>
        <stp/>
        <stp>ContractData</stp>
        <stp>QSAS12U21</stp>
        <stp>LastTradeorSettle</stp>
        <stp/>
        <stp>T</stp>
        <tr r="F37" s="2"/>
      </tp>
      <tp>
        <v>7.4999999999999997E-2</v>
        <stp/>
        <stp>ContractData</stp>
        <stp>QSAS12Z21</stp>
        <stp>LastTradeorSettle</stp>
        <stp/>
        <stp>T</stp>
        <tr r="F38" s="2"/>
        <tr r="F39" s="2"/>
      </tp>
      <tp>
        <v>-0.02</v>
        <stp/>
        <stp>ContractData</stp>
        <stp>QSAS12H20</stp>
        <stp>LastTradeorSettle</stp>
        <stp/>
        <stp>T</stp>
        <tr r="F31" s="2"/>
      </tp>
      <tp>
        <v>1.4999999999999999E-2</v>
        <stp/>
        <stp>ContractData</stp>
        <stp>QSAS12M20</stp>
        <stp>LastTradeorSettle</stp>
        <stp/>
        <stp>T</stp>
        <tr r="F32" s="2"/>
      </tp>
      <tp>
        <v>0.04</v>
        <stp/>
        <stp>ContractData</stp>
        <stp>QSAS12U20</stp>
        <stp>LastTradeorSettle</stp>
        <stp/>
        <stp>T</stp>
        <tr r="F33" s="2"/>
      </tp>
      <tp>
        <v>0.04</v>
        <stp/>
        <stp>ContractData</stp>
        <stp>QSAS12Z20</stp>
        <stp>LastTradeorSettle</stp>
        <stp/>
        <stp>T</stp>
        <tr r="F34" s="2"/>
      </tp>
      <tp t="s">
        <v/>
        <stp/>
        <stp>ContractData</stp>
        <stp>QSAS12?20</stp>
        <stp>LastTradeorSettle</stp>
        <stp/>
        <stp>T</stp>
        <tr r="V54" s="6"/>
        <tr r="AD29" s="2"/>
      </tp>
      <tp>
        <v>0.02</v>
        <stp/>
        <stp>StudyData</stp>
        <stp>QSAS3?19</stp>
        <stp>Bar</stp>
        <stp/>
        <stp>Close</stp>
        <stp>D</stp>
        <stp>-20</stp>
        <stp>All</stp>
        <stp/>
        <stp/>
        <stp/>
        <stp>T</stp>
        <tr r="AK53" s="6"/>
      </tp>
      <tp>
        <v>8.5000000000000006E-2</v>
        <stp/>
        <stp>ContractData</stp>
        <stp>QSAS12M22</stp>
        <stp>LastTradeorSettle</stp>
        <stp/>
        <stp>T</stp>
        <tr r="F40" s="2"/>
      </tp>
      <tp t="s">
        <v>Short Sterling Calendar Spread 12, Jun 24, Jun 25</v>
        <stp/>
        <stp>ContractData</stp>
        <stp>QSAS12?20</stp>
        <stp>LongDescription</stp>
        <tr r="AD26" s="2"/>
      </tp>
      <tp t="s">
        <v>Short Sterling Calendar Spread 12, Mar 24, Mar 25</v>
        <stp/>
        <stp>ContractData</stp>
        <stp>QSAS12?19</stp>
        <stp>LongDescription</stp>
        <tr r="AC26" s="2"/>
      </tp>
      <tp t="s">
        <v>Short Sterling Calendar Spread 12, Dec 23, Dec 24</v>
        <stp/>
        <stp>ContractData</stp>
        <stp>QSAS12?18</stp>
        <stp>LongDescription</stp>
        <tr r="AB26" s="2"/>
      </tp>
      <tp t="s">
        <v>Short Sterling Calendar Spread 12, Sep 23, Sep 24</v>
        <stp/>
        <stp>ContractData</stp>
        <stp>QSAS12?17</stp>
        <stp>LongDescription</stp>
        <tr r="AA26" s="2"/>
      </tp>
      <tp t="s">
        <v>Short Sterling Calendar Spread 12, Jun 23, Jun 24</v>
        <stp/>
        <stp>ContractData</stp>
        <stp>QSAS12?16</stp>
        <stp>LongDescription</stp>
        <tr r="Z26" s="2"/>
      </tp>
      <tp t="s">
        <v>Short Sterling Calendar Spread 12, Mar 23, Mar 24</v>
        <stp/>
        <stp>ContractData</stp>
        <stp>QSAS12?15</stp>
        <stp>LongDescription</stp>
        <tr r="Y26" s="2"/>
      </tp>
      <tp t="s">
        <v>Short Sterling Calendar Spread 12, Dec 22, Dec 23</v>
        <stp/>
        <stp>ContractData</stp>
        <stp>QSAS12?14</stp>
        <stp>LongDescription</stp>
        <tr r="X26" s="2"/>
      </tp>
      <tp t="s">
        <v>Short Sterling Calendar Spread 12, Sep 22, Sep 23</v>
        <stp/>
        <stp>ContractData</stp>
        <stp>QSAS12?13</stp>
        <stp>LongDescription</stp>
        <tr r="W26" s="2"/>
      </tp>
      <tp t="s">
        <v>Short Sterling Calendar Spread 12, Jun 22, Jun 23</v>
        <stp/>
        <stp>ContractData</stp>
        <stp>QSAS12?12</stp>
        <stp>LongDescription</stp>
        <tr r="V26" s="2"/>
      </tp>
      <tp t="s">
        <v>Short Sterling Calendar Spread 12, Mar 22, Mar 23</v>
        <stp/>
        <stp>ContractData</stp>
        <stp>QSAS12?11</stp>
        <stp>LongDescription</stp>
        <tr r="U26" s="2"/>
      </tp>
      <tp t="s">
        <v>Short Sterling Calendar Spread 12, Dec 21, Dec 22</v>
        <stp/>
        <stp>ContractData</stp>
        <stp>QSAS12?10</stp>
        <stp>LongDescription</stp>
        <tr r="T26" s="2"/>
      </tp>
      <tp>
        <v>0.1</v>
        <stp/>
        <stp>StudyData</stp>
        <stp>QSAS12?8</stp>
        <stp>Bar</stp>
        <stp/>
        <stp>Close</stp>
        <stp>D</stp>
        <stp>-20</stp>
        <stp>All</stp>
        <stp/>
        <stp/>
        <stp/>
        <stp>T</stp>
        <tr r="Z42" s="6"/>
        <tr r="Z42" s="6"/>
      </tp>
      <tp>
        <v>0.02</v>
        <stp/>
        <stp>StudyData</stp>
        <stp>QSAS3?18</stp>
        <stp>Bar</stp>
        <stp/>
        <stp>Close</stp>
        <stp>D</stp>
        <stp>-20</stp>
        <stp>All</stp>
        <stp/>
        <stp/>
        <stp/>
        <stp>T</stp>
        <tr r="AK52" s="6"/>
      </tp>
      <tp>
        <v>-0.04</v>
        <stp/>
        <stp>ContractData</stp>
        <stp>QSAS3Z19</stp>
        <stp>High</stp>
        <stp/>
        <stp>T</stp>
        <tr r="D46" s="2"/>
      </tp>
      <tp>
        <v>-0.01</v>
        <stp/>
        <stp>ContractData</stp>
        <stp>QSAS3Z20</stp>
        <stp>High</stp>
        <stp/>
        <stp>T</stp>
        <tr r="D50" s="2"/>
      </tp>
      <tp>
        <v>1.4999999999999999E-2</v>
        <stp/>
        <stp>ContractData</stp>
        <stp>QSAS3Z21</stp>
        <stp>High</stp>
        <stp/>
        <stp>T</stp>
        <tr r="D54" s="2"/>
      </tp>
      <tp>
        <v>-4.4999999999999998E-2</v>
        <stp/>
        <stp>ContractData</stp>
        <stp>QSAS12U19</stp>
        <stp>LastTradeorSettle</stp>
        <stp/>
        <stp>T</stp>
        <tr r="F29" s="2"/>
      </tp>
      <tp>
        <v>-0.05</v>
        <stp/>
        <stp>ContractData</stp>
        <stp>QSAS12Z19</stp>
        <stp>LastTradeorSettle</stp>
        <stp/>
        <stp>T</stp>
        <tr r="F30" s="2"/>
      </tp>
      <tp t="s">
        <v/>
        <stp/>
        <stp>ContractData</stp>
        <stp>QSAS12?19</stp>
        <stp>LastTradeorSettle</stp>
        <stp/>
        <stp>T</stp>
        <tr r="V53" s="6"/>
        <tr r="AC29" s="2"/>
      </tp>
      <tp t="s">
        <v/>
        <stp/>
        <stp>ContractData</stp>
        <stp>QSAS12?18</stp>
        <stp>LastTradeorSettle</stp>
        <stp/>
        <stp>T</stp>
        <tr r="V52" s="6"/>
        <tr r="AB29" s="2"/>
      </tp>
      <tp>
        <v>8.5000000000000006E-2</v>
        <stp/>
        <stp>ContractData</stp>
        <stp>QSAS12?11</stp>
        <stp>LastTradeorSettle</stp>
        <stp/>
        <stp>T</stp>
        <tr r="V45" s="6"/>
        <tr r="V45" s="6"/>
        <tr r="U29" s="2"/>
      </tp>
      <tp>
        <v>7.4999999999999997E-2</v>
        <stp/>
        <stp>ContractData</stp>
        <stp>QSAS12?10</stp>
        <stp>LastTradeorSettle</stp>
        <stp/>
        <stp>T</stp>
        <tr r="V44" s="6"/>
        <tr r="V44" s="6"/>
        <tr r="T29" s="2"/>
      </tp>
      <tp>
        <v>0.09</v>
        <stp/>
        <stp>ContractData</stp>
        <stp>QSAS12?13</stp>
        <stp>LastTradeorSettle</stp>
        <stp/>
        <stp>T</stp>
        <tr r="V47" s="6"/>
        <tr r="V47" s="6"/>
        <tr r="W29" s="2"/>
      </tp>
      <tp>
        <v>8.5000000000000006E-2</v>
        <stp/>
        <stp>ContractData</stp>
        <stp>QSAS12?12</stp>
        <stp>LastTradeorSettle</stp>
        <stp/>
        <stp>T</stp>
        <tr r="V46" s="6"/>
        <tr r="V46" s="6"/>
        <tr r="V29" s="2"/>
      </tp>
      <tp>
        <v>0.105</v>
        <stp/>
        <stp>ContractData</stp>
        <stp>QSAS12?15</stp>
        <stp>LastTradeorSettle</stp>
        <stp/>
        <stp>T</stp>
        <tr r="V49" s="6"/>
        <tr r="V49" s="6"/>
        <tr r="Y29" s="2"/>
      </tp>
      <tp>
        <v>0.105</v>
        <stp/>
        <stp>ContractData</stp>
        <stp>QSAS12?14</stp>
        <stp>LastTradeorSettle</stp>
        <stp/>
        <stp>T</stp>
        <tr r="V48" s="6"/>
        <tr r="V48" s="6"/>
        <tr r="X29" s="2"/>
      </tp>
      <tp t="s">
        <v/>
        <stp/>
        <stp>ContractData</stp>
        <stp>QSAS12?17</stp>
        <stp>LastTradeorSettle</stp>
        <stp/>
        <stp>T</stp>
        <tr r="V51" s="6"/>
        <tr r="AA29" s="2"/>
      </tp>
      <tp>
        <v>0.105</v>
        <stp/>
        <stp>ContractData</stp>
        <stp>QSAS12?16</stp>
        <stp>LastTradeorSettle</stp>
        <stp/>
        <stp>T</stp>
        <tr r="V50" s="6"/>
        <tr r="V50" s="6"/>
        <tr r="Z29" s="2"/>
      </tp>
      <tp>
        <v>-4.9999999999999975E-3</v>
        <stp/>
        <stp>ContractData</stp>
        <stp>QSAS3U19</stp>
        <stp>NetLastTradeToday</stp>
        <stp/>
        <stp>T</stp>
        <tr r="G45" s="2"/>
        <tr r="H45" s="2"/>
      </tp>
      <tp>
        <v>0</v>
        <stp/>
        <stp>ContractData</stp>
        <stp>QSAS3Z19</stp>
        <stp>NetLastTradeToday</stp>
        <stp/>
        <stp>T</stp>
        <tr r="H46" s="2"/>
        <tr r="G46" s="2"/>
      </tp>
      <tp>
        <v>1.5000000000000568E-2</v>
        <stp/>
        <stp>ContractData</stp>
        <stp>QSAU19</stp>
        <stp>NetLastTradeToday</stp>
        <stp/>
        <stp>T</stp>
        <tr r="I9" s="2"/>
        <tr r="G13" s="2"/>
        <tr r="H13" s="2"/>
      </tp>
      <tp>
        <v>1.9999999999996021E-2</v>
        <stp/>
        <stp>ContractData</stp>
        <stp>QSAZ19</stp>
        <stp>NetLastTradeToday</stp>
        <stp/>
        <stp>T</stp>
        <tr r="G14" s="2"/>
        <tr r="H14" s="2"/>
      </tp>
      <tp>
        <v>-0.04</v>
        <stp/>
        <stp>ContractData</stp>
        <stp>QSAS3Z19</stp>
        <stp>Open</stp>
        <stp/>
        <stp>T</stp>
        <tr r="C46" s="2"/>
      </tp>
      <tp>
        <v>-1.4999999999999999E-2</v>
        <stp/>
        <stp>ContractData</stp>
        <stp>QSAS3Z20</stp>
        <stp>Open</stp>
        <stp/>
        <stp>T</stp>
        <tr r="C50" s="2"/>
      </tp>
      <tp>
        <v>0.01</v>
        <stp/>
        <stp>ContractData</stp>
        <stp>QSAS3Z21</stp>
        <stp>Open</stp>
        <stp/>
        <stp>T</stp>
        <tr r="C54" s="2"/>
      </tp>
      <tp>
        <v>0</v>
        <stp/>
        <stp>ContractData</stp>
        <stp>QSAS3H22</stp>
        <stp>NetLastTradeToday</stp>
        <stp/>
        <stp>T</stp>
        <tr r="G55" s="2"/>
        <tr r="H55" s="2"/>
      </tp>
      <tp>
        <v>-5.000000000000001E-3</v>
        <stp/>
        <stp>ContractData</stp>
        <stp>QSAS3M22</stp>
        <stp>NetLastTradeToday</stp>
        <stp/>
        <stp>T</stp>
        <tr r="H56" s="2"/>
        <tr r="G56" s="2"/>
      </tp>
      <tp>
        <v>0</v>
        <stp/>
        <stp>ContractData</stp>
        <stp>QSAS3U20</stp>
        <stp>NetLastTradeToday</stp>
        <stp/>
        <stp>T</stp>
        <tr r="H49" s="2"/>
        <tr r="G49" s="2"/>
      </tp>
      <tp>
        <v>0</v>
        <stp/>
        <stp>ContractData</stp>
        <stp>QSAS3Z20</stp>
        <stp>NetLastTradeToday</stp>
        <stp/>
        <stp>T</stp>
        <tr r="G50" s="2"/>
        <tr r="H50" s="2"/>
      </tp>
      <tp>
        <v>-5.000000000000001E-3</v>
        <stp/>
        <stp>ContractData</stp>
        <stp>QSAS3H20</stp>
        <stp>NetLastTradeToday</stp>
        <stp/>
        <stp>T</stp>
        <tr r="H47" s="2"/>
        <tr r="G47" s="2"/>
      </tp>
      <tp>
        <v>0</v>
        <stp/>
        <stp>ContractData</stp>
        <stp>QSAS3M20</stp>
        <stp>NetLastTradeToday</stp>
        <stp/>
        <stp>T</stp>
        <tr r="H48" s="2"/>
        <tr r="G48" s="2"/>
      </tp>
      <tp>
        <v>0</v>
        <stp/>
        <stp>ContractData</stp>
        <stp>QSAS3U21</stp>
        <stp>NetLastTradeToday</stp>
        <stp/>
        <stp>T</stp>
        <tr r="G53" s="2"/>
        <tr r="H53" s="2"/>
      </tp>
      <tp>
        <v>0</v>
        <stp/>
        <stp>ContractData</stp>
        <stp>QSAS3Z21</stp>
        <stp>NetLastTradeToday</stp>
        <stp/>
        <stp>T</stp>
        <tr r="G54" s="2"/>
        <tr r="H54" s="2"/>
      </tp>
      <tp>
        <v>0</v>
        <stp/>
        <stp>ContractData</stp>
        <stp>QSAS3H21</stp>
        <stp>NetLastTradeToday</stp>
        <stp/>
        <stp>T</stp>
        <tr r="H51" s="2"/>
        <tr r="G51" s="2"/>
      </tp>
      <tp>
        <v>0</v>
        <stp/>
        <stp>ContractData</stp>
        <stp>QSAS3M21</stp>
        <stp>NetLastTradeToday</stp>
        <stp/>
        <stp>T</stp>
        <tr r="H52" s="2"/>
        <tr r="G52" s="2"/>
      </tp>
      <tp>
        <v>1.5000000000000568E-2</v>
        <stp/>
        <stp>ContractData</stp>
        <stp>QSAM22</stp>
        <stp>NetLastTradeToday</stp>
        <stp/>
        <stp>T</stp>
        <tr r="G24" s="2"/>
        <tr r="H24" s="2"/>
      </tp>
      <tp>
        <v>1.0000000000005116E-2</v>
        <stp/>
        <stp>ContractData</stp>
        <stp>QSAH22</stp>
        <stp>NetLastTradeToday</stp>
        <stp/>
        <stp>T</stp>
        <tr r="G23" s="2"/>
        <tr r="H23" s="2"/>
      </tp>
      <tp>
        <v>2.4999999999991473E-2</v>
        <stp/>
        <stp>ContractData</stp>
        <stp>QSAM20</stp>
        <stp>NetLastTradeToday</stp>
        <stp/>
        <stp>T</stp>
        <tr r="G16" s="2"/>
        <tr r="H16" s="2"/>
      </tp>
      <tp>
        <v>1.9999999999996021E-2</v>
        <stp/>
        <stp>ContractData</stp>
        <stp>QSAH20</stp>
        <stp>NetLastTradeToday</stp>
        <stp/>
        <stp>T</stp>
        <tr r="G15" s="2"/>
        <tr r="H15" s="2"/>
      </tp>
      <tp>
        <v>1.9999999999996021E-2</v>
        <stp/>
        <stp>ContractData</stp>
        <stp>QSAU20</stp>
        <stp>NetLastTradeToday</stp>
        <stp/>
        <stp>T</stp>
        <tr r="G17" s="2"/>
        <tr r="H17" s="2"/>
      </tp>
      <tp>
        <v>2.0000000000010232E-2</v>
        <stp/>
        <stp>ContractData</stp>
        <stp>QSAZ20</stp>
        <stp>NetLastTradeToday</stp>
        <stp/>
        <stp>T</stp>
        <tr r="H18" s="2"/>
        <tr r="G18" s="2"/>
      </tp>
      <tp>
        <v>1.5000000000000568E-2</v>
        <stp/>
        <stp>ContractData</stp>
        <stp>QSAM21</stp>
        <stp>NetLastTradeToday</stp>
        <stp/>
        <stp>T</stp>
        <tr r="H20" s="2"/>
        <tr r="G20" s="2"/>
      </tp>
      <tp>
        <v>1.9999999999996021E-2</v>
        <stp/>
        <stp>ContractData</stp>
        <stp>QSAH21</stp>
        <stp>NetLastTradeToday</stp>
        <stp/>
        <stp>T</stp>
        <tr r="G19" s="2"/>
        <tr r="H19" s="2"/>
      </tp>
      <tp>
        <v>1.0000000000005116E-2</v>
        <stp/>
        <stp>ContractData</stp>
        <stp>QSAU21</stp>
        <stp>NetLastTradeToday</stp>
        <stp/>
        <stp>T</stp>
        <tr r="G21" s="2"/>
        <tr r="H21" s="2"/>
      </tp>
      <tp>
        <v>9.9999999999909051E-3</v>
        <stp/>
        <stp>ContractData</stp>
        <stp>QSAZ21</stp>
        <stp>NetLastTradeToday</stp>
        <stp/>
        <stp>T</stp>
        <tr r="H22" s="2"/>
        <tr r="G22" s="2"/>
      </tp>
      <tp>
        <v>0.03</v>
        <stp/>
        <stp>StudyData</stp>
        <stp>QSAS12?1</stp>
        <stp>Bar</stp>
        <stp/>
        <stp>Close</stp>
        <stp>D</stp>
        <stp>-20</stp>
        <stp>All</stp>
        <stp/>
        <stp/>
        <stp/>
        <stp>T</stp>
        <tr r="Z35" s="6"/>
        <tr r="Z35" s="6"/>
      </tp>
      <tp>
        <v>2.5000000000000001E-2</v>
        <stp/>
        <stp>StudyData</stp>
        <stp>QSAS3?11</stp>
        <stp>Bar</stp>
        <stp/>
        <stp>Close</stp>
        <stp>D</stp>
        <stp>-20</stp>
        <stp>All</stp>
        <stp/>
        <stp/>
        <stp/>
        <stp>T</stp>
        <tr r="AK45" s="6"/>
      </tp>
      <tp>
        <v>0.02</v>
        <stp/>
        <stp>StudyData</stp>
        <stp>QSAS3?10</stp>
        <stp>Bar</stp>
        <stp/>
        <stp>Close</stp>
        <stp>D</stp>
        <stp>-20</stp>
        <stp>All</stp>
        <stp/>
        <stp/>
        <stp/>
        <stp>T</stp>
        <tr r="AK44" s="6"/>
      </tp>
      <tp>
        <v>0.02</v>
        <stp/>
        <stp>StudyData</stp>
        <stp>QSAS3?20</stp>
        <stp>Bar</stp>
        <stp/>
        <stp>Close</stp>
        <stp>D</stp>
        <stp>-20</stp>
        <stp>All</stp>
        <stp/>
        <stp/>
        <stp/>
        <stp>T</stp>
        <tr r="AK54" s="6"/>
      </tp>
      <tp>
        <v>0.02</v>
        <stp/>
        <stp>ContractData</stp>
        <stp>QSAS3U19</stp>
        <stp>Open</stp>
        <stp/>
        <stp>T</stp>
        <tr r="C45" s="2"/>
      </tp>
      <tp>
        <v>0.02</v>
        <stp/>
        <stp>ContractData</stp>
        <stp>QSAS3U20</stp>
        <stp>Open</stp>
        <stp/>
        <stp>T</stp>
        <tr r="C49" s="2"/>
      </tp>
      <tp>
        <v>2.5000000000000001E-2</v>
        <stp/>
        <stp>ContractData</stp>
        <stp>QSAS3U21</stp>
        <stp>Open</stp>
        <stp/>
        <stp>T</stp>
        <tr r="C53" s="2"/>
      </tp>
      <tp>
        <v>7.4999999999999997E-2</v>
        <stp/>
        <stp>StudyData</stp>
        <stp>QSAS12?3</stp>
        <stp>Bar</stp>
        <stp/>
        <stp>Close</stp>
        <stp>D</stp>
        <stp>-20</stp>
        <stp>All</stp>
        <stp/>
        <stp/>
        <stp/>
        <stp>T</stp>
        <tr r="Z37" s="6"/>
        <tr r="Z37" s="6"/>
      </tp>
      <tp>
        <v>2.5000000000000001E-2</v>
        <stp/>
        <stp>StudyData</stp>
        <stp>QSAS3?13</stp>
        <stp>Bar</stp>
        <stp/>
        <stp>Close</stp>
        <stp>D</stp>
        <stp>-20</stp>
        <stp>All</stp>
        <stp/>
        <stp/>
        <stp/>
        <stp>T</stp>
        <tr r="AK47" s="6"/>
      </tp>
      <tp>
        <v>0.03</v>
        <stp/>
        <stp>StudyData</stp>
        <stp>QSAS12?2</stp>
        <stp>Bar</stp>
        <stp/>
        <stp>Close</stp>
        <stp>D</stp>
        <stp>-20</stp>
        <stp>All</stp>
        <stp/>
        <stp/>
        <stp/>
        <stp>T</stp>
        <tr r="Z36" s="6"/>
        <tr r="Z36" s="6"/>
      </tp>
      <tp>
        <v>0.02</v>
        <stp/>
        <stp>StudyData</stp>
        <stp>QSAS3?12</stp>
        <stp>Bar</stp>
        <stp/>
        <stp>Close</stp>
        <stp>D</stp>
        <stp>-20</stp>
        <stp>All</stp>
        <stp/>
        <stp/>
        <stp/>
        <stp>T</stp>
        <tr r="AK46" s="6"/>
      </tp>
      <tp>
        <v>0.09</v>
        <stp/>
        <stp>StudyData</stp>
        <stp>QSAS12?5</stp>
        <stp>Bar</stp>
        <stp/>
        <stp>Close</stp>
        <stp>D</stp>
        <stp>-20</stp>
        <stp>All</stp>
        <stp/>
        <stp/>
        <stp/>
        <stp>T</stp>
        <tr r="Z39" s="6"/>
        <tr r="Z39" s="6"/>
      </tp>
      <tp>
        <v>2.5000000000000001E-2</v>
        <stp/>
        <stp>StudyData</stp>
        <stp>QSAS3?15</stp>
        <stp>Bar</stp>
        <stp/>
        <stp>Close</stp>
        <stp>D</stp>
        <stp>-20</stp>
        <stp>All</stp>
        <stp/>
        <stp/>
        <stp/>
        <stp>T</stp>
        <tr r="AK49" s="6"/>
      </tp>
      <tp>
        <v>0.09</v>
        <stp/>
        <stp>StudyData</stp>
        <stp>QSAS12?4</stp>
        <stp>Bar</stp>
        <stp/>
        <stp>Close</stp>
        <stp>D</stp>
        <stp>-20</stp>
        <stp>All</stp>
        <stp/>
        <stp/>
        <stp/>
        <stp>T</stp>
        <tr r="Z38" s="6"/>
        <tr r="Z38" s="6"/>
      </tp>
      <tp>
        <v>2.5000000000000001E-2</v>
        <stp/>
        <stp>StudyData</stp>
        <stp>QSAS3?14</stp>
        <stp>Bar</stp>
        <stp/>
        <stp>Close</stp>
        <stp>D</stp>
        <stp>-20</stp>
        <stp>All</stp>
        <stp/>
        <stp/>
        <stp/>
        <stp>T</stp>
        <tr r="AK48" s="6"/>
      </tp>
      <tp t="s">
        <v>Short Sterling Calendar Spread, Jun 21, Sep 21</v>
        <stp/>
        <stp>ContractData</stp>
        <stp>QSAS3?8</stp>
        <stp>LongDescription</stp>
        <tr r="R42" s="2"/>
      </tp>
      <tp t="s">
        <v>Short Sterling Calendar Spread, Sep 21, Dec 21</v>
        <stp/>
        <stp>ContractData</stp>
        <stp>QSAS3?9</stp>
        <stp>LongDescription</stp>
        <tr r="S42" s="2"/>
      </tp>
      <tp t="s">
        <v>Short Sterling Calendar Spread, Dec 20, Mar 21</v>
        <stp/>
        <stp>ContractData</stp>
        <stp>QSAS3?6</stp>
        <stp>LongDescription</stp>
        <tr r="P42" s="2"/>
      </tp>
      <tp t="s">
        <v>Short Sterling Calendar Spread, Mar 21, Jun 21</v>
        <stp/>
        <stp>ContractData</stp>
        <stp>QSAS3?7</stp>
        <stp>LongDescription</stp>
        <tr r="Q42" s="2"/>
      </tp>
      <tp t="s">
        <v>Short Sterling Calendar Spread, Jun 20, Sep 20</v>
        <stp/>
        <stp>ContractData</stp>
        <stp>QSAS3?4</stp>
        <stp>LongDescription</stp>
        <tr r="N42" s="2"/>
      </tp>
      <tp t="s">
        <v>Short Sterling Calendar Spread, Sep 20, Dec 20</v>
        <stp/>
        <stp>ContractData</stp>
        <stp>QSAS3?5</stp>
        <stp>LongDescription</stp>
        <tr r="O42" s="2"/>
      </tp>
      <tp t="s">
        <v>Short Sterling Calendar Spread, Dec 19, Mar 20</v>
        <stp/>
        <stp>ContractData</stp>
        <stp>QSAS3?2</stp>
        <stp>LongDescription</stp>
        <tr r="L42" s="2"/>
      </tp>
      <tp t="s">
        <v>Short Sterling Calendar Spread, Mar 20, Jun 20</v>
        <stp/>
        <stp>ContractData</stp>
        <stp>QSAS3?3</stp>
        <stp>LongDescription</stp>
        <tr r="M42" s="2"/>
      </tp>
      <tp t="s">
        <v>Short Sterling Calendar Spread, Sep 19, Dec 19</v>
        <stp/>
        <stp>ContractData</stp>
        <stp>QSAS3?1</stp>
        <stp>LongDescription</stp>
        <tr r="K42" s="2"/>
      </tp>
      <tp>
        <v>9.5000000000000001E-2</v>
        <stp/>
        <stp>StudyData</stp>
        <stp>QSAS12?7</stp>
        <stp>Bar</stp>
        <stp/>
        <stp>Close</stp>
        <stp>D</stp>
        <stp>-20</stp>
        <stp>All</stp>
        <stp/>
        <stp/>
        <stp/>
        <stp>T</stp>
        <tr r="Z41" s="6"/>
        <tr r="Z41" s="6"/>
      </tp>
      <tp>
        <v>0.03</v>
        <stp/>
        <stp>StudyData</stp>
        <stp>QSAS3?17</stp>
        <stp>Bar</stp>
        <stp/>
        <stp>Close</stp>
        <stp>D</stp>
        <stp>-20</stp>
        <stp>All</stp>
        <stp/>
        <stp/>
        <stp/>
        <stp>T</stp>
        <tr r="AK51" s="6"/>
      </tp>
      <tp>
        <v>2.5000000000000001E-2</v>
        <stp/>
        <stp>ContractData</stp>
        <stp>QSAS3U19</stp>
        <stp>High</stp>
        <stp/>
        <stp>T</stp>
        <tr r="D45" s="2"/>
      </tp>
      <tp>
        <v>0.02</v>
        <stp/>
        <stp>ContractData</stp>
        <stp>QSAS3U20</stp>
        <stp>High</stp>
        <stp/>
        <stp>T</stp>
        <tr r="D49" s="2"/>
      </tp>
      <tp>
        <v>2.5000000000000001E-2</v>
        <stp/>
        <stp>ContractData</stp>
        <stp>QSAS3U21</stp>
        <stp>High</stp>
        <stp/>
        <stp>T</stp>
        <tr r="D53" s="2"/>
      </tp>
      <tp>
        <v>8.5000000000000006E-2</v>
        <stp/>
        <stp>StudyData</stp>
        <stp>QSAS12?6</stp>
        <stp>Bar</stp>
        <stp/>
        <stp>Close</stp>
        <stp>D</stp>
        <stp>-20</stp>
        <stp>All</stp>
        <stp/>
        <stp/>
        <stp/>
        <stp>T</stp>
        <tr r="Z40" s="6"/>
        <tr r="Z40" s="6"/>
      </tp>
      <tp>
        <v>2.5000000000000001E-2</v>
        <stp/>
        <stp>StudyData</stp>
        <stp>QSAS3?16</stp>
        <stp>Bar</stp>
        <stp/>
        <stp>Close</stp>
        <stp>D</stp>
        <stp>-20</stp>
        <stp>All</stp>
        <stp/>
        <stp/>
        <stp/>
        <stp>T</stp>
        <tr r="AK50" s="6"/>
      </tp>
      <tp>
        <v>0.08</v>
        <stp/>
        <stp>ContractData</stp>
        <stp>QSAS12U21</stp>
        <stp>High</stp>
        <stp/>
        <stp>T</stp>
        <tr r="D37" s="2"/>
      </tp>
      <tp>
        <v>0.04</v>
        <stp/>
        <stp>ContractData</stp>
        <stp>QSAS12U20</stp>
        <stp>High</stp>
        <stp/>
        <stp>T</stp>
        <tr r="D33" s="2"/>
      </tp>
      <tp>
        <v>-4.4999999999999998E-2</v>
        <stp/>
        <stp>ContractData</stp>
        <stp>QSAS12U19</stp>
        <stp>High</stp>
        <stp/>
        <stp>T</stp>
        <tr r="D29" s="2"/>
      </tp>
      <tp t="s">
        <v>Short Sterling Calendar Spread 12, Jun 21, Jun 22</v>
        <stp/>
        <stp>ContractData</stp>
        <stp>QSAS12?8</stp>
        <stp>LongDescription</stp>
        <tr r="R26" s="2"/>
      </tp>
      <tp t="s">
        <v>Short Sterling Calendar Spread 12, Sep 21, Sep 22</v>
        <stp/>
        <stp>ContractData</stp>
        <stp>QSAS12?9</stp>
        <stp>LongDescription</stp>
        <tr r="S26" s="2"/>
      </tp>
      <tp t="s">
        <v>Short Sterling Calendar Spread 12, Sep 19, Sep 20</v>
        <stp/>
        <stp>ContractData</stp>
        <stp>QSAS12?1</stp>
        <stp>LongDescription</stp>
        <tr r="K26" s="2"/>
      </tp>
      <tp t="s">
        <v>Short Sterling Calendar Spread 12, Dec 19, Dec 20</v>
        <stp/>
        <stp>ContractData</stp>
        <stp>QSAS12?2</stp>
        <stp>LongDescription</stp>
        <tr r="L26" s="2"/>
      </tp>
      <tp t="s">
        <v>Short Sterling Calendar Spread 12, Mar 20, Mar 21</v>
        <stp/>
        <stp>ContractData</stp>
        <stp>QSAS12?3</stp>
        <stp>LongDescription</stp>
        <tr r="M26" s="2"/>
      </tp>
      <tp t="s">
        <v>Short Sterling Calendar Spread 12, Jun 20, Jun 21</v>
        <stp/>
        <stp>ContractData</stp>
        <stp>QSAS12?4</stp>
        <stp>LongDescription</stp>
        <tr r="N26" s="2"/>
      </tp>
      <tp t="s">
        <v>Short Sterling Calendar Spread 12, Sep 20, Sep 21</v>
        <stp/>
        <stp>ContractData</stp>
        <stp>QSAS12?5</stp>
        <stp>LongDescription</stp>
        <tr r="O26" s="2"/>
      </tp>
      <tp t="s">
        <v>Short Sterling Calendar Spread 12, Dec 20, Dec 21</v>
        <stp/>
        <stp>ContractData</stp>
        <stp>QSAS12?6</stp>
        <stp>LongDescription</stp>
        <tr r="P26" s="2"/>
      </tp>
      <tp t="s">
        <v>Short Sterling Calendar Spread 12, Mar 21, Mar 22</v>
        <stp/>
        <stp>ContractData</stp>
        <stp>QSAS12?7</stp>
        <stp>LongDescription</stp>
        <tr r="Q26" s="2"/>
      </tp>
      <tp>
        <v>99.19</v>
        <stp/>
        <stp>StudyData</stp>
        <stp>QSAU19</stp>
        <stp>Bar</stp>
        <stp/>
        <stp>Close</stp>
        <stp>D</stp>
        <stp>-20</stp>
        <stp>All</stp>
        <stp/>
        <stp/>
        <stp/>
        <stp>T</stp>
        <tr r="D26" s="6"/>
        <tr r="D26" s="6"/>
      </tp>
      <tp>
        <v>99.15</v>
        <stp/>
        <stp>StudyData</stp>
        <stp>QSAZ19</stp>
        <stp>Bar</stp>
        <stp/>
        <stp>Close</stp>
        <stp>D</stp>
        <stp>-20</stp>
        <stp>All</stp>
        <stp/>
        <stp/>
        <stp/>
        <stp>T</stp>
        <tr r="D27" s="6"/>
        <tr r="D27" s="6"/>
      </tp>
      <tp>
        <v>8.5000000000000006E-2</v>
        <stp/>
        <stp>StudyData</stp>
        <stp>QSAS12?18</stp>
        <stp>Bar</stp>
        <stp/>
        <stp>Close</stp>
        <stp>D</stp>
        <stp>-20</stp>
        <stp>All</stp>
        <stp/>
        <stp/>
        <stp/>
        <stp>T</stp>
        <tr r="Z52" s="6"/>
        <tr r="Z52" s="6"/>
      </tp>
      <tp>
        <v>8.5000000000000006E-2</v>
        <stp/>
        <stp>StudyData</stp>
        <stp>QSAS12?19</stp>
        <stp>Bar</stp>
        <stp/>
        <stp>Close</stp>
        <stp>D</stp>
        <stp>-20</stp>
        <stp>All</stp>
        <stp/>
        <stp/>
        <stp/>
        <stp>T</stp>
        <tr r="Z53" s="6"/>
        <tr r="Z53" s="6"/>
      </tp>
      <tp>
        <v>0.08</v>
        <stp/>
        <stp>ContractData</stp>
        <stp>QSAS12U21</stp>
        <stp>Open</stp>
        <stp/>
        <stp>T</stp>
        <tr r="C37" s="2"/>
      </tp>
      <tp>
        <v>3.5000000000000003E-2</v>
        <stp/>
        <stp>ContractData</stp>
        <stp>QSAS12U20</stp>
        <stp>Open</stp>
        <stp/>
        <stp>T</stp>
        <tr r="C33" s="2"/>
      </tp>
      <tp>
        <v>-0.05</v>
        <stp/>
        <stp>ContractData</stp>
        <stp>QSAS12U19</stp>
        <stp>Open</stp>
        <stp/>
        <stp>T</stp>
        <tr r="C29" s="2"/>
      </tp>
      <tp t="s">
        <v>Short Sterling (CONNECT- All Sessions), Jun 20</v>
        <stp/>
        <stp>ContractData</stp>
        <stp>QSAM20</stp>
        <stp>LongDescription</stp>
        <tr r="B16" s="2"/>
      </tp>
      <tp t="s">
        <v>Short Sterling (CONNECT- All Sessions), Jun 21</v>
        <stp/>
        <stp>ContractData</stp>
        <stp>QSAM21</stp>
        <stp>LongDescription</stp>
        <tr r="B20" s="2"/>
      </tp>
      <tp t="s">
        <v>Short Sterling (CONNECT- All Sessions), Jun 22</v>
        <stp/>
        <stp>ContractData</stp>
        <stp>QSAM22</stp>
        <stp>LongDescription</stp>
        <tr r="B24" s="2"/>
      </tp>
      <tp>
        <v>0.105</v>
        <stp/>
        <stp>StudyData</stp>
        <stp>QSAS12?14</stp>
        <stp>Bar</stp>
        <stp/>
        <stp>Close</stp>
        <stp>D</stp>
        <stp>-20</stp>
        <stp>All</stp>
        <stp/>
        <stp/>
        <stp/>
        <stp>T</stp>
        <tr r="Z48" s="6"/>
        <tr r="Z48" s="6"/>
      </tp>
      <tp>
        <v>0.08</v>
        <stp/>
        <stp>ContractData</stp>
        <stp>QSAS12Z21</stp>
        <stp>Open</stp>
        <stp/>
        <stp>T</stp>
        <tr r="C39" s="2"/>
        <tr r="C38" s="2"/>
      </tp>
      <tp>
        <v>0.04</v>
        <stp/>
        <stp>ContractData</stp>
        <stp>QSAS12Z20</stp>
        <stp>Open</stp>
        <stp/>
        <stp>T</stp>
        <tr r="C34" s="2"/>
      </tp>
      <tp>
        <v>-5.5E-2</v>
        <stp/>
        <stp>ContractData</stp>
        <stp>QSAS12Z19</stp>
        <stp>Open</stp>
        <stp/>
        <stp>T</stp>
        <tr r="C30" s="2"/>
      </tp>
      <tp>
        <v>98.97</v>
        <stp/>
        <stp>StudyData</stp>
        <stp>QSAU22</stp>
        <stp>Bar</stp>
        <stp/>
        <stp>Close</stp>
        <stp>D</stp>
        <stp>-20</stp>
        <stp>All</stp>
        <stp/>
        <stp/>
        <stp/>
        <stp>T</stp>
        <tr r="D38" s="6"/>
        <tr r="D38" s="6"/>
      </tp>
      <tp>
        <v>98.944999999999993</v>
        <stp/>
        <stp>StudyData</stp>
        <stp>QSAZ22</stp>
        <stp>Bar</stp>
        <stp/>
        <stp>Close</stp>
        <stp>D</stp>
        <stp>-20</stp>
        <stp>All</stp>
        <stp/>
        <stp/>
        <stp/>
        <stp>T</stp>
        <tr r="D39" s="6"/>
        <tr r="D39" s="6"/>
      </tp>
      <tp>
        <v>98.99</v>
        <stp/>
        <stp>StudyData</stp>
        <stp>QSAM22</stp>
        <stp>Bar</stp>
        <stp/>
        <stp>Close</stp>
        <stp>D</stp>
        <stp>-20</stp>
        <stp>All</stp>
        <stp/>
        <stp/>
        <stp/>
        <stp>T</stp>
        <tr r="D37" s="6"/>
        <tr r="D37" s="6"/>
      </tp>
      <tp>
        <v>99.015000000000001</v>
        <stp/>
        <stp>StudyData</stp>
        <stp>QSAH22</stp>
        <stp>Bar</stp>
        <stp/>
        <stp>Close</stp>
        <stp>D</stp>
        <stp>-20</stp>
        <stp>All</stp>
        <stp/>
        <stp/>
        <stp/>
        <stp>T</stp>
        <tr r="D36" s="6"/>
        <tr r="D36" s="6"/>
      </tp>
      <tp>
        <v>0.1</v>
        <stp/>
        <stp>StudyData</stp>
        <stp>QSAS12?15</stp>
        <stp>Bar</stp>
        <stp/>
        <stp>Close</stp>
        <stp>D</stp>
        <stp>-20</stp>
        <stp>All</stp>
        <stp/>
        <stp/>
        <stp/>
        <stp>T</stp>
        <tr r="Z49" s="6"/>
        <tr r="Z49" s="6"/>
      </tp>
      <tp>
        <v>98.87</v>
        <stp/>
        <stp>StudyData</stp>
        <stp>QSAU23</stp>
        <stp>Bar</stp>
        <stp/>
        <stp>Close</stp>
        <stp>D</stp>
        <stp>-20</stp>
        <stp>All</stp>
        <stp/>
        <stp/>
        <stp/>
        <stp>T</stp>
        <tr r="D42" s="6"/>
        <tr r="D42" s="6"/>
      </tp>
      <tp>
        <v>98.844999999999999</v>
        <stp/>
        <stp>StudyData</stp>
        <stp>QSAZ23</stp>
        <stp>Bar</stp>
        <stp/>
        <stp>Close</stp>
        <stp>D</stp>
        <stp>-20</stp>
        <stp>All</stp>
        <stp/>
        <stp/>
        <stp/>
        <stp>T</stp>
        <tr r="D43" s="6"/>
        <tr r="D43" s="6"/>
      </tp>
      <tp>
        <v>98.894999999999996</v>
        <stp/>
        <stp>StudyData</stp>
        <stp>QSAM23</stp>
        <stp>Bar</stp>
        <stp/>
        <stp>Close</stp>
        <stp>D</stp>
        <stp>-20</stp>
        <stp>All</stp>
        <stp/>
        <stp/>
        <stp/>
        <stp>T</stp>
        <tr r="D41" s="6"/>
        <tr r="D41" s="6"/>
      </tp>
      <tp>
        <v>98.924999999999997</v>
        <stp/>
        <stp>StudyData</stp>
        <stp>QSAH23</stp>
        <stp>Bar</stp>
        <stp/>
        <stp>Close</stp>
        <stp>D</stp>
        <stp>-20</stp>
        <stp>All</stp>
        <stp/>
        <stp/>
        <stp/>
        <stp>T</stp>
        <tr r="D40" s="6"/>
        <tr r="D40" s="6"/>
      </tp>
      <tp>
        <v>9.5000000000000001E-2</v>
        <stp/>
        <stp>StudyData</stp>
        <stp>QSAS12?16</stp>
        <stp>Bar</stp>
        <stp/>
        <stp>Close</stp>
        <stp>D</stp>
        <stp>-20</stp>
        <stp>All</stp>
        <stp/>
        <stp/>
        <stp/>
        <stp>T</stp>
        <tr r="Z50" s="6"/>
        <tr r="Z50" s="6"/>
      </tp>
      <tp>
        <v>99.155000000000001</v>
        <stp/>
        <stp>StudyData</stp>
        <stp>QSAU20</stp>
        <stp>Bar</stp>
        <stp/>
        <stp>Close</stp>
        <stp>D</stp>
        <stp>-20</stp>
        <stp>All</stp>
        <stp/>
        <stp/>
        <stp/>
        <stp>T</stp>
        <tr r="D30" s="6"/>
        <tr r="D30" s="6"/>
      </tp>
      <tp>
        <v>99.12</v>
        <stp/>
        <stp>StudyData</stp>
        <stp>QSAZ20</stp>
        <stp>Bar</stp>
        <stp/>
        <stp>Close</stp>
        <stp>D</stp>
        <stp>-20</stp>
        <stp>All</stp>
        <stp/>
        <stp/>
        <stp/>
        <stp>T</stp>
        <tr r="D31" s="6"/>
        <tr r="D31" s="6"/>
      </tp>
      <tp>
        <v>99.18</v>
        <stp/>
        <stp>StudyData</stp>
        <stp>QSAM20</stp>
        <stp>Bar</stp>
        <stp/>
        <stp>Close</stp>
        <stp>D</stp>
        <stp>-20</stp>
        <stp>All</stp>
        <stp/>
        <stp/>
        <stp/>
        <stp>T</stp>
        <tr r="D29" s="6"/>
        <tr r="D29" s="6"/>
      </tp>
      <tp>
        <v>99.185000000000002</v>
        <stp/>
        <stp>StudyData</stp>
        <stp>QSAH20</stp>
        <stp>Bar</stp>
        <stp/>
        <stp>Close</stp>
        <stp>D</stp>
        <stp>-20</stp>
        <stp>All</stp>
        <stp/>
        <stp/>
        <stp/>
        <stp>T</stp>
        <tr r="D28" s="6"/>
        <tr r="D28" s="6"/>
      </tp>
      <tp>
        <v>0.09</v>
        <stp/>
        <stp>StudyData</stp>
        <stp>QSAS12?17</stp>
        <stp>Bar</stp>
        <stp/>
        <stp>Close</stp>
        <stp>D</stp>
        <stp>-20</stp>
        <stp>All</stp>
        <stp/>
        <stp/>
        <stp/>
        <stp>T</stp>
        <tr r="Z51" s="6"/>
        <tr r="Z51" s="6"/>
      </tp>
      <tp>
        <v>99.064999999999998</v>
        <stp/>
        <stp>StudyData</stp>
        <stp>QSAU21</stp>
        <stp>Bar</stp>
        <stp/>
        <stp>Close</stp>
        <stp>D</stp>
        <stp>-20</stp>
        <stp>All</stp>
        <stp/>
        <stp/>
        <stp/>
        <stp>T</stp>
        <tr r="D34" s="6"/>
        <tr r="D34" s="6"/>
      </tp>
      <tp>
        <v>99.034999999999997</v>
        <stp/>
        <stp>StudyData</stp>
        <stp>QSAZ21</stp>
        <stp>Bar</stp>
        <stp/>
        <stp>Close</stp>
        <stp>D</stp>
        <stp>-20</stp>
        <stp>All</stp>
        <stp/>
        <stp/>
        <stp/>
        <stp>T</stp>
        <tr r="D35" s="6"/>
        <tr r="D35" s="6"/>
      </tp>
      <tp>
        <v>99.09</v>
        <stp/>
        <stp>StudyData</stp>
        <stp>QSAM21</stp>
        <stp>Bar</stp>
        <stp/>
        <stp>Close</stp>
        <stp>D</stp>
        <stp>-20</stp>
        <stp>All</stp>
        <stp/>
        <stp/>
        <stp/>
        <stp>T</stp>
        <tr r="D33" s="6"/>
        <tr r="D33" s="6"/>
      </tp>
      <tp>
        <v>99.11</v>
        <stp/>
        <stp>StudyData</stp>
        <stp>QSAH21</stp>
        <stp>Bar</stp>
        <stp/>
        <stp>Close</stp>
        <stp>D</stp>
        <stp>-20</stp>
        <stp>All</stp>
        <stp/>
        <stp/>
        <stp/>
        <stp>T</stp>
        <tr r="D32" s="6"/>
        <tr r="D32" s="6"/>
      </tp>
      <tp t="s">
        <v/>
        <stp/>
        <stp>StudyData</stp>
        <stp>QSAS12?20</stp>
        <stp>Bar</stp>
        <stp/>
        <stp>Close</stp>
        <stp>D</stp>
        <stp>-20</stp>
        <stp>All</stp>
        <stp/>
        <stp/>
        <stp/>
        <stp>T</stp>
        <tr r="Z54" s="6"/>
      </tp>
      <tp>
        <v>0.09</v>
        <stp/>
        <stp>StudyData</stp>
        <stp>QSAS12?10</stp>
        <stp>Bar</stp>
        <stp/>
        <stp>Close</stp>
        <stp>D</stp>
        <stp>-20</stp>
        <stp>All</stp>
        <stp/>
        <stp/>
        <stp/>
        <stp>T</stp>
        <tr r="Z44" s="6"/>
        <tr r="Z44" s="6"/>
      </tp>
      <tp t="s">
        <v>Short Sterling (CONNECT- All Sessions), Mar 20</v>
        <stp/>
        <stp>ContractData</stp>
        <stp>QSAH20</stp>
        <stp>LongDescription</stp>
        <tr r="B15" s="2"/>
      </tp>
      <tp t="s">
        <v>Short Sterling (CONNECT- All Sessions), Mar 21</v>
        <stp/>
        <stp>ContractData</stp>
        <stp>QSAH21</stp>
        <stp>LongDescription</stp>
        <tr r="B19" s="2"/>
      </tp>
      <tp t="s">
        <v>Short Sterling (CONNECT- All Sessions), Mar 22</v>
        <stp/>
        <stp>ContractData</stp>
        <stp>QSAH22</stp>
        <stp>LongDescription</stp>
        <tr r="B23" s="2"/>
      </tp>
      <tp>
        <v>9.5000000000000001E-2</v>
        <stp/>
        <stp>StudyData</stp>
        <stp>QSAS12?11</stp>
        <stp>Bar</stp>
        <stp/>
        <stp>Close</stp>
        <stp>D</stp>
        <stp>-20</stp>
        <stp>All</stp>
        <stp/>
        <stp/>
        <stp/>
        <stp>T</stp>
        <tr r="Z45" s="6"/>
        <tr r="Z45" s="6"/>
      </tp>
      <tp t="s">
        <v>Short Sterling (CONNECT- All Sessions), Mar 23</v>
        <stp/>
        <stp>ContractData</stp>
        <stp>QSA</stp>
        <stp>LongDescription</stp>
        <tr r="M4" s="2"/>
        <tr r="M4" s="2"/>
      </tp>
      <tp>
        <v>9.5000000000000001E-2</v>
        <stp/>
        <stp>StudyData</stp>
        <stp>QSAS12?12</stp>
        <stp>Bar</stp>
        <stp/>
        <stp>Close</stp>
        <stp>D</stp>
        <stp>-20</stp>
        <stp>All</stp>
        <stp/>
        <stp/>
        <stp/>
        <stp>T</stp>
        <tr r="Z46" s="6"/>
        <tr r="Z46" s="6"/>
      </tp>
      <tp>
        <v>98.8</v>
        <stp/>
        <stp>StudyData</stp>
        <stp>QSAM24</stp>
        <stp>Bar</stp>
        <stp/>
        <stp>Close</stp>
        <stp>D</stp>
        <stp>-20</stp>
        <stp>All</stp>
        <stp/>
        <stp/>
        <stp/>
        <stp>T</stp>
        <tr r="D45" s="6"/>
        <tr r="D45" s="6"/>
      </tp>
      <tp>
        <v>98.82</v>
        <stp/>
        <stp>StudyData</stp>
        <stp>QSAH24</stp>
        <stp>Bar</stp>
        <stp/>
        <stp>Close</stp>
        <stp>D</stp>
        <stp>-20</stp>
        <stp>All</stp>
        <stp/>
        <stp/>
        <stp/>
        <stp>T</stp>
        <tr r="D44" s="6"/>
        <tr r="D44" s="6"/>
      </tp>
      <tp t="s">
        <v>Short Sterling Calendar Spread, Dec 23, Mar 24</v>
        <stp/>
        <stp>ContractData</stp>
        <stp>QSAS3?18</stp>
        <stp>LongDescription</stp>
        <tr r="AB42" s="2"/>
      </tp>
      <tp t="s">
        <v>Short Sterling Calendar Spread, Mar 24, Jun 24</v>
        <stp/>
        <stp>ContractData</stp>
        <stp>QSAS3?19</stp>
        <stp>LongDescription</stp>
        <tr r="AC42" s="2"/>
      </tp>
      <tp t="s">
        <v>Short Sterling Calendar Spread, Dec 21, Mar 22</v>
        <stp/>
        <stp>ContractData</stp>
        <stp>QSAS3?10</stp>
        <stp>LongDescription</stp>
        <tr r="T42" s="2"/>
      </tp>
      <tp t="s">
        <v>Short Sterling Calendar Spread, Mar 22, Jun 22</v>
        <stp/>
        <stp>ContractData</stp>
        <stp>QSAS3?11</stp>
        <stp>LongDescription</stp>
        <tr r="U42" s="2"/>
      </tp>
      <tp t="s">
        <v>Short Sterling Calendar Spread, Jun 22, Sep 22</v>
        <stp/>
        <stp>ContractData</stp>
        <stp>QSAS3?12</stp>
        <stp>LongDescription</stp>
        <tr r="V42" s="2"/>
      </tp>
      <tp t="s">
        <v>Short Sterling Calendar Spread, Sep 22, Dec 22</v>
        <stp/>
        <stp>ContractData</stp>
        <stp>QSAS3?13</stp>
        <stp>LongDescription</stp>
        <tr r="W42" s="2"/>
      </tp>
      <tp t="s">
        <v>Short Sterling Calendar Spread, Dec 22, Mar 23</v>
        <stp/>
        <stp>ContractData</stp>
        <stp>QSAS3?14</stp>
        <stp>LongDescription</stp>
        <tr r="X42" s="2"/>
      </tp>
      <tp t="s">
        <v>Short Sterling Calendar Spread, Mar 23, Jun 23</v>
        <stp/>
        <stp>ContractData</stp>
        <stp>QSAS3?15</stp>
        <stp>LongDescription</stp>
        <tr r="Y42" s="2"/>
      </tp>
      <tp t="s">
        <v>Short Sterling Calendar Spread, Jun 23, Sep 23</v>
        <stp/>
        <stp>ContractData</stp>
        <stp>QSAS3?16</stp>
        <stp>LongDescription</stp>
        <tr r="Z42" s="2"/>
      </tp>
      <tp t="s">
        <v>Short Sterling Calendar Spread, Sep 23, Dec 23</v>
        <stp/>
        <stp>ContractData</stp>
        <stp>QSAS3?17</stp>
        <stp>LongDescription</stp>
        <tr r="AA42" s="2"/>
      </tp>
      <tp t="s">
        <v>Short Sterling Calendar Spread, Jun 24, Sep 24</v>
        <stp/>
        <stp>ContractData</stp>
        <stp>QSAS3?20</stp>
        <stp>LongDescription</stp>
        <tr r="AD42" s="2"/>
      </tp>
      <tp>
        <v>0.1</v>
        <stp/>
        <stp>StudyData</stp>
        <stp>QSAS12?13</stp>
        <stp>Bar</stp>
        <stp/>
        <stp>Close</stp>
        <stp>D</stp>
        <stp>-20</stp>
        <stp>All</stp>
        <stp/>
        <stp/>
        <stp/>
        <stp>T</stp>
        <tr r="Z47" s="6"/>
        <tr r="Z47" s="6"/>
      </tp>
      <tp>
        <v>0.08</v>
        <stp/>
        <stp>ContractData</stp>
        <stp>QSAS12Z21</stp>
        <stp>High</stp>
        <stp/>
        <stp>T</stp>
        <tr r="D38" s="2"/>
        <tr r="D39" s="2"/>
      </tp>
      <tp>
        <v>0.04</v>
        <stp/>
        <stp>ContractData</stp>
        <stp>QSAS12Z20</stp>
        <stp>High</stp>
        <stp/>
        <stp>T</stp>
        <tr r="D34" s="2"/>
      </tp>
      <tp>
        <v>-0.05</v>
        <stp/>
        <stp>ContractData</stp>
        <stp>QSAS12Z19</stp>
        <stp>High</stp>
        <stp/>
        <stp>T</stp>
        <tr r="D30" s="2"/>
      </tp>
      <tp t="s">
        <v>Short Sterling (CONNECT- All Sessions), Sep 19</v>
        <stp/>
        <stp>ContractData</stp>
        <stp>QSAU19</stp>
        <stp>LongDescription</stp>
        <tr r="B4" s="2"/>
        <tr r="B13" s="2"/>
      </tp>
      <tp t="s">
        <v>Short Sterling (CONNECT- All Sessions), Sep 20</v>
        <stp/>
        <stp>ContractData</stp>
        <stp>QSAU20</stp>
        <stp>LongDescription</stp>
        <tr r="B17" s="2"/>
      </tp>
      <tp t="s">
        <v>Short Sterling (CONNECT- All Sessions), Sep 21</v>
        <stp/>
        <stp>ContractData</stp>
        <stp>QSAU21</stp>
        <stp>LongDescription</stp>
        <tr r="B21" s="2"/>
      </tp>
      <tp>
        <v>-6.5000000000000002E-2</v>
        <stp/>
        <stp>ContractData</stp>
        <stp>QSAS12U19</stp>
        <stp>Low</stp>
        <stp/>
        <stp>T</stp>
        <tr r="E29" s="2"/>
      </tp>
      <tp>
        <v>7.4999999999999997E-2</v>
        <stp/>
        <stp>ContractData</stp>
        <stp>QSAS12U21</stp>
        <stp>Low</stp>
        <stp/>
        <stp>T</stp>
        <tr r="E37" s="2"/>
      </tp>
      <tp>
        <v>2.5000000000000001E-2</v>
        <stp/>
        <stp>ContractData</stp>
        <stp>QSAS12U20</stp>
        <stp>Low</stp>
        <stp/>
        <stp>T</stp>
        <tr r="E33" s="2"/>
      </tp>
      <tp>
        <v>-6.5000000000000002E-2</v>
        <stp/>
        <stp>ContractData</stp>
        <stp>QSAS12Z19</stp>
        <stp>Low</stp>
        <stp/>
        <stp>T</stp>
        <tr r="E30" s="2"/>
      </tp>
      <tp>
        <v>7.4999999999999997E-2</v>
        <stp/>
        <stp>ContractData</stp>
        <stp>QSAS12Z21</stp>
        <stp>Low</stp>
        <stp/>
        <stp>T</stp>
        <tr r="E38" s="2"/>
        <tr r="E39" s="2"/>
      </tp>
      <tp>
        <v>3.5000000000000003E-2</v>
        <stp/>
        <stp>ContractData</stp>
        <stp>QSAS12Z20</stp>
        <stp>Low</stp>
        <stp/>
        <stp>T</stp>
        <tr r="E34" s="2"/>
      </tp>
      <tp>
        <v>0.06</v>
        <stp/>
        <stp>ContractData</stp>
        <stp>QSAS12H21</stp>
        <stp>Low</stp>
        <stp/>
        <stp>T</stp>
        <tr r="E35" s="2"/>
      </tp>
      <tp>
        <v>-0.03</v>
        <stp/>
        <stp>ContractData</stp>
        <stp>QSAS12H20</stp>
        <stp>Low</stp>
        <stp/>
        <stp>T</stp>
        <tr r="E31" s="2"/>
      </tp>
      <tp>
        <v>8.5000000000000006E-2</v>
        <stp/>
        <stp>ContractData</stp>
        <stp>QSAS12M22</stp>
        <stp>Low</stp>
        <stp/>
        <stp>T</stp>
        <tr r="E40" s="2"/>
      </tp>
      <tp>
        <v>7.0000000000000007E-2</v>
        <stp/>
        <stp>ContractData</stp>
        <stp>QSAS12M21</stp>
        <stp>Low</stp>
        <stp/>
        <stp>T</stp>
        <tr r="E36" s="2"/>
      </tp>
      <tp>
        <v>0</v>
        <stp/>
        <stp>ContractData</stp>
        <stp>QSAS12M20</stp>
        <stp>Low</stp>
        <stp/>
        <stp>T</stp>
        <tr r="E32" s="2"/>
      </tp>
      <tp>
        <v>1.4999999999999999E-2</v>
        <stp/>
        <stp>ContractData</stp>
        <stp>QSAS3?8</stp>
        <stp>LastTradeorSettle</stp>
        <stp/>
        <stp>T</stp>
        <tr r="AG42" s="6"/>
        <tr r="AG42" s="6"/>
        <tr r="R45" s="2"/>
      </tp>
      <tp>
        <v>2.5000000000000001E-2</v>
        <stp/>
        <stp>ContractData</stp>
        <stp>QSAS3?9</stp>
        <stp>LastTradeorSettle</stp>
        <stp/>
        <stp>T</stp>
        <tr r="AG43" s="6"/>
        <tr r="AG43" s="6"/>
        <tr r="S45" s="2"/>
      </tp>
      <tp>
        <v>2.5000000000000001E-2</v>
        <stp/>
        <stp>ContractData</stp>
        <stp>QSAS3?1</stp>
        <stp>LastTradeorSettle</stp>
        <stp/>
        <stp>T</stp>
        <tr r="AG35" s="6"/>
        <tr r="AG35" s="6"/>
        <tr r="K45" s="2"/>
      </tp>
      <tp>
        <v>-0.04</v>
        <stp/>
        <stp>ContractData</stp>
        <stp>QSAS3?2</stp>
        <stp>LastTradeorSettle</stp>
        <stp/>
        <stp>T</stp>
        <tr r="AG36" s="6"/>
        <tr r="AG36" s="6"/>
        <tr r="L45" s="2"/>
      </tp>
      <tp>
        <v>-0.02</v>
        <stp/>
        <stp>ContractData</stp>
        <stp>QSAS3?3</stp>
        <stp>LastTradeorSettle</stp>
        <stp/>
        <stp>T</stp>
        <tr r="AG37" s="6"/>
        <tr r="AG37" s="6"/>
        <tr r="M45" s="2"/>
      </tp>
      <tp>
        <v>-0.01</v>
        <stp/>
        <stp>ContractData</stp>
        <stp>QSAS3?4</stp>
        <stp>LastTradeorSettle</stp>
        <stp/>
        <stp>T</stp>
        <tr r="AG38" s="6"/>
        <tr r="AG38" s="6"/>
        <tr r="N45" s="2"/>
      </tp>
      <tp>
        <v>0.02</v>
        <stp/>
        <stp>ContractData</stp>
        <stp>QSAS3?5</stp>
        <stp>LastTradeorSettle</stp>
        <stp/>
        <stp>T</stp>
        <tr r="AG39" s="6"/>
        <tr r="AG39" s="6"/>
        <tr r="O45" s="2"/>
      </tp>
      <tp>
        <v>-0.01</v>
        <stp/>
        <stp>ContractData</stp>
        <stp>QSAS3?6</stp>
        <stp>LastTradeorSettle</stp>
        <stp/>
        <stp>T</stp>
        <tr r="AG40" s="6"/>
        <tr r="AG40" s="6"/>
        <tr r="P45" s="2"/>
      </tp>
      <tp>
        <v>1.4999999999999999E-2</v>
        <stp/>
        <stp>ContractData</stp>
        <stp>QSAS3?7</stp>
        <stp>LastTradeorSettle</stp>
        <stp/>
        <stp>T</stp>
        <tr r="AG41" s="6"/>
        <tr r="AG41" s="6"/>
        <tr r="Q45" s="2"/>
      </tp>
      <tp>
        <v>9792</v>
        <stp/>
        <stp>ContractData</stp>
        <stp>QSAU19</stp>
        <stp>MT_LastAskVolume</stp>
        <tr r="C7" s="2"/>
      </tp>
      <tp>
        <v>0.08</v>
        <stp/>
        <stp>StudyData</stp>
        <stp>QSAS12?9</stp>
        <stp>Bar</stp>
        <stp/>
        <stp>Close</stp>
        <stp>D</stp>
        <stp>-1</stp>
        <stp>All</stp>
        <stp/>
        <stp/>
        <stp/>
        <stp>T</stp>
        <tr r="X43" s="6"/>
      </tp>
      <tp>
        <v>7.0000000000000007E-2</v>
        <stp/>
        <stp>StudyData</stp>
        <stp>QSAS12?8</stp>
        <stp>Bar</stp>
        <stp/>
        <stp>Close</stp>
        <stp>D</stp>
        <stp>-1</stp>
        <stp>All</stp>
        <stp/>
        <stp/>
        <stp/>
        <stp>T</stp>
        <tr r="X42" s="6"/>
      </tp>
      <tp>
        <v>0.09</v>
        <stp/>
        <stp>StudyData</stp>
        <stp>QSAS12?9</stp>
        <stp>Bar</stp>
        <stp/>
        <stp>Close</stp>
        <stp>D</stp>
        <stp>-5</stp>
        <stp>All</stp>
        <stp/>
        <stp/>
        <stp/>
        <stp>T</stp>
        <tr r="Y43" s="6"/>
        <tr r="Y43" s="6"/>
      </tp>
      <tp>
        <v>0.08</v>
        <stp/>
        <stp>StudyData</stp>
        <stp>QSAS12?8</stp>
        <stp>Bar</stp>
        <stp/>
        <stp>Close</stp>
        <stp>D</stp>
        <stp>-5</stp>
        <stp>All</stp>
        <stp/>
        <stp/>
        <stp/>
        <stp>T</stp>
        <tr r="Y42" s="6"/>
        <tr r="Y42" s="6"/>
      </tp>
      <tp>
        <v>-1.4999999999999999E-2</v>
        <stp/>
        <stp>StudyData</stp>
        <stp>QSAS12?3</stp>
        <stp>Bar</stp>
        <stp/>
        <stp>Close</stp>
        <stp>D</stp>
        <stp>-1</stp>
        <stp>All</stp>
        <stp/>
        <stp/>
        <stp/>
        <stp>T</stp>
        <tr r="X37" s="6"/>
      </tp>
      <tp>
        <v>7.0000000000000007E-2</v>
        <stp/>
        <stp>StudyData</stp>
        <stp>QSAS12?7</stp>
        <stp>Bar</stp>
        <stp/>
        <stp>Close</stp>
        <stp>D</stp>
        <stp>-5</stp>
        <stp>All</stp>
        <stp/>
        <stp/>
        <stp/>
        <stp>T</stp>
        <tr r="Y41" s="6"/>
        <tr r="Y41" s="6"/>
      </tp>
      <tp>
        <v>-4.4999999999999998E-2</v>
        <stp/>
        <stp>StudyData</stp>
        <stp>QSAS12?2</stp>
        <stp>Bar</stp>
        <stp/>
        <stp>Close</stp>
        <stp>D</stp>
        <stp>-1</stp>
        <stp>All</stp>
        <stp/>
        <stp/>
        <stp/>
        <stp>T</stp>
        <tr r="X36" s="6"/>
      </tp>
      <tp>
        <v>0.05</v>
        <stp/>
        <stp>StudyData</stp>
        <stp>QSAS12?6</stp>
        <stp>Bar</stp>
        <stp/>
        <stp>Close</stp>
        <stp>D</stp>
        <stp>-5</stp>
        <stp>All</stp>
        <stp/>
        <stp/>
        <stp/>
        <stp>T</stp>
        <tr r="Y40" s="6"/>
        <tr r="Y40" s="6"/>
      </tp>
      <tp>
        <v>-3.5000000000000003E-2</v>
        <stp/>
        <stp>StudyData</stp>
        <stp>QSAS12?1</stp>
        <stp>Bar</stp>
        <stp/>
        <stp>Close</stp>
        <stp>D</stp>
        <stp>-1</stp>
        <stp>All</stp>
        <stp/>
        <stp/>
        <stp/>
        <stp>T</stp>
        <tr r="X35" s="6"/>
        <tr r="X35" s="6"/>
      </tp>
      <tp>
        <v>0.04</v>
        <stp/>
        <stp>StudyData</stp>
        <stp>QSAS12?5</stp>
        <stp>Bar</stp>
        <stp/>
        <stp>Close</stp>
        <stp>D</stp>
        <stp>-5</stp>
        <stp>All</stp>
        <stp/>
        <stp/>
        <stp/>
        <stp>T</stp>
        <tr r="Y39" s="6"/>
        <tr r="Y39" s="6"/>
      </tp>
      <tp>
        <v>0.01</v>
        <stp/>
        <stp>StudyData</stp>
        <stp>QSAS12?4</stp>
        <stp>Bar</stp>
        <stp/>
        <stp>Close</stp>
        <stp>D</stp>
        <stp>-5</stp>
        <stp>All</stp>
        <stp/>
        <stp/>
        <stp/>
        <stp>T</stp>
        <tr r="Y38" s="6"/>
        <tr r="Y38" s="6"/>
      </tp>
      <tp>
        <v>-2.5000000000000001E-2</v>
        <stp/>
        <stp>StudyData</stp>
        <stp>QSAS12?3</stp>
        <stp>Bar</stp>
        <stp/>
        <stp>Close</stp>
        <stp>D</stp>
        <stp>-5</stp>
        <stp>All</stp>
        <stp/>
        <stp/>
        <stp/>
        <stp>T</stp>
        <tr r="Y37" s="6"/>
        <tr r="Y37" s="6"/>
      </tp>
      <tp>
        <v>6.5000000000000002E-2</v>
        <stp/>
        <stp>StudyData</stp>
        <stp>QSAS12?7</stp>
        <stp>Bar</stp>
        <stp/>
        <stp>Close</stp>
        <stp>D</stp>
        <stp>-1</stp>
        <stp>All</stp>
        <stp/>
        <stp/>
        <stp/>
        <stp>T</stp>
        <tr r="X41" s="6"/>
      </tp>
      <tp>
        <v>-6.5000000000000002E-2</v>
        <stp/>
        <stp>StudyData</stp>
        <stp>QSAS12?2</stp>
        <stp>Bar</stp>
        <stp/>
        <stp>Close</stp>
        <stp>D</stp>
        <stp>-5</stp>
        <stp>All</stp>
        <stp/>
        <stp/>
        <stp/>
        <stp>T</stp>
        <tr r="Y36" s="6"/>
        <tr r="Y36" s="6"/>
      </tp>
      <tp>
        <v>4.4999999999999998E-2</v>
        <stp/>
        <stp>StudyData</stp>
        <stp>QSAS12?6</stp>
        <stp>Bar</stp>
        <stp/>
        <stp>Close</stp>
        <stp>D</stp>
        <stp>-1</stp>
        <stp>All</stp>
        <stp/>
        <stp/>
        <stp/>
        <stp>T</stp>
        <tr r="X40" s="6"/>
      </tp>
      <tp>
        <v>-0.05</v>
        <stp/>
        <stp>StudyData</stp>
        <stp>QSAS12?1</stp>
        <stp>Bar</stp>
        <stp/>
        <stp>Close</stp>
        <stp>D</stp>
        <stp>-5</stp>
        <stp>All</stp>
        <stp/>
        <stp/>
        <stp/>
        <stp>T</stp>
        <tr r="Y35" s="6"/>
        <tr r="Y35" s="6"/>
      </tp>
      <tp>
        <v>0.04</v>
        <stp/>
        <stp>StudyData</stp>
        <stp>QSAS12?5</stp>
        <stp>Bar</stp>
        <stp/>
        <stp>Close</stp>
        <stp>D</stp>
        <stp>-1</stp>
        <stp>All</stp>
        <stp/>
        <stp/>
        <stp/>
        <stp>T</stp>
        <tr r="X39" s="6"/>
      </tp>
      <tp>
        <v>1.4999999999999999E-2</v>
        <stp/>
        <stp>StudyData</stp>
        <stp>QSAS12?4</stp>
        <stp>Bar</stp>
        <stp/>
        <stp>Close</stp>
        <stp>D</stp>
        <stp>-1</stp>
        <stp>All</stp>
        <stp/>
        <stp/>
        <stp/>
        <stp>T</stp>
        <tr r="X38" s="6"/>
      </tp>
      <tp>
        <v>2.5000000000000001E-2</v>
        <stp/>
        <stp>StudyData</stp>
        <stp>QSAS3?19</stp>
        <stp>Bar</stp>
        <stp/>
        <stp>Close</stp>
        <stp>D</stp>
        <stp>-1</stp>
        <stp>All</stp>
        <stp/>
        <stp/>
        <stp/>
        <stp>T</stp>
        <tr r="AI53" s="6"/>
      </tp>
      <tp>
        <v>0.02</v>
        <stp/>
        <stp>StudyData</stp>
        <stp>QSAS3?18</stp>
        <stp>Bar</stp>
        <stp/>
        <stp>Close</stp>
        <stp>D</stp>
        <stp>-1</stp>
        <stp>All</stp>
        <stp/>
        <stp/>
        <stp/>
        <stp>T</stp>
        <tr r="AI52" s="6"/>
      </tp>
      <tp>
        <v>2.5000000000000001E-2</v>
        <stp/>
        <stp>StudyData</stp>
        <stp>QSAS3?19</stp>
        <stp>Bar</stp>
        <stp/>
        <stp>Close</stp>
        <stp>D</stp>
        <stp>-5</stp>
        <stp>All</stp>
        <stp/>
        <stp/>
        <stp/>
        <stp>T</stp>
        <tr r="AJ53" s="6"/>
      </tp>
      <tp>
        <v>0.02</v>
        <stp/>
        <stp>StudyData</stp>
        <stp>QSAS3?18</stp>
        <stp>Bar</stp>
        <stp/>
        <stp>Close</stp>
        <stp>D</stp>
        <stp>-5</stp>
        <stp>All</stp>
        <stp/>
        <stp/>
        <stp/>
        <stp>T</stp>
        <tr r="AJ52" s="6"/>
      </tp>
      <tp>
        <v>2.5000000000000001E-2</v>
        <stp/>
        <stp>StudyData</stp>
        <stp>QSAS3?13</stp>
        <stp>Bar</stp>
        <stp/>
        <stp>Close</stp>
        <stp>D</stp>
        <stp>-1</stp>
        <stp>All</stp>
        <stp/>
        <stp/>
        <stp/>
        <stp>T</stp>
        <tr r="AI47" s="6"/>
      </tp>
      <tp>
        <v>0.03</v>
        <stp/>
        <stp>StudyData</stp>
        <stp>QSAS3?17</stp>
        <stp>Bar</stp>
        <stp/>
        <stp>Close</stp>
        <stp>D</stp>
        <stp>-5</stp>
        <stp>All</stp>
        <stp/>
        <stp/>
        <stp/>
        <stp>T</stp>
        <tr r="AJ51" s="6"/>
      </tp>
      <tp>
        <v>2.5000000000000001E-2</v>
        <stp/>
        <stp>StudyData</stp>
        <stp>QSAS3?12</stp>
        <stp>Bar</stp>
        <stp/>
        <stp>Close</stp>
        <stp>D</stp>
        <stp>-1</stp>
        <stp>All</stp>
        <stp/>
        <stp/>
        <stp/>
        <stp>T</stp>
        <tr r="AI46" s="6"/>
      </tp>
      <tp>
        <v>0.03</v>
        <stp/>
        <stp>StudyData</stp>
        <stp>QSAS3?16</stp>
        <stp>Bar</stp>
        <stp/>
        <stp>Close</stp>
        <stp>D</stp>
        <stp>-5</stp>
        <stp>All</stp>
        <stp/>
        <stp/>
        <stp/>
        <stp>T</stp>
        <tr r="AJ50" s="6"/>
      </tp>
      <tp>
        <v>0.02</v>
        <stp/>
        <stp>StudyData</stp>
        <stp>QSAS3?11</stp>
        <stp>Bar</stp>
        <stp/>
        <stp>Close</stp>
        <stp>D</stp>
        <stp>-1</stp>
        <stp>All</stp>
        <stp/>
        <stp/>
        <stp/>
        <stp>T</stp>
        <tr r="AI45" s="6"/>
      </tp>
      <tp>
        <v>0.03</v>
        <stp/>
        <stp>StudyData</stp>
        <stp>QSAS3?15</stp>
        <stp>Bar</stp>
        <stp/>
        <stp>Close</stp>
        <stp>D</stp>
        <stp>-5</stp>
        <stp>All</stp>
        <stp/>
        <stp/>
        <stp/>
        <stp>T</stp>
        <tr r="AJ49" s="6"/>
      </tp>
      <tp>
        <v>0.01</v>
        <stp/>
        <stp>StudyData</stp>
        <stp>QSAS3?10</stp>
        <stp>Bar</stp>
        <stp/>
        <stp>Close</stp>
        <stp>D</stp>
        <stp>-1</stp>
        <stp>All</stp>
        <stp/>
        <stp/>
        <stp/>
        <stp>T</stp>
        <tr r="AI44" s="6"/>
      </tp>
      <tp>
        <v>1.4999999999999999E-2</v>
        <stp/>
        <stp>StudyData</stp>
        <stp>QSAS3?14</stp>
        <stp>Bar</stp>
        <stp/>
        <stp>Close</stp>
        <stp>D</stp>
        <stp>-5</stp>
        <stp>All</stp>
        <stp/>
        <stp/>
        <stp/>
        <stp>T</stp>
        <tr r="AJ48" s="6"/>
      </tp>
      <tp>
        <v>2.5000000000000001E-2</v>
        <stp/>
        <stp>StudyData</stp>
        <stp>QSAS3?13</stp>
        <stp>Bar</stp>
        <stp/>
        <stp>Close</stp>
        <stp>D</stp>
        <stp>-5</stp>
        <stp>All</stp>
        <stp/>
        <stp/>
        <stp/>
        <stp>T</stp>
        <tr r="AJ47" s="6"/>
      </tp>
      <tp>
        <v>0.03</v>
        <stp/>
        <stp>StudyData</stp>
        <stp>QSAS3?17</stp>
        <stp>Bar</stp>
        <stp/>
        <stp>Close</stp>
        <stp>D</stp>
        <stp>-1</stp>
        <stp>All</stp>
        <stp/>
        <stp/>
        <stp/>
        <stp>T</stp>
        <tr r="AI51" s="6"/>
      </tp>
      <tp>
        <v>2.5000000000000001E-2</v>
        <stp/>
        <stp>StudyData</stp>
        <stp>QSAS3?12</stp>
        <stp>Bar</stp>
        <stp/>
        <stp>Close</stp>
        <stp>D</stp>
        <stp>-5</stp>
        <stp>All</stp>
        <stp/>
        <stp/>
        <stp/>
        <stp>T</stp>
        <tr r="AJ46" s="6"/>
      </tp>
      <tp>
        <v>0.03</v>
        <stp/>
        <stp>StudyData</stp>
        <stp>QSAS3?16</stp>
        <stp>Bar</stp>
        <stp/>
        <stp>Close</stp>
        <stp>D</stp>
        <stp>-1</stp>
        <stp>All</stp>
        <stp/>
        <stp/>
        <stp/>
        <stp>T</stp>
        <tr r="AI50" s="6"/>
      </tp>
      <tp>
        <v>2.5000000000000001E-2</v>
        <stp/>
        <stp>StudyData</stp>
        <stp>QSAS3?11</stp>
        <stp>Bar</stp>
        <stp/>
        <stp>Close</stp>
        <stp>D</stp>
        <stp>-5</stp>
        <stp>All</stp>
        <stp/>
        <stp/>
        <stp/>
        <stp>T</stp>
        <tr r="AJ45" s="6"/>
      </tp>
      <tp>
        <v>0.03</v>
        <stp/>
        <stp>StudyData</stp>
        <stp>QSAS3?15</stp>
        <stp>Bar</stp>
        <stp/>
        <stp>Close</stp>
        <stp>D</stp>
        <stp>-1</stp>
        <stp>All</stp>
        <stp/>
        <stp/>
        <stp/>
        <stp>T</stp>
        <tr r="AI49" s="6"/>
      </tp>
      <tp>
        <v>1.4999999999999999E-2</v>
        <stp/>
        <stp>StudyData</stp>
        <stp>QSAS3?10</stp>
        <stp>Bar</stp>
        <stp/>
        <stp>Close</stp>
        <stp>D</stp>
        <stp>-5</stp>
        <stp>All</stp>
        <stp/>
        <stp/>
        <stp/>
        <stp>T</stp>
        <tr r="AJ44" s="6"/>
      </tp>
      <tp>
        <v>1.4999999999999999E-2</v>
        <stp/>
        <stp>StudyData</stp>
        <stp>QSAS3?14</stp>
        <stp>Bar</stp>
        <stp/>
        <stp>Close</stp>
        <stp>D</stp>
        <stp>-1</stp>
        <stp>All</stp>
        <stp/>
        <stp/>
        <stp/>
        <stp>T</stp>
        <tr r="AI48" s="6"/>
      </tp>
      <tp>
        <v>0.09</v>
        <stp/>
        <stp>ContractData</stp>
        <stp>QSAS12M22</stp>
        <stp>High</stp>
        <stp/>
        <stp>T</stp>
        <tr r="D40" s="2"/>
      </tp>
      <tp>
        <v>7.4999999999999997E-2</v>
        <stp/>
        <stp>ContractData</stp>
        <stp>QSAS12M21</stp>
        <stp>High</stp>
        <stp/>
        <stp>T</stp>
        <tr r="D36" s="2"/>
      </tp>
      <tp>
        <v>1.4999999999999999E-2</v>
        <stp/>
        <stp>ContractData</stp>
        <stp>QSAS12M20</stp>
        <stp>High</stp>
        <stp/>
        <stp>T</stp>
        <tr r="D32" s="2"/>
      </tp>
      <tp>
        <v>2694</v>
        <stp/>
        <stp>ContractData</stp>
        <stp>QSAU19</stp>
        <stp>MT_LastBidVolume</stp>
        <tr r="C9" s="2"/>
      </tp>
      <tp>
        <v>6.5000000000000002E-2</v>
        <stp/>
        <stp>ContractData</stp>
        <stp>QSAS12H21</stp>
        <stp>Open</stp>
        <stp/>
        <stp>T</stp>
        <tr r="C35" s="2"/>
      </tp>
      <tp>
        <v>-0.02</v>
        <stp/>
        <stp>ContractData</stp>
        <stp>QSAS12H20</stp>
        <stp>Open</stp>
        <stp/>
        <stp>T</stp>
        <tr r="C31" s="2"/>
      </tp>
      <tp>
        <v>0.03</v>
        <stp/>
        <stp>StudyData</stp>
        <stp>QSAS3?20</stp>
        <stp>Bar</stp>
        <stp/>
        <stp>Close</stp>
        <stp>D</stp>
        <stp>-1</stp>
        <stp>All</stp>
        <stp/>
        <stp/>
        <stp/>
        <stp>T</stp>
        <tr r="AI54" s="6"/>
      </tp>
      <tp>
        <v>0.03</v>
        <stp/>
        <stp>StudyData</stp>
        <stp>QSAS3?20</stp>
        <stp>Bar</stp>
        <stp/>
        <stp>Close</stp>
        <stp>D</stp>
        <stp>-5</stp>
        <stp>All</stp>
        <stp/>
        <stp/>
        <stp/>
        <stp>T</stp>
        <tr r="AJ54" s="6"/>
      </tp>
      <tp>
        <v>6.5000000000000002E-2</v>
        <stp/>
        <stp>ContractData</stp>
        <stp>QSAS12H21</stp>
        <stp>High</stp>
        <stp/>
        <stp>T</stp>
        <tr r="D35" s="2"/>
      </tp>
      <tp>
        <v>-0.02</v>
        <stp/>
        <stp>ContractData</stp>
        <stp>QSAS12H20</stp>
        <stp>High</stp>
        <stp/>
        <stp>T</stp>
        <tr r="D31" s="2"/>
      </tp>
      <tp>
        <v>99.210000000000008</v>
        <stp/>
        <stp>ContractData</stp>
        <stp>QSAU19</stp>
        <stp>Bid</stp>
        <stp/>
        <stp>T</stp>
        <tr r="E9" s="2"/>
        <tr r="K9" s="2"/>
        <tr r="S2" s="6"/>
      </tp>
      <tp>
        <v>98.935000000000002</v>
        <stp/>
        <stp>ContractData</stp>
        <stp>QSAU24</stp>
        <stp>Bid</stp>
        <stp/>
        <stp>T</stp>
        <tr r="S22" s="6"/>
      </tp>
      <tp>
        <v>99.04</v>
        <stp/>
        <stp>ContractData</stp>
        <stp>QSAU23</stp>
        <stp>Bid</stp>
        <stp/>
        <stp>T</stp>
        <tr r="AB9" s="2"/>
        <tr r="AA9" s="2"/>
        <tr r="S18" s="6"/>
      </tp>
      <tp>
        <v>99.135000000000005</v>
        <stp/>
        <stp>ContractData</stp>
        <stp>QSAU22</stp>
        <stp>Bid</stp>
        <stp/>
        <stp>T</stp>
        <tr r="W9" s="2"/>
        <tr r="S14" s="6"/>
      </tp>
      <tp>
        <v>99.215000000000003</v>
        <stp/>
        <stp>ContractData</stp>
        <stp>QSAU21</stp>
        <stp>Bid</stp>
        <stp/>
        <stp>T</stp>
        <tr r="S9" s="2"/>
        <tr r="S10" s="6"/>
      </tp>
      <tp>
        <v>99.254999999999995</v>
        <stp/>
        <stp>ContractData</stp>
        <stp>QSAU20</stp>
        <stp>Bid</stp>
        <stp/>
        <stp>T</stp>
        <tr r="O9" s="2"/>
        <tr r="S6" s="6"/>
      </tp>
      <tp>
        <v>99.23</v>
        <stp/>
        <stp>ContractData</stp>
        <stp>QSAZ20</stp>
        <stp>Low</stp>
        <stp/>
        <stp>T</stp>
        <tr r="E18" s="2"/>
      </tp>
      <tp>
        <v>99.185000000000002</v>
        <stp/>
        <stp>ContractData</stp>
        <stp>QSAZ21</stp>
        <stp>Low</stp>
        <stp/>
        <stp>T</stp>
        <tr r="E22" s="2"/>
      </tp>
      <tp>
        <v>99.18</v>
        <stp/>
        <stp>ContractData</stp>
        <stp>QSAZ19</stp>
        <stp>Low</stp>
        <stp/>
        <stp>T</stp>
        <tr r="E14" s="2"/>
      </tp>
      <tp>
        <v>99.26</v>
        <stp/>
        <stp>ContractData</stp>
        <stp>QSAU20</stp>
        <stp>Ask</stp>
        <stp/>
        <stp>T</stp>
        <tr r="O8" s="2"/>
        <tr r="T6" s="6"/>
      </tp>
      <tp>
        <v>99.22</v>
        <stp/>
        <stp>ContractData</stp>
        <stp>QSAU21</stp>
        <stp>Ask</stp>
        <stp/>
        <stp>T</stp>
        <tr r="S8" s="2"/>
        <tr r="T10" s="6"/>
      </tp>
      <tp>
        <v>99.14</v>
        <stp/>
        <stp>ContractData</stp>
        <stp>QSAU22</stp>
        <stp>Ask</stp>
        <stp/>
        <stp>T</stp>
        <tr r="W8" s="2"/>
        <tr r="T14" s="6"/>
      </tp>
      <tp>
        <v>99.05</v>
        <stp/>
        <stp>ContractData</stp>
        <stp>QSAU23</stp>
        <stp>Ask</stp>
        <stp/>
        <stp>T</stp>
        <tr r="AA8" s="2"/>
        <tr r="AB8" s="2"/>
        <tr r="T18" s="6"/>
      </tp>
      <tp>
        <v>98.95</v>
        <stp/>
        <stp>ContractData</stp>
        <stp>QSAU24</stp>
        <stp>Ask</stp>
        <stp/>
        <stp>T</stp>
        <tr r="T22" s="6"/>
      </tp>
      <tp>
        <v>99.215000000000003</v>
        <stp/>
        <stp>ContractData</stp>
        <stp>QSAU19</stp>
        <stp>Ask</stp>
        <stp/>
        <stp>T</stp>
        <tr r="K8" s="2"/>
        <tr r="E7" s="2"/>
        <tr r="T2" s="6"/>
      </tp>
      <tp>
        <v>99.240000000000009</v>
        <stp/>
        <stp>ContractData</stp>
        <stp>QSAZ20</stp>
        <stp>Ask</stp>
        <stp/>
        <stp>T</stp>
        <tr r="P8" s="2"/>
        <tr r="T7" s="6"/>
      </tp>
      <tp>
        <v>99.195000000000007</v>
        <stp/>
        <stp>ContractData</stp>
        <stp>QSAZ21</stp>
        <stp>Ask</stp>
        <stp/>
        <stp>T</stp>
        <tr r="T8" s="2"/>
        <tr r="T11" s="6"/>
      </tp>
      <tp>
        <v>99.115000000000009</v>
        <stp/>
        <stp>ContractData</stp>
        <stp>QSAZ22</stp>
        <stp>Ask</stp>
        <stp/>
        <stp>T</stp>
        <tr r="X8" s="2"/>
        <tr r="T15" s="6"/>
      </tp>
      <tp>
        <v>99.015000000000001</v>
        <stp/>
        <stp>ContractData</stp>
        <stp>QSAZ23</stp>
        <stp>Ask</stp>
        <stp/>
        <stp>T</stp>
        <tr r="T19" s="6"/>
      </tp>
      <tp>
        <v>98.924999999999997</v>
        <stp/>
        <stp>ContractData</stp>
        <stp>QSAZ24</stp>
        <stp>Ask</stp>
        <stp/>
        <stp>T</stp>
        <tr r="T23" s="6"/>
      </tp>
      <tp>
        <v>99.19</v>
        <stp/>
        <stp>ContractData</stp>
        <stp>QSAZ19</stp>
        <stp>Ask</stp>
        <stp/>
        <stp>T</stp>
        <tr r="L8" s="2"/>
        <tr r="T3" s="6"/>
      </tp>
      <tp>
        <v>99.25</v>
        <stp/>
        <stp>ContractData</stp>
        <stp>QSAU20</stp>
        <stp>Low</stp>
        <stp/>
        <stp>T</stp>
        <tr r="E17" s="2"/>
      </tp>
      <tp>
        <v>99.210000000000008</v>
        <stp/>
        <stp>ContractData</stp>
        <stp>QSAU21</stp>
        <stp>Low</stp>
        <stp/>
        <stp>T</stp>
        <tr r="E21" s="2"/>
      </tp>
      <tp>
        <v>99.204999999999998</v>
        <stp/>
        <stp>ContractData</stp>
        <stp>QSAU19</stp>
        <stp>Low</stp>
        <stp/>
        <stp>T</stp>
        <tr r="E13" s="2"/>
      </tp>
      <tp>
        <v>99.185000000000002</v>
        <stp/>
        <stp>ContractData</stp>
        <stp>QSAZ19</stp>
        <stp>Bid</stp>
        <stp/>
        <stp>T</stp>
        <tr r="L9" s="2"/>
        <tr r="S3" s="6"/>
      </tp>
      <tp>
        <v>98.9</v>
        <stp/>
        <stp>ContractData</stp>
        <stp>QSAZ24</stp>
        <stp>Bid</stp>
        <stp/>
        <stp>T</stp>
        <tr r="S23" s="6"/>
      </tp>
      <tp>
        <v>99.01</v>
        <stp/>
        <stp>ContractData</stp>
        <stp>QSAZ23</stp>
        <stp>Bid</stp>
        <stp/>
        <stp>T</stp>
        <tr r="S19" s="6"/>
      </tp>
      <tp>
        <v>99.11</v>
        <stp/>
        <stp>ContractData</stp>
        <stp>QSAZ22</stp>
        <stp>Bid</stp>
        <stp/>
        <stp>T</stp>
        <tr r="X9" s="2"/>
        <tr r="S15" s="6"/>
      </tp>
      <tp>
        <v>99.19</v>
        <stp/>
        <stp>ContractData</stp>
        <stp>QSAZ21</stp>
        <stp>Bid</stp>
        <stp/>
        <stp>T</stp>
        <tr r="T9" s="2"/>
        <tr r="S11" s="6"/>
      </tp>
      <tp>
        <v>99.234999999999999</v>
        <stp/>
        <stp>ContractData</stp>
        <stp>QSAZ20</stp>
        <stp>Bid</stp>
        <stp/>
        <stp>T</stp>
        <tr r="P9" s="2"/>
        <tr r="S7" s="6"/>
      </tp>
      <tp>
        <v>99.22</v>
        <stp/>
        <stp>ContractData</stp>
        <stp>QSAH20</stp>
        <stp>Low</stp>
        <stp/>
        <stp>T</stp>
        <tr r="E15" s="2"/>
      </tp>
      <tp>
        <v>99.240000000000009</v>
        <stp/>
        <stp>ContractData</stp>
        <stp>QSAH21</stp>
        <stp>Low</stp>
        <stp/>
        <stp>T</stp>
        <tr r="E19" s="2"/>
      </tp>
      <tp>
        <v>99.174999999999997</v>
        <stp/>
        <stp>ContractData</stp>
        <stp>QSAH22</stp>
        <stp>Low</stp>
        <stp/>
        <stp>T</stp>
        <tr r="E23" s="2"/>
      </tp>
      <tp>
        <v>99.240000000000009</v>
        <stp/>
        <stp>ContractData</stp>
        <stp>QSAM20</stp>
        <stp>Low</stp>
        <stp/>
        <stp>T</stp>
        <tr r="E16" s="2"/>
      </tp>
      <tp>
        <v>99.225000000000009</v>
        <stp/>
        <stp>ContractData</stp>
        <stp>QSAM21</stp>
        <stp>Low</stp>
        <stp/>
        <stp>T</stp>
        <tr r="E20" s="2"/>
      </tp>
      <tp>
        <v>99.155000000000001</v>
        <stp/>
        <stp>ContractData</stp>
        <stp>QSAM22</stp>
        <stp>Low</stp>
        <stp/>
        <stp>T</stp>
        <tr r="E24" s="2"/>
      </tp>
      <tp>
        <v>98.965000000000003</v>
        <stp/>
        <stp>ContractData</stp>
        <stp>QSAM24</stp>
        <stp>Bid</stp>
        <stp/>
        <stp>T</stp>
        <tr r="AD9" s="2"/>
        <tr r="S21" s="6"/>
      </tp>
      <tp>
        <v>99.070000000000007</v>
        <stp/>
        <stp>ContractData</stp>
        <stp>QSAM23</stp>
        <stp>Bid</stp>
        <stp/>
        <stp>T</stp>
        <tr r="Z9" s="2"/>
        <tr r="S17" s="6"/>
      </tp>
      <tp>
        <v>99.155000000000001</v>
        <stp/>
        <stp>ContractData</stp>
        <stp>QSAM22</stp>
        <stp>Bid</stp>
        <stp/>
        <stp>T</stp>
        <tr r="V9" s="2"/>
        <tr r="S13" s="6"/>
      </tp>
      <tp>
        <v>99.23</v>
        <stp/>
        <stp>ContractData</stp>
        <stp>QSAM21</stp>
        <stp>Bid</stp>
        <stp/>
        <stp>T</stp>
        <tr r="R9" s="2"/>
        <tr r="S9" s="6"/>
      </tp>
      <tp>
        <v>99.245000000000005</v>
        <stp/>
        <stp>ContractData</stp>
        <stp>QSAM20</stp>
        <stp>Bid</stp>
        <stp/>
        <stp>T</stp>
        <tr r="N9" s="2"/>
        <tr r="S5" s="6"/>
      </tp>
      <tp>
        <v>99.254999999999995</v>
        <stp/>
        <stp>ContractData</stp>
        <stp>QSAM20</stp>
        <stp>Ask</stp>
        <stp/>
        <stp>T</stp>
        <tr r="N8" s="2"/>
        <tr r="T5" s="6"/>
      </tp>
      <tp>
        <v>99.234999999999999</v>
        <stp/>
        <stp>ContractData</stp>
        <stp>QSAM21</stp>
        <stp>Ask</stp>
        <stp/>
        <stp>T</stp>
        <tr r="R8" s="2"/>
        <tr r="T9" s="6"/>
      </tp>
      <tp>
        <v>99.16</v>
        <stp/>
        <stp>ContractData</stp>
        <stp>QSAM22</stp>
        <stp>Ask</stp>
        <stp/>
        <stp>T</stp>
        <tr r="V8" s="2"/>
        <tr r="T13" s="6"/>
      </tp>
      <tp>
        <v>99.075000000000003</v>
        <stp/>
        <stp>ContractData</stp>
        <stp>QSAM23</stp>
        <stp>Ask</stp>
        <stp/>
        <stp>T</stp>
        <tr r="Z8" s="2"/>
        <tr r="T17" s="6"/>
      </tp>
      <tp>
        <v>98.975000000000009</v>
        <stp/>
        <stp>ContractData</stp>
        <stp>QSAM24</stp>
        <stp>Ask</stp>
        <stp/>
        <stp>T</stp>
        <tr r="AD8" s="2"/>
        <tr r="T21" s="6"/>
      </tp>
      <tp>
        <v>98.990000000000009</v>
        <stp/>
        <stp>ContractData</stp>
        <stp>QSAH24</stp>
        <stp>Bid</stp>
        <stp/>
        <stp>T</stp>
        <tr r="AC9" s="2"/>
        <tr r="S20" s="6"/>
      </tp>
      <tp>
        <v>99.094999999999999</v>
        <stp/>
        <stp>ContractData</stp>
        <stp>QSAH23</stp>
        <stp>Bid</stp>
        <stp/>
        <stp>T</stp>
        <tr r="Y9" s="2"/>
        <tr r="S16" s="6"/>
      </tp>
      <tp>
        <v>99.174999999999997</v>
        <stp/>
        <stp>ContractData</stp>
        <stp>QSAH22</stp>
        <stp>Bid</stp>
        <stp/>
        <stp>T</stp>
        <tr r="U9" s="2"/>
        <tr r="S12" s="6"/>
      </tp>
      <tp>
        <v>99.245000000000005</v>
        <stp/>
        <stp>ContractData</stp>
        <stp>QSAH21</stp>
        <stp>Bid</stp>
        <stp/>
        <stp>T</stp>
        <tr r="Q9" s="2"/>
        <tr r="S8" s="6"/>
      </tp>
      <tp>
        <v>99.225000000000009</v>
        <stp/>
        <stp>ContractData</stp>
        <stp>QSAH20</stp>
        <stp>Bid</stp>
        <stp/>
        <stp>T</stp>
        <tr r="M9" s="2"/>
        <tr r="S4" s="6"/>
      </tp>
      <tp>
        <v>99.23</v>
        <stp/>
        <stp>ContractData</stp>
        <stp>QSAH20</stp>
        <stp>Ask</stp>
        <stp/>
        <stp>T</stp>
        <tr r="M8" s="2"/>
        <tr r="T4" s="6"/>
      </tp>
      <tp>
        <v>99.25</v>
        <stp/>
        <stp>ContractData</stp>
        <stp>QSAH21</stp>
        <stp>Ask</stp>
        <stp/>
        <stp>T</stp>
        <tr r="Q8" s="2"/>
        <tr r="T8" s="6"/>
      </tp>
      <tp>
        <v>99.185000000000002</v>
        <stp/>
        <stp>ContractData</stp>
        <stp>QSAH22</stp>
        <stp>Ask</stp>
        <stp/>
        <stp>T</stp>
        <tr r="U8" s="2"/>
        <tr r="T12" s="6"/>
      </tp>
      <tp>
        <v>99.100000000000009</v>
        <stp/>
        <stp>ContractData</stp>
        <stp>QSAH23</stp>
        <stp>Ask</stp>
        <stp/>
        <stp>T</stp>
        <tr r="Y8" s="2"/>
        <tr r="T16" s="6"/>
      </tp>
      <tp>
        <v>99</v>
        <stp/>
        <stp>ContractData</stp>
        <stp>QSAH24</stp>
        <stp>Ask</stp>
        <stp/>
        <stp>T</stp>
        <tr r="AC8" s="2"/>
        <tr r="T20" s="6"/>
      </tp>
      <tp t="s">
        <v>Short Sterling (CONNECT- All Sessions), Dec 19</v>
        <stp/>
        <stp>ContractData</stp>
        <stp>QSAZ19</stp>
        <stp>LongDescription</stp>
        <tr r="B14" s="2"/>
      </tp>
      <tp t="s">
        <v>Short Sterling (CONNECT- All Sessions), Dec 20</v>
        <stp/>
        <stp>ContractData</stp>
        <stp>QSAZ20</stp>
        <stp>LongDescription</stp>
        <tr r="B18" s="2"/>
      </tp>
      <tp t="s">
        <v>Short Sterling (CONNECT- All Sessions), Dec 21</v>
        <stp/>
        <stp>ContractData</stp>
        <stp>QSAZ21</stp>
        <stp>LongDescription</stp>
        <tr r="B22" s="2"/>
      </tp>
      <tp>
        <v>7.4999999999999997E-2</v>
        <stp/>
        <stp>ContractData</stp>
        <stp>QSAS12M21</stp>
        <stp>Open</stp>
        <stp/>
        <stp>T</stp>
        <tr r="C36" s="2"/>
      </tp>
      <tp>
        <v>5.0000000000000001E-3</v>
        <stp/>
        <stp>ContractData</stp>
        <stp>QSAS12M20</stp>
        <stp>Open</stp>
        <stp/>
        <stp>T</stp>
        <tr r="C32" s="2"/>
      </tp>
      <tp>
        <v>0.09</v>
        <stp/>
        <stp>ContractData</stp>
        <stp>QSAS12M22</stp>
        <stp>Open</stp>
        <stp/>
        <stp>T</stp>
        <tr r="C40" s="2"/>
      </tp>
      <tp t="s">
        <v>QSAS3U19</v>
        <stp/>
        <stp>ContractData</stp>
        <stp>QSAS3?1</stp>
        <stp>Symbol</stp>
        <tr r="A45" s="2"/>
      </tp>
      <tp t="s">
        <v>QSAS3Z19</v>
        <stp/>
        <stp>ContractData</stp>
        <stp>QSAS3?2</stp>
        <stp>Symbol</stp>
        <tr r="A46" s="2"/>
      </tp>
      <tp t="s">
        <v>QSAS3H20</v>
        <stp/>
        <stp>ContractData</stp>
        <stp>QSAS3?3</stp>
        <stp>Symbol</stp>
        <tr r="A47" s="2"/>
      </tp>
      <tp t="s">
        <v>QSAS3M20</v>
        <stp/>
        <stp>ContractData</stp>
        <stp>QSAS3?4</stp>
        <stp>Symbol</stp>
        <tr r="A48" s="2"/>
      </tp>
      <tp t="s">
        <v>QSAS3U20</v>
        <stp/>
        <stp>ContractData</stp>
        <stp>QSAS3?5</stp>
        <stp>Symbol</stp>
        <tr r="A49" s="2"/>
      </tp>
      <tp t="s">
        <v>QSAS3Z20</v>
        <stp/>
        <stp>ContractData</stp>
        <stp>QSAS3?6</stp>
        <stp>Symbol</stp>
        <tr r="A50" s="2"/>
      </tp>
      <tp t="s">
        <v>QSAS3H21</v>
        <stp/>
        <stp>ContractData</stp>
        <stp>QSAS3?7</stp>
        <stp>Symbol</stp>
        <tr r="A51" s="2"/>
      </tp>
      <tp t="s">
        <v>QSAS3M21</v>
        <stp/>
        <stp>ContractData</stp>
        <stp>QSAS3?8</stp>
        <stp>Symbol</stp>
        <tr r="A52" s="2"/>
      </tp>
      <tp t="s">
        <v>QSAS3U21</v>
        <stp/>
        <stp>ContractData</stp>
        <stp>QSAS3?9</stp>
        <stp>Symbol</stp>
        <tr r="A53" s="2"/>
      </tp>
      <tp>
        <v>0.09</v>
        <stp/>
        <stp>ContractData</stp>
        <stp>QSAS12?20</stp>
        <stp>Bid</stp>
        <tr r="AD28" s="2"/>
      </tp>
      <tp>
        <v>0.09</v>
        <stp/>
        <stp>ContractData</stp>
        <stp>QSAS12?18</stp>
        <stp>Bid</stp>
        <tr r="AB28" s="2"/>
      </tp>
      <tp>
        <v>9.5000000000000001E-2</v>
        <stp/>
        <stp>ContractData</stp>
        <stp>QSAS12?19</stp>
        <stp>Bid</stp>
        <tr r="AC28" s="2"/>
      </tp>
      <tp>
        <v>7.4999999999999997E-2</v>
        <stp/>
        <stp>ContractData</stp>
        <stp>QSAS12?10</stp>
        <stp>Bid</stp>
        <tr r="T28" s="2"/>
      </tp>
      <tp>
        <v>0.08</v>
        <stp/>
        <stp>ContractData</stp>
        <stp>QSAS12?11</stp>
        <stp>Bid</stp>
        <tr r="U28" s="2"/>
      </tp>
      <tp>
        <v>8.5000000000000006E-2</v>
        <stp/>
        <stp>ContractData</stp>
        <stp>QSAS12?12</stp>
        <stp>Bid</stp>
        <tr r="V28" s="2"/>
      </tp>
      <tp>
        <v>0.09</v>
        <stp/>
        <stp>ContractData</stp>
        <stp>QSAS12?13</stp>
        <stp>Bid</stp>
        <tr r="W28" s="2"/>
      </tp>
      <tp>
        <v>9.5000000000000001E-2</v>
        <stp/>
        <stp>ContractData</stp>
        <stp>QSAS12?14</stp>
        <stp>Bid</stp>
        <tr r="X28" s="2"/>
      </tp>
      <tp>
        <v>0.1</v>
        <stp/>
        <stp>ContractData</stp>
        <stp>QSAS12?15</stp>
        <stp>Bid</stp>
        <tr r="Y28" s="2"/>
      </tp>
      <tp>
        <v>0.1</v>
        <stp/>
        <stp>ContractData</stp>
        <stp>QSAS12?16</stp>
        <stp>Bid</stp>
        <tr r="Z28" s="2"/>
      </tp>
      <tp>
        <v>9.5000000000000001E-2</v>
        <stp/>
        <stp>ContractData</stp>
        <stp>QSAS12?17</stp>
        <stp>Bid</stp>
        <tr r="AA28" s="2"/>
      </tp>
      <tp>
        <v>0.115</v>
        <stp/>
        <stp>ContractData</stp>
        <stp>QSAS12?17</stp>
        <stp>Ask</stp>
        <tr r="AA27" s="2"/>
      </tp>
      <tp>
        <v>0.11</v>
        <stp/>
        <stp>ContractData</stp>
        <stp>QSAS12?16</stp>
        <stp>Ask</stp>
        <tr r="Z27" s="2"/>
      </tp>
      <tp>
        <v>0.105</v>
        <stp/>
        <stp>ContractData</stp>
        <stp>QSAS12?15</stp>
        <stp>Ask</stp>
        <tr r="Y27" s="2"/>
      </tp>
      <tp>
        <v>0.105</v>
        <stp/>
        <stp>ContractData</stp>
        <stp>QSAS12?14</stp>
        <stp>Ask</stp>
        <tr r="X27" s="2"/>
      </tp>
      <tp>
        <v>9.5000000000000001E-2</v>
        <stp/>
        <stp>ContractData</stp>
        <stp>QSAS12?13</stp>
        <stp>Ask</stp>
        <tr r="W27" s="2"/>
      </tp>
      <tp>
        <v>0.09</v>
        <stp/>
        <stp>ContractData</stp>
        <stp>QSAS12?12</stp>
        <stp>Ask</stp>
        <tr r="V27" s="2"/>
      </tp>
      <tp>
        <v>8.5000000000000006E-2</v>
        <stp/>
        <stp>ContractData</stp>
        <stp>QSAS12?11</stp>
        <stp>Ask</stp>
        <tr r="U27" s="2"/>
      </tp>
      <tp>
        <v>0.08</v>
        <stp/>
        <stp>ContractData</stp>
        <stp>QSAS12?10</stp>
        <stp>Ask</stp>
        <tr r="T27" s="2"/>
      </tp>
      <tp>
        <v>0.125</v>
        <stp/>
        <stp>ContractData</stp>
        <stp>QSAS12?19</stp>
        <stp>Ask</stp>
        <tr r="AC27" s="2"/>
      </tp>
      <tp>
        <v>0.115</v>
        <stp/>
        <stp>ContractData</stp>
        <stp>QSAS12?18</stp>
        <stp>Ask</stp>
        <tr r="AB27" s="2"/>
      </tp>
      <tp>
        <v>0.13</v>
        <stp/>
        <stp>ContractData</stp>
        <stp>QSAS12?20</stp>
        <stp>Ask</stp>
        <tr r="AD27" s="2"/>
      </tp>
      <tp t="s">
        <v>Short Sterling Calendar Spread, Sep 19, Dec 19</v>
        <stp/>
        <stp>ContractData</stp>
        <stp>QSAS3U19</stp>
        <stp>LongDescription</stp>
        <tr r="B45" s="2"/>
      </tp>
      <tp t="s">
        <v>Short Sterling Calendar Spread, Sep 20, Dec 20</v>
        <stp/>
        <stp>ContractData</stp>
        <stp>QSAS3U20</stp>
        <stp>LongDescription</stp>
        <tr r="B49" s="2"/>
      </tp>
      <tp t="s">
        <v>Short Sterling Calendar Spread, Sep 21, Dec 21</v>
        <stp/>
        <stp>ContractData</stp>
        <stp>QSAS3U21</stp>
        <stp>LongDescription</stp>
        <tr r="B53" s="2"/>
      </tp>
      <tp t="s">
        <v>Short Sterling Calendar Spread, Dec 19, Mar 20</v>
        <stp/>
        <stp>ContractData</stp>
        <stp>QSAS3Z19</stp>
        <stp>LongDescription</stp>
        <tr r="B46" s="2"/>
      </tp>
      <tp t="s">
        <v>Short Sterling Calendar Spread, Dec 20, Mar 21</v>
        <stp/>
        <stp>ContractData</stp>
        <stp>QSAS3Z20</stp>
        <stp>LongDescription</stp>
        <tr r="B50" s="2"/>
      </tp>
      <tp t="s">
        <v>Short Sterling Calendar Spread, Dec 21, Mar 22</v>
        <stp/>
        <stp>ContractData</stp>
        <stp>QSAS3Z21</stp>
        <stp>LongDescription</stp>
        <tr r="B54" s="2"/>
      </tp>
      <tp>
        <v>0.02</v>
        <stp/>
        <stp>ContractData</stp>
        <stp>QSAS3?9</stp>
        <stp>Bid</stp>
        <tr r="S44" s="2"/>
      </tp>
      <tp>
        <v>1.4999999999999999E-2</v>
        <stp/>
        <stp>ContractData</stp>
        <stp>QSAS3?8</stp>
        <stp>Bid</stp>
        <tr r="R44" s="2"/>
      </tp>
      <tp>
        <v>0.02</v>
        <stp/>
        <stp>ContractData</stp>
        <stp>QSAS3?1</stp>
        <stp>Bid</stp>
        <tr r="K44" s="2"/>
      </tp>
      <tp>
        <v>-2.5000000000000001E-2</v>
        <stp/>
        <stp>ContractData</stp>
        <stp>QSAS3?3</stp>
        <stp>Bid</stp>
        <tr r="M44" s="2"/>
      </tp>
      <tp>
        <v>-4.4999999999999998E-2</v>
        <stp/>
        <stp>ContractData</stp>
        <stp>QSAS3?2</stp>
        <stp>Bid</stp>
        <tr r="L44" s="2"/>
      </tp>
      <tp>
        <v>0.02</v>
        <stp/>
        <stp>ContractData</stp>
        <stp>QSAS3?5</stp>
        <stp>Bid</stp>
        <tr r="O44" s="2"/>
      </tp>
      <tp>
        <v>-0.01</v>
        <stp/>
        <stp>ContractData</stp>
        <stp>QSAS3?4</stp>
        <stp>Bid</stp>
        <tr r="N44" s="2"/>
      </tp>
      <tp>
        <v>0.01</v>
        <stp/>
        <stp>ContractData</stp>
        <stp>QSAS3?7</stp>
        <stp>Bid</stp>
        <tr r="Q44" s="2"/>
      </tp>
      <tp>
        <v>-1.4999999999999999E-2</v>
        <stp/>
        <stp>ContractData</stp>
        <stp>QSAS3?6</stp>
        <stp>Bid</stp>
        <tr r="P44" s="2"/>
      </tp>
      <tp>
        <v>-0.01</v>
        <stp/>
        <stp>ContractData</stp>
        <stp>QSAS3?6</stp>
        <stp>Ask</stp>
        <tr r="P43" s="2"/>
      </tp>
      <tp>
        <v>1.4999999999999999E-2</v>
        <stp/>
        <stp>ContractData</stp>
        <stp>QSAS3?7</stp>
        <stp>Ask</stp>
        <tr r="Q43" s="2"/>
      </tp>
      <tp>
        <v>-5.0000000000000001E-3</v>
        <stp/>
        <stp>ContractData</stp>
        <stp>QSAS3?4</stp>
        <stp>Ask</stp>
        <tr r="N43" s="2"/>
      </tp>
      <tp>
        <v>2.5000000000000001E-2</v>
        <stp/>
        <stp>ContractData</stp>
        <stp>QSAS3?5</stp>
        <stp>Ask</stp>
        <tr r="O43" s="2"/>
      </tp>
      <tp>
        <v>-0.04</v>
        <stp/>
        <stp>ContractData</stp>
        <stp>QSAS3?2</stp>
        <stp>Ask</stp>
        <tr r="L43" s="2"/>
      </tp>
      <tp>
        <v>-0.02</v>
        <stp/>
        <stp>ContractData</stp>
        <stp>QSAS3?3</stp>
        <stp>Ask</stp>
        <tr r="M43" s="2"/>
      </tp>
      <tp>
        <v>2.5000000000000001E-2</v>
        <stp/>
        <stp>ContractData</stp>
        <stp>QSAS3?1</stp>
        <stp>Ask</stp>
        <tr r="K43" s="2"/>
      </tp>
      <tp>
        <v>0.02</v>
        <stp/>
        <stp>ContractData</stp>
        <stp>QSAS3?8</stp>
        <stp>Ask</stp>
        <tr r="R43" s="2"/>
      </tp>
      <tp>
        <v>2.5000000000000001E-2</v>
        <stp/>
        <stp>ContractData</stp>
        <stp>QSAS3?9</stp>
        <stp>Ask</stp>
        <tr r="S43" s="2"/>
      </tp>
      <tp t="s">
        <v>MAR</v>
        <stp/>
        <stp>ContractData</stp>
        <stp>QSAH20</stp>
        <stp>ContractMonth</stp>
        <tr r="B4" s="6"/>
      </tp>
      <tp t="s">
        <v>JUN</v>
        <stp/>
        <stp>ContractData</stp>
        <stp>QSAM20</stp>
        <stp>ContractMonth</stp>
        <tr r="B5" s="6"/>
      </tp>
      <tp t="s">
        <v>SEP</v>
        <stp/>
        <stp>ContractData</stp>
        <stp>QSAU20</stp>
        <stp>ContractMonth</stp>
        <tr r="B6" s="6"/>
      </tp>
      <tp t="s">
        <v>DEC</v>
        <stp/>
        <stp>ContractData</stp>
        <stp>QSAZ20</stp>
        <stp>ContractMonth</stp>
        <tr r="B7" s="6"/>
      </tp>
      <tp t="s">
        <v>MAR</v>
        <stp/>
        <stp>ContractData</stp>
        <stp>QSAH21</stp>
        <stp>ContractMonth</stp>
        <tr r="B8" s="6"/>
      </tp>
      <tp t="s">
        <v>JUN</v>
        <stp/>
        <stp>ContractData</stp>
        <stp>QSAM21</stp>
        <stp>ContractMonth</stp>
        <tr r="B9" s="6"/>
      </tp>
      <tp t="s">
        <v>SEP</v>
        <stp/>
        <stp>ContractData</stp>
        <stp>QSAU21</stp>
        <stp>ContractMonth</stp>
        <tr r="B10" s="6"/>
      </tp>
      <tp t="s">
        <v>DEC</v>
        <stp/>
        <stp>ContractData</stp>
        <stp>QSAZ21</stp>
        <stp>ContractMonth</stp>
        <tr r="B11" s="6"/>
      </tp>
      <tp t="s">
        <v>MAR</v>
        <stp/>
        <stp>ContractData</stp>
        <stp>QSAH22</stp>
        <stp>ContractMonth</stp>
        <tr r="B12" s="6"/>
      </tp>
      <tp t="s">
        <v>JUN</v>
        <stp/>
        <stp>ContractData</stp>
        <stp>QSAM22</stp>
        <stp>ContractMonth</stp>
        <tr r="B13" s="6"/>
      </tp>
      <tp t="s">
        <v>QSAS12Z21</v>
        <stp/>
        <stp>ContractData</stp>
        <stp>QSAS12?10</stp>
        <stp>Symbol</stp>
        <tr r="A39" s="2"/>
        <tr r="A38" s="2"/>
      </tp>
      <tp t="s">
        <v>QSAS12M22</v>
        <stp/>
        <stp>ContractData</stp>
        <stp>QSAS12?12</stp>
        <stp>Symbol</stp>
        <tr r="A40" s="2"/>
      </tp>
      <tp>
        <v>43640.396296296298</v>
        <stp/>
        <stp>SystemInfo</stp>
        <stp>Linetime</stp>
        <tr r="AB4" s="2"/>
      </tp>
      <tp>
        <v>1.5000000000000568E-2</v>
        <stp/>
        <stp>ContractData</stp>
        <stp>F.QSA?8</stp>
        <stp>NetLastQuoteToday</stp>
        <stp/>
        <stp>T</stp>
        <tr r="U9" s="6"/>
      </tp>
      <tp>
        <v>1.0000000000005116E-2</v>
        <stp/>
        <stp>ContractData</stp>
        <stp>F.QSA?9</stp>
        <stp>NetLastQuoteToday</stp>
        <stp/>
        <stp>T</stp>
        <tr r="U10" s="6"/>
      </tp>
      <tp>
        <v>2.4999999999991473E-2</v>
        <stp/>
        <stp>ContractData</stp>
        <stp>F.QSA?4</stp>
        <stp>NetLastQuoteToday</stp>
        <stp/>
        <stp>T</stp>
        <tr r="U5" s="6"/>
      </tp>
      <tp>
        <v>1.9999999999996021E-2</v>
        <stp/>
        <stp>ContractData</stp>
        <stp>F.QSA?5</stp>
        <stp>NetLastQuoteToday</stp>
        <stp/>
        <stp>T</stp>
        <tr r="U6" s="6"/>
      </tp>
      <tp>
        <v>2.0000000000010232E-2</v>
        <stp/>
        <stp>ContractData</stp>
        <stp>F.QSA?6</stp>
        <stp>NetLastQuoteToday</stp>
        <stp/>
        <stp>T</stp>
        <tr r="U7" s="6"/>
      </tp>
      <tp>
        <v>1.9999999999996021E-2</v>
        <stp/>
        <stp>ContractData</stp>
        <stp>F.QSA?7</stp>
        <stp>NetLastQuoteToday</stp>
        <stp/>
        <stp>T</stp>
        <tr r="U8" s="6"/>
      </tp>
      <tp>
        <v>1.5000000000000568E-2</v>
        <stp/>
        <stp>ContractData</stp>
        <stp>F.QSA?1</stp>
        <stp>NetLastQuoteToday</stp>
        <stp/>
        <stp>T</stp>
        <tr r="U2" s="6"/>
      </tp>
      <tp>
        <v>1.9999999999996021E-2</v>
        <stp/>
        <stp>ContractData</stp>
        <stp>F.QSA?2</stp>
        <stp>NetLastQuoteToday</stp>
        <stp/>
        <stp>T</stp>
        <tr r="U3" s="6"/>
      </tp>
      <tp>
        <v>1.9999999999996021E-2</v>
        <stp/>
        <stp>ContractData</stp>
        <stp>F.QSA?3</stp>
        <stp>NetLastQuoteToday</stp>
        <stp/>
        <stp>T</stp>
        <tr r="U4" s="6"/>
      </tp>
      <tp t="s">
        <v>Short Sterling Calendar Spread, Mar 20, Jun 20</v>
        <stp/>
        <stp>ContractData</stp>
        <stp>QSAS3H20</stp>
        <stp>LongDescription</stp>
        <tr r="B47" s="2"/>
      </tp>
      <tp t="s">
        <v>Short Sterling Calendar Spread, Mar 21, Jun 21</v>
        <stp/>
        <stp>ContractData</stp>
        <stp>QSAS3H21</stp>
        <stp>LongDescription</stp>
        <tr r="B51" s="2"/>
      </tp>
      <tp t="s">
        <v>Short Sterling Calendar Spread, Mar 22, Jun 22</v>
        <stp/>
        <stp>ContractData</stp>
        <stp>QSAS3H22</stp>
        <stp>LongDescription</stp>
        <tr r="B55" s="2"/>
      </tp>
      <tp>
        <v>99.21</v>
        <stp/>
        <stp>StudyData</stp>
        <stp>QSAH20</stp>
        <stp>Bar</stp>
        <stp/>
        <stp>Close</stp>
        <stp>D</stp>
        <stp>-1</stp>
        <stp>All</stp>
        <stp/>
        <stp/>
        <stp/>
        <stp>T</stp>
        <tr r="B28" s="6"/>
        <tr r="B28" s="6"/>
      </tp>
      <tp>
        <v>98.954999999999998</v>
        <stp/>
        <stp>StudyData</stp>
        <stp>QSAH24</stp>
        <stp>Bar</stp>
        <stp/>
        <stp>Close</stp>
        <stp>D</stp>
        <stp>-5</stp>
        <stp>All</stp>
        <stp/>
        <stp/>
        <stp/>
        <stp>T</stp>
        <tr r="C44" s="6"/>
        <tr r="C44" s="6"/>
      </tp>
      <tp>
        <v>99.224999999999994</v>
        <stp/>
        <stp>StudyData</stp>
        <stp>QSAM20</stp>
        <stp>Bar</stp>
        <stp/>
        <stp>Close</stp>
        <stp>D</stp>
        <stp>-1</stp>
        <stp>All</stp>
        <stp/>
        <stp/>
        <stp/>
        <stp>T</stp>
        <tr r="B29" s="6"/>
        <tr r="B29" s="6"/>
      </tp>
      <tp>
        <v>98.93</v>
        <stp/>
        <stp>StudyData</stp>
        <stp>QSAM24</stp>
        <stp>Bar</stp>
        <stp/>
        <stp>Close</stp>
        <stp>D</stp>
        <stp>-5</stp>
        <stp>All</stp>
        <stp/>
        <stp/>
        <stp/>
        <stp>T</stp>
        <tr r="C45" s="6"/>
        <tr r="C45" s="6"/>
      </tp>
      <tp>
        <v>99.24</v>
        <stp/>
        <stp>StudyData</stp>
        <stp>QSAU20</stp>
        <stp>Bar</stp>
        <stp/>
        <stp>Close</stp>
        <stp>D</stp>
        <stp>-1</stp>
        <stp>All</stp>
        <stp/>
        <stp/>
        <stp/>
        <stp>T</stp>
        <tr r="B30" s="6"/>
        <tr r="B30" s="6"/>
      </tp>
      <tp>
        <v>99.22</v>
        <stp/>
        <stp>StudyData</stp>
        <stp>QSAZ20</stp>
        <stp>Bar</stp>
        <stp/>
        <stp>Close</stp>
        <stp>D</stp>
        <stp>-1</stp>
        <stp>All</stp>
        <stp/>
        <stp/>
        <stp/>
        <stp>T</stp>
        <tr r="B31" s="6"/>
        <tr r="B31" s="6"/>
      </tp>
      <tp>
        <v>99.23</v>
        <stp/>
        <stp>StudyData</stp>
        <stp>QSAH21</stp>
        <stp>Bar</stp>
        <stp/>
        <stp>Close</stp>
        <stp>D</stp>
        <stp>-1</stp>
        <stp>All</stp>
        <stp/>
        <stp/>
        <stp/>
        <stp>T</stp>
        <tr r="B32" s="6"/>
        <tr r="B32" s="6"/>
      </tp>
      <tp>
        <v>99.22</v>
        <stp/>
        <stp>StudyData</stp>
        <stp>QSAM21</stp>
        <stp>Bar</stp>
        <stp/>
        <stp>Close</stp>
        <stp>D</stp>
        <stp>-1</stp>
        <stp>All</stp>
        <stp/>
        <stp/>
        <stp/>
        <stp>T</stp>
        <tr r="B33" s="6"/>
        <tr r="B33" s="6"/>
      </tp>
      <tp>
        <v>99.204999999999998</v>
        <stp/>
        <stp>StudyData</stp>
        <stp>QSAU21</stp>
        <stp>Bar</stp>
        <stp/>
        <stp>Close</stp>
        <stp>D</stp>
        <stp>-1</stp>
        <stp>All</stp>
        <stp/>
        <stp/>
        <stp/>
        <stp>T</stp>
        <tr r="B34" s="6"/>
        <tr r="B34" s="6"/>
      </tp>
      <tp>
        <v>99.18</v>
        <stp/>
        <stp>StudyData</stp>
        <stp>QSAZ21</stp>
        <stp>Bar</stp>
        <stp/>
        <stp>Close</stp>
        <stp>D</stp>
        <stp>-1</stp>
        <stp>All</stp>
        <stp/>
        <stp/>
        <stp/>
        <stp>T</stp>
        <tr r="B35" s="6"/>
        <tr r="B35" s="6"/>
      </tp>
      <tp>
        <v>99.17</v>
        <stp/>
        <stp>StudyData</stp>
        <stp>QSAH22</stp>
        <stp>Bar</stp>
        <stp/>
        <stp>Close</stp>
        <stp>D</stp>
        <stp>-1</stp>
        <stp>All</stp>
        <stp/>
        <stp/>
        <stp/>
        <stp>T</stp>
        <tr r="B36" s="6"/>
        <tr r="B36" s="6"/>
      </tp>
      <tp>
        <v>99.144999999999996</v>
        <stp/>
        <stp>StudyData</stp>
        <stp>QSAM22</stp>
        <stp>Bar</stp>
        <stp/>
        <stp>Close</stp>
        <stp>D</stp>
        <stp>-1</stp>
        <stp>All</stp>
        <stp/>
        <stp/>
        <stp/>
        <stp>T</stp>
        <tr r="B37" s="6"/>
        <tr r="B37" s="6"/>
      </tp>
      <tp>
        <v>99.12</v>
        <stp/>
        <stp>StudyData</stp>
        <stp>QSAU22</stp>
        <stp>Bar</stp>
        <stp/>
        <stp>Close</stp>
        <stp>D</stp>
        <stp>-1</stp>
        <stp>All</stp>
        <stp/>
        <stp/>
        <stp/>
        <stp>T</stp>
        <tr r="B38" s="6"/>
        <tr r="B38" s="6"/>
      </tp>
      <tp>
        <v>99.094999999999999</v>
        <stp/>
        <stp>StudyData</stp>
        <stp>QSAZ22</stp>
        <stp>Bar</stp>
        <stp/>
        <stp>Close</stp>
        <stp>D</stp>
        <stp>-1</stp>
        <stp>All</stp>
        <stp/>
        <stp/>
        <stp/>
        <stp>T</stp>
        <tr r="B39" s="6"/>
        <tr r="B39" s="6"/>
      </tp>
      <tp>
        <v>99.08</v>
        <stp/>
        <stp>StudyData</stp>
        <stp>QSAH23</stp>
        <stp>Bar</stp>
        <stp/>
        <stp>Close</stp>
        <stp>D</stp>
        <stp>-1</stp>
        <stp>All</stp>
        <stp/>
        <stp/>
        <stp/>
        <stp>T</stp>
        <tr r="B40" s="6"/>
        <tr r="B40" s="6"/>
      </tp>
      <tp>
        <v>99.05</v>
        <stp/>
        <stp>StudyData</stp>
        <stp>QSAM23</stp>
        <stp>Bar</stp>
        <stp/>
        <stp>Close</stp>
        <stp>D</stp>
        <stp>-1</stp>
        <stp>All</stp>
        <stp/>
        <stp/>
        <stp/>
        <stp>T</stp>
        <tr r="B41" s="6"/>
        <tr r="B41" s="6"/>
      </tp>
      <tp>
        <v>99.02</v>
        <stp/>
        <stp>StudyData</stp>
        <stp>QSAU23</stp>
        <stp>Bar</stp>
        <stp/>
        <stp>Close</stp>
        <stp>D</stp>
        <stp>-1</stp>
        <stp>All</stp>
        <stp/>
        <stp/>
        <stp/>
        <stp>T</stp>
        <tr r="B42" s="6"/>
        <tr r="B42" s="6"/>
      </tp>
      <tp>
        <v>98.99</v>
        <stp/>
        <stp>StudyData</stp>
        <stp>QSAZ23</stp>
        <stp>Bar</stp>
        <stp/>
        <stp>Close</stp>
        <stp>D</stp>
        <stp>-1</stp>
        <stp>All</stp>
        <stp/>
        <stp/>
        <stp/>
        <stp>T</stp>
        <tr r="B43" s="6"/>
        <tr r="B43" s="6"/>
      </tp>
      <tp>
        <v>99.194999999999993</v>
        <stp/>
        <stp>StudyData</stp>
        <stp>QSAH20</stp>
        <stp>Bar</stp>
        <stp/>
        <stp>Close</stp>
        <stp>D</stp>
        <stp>-5</stp>
        <stp>All</stp>
        <stp/>
        <stp/>
        <stp/>
        <stp>T</stp>
        <tr r="C28" s="6"/>
        <tr r="C28" s="6"/>
      </tp>
      <tp>
        <v>98.97</v>
        <stp/>
        <stp>StudyData</stp>
        <stp>QSAH24</stp>
        <stp>Bar</stp>
        <stp/>
        <stp>Close</stp>
        <stp>D</stp>
        <stp>-1</stp>
        <stp>All</stp>
        <stp/>
        <stp/>
        <stp/>
        <stp>T</stp>
        <tr r="B44" s="6"/>
        <tr r="B44" s="6"/>
      </tp>
      <tp>
        <v>99.215000000000003</v>
        <stp/>
        <stp>StudyData</stp>
        <stp>QSAM20</stp>
        <stp>Bar</stp>
        <stp/>
        <stp>Close</stp>
        <stp>D</stp>
        <stp>-5</stp>
        <stp>All</stp>
        <stp/>
        <stp/>
        <stp/>
        <stp>T</stp>
        <tr r="C29" s="6"/>
        <tr r="C29" s="6"/>
      </tp>
      <tp>
        <v>98.944999999999993</v>
        <stp/>
        <stp>StudyData</stp>
        <stp>QSAM24</stp>
        <stp>Bar</stp>
        <stp/>
        <stp>Close</stp>
        <stp>D</stp>
        <stp>-1</stp>
        <stp>All</stp>
        <stp/>
        <stp/>
        <stp/>
        <stp>T</stp>
        <tr r="B45" s="6"/>
        <tr r="B45" s="6"/>
      </tp>
      <tp>
        <v>99.23</v>
        <stp/>
        <stp>StudyData</stp>
        <stp>QSAU20</stp>
        <stp>Bar</stp>
        <stp/>
        <stp>Close</stp>
        <stp>D</stp>
        <stp>-5</stp>
        <stp>All</stp>
        <stp/>
        <stp/>
        <stp/>
        <stp>T</stp>
        <tr r="C30" s="6"/>
        <tr r="C30" s="6"/>
      </tp>
      <tp>
        <v>99.22</v>
        <stp/>
        <stp>StudyData</stp>
        <stp>QSAZ20</stp>
        <stp>Bar</stp>
        <stp/>
        <stp>Close</stp>
        <stp>D</stp>
        <stp>-5</stp>
        <stp>All</stp>
        <stp/>
        <stp/>
        <stp/>
        <stp>T</stp>
        <tr r="C31" s="6"/>
        <tr r="C31" s="6"/>
      </tp>
      <tp>
        <v>99.22</v>
        <stp/>
        <stp>StudyData</stp>
        <stp>QSAH21</stp>
        <stp>Bar</stp>
        <stp/>
        <stp>Close</stp>
        <stp>D</stp>
        <stp>-5</stp>
        <stp>All</stp>
        <stp/>
        <stp/>
        <stp/>
        <stp>T</stp>
        <tr r="C32" s="6"/>
        <tr r="C32" s="6"/>
      </tp>
      <tp>
        <v>99.204999999999998</v>
        <stp/>
        <stp>StudyData</stp>
        <stp>QSAM21</stp>
        <stp>Bar</stp>
        <stp/>
        <stp>Close</stp>
        <stp>D</stp>
        <stp>-5</stp>
        <stp>All</stp>
        <stp/>
        <stp/>
        <stp/>
        <stp>T</stp>
        <tr r="C33" s="6"/>
        <tr r="C33" s="6"/>
      </tp>
      <tp>
        <v>99.19</v>
        <stp/>
        <stp>StudyData</stp>
        <stp>QSAU21</stp>
        <stp>Bar</stp>
        <stp/>
        <stp>Close</stp>
        <stp>D</stp>
        <stp>-5</stp>
        <stp>All</stp>
        <stp/>
        <stp/>
        <stp/>
        <stp>T</stp>
        <tr r="C34" s="6"/>
        <tr r="C34" s="6"/>
      </tp>
      <tp>
        <v>99.165000000000006</v>
        <stp/>
        <stp>StudyData</stp>
        <stp>QSAZ21</stp>
        <stp>Bar</stp>
        <stp/>
        <stp>Close</stp>
        <stp>D</stp>
        <stp>-5</stp>
        <stp>All</stp>
        <stp/>
        <stp/>
        <stp/>
        <stp>T</stp>
        <tr r="C35" s="6"/>
        <tr r="C35" s="6"/>
      </tp>
      <tp>
        <v>99.15</v>
        <stp/>
        <stp>StudyData</stp>
        <stp>QSAH22</stp>
        <stp>Bar</stp>
        <stp/>
        <stp>Close</stp>
        <stp>D</stp>
        <stp>-5</stp>
        <stp>All</stp>
        <stp/>
        <stp/>
        <stp/>
        <stp>T</stp>
        <tr r="C36" s="6"/>
        <tr r="C36" s="6"/>
      </tp>
      <tp>
        <v>99.125</v>
        <stp/>
        <stp>StudyData</stp>
        <stp>QSAM22</stp>
        <stp>Bar</stp>
        <stp/>
        <stp>Close</stp>
        <stp>D</stp>
        <stp>-5</stp>
        <stp>All</stp>
        <stp/>
        <stp/>
        <stp/>
        <stp>T</stp>
        <tr r="C37" s="6"/>
        <tr r="C37" s="6"/>
      </tp>
      <tp>
        <v>99.1</v>
        <stp/>
        <stp>StudyData</stp>
        <stp>QSAU22</stp>
        <stp>Bar</stp>
        <stp/>
        <stp>Close</stp>
        <stp>D</stp>
        <stp>-5</stp>
        <stp>All</stp>
        <stp/>
        <stp/>
        <stp/>
        <stp>T</stp>
        <tr r="C38" s="6"/>
        <tr r="C38" s="6"/>
      </tp>
      <tp>
        <v>99.075000000000003</v>
        <stp/>
        <stp>StudyData</stp>
        <stp>QSAZ22</stp>
        <stp>Bar</stp>
        <stp/>
        <stp>Close</stp>
        <stp>D</stp>
        <stp>-5</stp>
        <stp>All</stp>
        <stp/>
        <stp/>
        <stp/>
        <stp>T</stp>
        <tr r="C39" s="6"/>
        <tr r="C39" s="6"/>
      </tp>
      <tp>
        <v>99.06</v>
        <stp/>
        <stp>StudyData</stp>
        <stp>QSAH23</stp>
        <stp>Bar</stp>
        <stp/>
        <stp>Close</stp>
        <stp>D</stp>
        <stp>-5</stp>
        <stp>All</stp>
        <stp/>
        <stp/>
        <stp/>
        <stp>T</stp>
        <tr r="C40" s="6"/>
        <tr r="C40" s="6"/>
      </tp>
      <tp>
        <v>99.03</v>
        <stp/>
        <stp>StudyData</stp>
        <stp>QSAM23</stp>
        <stp>Bar</stp>
        <stp/>
        <stp>Close</stp>
        <stp>D</stp>
        <stp>-5</stp>
        <stp>All</stp>
        <stp/>
        <stp/>
        <stp/>
        <stp>T</stp>
        <tr r="C41" s="6"/>
        <tr r="C41" s="6"/>
      </tp>
      <tp>
        <v>99</v>
        <stp/>
        <stp>StudyData</stp>
        <stp>QSAU23</stp>
        <stp>Bar</stp>
        <stp/>
        <stp>Close</stp>
        <stp>D</stp>
        <stp>-5</stp>
        <stp>All</stp>
        <stp/>
        <stp/>
        <stp/>
        <stp>T</stp>
        <tr r="C42" s="6"/>
        <tr r="C42" s="6"/>
      </tp>
      <tp>
        <v>98.97</v>
        <stp/>
        <stp>StudyData</stp>
        <stp>QSAZ23</stp>
        <stp>Bar</stp>
        <stp/>
        <stp>Close</stp>
        <stp>D</stp>
        <stp>-5</stp>
        <stp>All</stp>
        <stp/>
        <stp/>
        <stp/>
        <stp>T</stp>
        <tr r="C43" s="6"/>
        <tr r="C43" s="6"/>
      </tp>
      <tp t="s">
        <v>QSAH24</v>
        <stp/>
        <stp>ContractData</stp>
        <stp>QSAH24</stp>
        <stp>Symbol</stp>
        <tr r="AC6" s="2"/>
      </tp>
      <tp t="s">
        <v>QSAH22</v>
        <stp/>
        <stp>ContractData</stp>
        <stp>QSAH22</stp>
        <stp>Symbol</stp>
        <tr r="U6" s="2"/>
      </tp>
      <tp t="s">
        <v>QSAH23</v>
        <stp/>
        <stp>ContractData</stp>
        <stp>QSAH23</stp>
        <stp>Symbol</stp>
        <tr r="Y6" s="2"/>
      </tp>
      <tp t="s">
        <v>QSAH20</v>
        <stp/>
        <stp>ContractData</stp>
        <stp>QSAH20</stp>
        <stp>Symbol</stp>
        <tr r="M6" s="2"/>
      </tp>
      <tp t="s">
        <v>QSAH21</v>
        <stp/>
        <stp>ContractData</stp>
        <stp>QSAH21</stp>
        <stp>Symbol</stp>
        <tr r="Q6" s="2"/>
      </tp>
      <tp t="s">
        <v>QSAM24</v>
        <stp/>
        <stp>ContractData</stp>
        <stp>QSAM24</stp>
        <stp>Symbol</stp>
        <tr r="AD6" s="2"/>
      </tp>
      <tp t="s">
        <v>QSAM22</v>
        <stp/>
        <stp>ContractData</stp>
        <stp>QSAM22</stp>
        <stp>Symbol</stp>
        <tr r="V6" s="2"/>
      </tp>
      <tp t="s">
        <v>QSAM23</v>
        <stp/>
        <stp>ContractData</stp>
        <stp>QSAM23</stp>
        <stp>Symbol</stp>
        <tr r="Z6" s="2"/>
      </tp>
      <tp t="s">
        <v>QSAM20</v>
        <stp/>
        <stp>ContractData</stp>
        <stp>QSAM20</stp>
        <stp>Symbol</stp>
        <tr r="N6" s="2"/>
      </tp>
      <tp t="s">
        <v>QSAM21</v>
        <stp/>
        <stp>ContractData</stp>
        <stp>QSAM21</stp>
        <stp>Symbol</stp>
        <tr r="R6" s="2"/>
      </tp>
      <tp t="s">
        <v>QSAZ19</v>
        <stp/>
        <stp>ContractData</stp>
        <stp>QSAZ19</stp>
        <stp>Symbol</stp>
        <tr r="L6" s="2"/>
      </tp>
      <tp t="s">
        <v>QSAZ22</v>
        <stp/>
        <stp>ContractData</stp>
        <stp>QSAZ22</stp>
        <stp>Symbol</stp>
        <tr r="X6" s="2"/>
      </tp>
      <tp t="s">
        <v>QSAZ20</v>
        <stp/>
        <stp>ContractData</stp>
        <stp>QSAZ20</stp>
        <stp>Symbol</stp>
        <tr r="P6" s="2"/>
      </tp>
      <tp t="s">
        <v>QSAZ21</v>
        <stp/>
        <stp>ContractData</stp>
        <stp>QSAZ21</stp>
        <stp>Symbol</stp>
        <tr r="T6" s="2"/>
      </tp>
      <tp t="s">
        <v>QSAU19</v>
        <stp/>
        <stp>ContractData</stp>
        <stp>QSAU19</stp>
        <stp>Symbol</stp>
        <tr r="K6" s="2"/>
      </tp>
      <tp t="s">
        <v>QSAU22</v>
        <stp/>
        <stp>ContractData</stp>
        <stp>QSAU22</stp>
        <stp>Symbol</stp>
        <tr r="W6" s="2"/>
      </tp>
      <tp t="s">
        <v>QSAU23</v>
        <stp/>
        <stp>ContractData</stp>
        <stp>QSAU23</stp>
        <stp>Symbol</stp>
        <tr r="AA6" s="2"/>
        <tr r="AB6" s="2"/>
      </tp>
      <tp t="s">
        <v>QSAU20</v>
        <stp/>
        <stp>ContractData</stp>
        <stp>QSAU20</stp>
        <stp>Symbol</stp>
        <tr r="O6" s="2"/>
      </tp>
      <tp t="s">
        <v>QSAU21</v>
        <stp/>
        <stp>ContractData</stp>
        <stp>QSAU21</stp>
        <stp>Symbol</stp>
        <tr r="S6" s="2"/>
      </tp>
      <tp t="s">
        <v>SEP</v>
        <stp/>
        <stp>ContractData</stp>
        <stp>QSAU19</stp>
        <stp>ContractMonth</stp>
        <tr r="B2" s="6"/>
      </tp>
      <tp t="s">
        <v>DEC</v>
        <stp/>
        <stp>ContractData</stp>
        <stp>QSAZ19</stp>
        <stp>ContractMonth</stp>
        <tr r="B3" s="6"/>
      </tp>
      <tp t="s">
        <v>QSAZ23</v>
        <stp/>
        <stp>ContractData</stp>
        <stp>QSA?18</stp>
        <stp>Symbol</stp>
        <tr r="Q19" s="6"/>
      </tp>
      <tp t="s">
        <v>QSAH24</v>
        <stp/>
        <stp>ContractData</stp>
        <stp>QSA?19</stp>
        <stp>Symbol</stp>
        <tr r="Q20" s="6"/>
      </tp>
      <tp t="s">
        <v>QSAM23</v>
        <stp/>
        <stp>ContractData</stp>
        <stp>QSA?16</stp>
        <stp>Symbol</stp>
        <tr r="Q17" s="6"/>
      </tp>
      <tp t="s">
        <v>QSAU23</v>
        <stp/>
        <stp>ContractData</stp>
        <stp>QSA?17</stp>
        <stp>Symbol</stp>
        <tr r="Q18" s="6"/>
      </tp>
      <tp t="s">
        <v>QSAZ22</v>
        <stp/>
        <stp>ContractData</stp>
        <stp>QSA?14</stp>
        <stp>Symbol</stp>
        <tr r="Q15" s="6"/>
      </tp>
      <tp t="s">
        <v>QSAH23</v>
        <stp/>
        <stp>ContractData</stp>
        <stp>QSA?15</stp>
        <stp>Symbol</stp>
        <tr r="Q16" s="6"/>
      </tp>
      <tp t="s">
        <v>QSAM22</v>
        <stp/>
        <stp>ContractData</stp>
        <stp>QSA?12</stp>
        <stp>Symbol</stp>
        <tr r="Q13" s="6"/>
        <tr r="A24" s="2"/>
      </tp>
      <tp t="s">
        <v>QSAU22</v>
        <stp/>
        <stp>ContractData</stp>
        <stp>QSA?13</stp>
        <stp>Symbol</stp>
        <tr r="Q14" s="6"/>
      </tp>
      <tp t="s">
        <v>QSAZ21</v>
        <stp/>
        <stp>ContractData</stp>
        <stp>QSA?10</stp>
        <stp>Symbol</stp>
        <tr r="Q11" s="6"/>
        <tr r="A22" s="2"/>
      </tp>
      <tp t="s">
        <v>QSAH22</v>
        <stp/>
        <stp>ContractData</stp>
        <stp>QSA?11</stp>
        <stp>Symbol</stp>
        <tr r="Q12" s="6"/>
        <tr r="A23" s="2"/>
      </tp>
      <tp t="s">
        <v>QSAZ24</v>
        <stp/>
        <stp>ContractData</stp>
        <stp>QSA?22</stp>
        <stp>Symbol</stp>
        <tr r="Q23" s="6"/>
      </tp>
      <tp t="s">
        <v>QSAM24</v>
        <stp/>
        <stp>ContractData</stp>
        <stp>QSA?20</stp>
        <stp>Symbol</stp>
        <tr r="Q21" s="6"/>
      </tp>
      <tp t="s">
        <v>QSAU24</v>
        <stp/>
        <stp>ContractData</stp>
        <stp>QSA?21</stp>
        <stp>Symbol</stp>
        <tr r="Q22" s="6"/>
      </tp>
      <tp>
        <v>99.2</v>
        <stp/>
        <stp>StudyData</stp>
        <stp>QSAU19</stp>
        <stp>Bar</stp>
        <stp/>
        <stp>Close</stp>
        <stp>D</stp>
        <stp>-1</stp>
        <stp>All</stp>
        <stp/>
        <stp/>
        <stp/>
        <stp>T</stp>
        <tr r="B26" s="6"/>
        <tr r="B26" s="6"/>
      </tp>
      <tp>
        <v>99.17</v>
        <stp/>
        <stp>StudyData</stp>
        <stp>QSAZ19</stp>
        <stp>Bar</stp>
        <stp/>
        <stp>Close</stp>
        <stp>D</stp>
        <stp>-1</stp>
        <stp>All</stp>
        <stp/>
        <stp/>
        <stp/>
        <stp>T</stp>
        <tr r="B27" s="6"/>
        <tr r="B27" s="6"/>
      </tp>
      <tp>
        <v>99.174999999999997</v>
        <stp/>
        <stp>StudyData</stp>
        <stp>QSAU19</stp>
        <stp>Bar</stp>
        <stp/>
        <stp>Close</stp>
        <stp>D</stp>
        <stp>-5</stp>
        <stp>All</stp>
        <stp/>
        <stp/>
        <stp/>
        <stp>T</stp>
        <tr r="C26" s="6"/>
        <tr r="C26" s="6"/>
      </tp>
      <tp>
        <v>99.15</v>
        <stp/>
        <stp>StudyData</stp>
        <stp>QSAZ19</stp>
        <stp>Bar</stp>
        <stp/>
        <stp>Close</stp>
        <stp>D</stp>
        <stp>-5</stp>
        <stp>All</stp>
        <stp/>
        <stp/>
        <stp/>
        <stp>T</stp>
        <tr r="C27" s="6"/>
        <tr r="C27" s="6"/>
      </tp>
      <tp t="s">
        <v>Short Sterling Calendar Spread, Jun 20, Sep 20</v>
        <stp/>
        <stp>ContractData</stp>
        <stp>QSAS3M20</stp>
        <stp>LongDescription</stp>
        <tr r="B48" s="2"/>
      </tp>
      <tp t="s">
        <v>Short Sterling Calendar Spread, Jun 21, Sep 21</v>
        <stp/>
        <stp>ContractData</stp>
        <stp>QSAS3M21</stp>
        <stp>LongDescription</stp>
        <tr r="B52" s="2"/>
      </tp>
      <tp t="s">
        <v>Short Sterling Calendar Spread, Jun 22, Sep 22</v>
        <stp/>
        <stp>ContractData</stp>
        <stp>QSAS3M22</stp>
        <stp>LongDescription</stp>
        <tr r="B56" s="2"/>
      </tp>
      <tp t="s">
        <v/>
        <stp/>
        <stp>StudyData</stp>
        <stp>QSAS12?20</stp>
        <stp>Bar</stp>
        <stp/>
        <stp>Close</stp>
        <stp>D</stp>
        <stp>-5</stp>
        <stp>All</stp>
        <stp/>
        <stp/>
        <stp/>
        <stp>T</stp>
        <tr r="Y54" s="6"/>
      </tp>
      <tp>
        <v>0.11</v>
        <stp/>
        <stp>StudyData</stp>
        <stp>QSAS12?20</stp>
        <stp>Bar</stp>
        <stp/>
        <stp>Close</stp>
        <stp>D</stp>
        <stp>-1</stp>
        <stp>All</stp>
        <stp/>
        <stp/>
        <stp/>
        <stp>T</stp>
        <tr r="X54" s="6"/>
      </tp>
      <tp>
        <v>0.11</v>
        <stp/>
        <stp>StudyData</stp>
        <stp>QSAS12?18</stp>
        <stp>Bar</stp>
        <stp/>
        <stp>Close</stp>
        <stp>D</stp>
        <stp>-5</stp>
        <stp>All</stp>
        <stp/>
        <stp/>
        <stp/>
        <stp>T</stp>
        <tr r="Y52" s="6"/>
        <tr r="Y52" s="6"/>
      </tp>
      <tp>
        <v>0.115</v>
        <stp/>
        <stp>StudyData</stp>
        <stp>QSAS12?19</stp>
        <stp>Bar</stp>
        <stp/>
        <stp>Close</stp>
        <stp>D</stp>
        <stp>-5</stp>
        <stp>All</stp>
        <stp/>
        <stp/>
        <stp/>
        <stp>T</stp>
        <tr r="Y53" s="6"/>
        <tr r="Y53" s="6"/>
      </tp>
      <tp>
        <v>0.105</v>
        <stp/>
        <stp>StudyData</stp>
        <stp>QSAS12?18</stp>
        <stp>Bar</stp>
        <stp/>
        <stp>Close</stp>
        <stp>D</stp>
        <stp>-1</stp>
        <stp>All</stp>
        <stp/>
        <stp/>
        <stp/>
        <stp>T</stp>
        <tr r="X52" s="6"/>
      </tp>
      <tp>
        <v>0.11</v>
        <stp/>
        <stp>StudyData</stp>
        <stp>QSAS12?19</stp>
        <stp>Bar</stp>
        <stp/>
        <stp>Close</stp>
        <stp>D</stp>
        <stp>-1</stp>
        <stp>All</stp>
        <stp/>
        <stp/>
        <stp/>
        <stp>T</stp>
        <tr r="X53" s="6"/>
      </tp>
      <tp>
        <v>9.5000000000000001E-2</v>
        <stp/>
        <stp>StudyData</stp>
        <stp>QSAS12?12</stp>
        <stp>Bar</stp>
        <stp/>
        <stp>Close</stp>
        <stp>D</stp>
        <stp>-5</stp>
        <stp>All</stp>
        <stp/>
        <stp/>
        <stp/>
        <stp>T</stp>
        <tr r="Y46" s="6"/>
        <tr r="Y46" s="6"/>
      </tp>
      <tp>
        <v>0.105</v>
        <stp/>
        <stp>StudyData</stp>
        <stp>QSAS12?16</stp>
        <stp>Bar</stp>
        <stp/>
        <stp>Close</stp>
        <stp>D</stp>
        <stp>-1</stp>
        <stp>All</stp>
        <stp/>
        <stp/>
        <stp/>
        <stp>T</stp>
        <tr r="X50" s="6"/>
      </tp>
      <tp>
        <v>0.1</v>
        <stp/>
        <stp>StudyData</stp>
        <stp>QSAS12?13</stp>
        <stp>Bar</stp>
        <stp/>
        <stp>Close</stp>
        <stp>D</stp>
        <stp>-5</stp>
        <stp>All</stp>
        <stp/>
        <stp/>
        <stp/>
        <stp>T</stp>
        <tr r="Y47" s="6"/>
        <tr r="Y47" s="6"/>
      </tp>
      <tp>
        <v>0.105</v>
        <stp/>
        <stp>StudyData</stp>
        <stp>QSAS12?17</stp>
        <stp>Bar</stp>
        <stp/>
        <stp>Close</stp>
        <stp>D</stp>
        <stp>-1</stp>
        <stp>All</stp>
        <stp/>
        <stp/>
        <stp/>
        <stp>T</stp>
        <tr r="X51" s="6"/>
      </tp>
      <tp>
        <v>0.09</v>
        <stp/>
        <stp>StudyData</stp>
        <stp>QSAS12?10</stp>
        <stp>Bar</stp>
        <stp/>
        <stp>Close</stp>
        <stp>D</stp>
        <stp>-5</stp>
        <stp>All</stp>
        <stp/>
        <stp/>
        <stp/>
        <stp>T</stp>
        <tr r="Y44" s="6"/>
        <tr r="Y44" s="6"/>
      </tp>
      <tp>
        <v>0.105</v>
        <stp/>
        <stp>StudyData</stp>
        <stp>QSAS12?14</stp>
        <stp>Bar</stp>
        <stp/>
        <stp>Close</stp>
        <stp>D</stp>
        <stp>-1</stp>
        <stp>All</stp>
        <stp/>
        <stp/>
        <stp/>
        <stp>T</stp>
        <tr r="X48" s="6"/>
      </tp>
      <tp>
        <v>0.09</v>
        <stp/>
        <stp>StudyData</stp>
        <stp>QSAS12?11</stp>
        <stp>Bar</stp>
        <stp/>
        <stp>Close</stp>
        <stp>D</stp>
        <stp>-5</stp>
        <stp>All</stp>
        <stp/>
        <stp/>
        <stp/>
        <stp>T</stp>
        <tr r="Y45" s="6"/>
        <tr r="Y45" s="6"/>
      </tp>
      <tp>
        <v>0.11</v>
        <stp/>
        <stp>StudyData</stp>
        <stp>QSAS12?15</stp>
        <stp>Bar</stp>
        <stp/>
        <stp>Close</stp>
        <stp>D</stp>
        <stp>-1</stp>
        <stp>All</stp>
        <stp/>
        <stp/>
        <stp/>
        <stp>T</stp>
        <tr r="X49" s="6"/>
      </tp>
      <tp>
        <v>9.5000000000000001E-2</v>
        <stp/>
        <stp>StudyData</stp>
        <stp>QSAS12?12</stp>
        <stp>Bar</stp>
        <stp/>
        <stp>Close</stp>
        <stp>D</stp>
        <stp>-1</stp>
        <stp>All</stp>
        <stp/>
        <stp/>
        <stp/>
        <stp>T</stp>
        <tr r="X46" s="6"/>
      </tp>
      <tp>
        <v>0.105</v>
        <stp/>
        <stp>StudyData</stp>
        <stp>QSAS12?16</stp>
        <stp>Bar</stp>
        <stp/>
        <stp>Close</stp>
        <stp>D</stp>
        <stp>-5</stp>
        <stp>All</stp>
        <stp/>
        <stp/>
        <stp/>
        <stp>T</stp>
        <tr r="Y50" s="6"/>
        <tr r="Y50" s="6"/>
      </tp>
      <tp>
        <v>0.1</v>
        <stp/>
        <stp>StudyData</stp>
        <stp>QSAS12?13</stp>
        <stp>Bar</stp>
        <stp/>
        <stp>Close</stp>
        <stp>D</stp>
        <stp>-1</stp>
        <stp>All</stp>
        <stp/>
        <stp/>
        <stp/>
        <stp>T</stp>
        <tr r="X47" s="6"/>
      </tp>
      <tp>
        <v>0.105</v>
        <stp/>
        <stp>StudyData</stp>
        <stp>QSAS12?17</stp>
        <stp>Bar</stp>
        <stp/>
        <stp>Close</stp>
        <stp>D</stp>
        <stp>-5</stp>
        <stp>All</stp>
        <stp/>
        <stp/>
        <stp/>
        <stp>T</stp>
        <tr r="Y51" s="6"/>
        <tr r="Y51" s="6"/>
      </tp>
      <tp>
        <v>0.08</v>
        <stp/>
        <stp>StudyData</stp>
        <stp>QSAS12?10</stp>
        <stp>Bar</stp>
        <stp/>
        <stp>Close</stp>
        <stp>D</stp>
        <stp>-1</stp>
        <stp>All</stp>
        <stp/>
        <stp/>
        <stp/>
        <stp>T</stp>
        <tr r="X44" s="6"/>
      </tp>
      <tp>
        <v>0.105</v>
        <stp/>
        <stp>StudyData</stp>
        <stp>QSAS12?14</stp>
        <stp>Bar</stp>
        <stp/>
        <stp>Close</stp>
        <stp>D</stp>
        <stp>-5</stp>
        <stp>All</stp>
        <stp/>
        <stp/>
        <stp/>
        <stp>T</stp>
        <tr r="Y48" s="6"/>
        <tr r="Y48" s="6"/>
      </tp>
      <tp>
        <v>8.5000000000000006E-2</v>
        <stp/>
        <stp>StudyData</stp>
        <stp>QSAS12?11</stp>
        <stp>Bar</stp>
        <stp/>
        <stp>Close</stp>
        <stp>D</stp>
        <stp>-1</stp>
        <stp>All</stp>
        <stp/>
        <stp/>
        <stp/>
        <stp>T</stp>
        <tr r="X45" s="6"/>
      </tp>
      <tp>
        <v>0.11</v>
        <stp/>
        <stp>StudyData</stp>
        <stp>QSAS12?15</stp>
        <stp>Bar</stp>
        <stp/>
        <stp>Close</stp>
        <stp>D</stp>
        <stp>-5</stp>
        <stp>All</stp>
        <stp/>
        <stp/>
        <stp/>
        <stp>T</stp>
        <tr r="Y49" s="6"/>
        <tr r="Y49" s="6"/>
      </tp>
      <tp>
        <v>673</v>
        <stp/>
        <stp>ContractData</stp>
        <stp>QSAS3Z20</stp>
        <stp>T_CVol</stp>
        <tr r="I50" s="2"/>
      </tp>
      <tp>
        <v>1049</v>
        <stp/>
        <stp>ContractData</stp>
        <stp>QSAS3Z21</stp>
        <stp>T_CVol</stp>
        <tr r="I54" s="2"/>
      </tp>
      <tp>
        <v>2964</v>
        <stp/>
        <stp>ContractData</stp>
        <stp>QSAS3Z19</stp>
        <stp>T_CVol</stp>
        <tr r="I46" s="2"/>
      </tp>
      <tp>
        <v>2076</v>
        <stp/>
        <stp>ContractData</stp>
        <stp>QSAS3U20</stp>
        <stp>T_CVol</stp>
        <tr r="I49" s="2"/>
      </tp>
      <tp>
        <v>535</v>
        <stp/>
        <stp>ContractData</stp>
        <stp>QSAS3U21</stp>
        <stp>T_CVol</stp>
        <tr r="I53" s="2"/>
      </tp>
      <tp>
        <v>3334</v>
        <stp/>
        <stp>ContractData</stp>
        <stp>QSAS3U19</stp>
        <stp>T_CVol</stp>
        <tr r="I45" s="2"/>
      </tp>
      <tp>
        <v>6552</v>
        <stp/>
        <stp>ContractData</stp>
        <stp>QSAS3H20</stp>
        <stp>T_CVol</stp>
        <tr r="I47" s="2"/>
      </tp>
      <tp>
        <v>1276</v>
        <stp/>
        <stp>ContractData</stp>
        <stp>QSAS3H21</stp>
        <stp>T_CVol</stp>
        <tr r="I51" s="2"/>
      </tp>
      <tp>
        <v>569</v>
        <stp/>
        <stp>ContractData</stp>
        <stp>QSAS3H22</stp>
        <stp>T_CVol</stp>
        <tr r="I55" s="2"/>
      </tp>
      <tp>
        <v>3609</v>
        <stp/>
        <stp>ContractData</stp>
        <stp>QSAS3M20</stp>
        <stp>T_CVol</stp>
        <tr r="I48" s="2"/>
      </tp>
      <tp>
        <v>4060</v>
        <stp/>
        <stp>ContractData</stp>
        <stp>QSAS3M21</stp>
        <stp>T_CVol</stp>
        <tr r="I52" s="2"/>
      </tp>
      <tp>
        <v>654</v>
        <stp/>
        <stp>ContractData</stp>
        <stp>QSAS3M22</stp>
        <stp>T_CVol</stp>
        <tr r="I56" s="2"/>
      </tp>
      <tp>
        <v>796</v>
        <stp/>
        <stp>ContractData</stp>
        <stp>QSAS12M22</stp>
        <stp>T_CVol</stp>
        <tr r="I40" s="2"/>
      </tp>
      <tp>
        <v>1150</v>
        <stp/>
        <stp>ContractData</stp>
        <stp>QSAS12M21</stp>
        <stp>T_CVol</stp>
        <tr r="I36" s="2"/>
      </tp>
      <tp>
        <v>2001</v>
        <stp/>
        <stp>ContractData</stp>
        <stp>QSAS12M20</stp>
        <stp>T_CVol</stp>
        <tr r="I32" s="2"/>
      </tp>
      <tp>
        <v>819</v>
        <stp/>
        <stp>ContractData</stp>
        <stp>QSAS12H21</stp>
        <stp>T_CVol</stp>
        <tr r="I35" s="2"/>
      </tp>
      <tp>
        <v>5660</v>
        <stp/>
        <stp>ContractData</stp>
        <stp>QSAS12H20</stp>
        <stp>T_CVol</stp>
        <tr r="I31" s="2"/>
      </tp>
      <tp>
        <v>1640</v>
        <stp/>
        <stp>ContractData</stp>
        <stp>QSAS12U19</stp>
        <stp>T_CVol</stp>
        <tr r="I29" s="2"/>
      </tp>
      <tp>
        <v>570</v>
        <stp/>
        <stp>ContractData</stp>
        <stp>QSAS12U21</stp>
        <stp>T_CVol</stp>
        <tr r="I37" s="2"/>
      </tp>
      <tp>
        <v>1810</v>
        <stp/>
        <stp>ContractData</stp>
        <stp>QSAS12U20</stp>
        <stp>T_CVol</stp>
        <tr r="I33" s="2"/>
      </tp>
      <tp>
        <v>2021</v>
        <stp/>
        <stp>ContractData</stp>
        <stp>QSAS12Z19</stp>
        <stp>T_CVol</stp>
        <tr r="I30" s="2"/>
      </tp>
      <tp>
        <v>325</v>
        <stp/>
        <stp>ContractData</stp>
        <stp>QSAS12Z21</stp>
        <stp>T_CVol</stp>
        <tr r="I38" s="2"/>
        <tr r="I39" s="2"/>
      </tp>
      <tp>
        <v>687</v>
        <stp/>
        <stp>ContractData</stp>
        <stp>QSAS12Z20</stp>
        <stp>T_CVol</stp>
        <tr r="I34" s="2"/>
      </tp>
      <tp>
        <v>1.4999999999999999E-2</v>
        <stp/>
        <stp>StudyData</stp>
        <stp>QSAS3?8</stp>
        <stp>Bar</stp>
        <stp/>
        <stp>Close</stp>
        <stp>D</stp>
        <stp>-5</stp>
        <stp>All</stp>
        <stp/>
        <stp/>
        <stp/>
        <stp>T</stp>
        <tr r="AJ42" s="6"/>
      </tp>
      <tp>
        <v>2.5000000000000001E-2</v>
        <stp/>
        <stp>StudyData</stp>
        <stp>QSAS3?9</stp>
        <stp>Bar</stp>
        <stp/>
        <stp>Close</stp>
        <stp>D</stp>
        <stp>-5</stp>
        <stp>All</stp>
        <stp/>
        <stp/>
        <stp/>
        <stp>T</stp>
        <tr r="AJ43" s="6"/>
      </tp>
      <tp>
        <v>1.4999999999999999E-2</v>
        <stp/>
        <stp>StudyData</stp>
        <stp>QSAS3?8</stp>
        <stp>Bar</stp>
        <stp/>
        <stp>Close</stp>
        <stp>D</stp>
        <stp>-1</stp>
        <stp>All</stp>
        <stp/>
        <stp/>
        <stp/>
        <stp>T</stp>
        <tr r="AI42" s="6"/>
      </tp>
      <tp>
        <v>2.5000000000000001E-2</v>
        <stp/>
        <stp>StudyData</stp>
        <stp>QSAS3?9</stp>
        <stp>Bar</stp>
        <stp/>
        <stp>Close</stp>
        <stp>D</stp>
        <stp>-1</stp>
        <stp>All</stp>
        <stp/>
        <stp/>
        <stp/>
        <stp>T</stp>
        <tr r="AI43" s="6"/>
      </tp>
      <tp>
        <v>-0.01</v>
        <stp/>
        <stp>StudyData</stp>
        <stp>QSAS3?4</stp>
        <stp>Bar</stp>
        <stp/>
        <stp>Close</stp>
        <stp>D</stp>
        <stp>-1</stp>
        <stp>All</stp>
        <stp/>
        <stp/>
        <stp/>
        <stp>T</stp>
        <tr r="AI38" s="6"/>
      </tp>
      <tp>
        <v>0.03</v>
        <stp/>
        <stp>StudyData</stp>
        <stp>QSAS3?1</stp>
        <stp>Bar</stp>
        <stp/>
        <stp>Close</stp>
        <stp>D</stp>
        <stp>-5</stp>
        <stp>All</stp>
        <stp/>
        <stp/>
        <stp/>
        <stp>T</stp>
        <tr r="AJ35" s="6"/>
      </tp>
      <tp>
        <v>0.02</v>
        <stp/>
        <stp>StudyData</stp>
        <stp>QSAS3?5</stp>
        <stp>Bar</stp>
        <stp/>
        <stp>Close</stp>
        <stp>D</stp>
        <stp>-1</stp>
        <stp>All</stp>
        <stp/>
        <stp/>
        <stp/>
        <stp>T</stp>
        <tr r="AI39" s="6"/>
      </tp>
      <tp>
        <v>-4.4999999999999998E-2</v>
        <stp/>
        <stp>StudyData</stp>
        <stp>QSAS3?2</stp>
        <stp>Bar</stp>
        <stp/>
        <stp>Close</stp>
        <stp>D</stp>
        <stp>-5</stp>
        <stp>All</stp>
        <stp/>
        <stp/>
        <stp/>
        <stp>T</stp>
        <tr r="AJ36" s="6"/>
      </tp>
      <tp>
        <v>-0.01</v>
        <stp/>
        <stp>StudyData</stp>
        <stp>QSAS3?6</stp>
        <stp>Bar</stp>
        <stp/>
        <stp>Close</stp>
        <stp>D</stp>
        <stp>-1</stp>
        <stp>All</stp>
        <stp/>
        <stp/>
        <stp/>
        <stp>T</stp>
        <tr r="AI40" s="6"/>
      </tp>
      <tp>
        <v>-0.02</v>
        <stp/>
        <stp>StudyData</stp>
        <stp>QSAS3?3</stp>
        <stp>Bar</stp>
        <stp/>
        <stp>Close</stp>
        <stp>D</stp>
        <stp>-5</stp>
        <stp>All</stp>
        <stp/>
        <stp/>
        <stp/>
        <stp>T</stp>
        <tr r="AJ37" s="6"/>
      </tp>
      <tp>
        <v>1.4999999999999999E-2</v>
        <stp/>
        <stp>StudyData</stp>
        <stp>QSAS3?7</stp>
        <stp>Bar</stp>
        <stp/>
        <stp>Close</stp>
        <stp>D</stp>
        <stp>-1</stp>
        <stp>All</stp>
        <stp/>
        <stp/>
        <stp/>
        <stp>T</stp>
        <tr r="AI41" s="6"/>
      </tp>
      <tp>
        <v>-1.4999999999999999E-2</v>
        <stp/>
        <stp>StudyData</stp>
        <stp>QSAS3?4</stp>
        <stp>Bar</stp>
        <stp/>
        <stp>Close</stp>
        <stp>D</stp>
        <stp>-5</stp>
        <stp>All</stp>
        <stp/>
        <stp/>
        <stp/>
        <stp>T</stp>
        <tr r="AJ38" s="6"/>
      </tp>
      <tp>
        <v>0.03</v>
        <stp/>
        <stp>StudyData</stp>
        <stp>QSAS3?1</stp>
        <stp>Bar</stp>
        <stp/>
        <stp>Close</stp>
        <stp>D</stp>
        <stp>-1</stp>
        <stp>All</stp>
        <stp/>
        <stp/>
        <stp/>
        <stp>T</stp>
        <tr r="AI35" s="6"/>
      </tp>
      <tp>
        <v>1.4999999999999999E-2</v>
        <stp/>
        <stp>StudyData</stp>
        <stp>QSAS3?5</stp>
        <stp>Bar</stp>
        <stp/>
        <stp>Close</stp>
        <stp>D</stp>
        <stp>-5</stp>
        <stp>All</stp>
        <stp/>
        <stp/>
        <stp/>
        <stp>T</stp>
        <tr r="AJ39" s="6"/>
      </tp>
      <tp>
        <v>-0.04</v>
        <stp/>
        <stp>StudyData</stp>
        <stp>QSAS3?2</stp>
        <stp>Bar</stp>
        <stp/>
        <stp>Close</stp>
        <stp>D</stp>
        <stp>-1</stp>
        <stp>All</stp>
        <stp/>
        <stp/>
        <stp/>
        <stp>T</stp>
        <tr r="AI36" s="6"/>
      </tp>
      <tp>
        <v>-5.0000000000000001E-3</v>
        <stp/>
        <stp>StudyData</stp>
        <stp>QSAS3?6</stp>
        <stp>Bar</stp>
        <stp/>
        <stp>Close</stp>
        <stp>D</stp>
        <stp>-5</stp>
        <stp>All</stp>
        <stp/>
        <stp/>
        <stp/>
        <stp>T</stp>
        <tr r="AJ40" s="6"/>
      </tp>
      <tp>
        <v>-1.4999999999999999E-2</v>
        <stp/>
        <stp>StudyData</stp>
        <stp>QSAS3?3</stp>
        <stp>Bar</stp>
        <stp/>
        <stp>Close</stp>
        <stp>D</stp>
        <stp>-1</stp>
        <stp>All</stp>
        <stp/>
        <stp/>
        <stp/>
        <stp>T</stp>
        <tr r="AI37" s="6"/>
      </tp>
      <tp>
        <v>1.4999999999999999E-2</v>
        <stp/>
        <stp>StudyData</stp>
        <stp>QSAS3?7</stp>
        <stp>Bar</stp>
        <stp/>
        <stp>Close</stp>
        <stp>D</stp>
        <stp>-5</stp>
        <stp>All</stp>
        <stp/>
        <stp/>
        <stp/>
        <stp>T</stp>
        <tr r="AJ41" s="6"/>
      </tp>
      <tp t="s">
        <v>Short Sterling Calendar Spread 12, Jun 22, Jun 23</v>
        <stp/>
        <stp>ContractData</stp>
        <stp>QSAS12M22</stp>
        <stp>LongDescription</stp>
        <tr r="B40" s="2"/>
      </tp>
      <tp t="s">
        <v>Short Sterling Calendar Spread 12, Jun 21, Jun 22</v>
        <stp/>
        <stp>ContractData</stp>
        <stp>QSAS12M21</stp>
        <stp>LongDescription</stp>
        <tr r="B36" s="2"/>
      </tp>
      <tp t="s">
        <v>Short Sterling Calendar Spread 12, Jun 20, Jun 21</v>
        <stp/>
        <stp>ContractData</stp>
        <stp>QSAS12M20</stp>
        <stp>LongDescription</stp>
        <tr r="B32" s="2"/>
      </tp>
      <tp>
        <v>99.19</v>
        <stp/>
        <stp>ContractData</stp>
        <stp>QSAZ19</stp>
        <stp>Open</stp>
        <stp/>
        <stp>T</stp>
        <tr r="C14" s="2"/>
      </tp>
      <tp>
        <v>99.23</v>
        <stp/>
        <stp>ContractData</stp>
        <stp>QSAZ20</stp>
        <stp>Open</stp>
        <stp/>
        <stp>T</stp>
        <tr r="C18" s="2"/>
      </tp>
      <tp>
        <v>99.19</v>
        <stp/>
        <stp>ContractData</stp>
        <stp>QSAZ21</stp>
        <stp>Open</stp>
        <stp/>
        <stp>T</stp>
        <tr r="C22" s="2"/>
      </tp>
      <tp>
        <v>99.19</v>
        <stp/>
        <stp>ContractData</stp>
        <stp>QSAZ19</stp>
        <stp>High</stp>
        <stp/>
        <stp>T</stp>
        <tr r="D14" s="2"/>
      </tp>
      <tp>
        <v>99.254999999999995</v>
        <stp/>
        <stp>ContractData</stp>
        <stp>QSAZ20</stp>
        <stp>High</stp>
        <stp/>
        <stp>T</stp>
        <tr r="D18" s="2"/>
      </tp>
      <tp>
        <v>99.22</v>
        <stp/>
        <stp>ContractData</stp>
        <stp>QSAZ21</stp>
        <stp>High</stp>
        <stp/>
        <stp>T</stp>
        <tr r="D22" s="2"/>
      </tp>
      <tp t="s">
        <v>Short Sterling Calendar Spread 12, Mar 21, Mar 22</v>
        <stp/>
        <stp>ContractData</stp>
        <stp>QSAS12H21</stp>
        <stp>LongDescription</stp>
        <tr r="B35" s="2"/>
      </tp>
      <tp t="s">
        <v>Short Sterling Calendar Spread 12, Mar 20, Mar 21</v>
        <stp/>
        <stp>ContractData</stp>
        <stp>QSAS12H20</stp>
        <stp>LongDescription</stp>
        <tr r="B31" s="2"/>
      </tp>
      <tp t="s">
        <v>QSAU19</v>
        <stp/>
        <stp>ContractData</stp>
        <stp>QSA?1</stp>
        <stp>Symbol</stp>
        <tr r="Q2" s="6"/>
        <tr r="S35" s="6"/>
        <tr r="A13" s="2"/>
      </tp>
      <tp t="s">
        <v>QSAZ19</v>
        <stp/>
        <stp>ContractData</stp>
        <stp>QSA?2</stp>
        <stp>Symbol</stp>
        <tr r="Q3" s="6"/>
        <tr r="S36" s="6"/>
        <tr r="A14" s="2"/>
      </tp>
      <tp t="s">
        <v>QSAH20</v>
        <stp/>
        <stp>ContractData</stp>
        <stp>QSA?3</stp>
        <stp>Symbol</stp>
        <tr r="Q4" s="6"/>
        <tr r="A15" s="2"/>
      </tp>
      <tp t="s">
        <v>QSAM20</v>
        <stp/>
        <stp>ContractData</stp>
        <stp>QSA?4</stp>
        <stp>Symbol</stp>
        <tr r="Q5" s="6"/>
        <tr r="A16" s="2"/>
      </tp>
      <tp t="s">
        <v>QSAU20</v>
        <stp/>
        <stp>ContractData</stp>
        <stp>QSA?5</stp>
        <stp>Symbol</stp>
        <tr r="Q6" s="6"/>
        <tr r="A17" s="2"/>
      </tp>
      <tp t="s">
        <v>QSAZ20</v>
        <stp/>
        <stp>ContractData</stp>
        <stp>QSA?6</stp>
        <stp>Symbol</stp>
        <tr r="Q7" s="6"/>
        <tr r="A18" s="2"/>
      </tp>
      <tp t="s">
        <v>QSAH21</v>
        <stp/>
        <stp>ContractData</stp>
        <stp>QSA?7</stp>
        <stp>Symbol</stp>
        <tr r="Q8" s="6"/>
        <tr r="A19" s="2"/>
      </tp>
      <tp t="s">
        <v>QSAM21</v>
        <stp/>
        <stp>ContractData</stp>
        <stp>QSA?8</stp>
        <stp>Symbol</stp>
        <tr r="Q9" s="6"/>
        <tr r="A20" s="2"/>
      </tp>
      <tp t="s">
        <v>QSAU21</v>
        <stp/>
        <stp>ContractData</stp>
        <stp>QSA?9</stp>
        <stp>Symbol</stp>
        <tr r="Q10" s="6"/>
        <tr r="A21" s="2"/>
      </tp>
      <tp t="s">
        <v>QSAS12Z20</v>
        <stp/>
        <stp>ContractData</stp>
        <stp>QSAS12?6</stp>
        <stp>Symbol</stp>
        <tr r="A34" s="2"/>
      </tp>
      <tp t="s">
        <v>QSAS12H21</v>
        <stp/>
        <stp>ContractData</stp>
        <stp>QSAS12?7</stp>
        <stp>Symbol</stp>
        <tr r="A35" s="2"/>
      </tp>
      <tp t="s">
        <v>QSAS12M20</v>
        <stp/>
        <stp>ContractData</stp>
        <stp>QSAS12?4</stp>
        <stp>Symbol</stp>
        <tr r="A32" s="2"/>
      </tp>
      <tp t="s">
        <v>QSAS12U20</v>
        <stp/>
        <stp>ContractData</stp>
        <stp>QSAS12?5</stp>
        <stp>Symbol</stp>
        <tr r="A33" s="2"/>
      </tp>
      <tp t="s">
        <v>QSAS12Z19</v>
        <stp/>
        <stp>ContractData</stp>
        <stp>QSAS12?2</stp>
        <stp>Symbol</stp>
        <tr r="A30" s="2"/>
      </tp>
      <tp t="s">
        <v>QSAS12H20</v>
        <stp/>
        <stp>ContractData</stp>
        <stp>QSAS12?3</stp>
        <stp>Symbol</stp>
        <tr r="A31" s="2"/>
      </tp>
      <tp t="s">
        <v>QSAS12U19</v>
        <stp/>
        <stp>ContractData</stp>
        <stp>QSAS12?1</stp>
        <stp>Symbol</stp>
        <tr r="A29" s="2"/>
      </tp>
      <tp t="s">
        <v>QSAS12M21</v>
        <stp/>
        <stp>ContractData</stp>
        <stp>QSAS12?8</stp>
        <stp>Symbol</stp>
        <tr r="A36" s="2"/>
      </tp>
      <tp t="s">
        <v>QSAS12U21</v>
        <stp/>
        <stp>ContractData</stp>
        <stp>QSAS12?9</stp>
        <stp>Symbol</stp>
        <tr r="A37" s="2"/>
      </tp>
      <tp t="s">
        <v>QSAS3M22</v>
        <stp/>
        <stp>ContractData</stp>
        <stp>QSAS3?12</stp>
        <stp>Symbol</stp>
        <tr r="A56" s="2"/>
      </tp>
      <tp t="s">
        <v>QSAS3Z21</v>
        <stp/>
        <stp>ContractData</stp>
        <stp>QSAS3?10</stp>
        <stp>Symbol</stp>
        <tr r="A54" s="2"/>
      </tp>
      <tp t="s">
        <v>QSAS3H22</v>
        <stp/>
        <stp>ContractData</stp>
        <stp>QSAS3?11</stp>
        <stp>Symbol</stp>
        <tr r="A55" s="2"/>
      </tp>
      <tp>
        <v>99.215000000000003</v>
        <stp/>
        <stp>ContractData</stp>
        <stp>QSAU19</stp>
        <stp>High</stp>
        <stp/>
        <stp>T</stp>
        <tr r="D13" s="2"/>
      </tp>
      <tp>
        <v>99.275000000000006</v>
        <stp/>
        <stp>ContractData</stp>
        <stp>QSAU20</stp>
        <stp>High</stp>
        <stp/>
        <stp>T</stp>
        <tr r="D17" s="2"/>
      </tp>
      <tp>
        <v>99.245000000000005</v>
        <stp/>
        <stp>ContractData</stp>
        <stp>QSAU21</stp>
        <stp>High</stp>
        <stp/>
        <stp>T</stp>
        <tr r="D21" s="2"/>
      </tp>
      <tp>
        <v>99.210000000000008</v>
        <stp/>
        <stp>ContractData</stp>
        <stp>QSAU19</stp>
        <stp>Open</stp>
        <stp/>
        <stp>T</stp>
        <tr r="C13" s="2"/>
      </tp>
      <tp>
        <v>99.25</v>
        <stp/>
        <stp>ContractData</stp>
        <stp>QSAU20</stp>
        <stp>Open</stp>
        <stp/>
        <stp>T</stp>
        <tr r="C17" s="2"/>
      </tp>
      <tp>
        <v>99.22</v>
        <stp/>
        <stp>ContractData</stp>
        <stp>QSAU21</stp>
        <stp>Open</stp>
        <stp/>
        <stp>T</stp>
        <tr r="C21" s="2"/>
      </tp>
      <tp>
        <v>36587</v>
        <stp/>
        <stp>ContractData</stp>
        <stp>QSAM20</stp>
        <stp>T_CVol</stp>
        <tr r="I16" s="2"/>
      </tp>
      <tp>
        <v>26616</v>
        <stp/>
        <stp>ContractData</stp>
        <stp>QSAM21</stp>
        <stp>T_CVol</stp>
        <tr r="I20" s="2"/>
      </tp>
      <tp>
        <v>14281</v>
        <stp/>
        <stp>ContractData</stp>
        <stp>QSAM22</stp>
        <stp>T_CVol</stp>
        <tr r="I24" s="2"/>
      </tp>
      <tp>
        <v>37968</v>
        <stp/>
        <stp>ContractData</stp>
        <stp>QSAH20</stp>
        <stp>T_CVol</stp>
        <tr r="I15" s="2"/>
      </tp>
      <tp>
        <v>31225</v>
        <stp/>
        <stp>ContractData</stp>
        <stp>QSAH21</stp>
        <stp>T_CVol</stp>
        <tr r="I19" s="2"/>
      </tp>
      <tp>
        <v>14980</v>
        <stp/>
        <stp>ContractData</stp>
        <stp>QSAH22</stp>
        <stp>T_CVol</stp>
        <tr r="I23" s="2"/>
      </tp>
      <tp>
        <v>30932</v>
        <stp/>
        <stp>ContractData</stp>
        <stp>QSAZ20</stp>
        <stp>T_CVol</stp>
        <tr r="I18" s="2"/>
      </tp>
      <tp>
        <v>15977</v>
        <stp/>
        <stp>ContractData</stp>
        <stp>QSAZ21</stp>
        <stp>T_CVol</stp>
        <tr r="I22" s="2"/>
      </tp>
      <tp>
        <v>25181</v>
        <stp/>
        <stp>ContractData</stp>
        <stp>QSAZ19</stp>
        <stp>T_CVol</stp>
        <tr r="I14" s="2"/>
      </tp>
      <tp>
        <v>30444</v>
        <stp/>
        <stp>ContractData</stp>
        <stp>QSAU20</stp>
        <stp>T_CVol</stp>
        <tr r="I17" s="2"/>
      </tp>
      <tp>
        <v>21228</v>
        <stp/>
        <stp>ContractData</stp>
        <stp>QSAU21</stp>
        <stp>T_CVol</stp>
        <tr r="I21" s="2"/>
      </tp>
      <tp>
        <v>29446</v>
        <stp/>
        <stp>ContractData</stp>
        <stp>QSAU19</stp>
        <stp>T_CVol</stp>
        <tr r="I13" s="2"/>
      </tp>
      <tp>
        <v>-4.4999999999999998E-2</v>
        <stp/>
        <stp>ContractData</stp>
        <stp>QSAS12?1</stp>
        <stp>Ask</stp>
        <tr r="K27" s="2"/>
      </tp>
      <tp>
        <v>-4.4999999999999998E-2</v>
        <stp/>
        <stp>ContractData</stp>
        <stp>QSAS12?2</stp>
        <stp>Ask</stp>
        <tr r="L27" s="2"/>
      </tp>
      <tp>
        <v>-0.02</v>
        <stp/>
        <stp>ContractData</stp>
        <stp>QSAS12?3</stp>
        <stp>Ask</stp>
        <tr r="M27" s="2"/>
      </tp>
      <tp>
        <v>0.02</v>
        <stp/>
        <stp>ContractData</stp>
        <stp>QSAS12?4</stp>
        <stp>Ask</stp>
        <tr r="N27" s="2"/>
      </tp>
      <tp>
        <v>4.4999999999999998E-2</v>
        <stp/>
        <stp>ContractData</stp>
        <stp>QSAS12?5</stp>
        <stp>Ask</stp>
        <tr r="O27" s="2"/>
      </tp>
      <tp>
        <v>4.4999999999999998E-2</v>
        <stp/>
        <stp>ContractData</stp>
        <stp>QSAS12?6</stp>
        <stp>Ask</stp>
        <tr r="P27" s="2"/>
      </tp>
      <tp>
        <v>7.0000000000000007E-2</v>
        <stp/>
        <stp>ContractData</stp>
        <stp>QSAS12?7</stp>
        <stp>Ask</stp>
        <tr r="Q27" s="2"/>
      </tp>
      <tp>
        <v>7.4999999999999997E-2</v>
        <stp/>
        <stp>ContractData</stp>
        <stp>QSAS12?8</stp>
        <stp>Ask</stp>
        <tr r="R27" s="2"/>
      </tp>
      <tp>
        <v>8.5000000000000006E-2</v>
        <stp/>
        <stp>ContractData</stp>
        <stp>QSAS12?9</stp>
        <stp>Ask</stp>
        <tr r="S27" s="2"/>
      </tp>
      <tp>
        <v>99.185000000000002</v>
        <stp/>
        <stp>ContractData</stp>
        <stp>QSAH22</stp>
        <stp>Open</stp>
        <stp/>
        <stp>T</stp>
        <tr r="C23" s="2"/>
      </tp>
      <tp>
        <v>99.234999999999999</v>
        <stp/>
        <stp>ContractData</stp>
        <stp>QSAH20</stp>
        <stp>Open</stp>
        <stp/>
        <stp>T</stp>
        <tr r="C15" s="2"/>
      </tp>
      <tp>
        <v>99.25</v>
        <stp/>
        <stp>ContractData</stp>
        <stp>QSAH21</stp>
        <stp>Open</stp>
        <stp/>
        <stp>T</stp>
        <tr r="C19" s="2"/>
      </tp>
      <tp t="s">
        <v>Short Sterling Calendar Spread 12, Sep 19, Sep 20</v>
        <stp/>
        <stp>ContractData</stp>
        <stp>QSAS12?1</stp>
        <stp>LongDescription</stp>
        <stp/>
        <stp>T</stp>
        <tr r="W31" s="6"/>
      </tp>
      <tp>
        <v>99.26</v>
        <stp/>
        <stp>ContractData</stp>
        <stp>QSAM20</stp>
        <stp>High</stp>
        <stp/>
        <stp>T</stp>
        <tr r="D16" s="2"/>
      </tp>
      <tp>
        <v>99.26</v>
        <stp/>
        <stp>ContractData</stp>
        <stp>QSAM21</stp>
        <stp>High</stp>
        <stp/>
        <stp>T</stp>
        <tr r="D20" s="2"/>
      </tp>
      <tp>
        <v>99.19</v>
        <stp/>
        <stp>ContractData</stp>
        <stp>QSAM22</stp>
        <stp>High</stp>
        <stp/>
        <stp>T</stp>
        <tr r="D24" s="2"/>
      </tp>
      <tp>
        <v>7.4999999999999997E-2</v>
        <stp/>
        <stp>ContractData</stp>
        <stp>QSAS12?9</stp>
        <stp>Bid</stp>
        <tr r="S28" s="2"/>
      </tp>
      <tp>
        <v>7.0000000000000007E-2</v>
        <stp/>
        <stp>ContractData</stp>
        <stp>QSAS12?8</stp>
        <stp>Bid</stp>
        <tr r="R28" s="2"/>
      </tp>
      <tp>
        <v>6.5000000000000002E-2</v>
        <stp/>
        <stp>ContractData</stp>
        <stp>QSAS12?7</stp>
        <stp>Bid</stp>
        <tr r="Q28" s="2"/>
      </tp>
      <tp>
        <v>0.04</v>
        <stp/>
        <stp>ContractData</stp>
        <stp>QSAS12?6</stp>
        <stp>Bid</stp>
        <tr r="P28" s="2"/>
      </tp>
      <tp>
        <v>0.04</v>
        <stp/>
        <stp>ContractData</stp>
        <stp>QSAS12?5</stp>
        <stp>Bid</stp>
        <tr r="O28" s="2"/>
      </tp>
      <tp>
        <v>0.01</v>
        <stp/>
        <stp>ContractData</stp>
        <stp>QSAS12?4</stp>
        <stp>Bid</stp>
        <tr r="N28" s="2"/>
      </tp>
      <tp>
        <v>-2.5000000000000001E-2</v>
        <stp/>
        <stp>ContractData</stp>
        <stp>QSAS12?3</stp>
        <stp>Bid</stp>
        <tr r="M28" s="2"/>
      </tp>
      <tp>
        <v>-0.05</v>
        <stp/>
        <stp>ContractData</stp>
        <stp>QSAS12?2</stp>
        <stp>Bid</stp>
        <tr r="L28" s="2"/>
      </tp>
      <tp>
        <v>-0.05</v>
        <stp/>
        <stp>ContractData</stp>
        <stp>QSAS12?1</stp>
        <stp>Bid</stp>
        <tr r="K28" s="2"/>
      </tp>
      <tp t="s">
        <v>Short Sterling Calendar Spread 12, Dec 21, Dec 22</v>
        <stp/>
        <stp>ContractData</stp>
        <stp>QSAS12Z21</stp>
        <stp>LongDescription</stp>
        <tr r="B38" s="2"/>
        <tr r="B39" s="2"/>
      </tp>
      <tp t="s">
        <v>Short Sterling Calendar Spread 12, Dec 20, Dec 21</v>
        <stp/>
        <stp>ContractData</stp>
        <stp>QSAS12Z20</stp>
        <stp>LongDescription</stp>
        <tr r="B34" s="2"/>
      </tp>
      <tp t="s">
        <v>Short Sterling Calendar Spread 12, Dec 19, Dec 20</v>
        <stp/>
        <stp>ContractData</stp>
        <stp>QSAS12Z19</stp>
        <stp>LongDescription</stp>
        <tr r="B30" s="2"/>
      </tp>
      <tp>
        <v>99.16</v>
        <stp/>
        <stp>ContractData</stp>
        <stp>QSAM22</stp>
        <stp>Open</stp>
        <stp/>
        <stp>T</stp>
        <tr r="C24" s="2"/>
      </tp>
      <tp>
        <v>99.240000000000009</v>
        <stp/>
        <stp>ContractData</stp>
        <stp>QSAM20</stp>
        <stp>Open</stp>
        <stp/>
        <stp>T</stp>
        <tr r="C16" s="2"/>
      </tp>
      <tp>
        <v>99.240000000000009</v>
        <stp/>
        <stp>ContractData</stp>
        <stp>QSAM21</stp>
        <stp>Open</stp>
        <stp/>
        <stp>T</stp>
        <tr r="C20" s="2"/>
      </tp>
      <tp>
        <v>2.5000000000000001E-2</v>
        <stp/>
        <stp>StudyData</stp>
        <stp>QSAS3?8</stp>
        <stp>Bar</stp>
        <stp/>
        <stp>Close</stp>
        <stp>D</stp>
        <stp>-20</stp>
        <stp>All</stp>
        <stp/>
        <stp/>
        <stp/>
        <stp>T</stp>
        <tr r="AK42" s="6"/>
      </tp>
      <tp>
        <v>99.240000000000009</v>
        <stp/>
        <stp>ContractData</stp>
        <stp>QSAH20</stp>
        <stp>High</stp>
        <stp/>
        <stp>T</stp>
        <tr r="D15" s="2"/>
      </tp>
      <tp>
        <v>99.27</v>
        <stp/>
        <stp>ContractData</stp>
        <stp>QSAH21</stp>
        <stp>High</stp>
        <stp/>
        <stp>T</stp>
        <tr r="D19" s="2"/>
      </tp>
      <tp>
        <v>99.210000000000008</v>
        <stp/>
        <stp>ContractData</stp>
        <stp>QSAH22</stp>
        <stp>High</stp>
        <stp/>
        <stp>T</stp>
        <tr r="D23" s="2"/>
      </tp>
      <tp>
        <v>0.03</v>
        <stp/>
        <stp>StudyData</stp>
        <stp>QSAS3?9</stp>
        <stp>Bar</stp>
        <stp/>
        <stp>Close</stp>
        <stp>D</stp>
        <stp>-20</stp>
        <stp>All</stp>
        <stp/>
        <stp/>
        <stp/>
        <stp>T</stp>
        <tr r="AK43" s="6"/>
      </tp>
      <tp>
        <v>0.01</v>
        <stp/>
        <stp>StudyData</stp>
        <stp>QSAS3?6</stp>
        <stp>Bar</stp>
        <stp/>
        <stp>Close</stp>
        <stp>D</stp>
        <stp>-20</stp>
        <stp>All</stp>
        <stp/>
        <stp/>
        <stp/>
        <stp>T</stp>
        <tr r="AK40" s="6"/>
      </tp>
      <tp>
        <v>0.02</v>
        <stp/>
        <stp>StudyData</stp>
        <stp>QSAS3?7</stp>
        <stp>Bar</stp>
        <stp/>
        <stp>Close</stp>
        <stp>D</stp>
        <stp>-20</stp>
        <stp>All</stp>
        <stp/>
        <stp/>
        <stp/>
        <stp>T</stp>
        <tr r="AK41" s="6"/>
      </tp>
      <tp>
        <v>2.5000000000000001E-2</v>
        <stp/>
        <stp>StudyData</stp>
        <stp>QSAS3?4</stp>
        <stp>Bar</stp>
        <stp/>
        <stp>Close</stp>
        <stp>D</stp>
        <stp>-20</stp>
        <stp>All</stp>
        <stp/>
        <stp/>
        <stp/>
        <stp>T</stp>
        <tr r="AK38" s="6"/>
      </tp>
      <tp>
        <v>3.5000000000000003E-2</v>
        <stp/>
        <stp>StudyData</stp>
        <stp>QSAS3?5</stp>
        <stp>Bar</stp>
        <stp/>
        <stp>Close</stp>
        <stp>D</stp>
        <stp>-20</stp>
        <stp>All</stp>
        <stp/>
        <stp/>
        <stp/>
        <stp>T</stp>
        <tr r="AK39" s="6"/>
      </tp>
      <tp t="s">
        <v>Short Sterling Calendar Spread 12, Sep 21, Sep 22</v>
        <stp/>
        <stp>ContractData</stp>
        <stp>QSAS12U21</stp>
        <stp>LongDescription</stp>
        <tr r="B37" s="2"/>
      </tp>
      <tp t="s">
        <v>Short Sterling Calendar Spread 12, Sep 20, Sep 21</v>
        <stp/>
        <stp>ContractData</stp>
        <stp>QSAS12U20</stp>
        <stp>LongDescription</stp>
        <tr r="B33" s="2"/>
      </tp>
      <tp t="s">
        <v>Short Sterling Calendar Spread 12, Sep 19, Sep 20</v>
        <stp/>
        <stp>ContractData</stp>
        <stp>QSAS12U19</stp>
        <stp>LongDescription</stp>
        <tr r="B29" s="2"/>
      </tp>
      <tp>
        <v>-3.5000000000000003E-2</v>
        <stp/>
        <stp>StudyData</stp>
        <stp>QSAS3?2</stp>
        <stp>Bar</stp>
        <stp/>
        <stp>Close</stp>
        <stp>D</stp>
        <stp>-20</stp>
        <stp>All</stp>
        <stp/>
        <stp/>
        <stp/>
        <stp>T</stp>
        <tr r="AK36" s="6"/>
      </tp>
      <tp>
        <v>5.0000000000000001E-3</v>
        <stp/>
        <stp>StudyData</stp>
        <stp>QSAS3?3</stp>
        <stp>Bar</stp>
        <stp/>
        <stp>Close</stp>
        <stp>D</stp>
        <stp>-20</stp>
        <stp>All</stp>
        <stp/>
        <stp/>
        <stp/>
        <stp>T</stp>
        <tr r="AK37" s="6"/>
      </tp>
      <tp>
        <v>0.03</v>
        <stp/>
        <stp>ContractData</stp>
        <stp>QSAS3?20</stp>
        <stp>Ask</stp>
        <tr r="AD43" s="2"/>
      </tp>
      <tp>
        <v>1.4999999999999999E-2</v>
        <stp/>
        <stp>ContractData</stp>
        <stp>QSAS3?10</stp>
        <stp>Ask</stp>
        <tr r="T43" s="2"/>
      </tp>
      <tp>
        <v>2.5000000000000001E-2</v>
        <stp/>
        <stp>ContractData</stp>
        <stp>QSAS3?11</stp>
        <stp>Ask</stp>
        <tr r="U43" s="2"/>
      </tp>
      <tp>
        <v>2.5000000000000001E-2</v>
        <stp/>
        <stp>ContractData</stp>
        <stp>QSAS3?12</stp>
        <stp>Ask</stp>
        <tr r="V43" s="2"/>
      </tp>
      <tp>
        <v>2.5000000000000001E-2</v>
        <stp/>
        <stp>ContractData</stp>
        <stp>QSAS3?13</stp>
        <stp>Ask</stp>
        <tr r="W43" s="2"/>
      </tp>
      <tp>
        <v>0.02</v>
        <stp/>
        <stp>ContractData</stp>
        <stp>QSAS3?14</stp>
        <stp>Ask</stp>
        <tr r="X43" s="2"/>
      </tp>
      <tp>
        <v>0.03</v>
        <stp/>
        <stp>ContractData</stp>
        <stp>QSAS3?15</stp>
        <stp>Ask</stp>
        <tr r="Y43" s="2"/>
      </tp>
      <tp>
        <v>0.03</v>
        <stp/>
        <stp>ContractData</stp>
        <stp>QSAS3?16</stp>
        <stp>Ask</stp>
        <tr r="Z43" s="2"/>
      </tp>
      <tp>
        <v>3.5000000000000003E-2</v>
        <stp/>
        <stp>ContractData</stp>
        <stp>QSAS3?17</stp>
        <stp>Ask</stp>
        <tr r="AA43" s="2"/>
      </tp>
      <tp>
        <v>0.02</v>
        <stp/>
        <stp>ContractData</stp>
        <stp>QSAS3?18</stp>
        <stp>Ask</stp>
        <tr r="AB43" s="2"/>
      </tp>
      <tp>
        <v>0.03</v>
        <stp/>
        <stp>ContractData</stp>
        <stp>QSAS3?19</stp>
        <stp>Ask</stp>
        <tr r="AC43" s="2"/>
      </tp>
      <tp>
        <v>2.5000000000000001E-2</v>
        <stp/>
        <stp>ContractData</stp>
        <stp>QSAS3?19</stp>
        <stp>Bid</stp>
        <tr r="AC44" s="2"/>
      </tp>
      <tp>
        <v>1.4999999999999999E-2</v>
        <stp/>
        <stp>ContractData</stp>
        <stp>QSAS3?18</stp>
        <stp>Bid</stp>
        <tr r="AB44" s="2"/>
      </tp>
      <tp>
        <v>0.03</v>
        <stp/>
        <stp>ContractData</stp>
        <stp>QSAS3?17</stp>
        <stp>Bid</stp>
        <tr r="AA44" s="2"/>
      </tp>
      <tp>
        <v>2.5000000000000001E-2</v>
        <stp/>
        <stp>ContractData</stp>
        <stp>QSAS3?16</stp>
        <stp>Bid</stp>
        <tr r="Z44" s="2"/>
      </tp>
      <tp>
        <v>2.5000000000000001E-2</v>
        <stp/>
        <stp>ContractData</stp>
        <stp>QSAS3?15</stp>
        <stp>Bid</stp>
        <tr r="Y44" s="2"/>
      </tp>
      <tp>
        <v>1.4999999999999999E-2</v>
        <stp/>
        <stp>ContractData</stp>
        <stp>QSAS3?14</stp>
        <stp>Bid</stp>
        <tr r="X44" s="2"/>
      </tp>
      <tp>
        <v>0.02</v>
        <stp/>
        <stp>ContractData</stp>
        <stp>QSAS3?13</stp>
        <stp>Bid</stp>
        <tr r="W44" s="2"/>
      </tp>
      <tp>
        <v>0.02</v>
        <stp/>
        <stp>ContractData</stp>
        <stp>QSAS3?12</stp>
        <stp>Bid</stp>
        <tr r="V44" s="2"/>
      </tp>
      <tp>
        <v>0.02</v>
        <stp/>
        <stp>ContractData</stp>
        <stp>QSAS3?11</stp>
        <stp>Bid</stp>
        <tr r="U44" s="2"/>
      </tp>
      <tp>
        <v>0.01</v>
        <stp/>
        <stp>ContractData</stp>
        <stp>QSAS3?10</stp>
        <stp>Bid</stp>
        <tr r="T44" s="2"/>
      </tp>
      <tp>
        <v>2.5000000000000001E-2</v>
        <stp/>
        <stp>ContractData</stp>
        <stp>QSAS3?20</stp>
        <stp>Bid</stp>
        <tr r="AD44" s="2"/>
      </tp>
      <tp>
        <v>3.5000000000000003E-2</v>
        <stp/>
        <stp>StudyData</stp>
        <stp>QSAS3?1</stp>
        <stp>Bar</stp>
        <stp/>
        <stp>Close</stp>
        <stp>D</stp>
        <stp>-20</stp>
        <stp>All</stp>
        <stp/>
        <stp/>
        <stp/>
        <stp>T</stp>
        <tr r="AK35" s="6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0792481584963167E-2"/>
          <c:y val="2.5757876038909229E-2"/>
          <c:w val="0.95920755242753908"/>
          <c:h val="0.94622021597081885"/>
        </c:manualLayout>
      </c:layout>
      <c:lineChart>
        <c:grouping val="standard"/>
        <c:varyColors val="0"/>
        <c:ser>
          <c:idx val="0"/>
          <c:order val="0"/>
          <c:tx>
            <c:v>Today</c:v>
          </c:tx>
          <c:spPr>
            <a:ln w="15875">
              <a:solidFill>
                <a:srgbClr val="FF0000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ln w="12700">
                <a:solidFill>
                  <a:schemeClr val="tx2">
                    <a:lumMod val="40000"/>
                    <a:lumOff val="60000"/>
                  </a:schemeClr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aseline="0"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QSA!$AH$2:$AH$21</c:f>
              <c:numCache>
                <c:formatCode>General</c:formatCode>
                <c:ptCount val="20"/>
              </c:numCache>
            </c:numRef>
          </c:cat>
          <c:val>
            <c:numRef>
              <c:f>QSA!$R$2:$R$21</c:f>
              <c:numCache>
                <c:formatCode>0.000</c:formatCode>
                <c:ptCount val="20"/>
                <c:pt idx="0">
                  <c:v>99.215000000000003</c:v>
                </c:pt>
                <c:pt idx="1">
                  <c:v>99.19</c:v>
                </c:pt>
                <c:pt idx="2">
                  <c:v>99.23</c:v>
                </c:pt>
                <c:pt idx="3">
                  <c:v>99.25</c:v>
                </c:pt>
                <c:pt idx="4">
                  <c:v>99.26</c:v>
                </c:pt>
                <c:pt idx="5">
                  <c:v>99.240000000000009</c:v>
                </c:pt>
                <c:pt idx="6">
                  <c:v>99.25</c:v>
                </c:pt>
                <c:pt idx="7">
                  <c:v>99.234999999999999</c:v>
                </c:pt>
                <c:pt idx="8">
                  <c:v>99.215000000000003</c:v>
                </c:pt>
                <c:pt idx="9">
                  <c:v>99.19</c:v>
                </c:pt>
                <c:pt idx="10">
                  <c:v>99.18</c:v>
                </c:pt>
                <c:pt idx="11">
                  <c:v>99.16</c:v>
                </c:pt>
                <c:pt idx="12">
                  <c:v>99.135000000000005</c:v>
                </c:pt>
                <c:pt idx="13">
                  <c:v>99.115000000000009</c:v>
                </c:pt>
                <c:pt idx="14">
                  <c:v>99.094999999999999</c:v>
                </c:pt>
                <c:pt idx="15">
                  <c:v>99.070000000000007</c:v>
                </c:pt>
                <c:pt idx="16">
                  <c:v>99.045000000000002</c:v>
                </c:pt>
                <c:pt idx="17">
                  <c:v>99.02</c:v>
                </c:pt>
                <c:pt idx="18">
                  <c:v>98.995000000000005</c:v>
                </c:pt>
                <c:pt idx="19">
                  <c:v>98.965000000000003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2D-4695-B15A-506E188C34B3}"/>
            </c:ext>
          </c:extLst>
        </c:ser>
        <c:ser>
          <c:idx val="1"/>
          <c:order val="1"/>
          <c:tx>
            <c:v>Yesterday</c:v>
          </c:tx>
          <c:spPr>
            <a:ln w="15875">
              <a:solidFill>
                <a:srgbClr val="00B0F0"/>
              </a:solidFill>
            </a:ln>
          </c:spPr>
          <c:marker>
            <c:symbol val="circle"/>
            <c:size val="3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ln>
                <a:noFill/>
              </a:ln>
            </c:spPr>
          </c:marker>
          <c:cat>
            <c:numRef>
              <c:f>QSA!$AH$2:$AH$21</c:f>
              <c:numCache>
                <c:formatCode>General</c:formatCode>
                <c:ptCount val="20"/>
              </c:numCache>
            </c:numRef>
          </c:cat>
          <c:val>
            <c:numRef>
              <c:f>QSA!$B$26:$B$45</c:f>
              <c:numCache>
                <c:formatCode>0.0000</c:formatCode>
                <c:ptCount val="20"/>
                <c:pt idx="0">
                  <c:v>99.2</c:v>
                </c:pt>
                <c:pt idx="1">
                  <c:v>99.17</c:v>
                </c:pt>
                <c:pt idx="2">
                  <c:v>99.21</c:v>
                </c:pt>
                <c:pt idx="3">
                  <c:v>99.224999999999994</c:v>
                </c:pt>
                <c:pt idx="4">
                  <c:v>99.24</c:v>
                </c:pt>
                <c:pt idx="5">
                  <c:v>99.22</c:v>
                </c:pt>
                <c:pt idx="6">
                  <c:v>99.23</c:v>
                </c:pt>
                <c:pt idx="7">
                  <c:v>99.22</c:v>
                </c:pt>
                <c:pt idx="8">
                  <c:v>99.204999999999998</c:v>
                </c:pt>
                <c:pt idx="9">
                  <c:v>99.18</c:v>
                </c:pt>
                <c:pt idx="10">
                  <c:v>99.17</c:v>
                </c:pt>
                <c:pt idx="11">
                  <c:v>99.144999999999996</c:v>
                </c:pt>
                <c:pt idx="12">
                  <c:v>99.12</c:v>
                </c:pt>
                <c:pt idx="13">
                  <c:v>99.094999999999999</c:v>
                </c:pt>
                <c:pt idx="14">
                  <c:v>99.08</c:v>
                </c:pt>
                <c:pt idx="15">
                  <c:v>99.05</c:v>
                </c:pt>
                <c:pt idx="16">
                  <c:v>99.02</c:v>
                </c:pt>
                <c:pt idx="17">
                  <c:v>98.99</c:v>
                </c:pt>
                <c:pt idx="18">
                  <c:v>98.97</c:v>
                </c:pt>
                <c:pt idx="19">
                  <c:v>98.944999999999993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52-47E9-ABDD-05220D85E28F}"/>
            </c:ext>
          </c:extLst>
        </c:ser>
        <c:ser>
          <c:idx val="2"/>
          <c:order val="2"/>
          <c:tx>
            <c:v>5-Days</c:v>
          </c:tx>
          <c:spPr>
            <a:ln w="15875">
              <a:solidFill>
                <a:schemeClr val="accent3"/>
              </a:solidFill>
            </a:ln>
          </c:spPr>
          <c:marker>
            <c:symbol val="circle"/>
            <c:size val="3"/>
          </c:marker>
          <c:val>
            <c:numRef>
              <c:f>QSA!$C$26:$C$45</c:f>
              <c:numCache>
                <c:formatCode>0.0000</c:formatCode>
                <c:ptCount val="20"/>
                <c:pt idx="0">
                  <c:v>99.174999999999997</c:v>
                </c:pt>
                <c:pt idx="1">
                  <c:v>99.15</c:v>
                </c:pt>
                <c:pt idx="2">
                  <c:v>99.194999999999993</c:v>
                </c:pt>
                <c:pt idx="3">
                  <c:v>99.215000000000003</c:v>
                </c:pt>
                <c:pt idx="4">
                  <c:v>99.23</c:v>
                </c:pt>
                <c:pt idx="5">
                  <c:v>99.22</c:v>
                </c:pt>
                <c:pt idx="6">
                  <c:v>99.22</c:v>
                </c:pt>
                <c:pt idx="7">
                  <c:v>99.204999999999998</c:v>
                </c:pt>
                <c:pt idx="8">
                  <c:v>99.19</c:v>
                </c:pt>
                <c:pt idx="9">
                  <c:v>99.165000000000006</c:v>
                </c:pt>
                <c:pt idx="10">
                  <c:v>99.15</c:v>
                </c:pt>
                <c:pt idx="11">
                  <c:v>99.125</c:v>
                </c:pt>
                <c:pt idx="12">
                  <c:v>99.1</c:v>
                </c:pt>
                <c:pt idx="13">
                  <c:v>99.075000000000003</c:v>
                </c:pt>
                <c:pt idx="14">
                  <c:v>99.06</c:v>
                </c:pt>
                <c:pt idx="15">
                  <c:v>99.03</c:v>
                </c:pt>
                <c:pt idx="16">
                  <c:v>99</c:v>
                </c:pt>
                <c:pt idx="17">
                  <c:v>98.97</c:v>
                </c:pt>
                <c:pt idx="18">
                  <c:v>98.954999999999998</c:v>
                </c:pt>
                <c:pt idx="19">
                  <c:v>98.93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52-47E9-ABDD-05220D85E28F}"/>
            </c:ext>
          </c:extLst>
        </c:ser>
        <c:ser>
          <c:idx val="3"/>
          <c:order val="3"/>
          <c:tx>
            <c:v>20-Days</c:v>
          </c:tx>
          <c:spPr>
            <a:ln w="15875"/>
          </c:spPr>
          <c:marker>
            <c:symbol val="circle"/>
            <c:size val="3"/>
          </c:marker>
          <c:val>
            <c:numRef>
              <c:f>QSA!$D$26:$D$45</c:f>
              <c:numCache>
                <c:formatCode>0.0000</c:formatCode>
                <c:ptCount val="20"/>
                <c:pt idx="0">
                  <c:v>99.19</c:v>
                </c:pt>
                <c:pt idx="1">
                  <c:v>99.15</c:v>
                </c:pt>
                <c:pt idx="2">
                  <c:v>99.185000000000002</c:v>
                </c:pt>
                <c:pt idx="3">
                  <c:v>99.18</c:v>
                </c:pt>
                <c:pt idx="4">
                  <c:v>99.155000000000001</c:v>
                </c:pt>
                <c:pt idx="5">
                  <c:v>99.12</c:v>
                </c:pt>
                <c:pt idx="6">
                  <c:v>99.11</c:v>
                </c:pt>
                <c:pt idx="7">
                  <c:v>99.09</c:v>
                </c:pt>
                <c:pt idx="8">
                  <c:v>99.064999999999998</c:v>
                </c:pt>
                <c:pt idx="9">
                  <c:v>99.034999999999997</c:v>
                </c:pt>
                <c:pt idx="10">
                  <c:v>99.015000000000001</c:v>
                </c:pt>
                <c:pt idx="11">
                  <c:v>98.99</c:v>
                </c:pt>
                <c:pt idx="12">
                  <c:v>98.97</c:v>
                </c:pt>
                <c:pt idx="13">
                  <c:v>98.944999999999993</c:v>
                </c:pt>
                <c:pt idx="14">
                  <c:v>98.924999999999997</c:v>
                </c:pt>
                <c:pt idx="15">
                  <c:v>98.894999999999996</c:v>
                </c:pt>
                <c:pt idx="16">
                  <c:v>98.87</c:v>
                </c:pt>
                <c:pt idx="17">
                  <c:v>98.844999999999999</c:v>
                </c:pt>
                <c:pt idx="18">
                  <c:v>98.82</c:v>
                </c:pt>
                <c:pt idx="19">
                  <c:v>98.8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52-47E9-ABDD-05220D85E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2897720"/>
        <c:axId val="542901248"/>
      </c:lineChart>
      <c:catAx>
        <c:axId val="542897720"/>
        <c:scaling>
          <c:orientation val="minMax"/>
        </c:scaling>
        <c:delete val="1"/>
        <c:axPos val="b"/>
        <c:majorGridlines>
          <c:spPr>
            <a:ln>
              <a:solidFill>
                <a:srgbClr val="FF0000"/>
              </a:solidFill>
              <a:prstDash val="sysDot"/>
            </a:ln>
          </c:spPr>
        </c:majorGridlines>
        <c:numFmt formatCode="General" sourceLinked="1"/>
        <c:majorTickMark val="out"/>
        <c:minorTickMark val="none"/>
        <c:tickLblPos val="nextTo"/>
        <c:crossAx val="542901248"/>
        <c:crosses val="autoZero"/>
        <c:auto val="1"/>
        <c:lblAlgn val="ctr"/>
        <c:lblOffset val="100"/>
        <c:noMultiLvlLbl val="0"/>
      </c:catAx>
      <c:valAx>
        <c:axId val="542901248"/>
        <c:scaling>
          <c:orientation val="minMax"/>
        </c:scaling>
        <c:delete val="0"/>
        <c:axPos val="l"/>
        <c:majorGridlines>
          <c:spPr>
            <a:ln>
              <a:solidFill>
                <a:srgbClr val="FF0000"/>
              </a:solidFill>
              <a:prstDash val="sysDot"/>
            </a:ln>
          </c:spPr>
        </c:majorGridlines>
        <c:numFmt formatCode="#,##0.000" sourceLinked="0"/>
        <c:majorTickMark val="out"/>
        <c:minorTickMark val="none"/>
        <c:tickLblPos val="nextTo"/>
        <c:spPr>
          <a:noFill/>
          <a:ln>
            <a:solidFill>
              <a:srgbClr val="FF0000"/>
            </a:solidFill>
            <a:prstDash val="sysDash"/>
          </a:ln>
        </c:spPr>
        <c:crossAx val="542897720"/>
        <c:crosses val="autoZero"/>
        <c:crossBetween val="between"/>
      </c:valAx>
      <c:spPr>
        <a:noFill/>
        <a:ln w="12700">
          <a:noFill/>
        </a:ln>
        <a:effectLst>
          <a:innerShdw blurRad="63500" dist="50800" dir="18900000">
            <a:prstClr val="black">
              <a:alpha val="50000"/>
            </a:prstClr>
          </a:innerShdw>
        </a:effectLst>
      </c:spPr>
    </c:plotArea>
    <c:legend>
      <c:legendPos val="r"/>
      <c:layout>
        <c:manualLayout>
          <c:xMode val="edge"/>
          <c:yMode val="edge"/>
          <c:x val="0.76157249467110988"/>
          <c:y val="0.80495253841002723"/>
          <c:w val="0.23747444368966633"/>
          <c:h val="0.19489896677877866"/>
        </c:manualLayout>
      </c:layout>
      <c:overlay val="0"/>
    </c:legend>
    <c:plotVisOnly val="1"/>
    <c:dispBlanksAs val="gap"/>
    <c:showDLblsOverMax val="0"/>
  </c:chart>
  <c:spPr>
    <a:noFill/>
    <a:ln w="12700">
      <a:noFill/>
    </a:ln>
  </c:spPr>
  <c:txPr>
    <a:bodyPr/>
    <a:lstStyle/>
    <a:p>
      <a:pPr>
        <a:defRPr sz="9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97858570927735E-2"/>
          <c:y val="4.640692640692641E-2"/>
          <c:w val="0.96600211722267515"/>
          <c:h val="0.91887439512751568"/>
        </c:manualLayout>
      </c:layout>
      <c:lineChart>
        <c:grouping val="standard"/>
        <c:varyColors val="0"/>
        <c:ser>
          <c:idx val="0"/>
          <c:order val="0"/>
          <c:tx>
            <c:v>Last</c:v>
          </c:tx>
          <c:spPr>
            <a:ln w="15875">
              <a:solidFill>
                <a:srgbClr val="FF0000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marker>
          <c:dLbls>
            <c:numFmt formatCode="#,##0.00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QSA!$V$35:$V$54</c:f>
              <c:numCache>
                <c:formatCode>0.000</c:formatCode>
                <c:ptCount val="20"/>
                <c:pt idx="0">
                  <c:v>-4.4999999999999998E-2</c:v>
                </c:pt>
                <c:pt idx="1">
                  <c:v>-0.05</c:v>
                </c:pt>
                <c:pt idx="2">
                  <c:v>-0.02</c:v>
                </c:pt>
                <c:pt idx="3">
                  <c:v>1.4999999999999999E-2</c:v>
                </c:pt>
                <c:pt idx="4">
                  <c:v>0.04</c:v>
                </c:pt>
                <c:pt idx="5">
                  <c:v>0.04</c:v>
                </c:pt>
                <c:pt idx="6">
                  <c:v>6.5000000000000002E-2</c:v>
                </c:pt>
                <c:pt idx="7">
                  <c:v>7.4999999999999997E-2</c:v>
                </c:pt>
                <c:pt idx="8">
                  <c:v>0.08</c:v>
                </c:pt>
                <c:pt idx="9">
                  <c:v>7.4999999999999997E-2</c:v>
                </c:pt>
                <c:pt idx="10">
                  <c:v>8.5000000000000006E-2</c:v>
                </c:pt>
                <c:pt idx="11">
                  <c:v>8.5000000000000006E-2</c:v>
                </c:pt>
                <c:pt idx="12">
                  <c:v>0.09</c:v>
                </c:pt>
                <c:pt idx="13">
                  <c:v>0.105</c:v>
                </c:pt>
                <c:pt idx="14">
                  <c:v>0.105</c:v>
                </c:pt>
                <c:pt idx="15">
                  <c:v>0.105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5-4BE2-A2BA-1B27A74D5FBF}"/>
            </c:ext>
          </c:extLst>
        </c:ser>
        <c:ser>
          <c:idx val="1"/>
          <c:order val="1"/>
          <c:tx>
            <c:v>Yesterday</c:v>
          </c:tx>
          <c:spPr>
            <a:ln w="15875">
              <a:solidFill>
                <a:srgbClr val="00B0F0"/>
              </a:solidFill>
            </a:ln>
          </c:spPr>
          <c:marker>
            <c:symbol val="circle"/>
            <c:size val="3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marker>
          <c:val>
            <c:numRef>
              <c:f>QSA!$X$35:$X$54</c:f>
              <c:numCache>
                <c:formatCode>0.000</c:formatCode>
                <c:ptCount val="20"/>
                <c:pt idx="0">
                  <c:v>-3.5000000000000003E-2</c:v>
                </c:pt>
                <c:pt idx="1">
                  <c:v>-4.4999999999999998E-2</c:v>
                </c:pt>
                <c:pt idx="2">
                  <c:v>-1.4999999999999999E-2</c:v>
                </c:pt>
                <c:pt idx="3">
                  <c:v>1.4999999999999999E-2</c:v>
                </c:pt>
                <c:pt idx="4">
                  <c:v>0.04</c:v>
                </c:pt>
                <c:pt idx="5">
                  <c:v>4.4999999999999998E-2</c:v>
                </c:pt>
                <c:pt idx="6">
                  <c:v>6.5000000000000002E-2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0.08</c:v>
                </c:pt>
                <c:pt idx="10">
                  <c:v>8.5000000000000006E-2</c:v>
                </c:pt>
                <c:pt idx="11">
                  <c:v>9.5000000000000001E-2</c:v>
                </c:pt>
                <c:pt idx="12">
                  <c:v>0.1</c:v>
                </c:pt>
                <c:pt idx="13">
                  <c:v>0.105</c:v>
                </c:pt>
                <c:pt idx="14">
                  <c:v>0.11</c:v>
                </c:pt>
                <c:pt idx="15">
                  <c:v>0.105</c:v>
                </c:pt>
                <c:pt idx="16">
                  <c:v>0.105</c:v>
                </c:pt>
                <c:pt idx="17">
                  <c:v>0.105</c:v>
                </c:pt>
                <c:pt idx="18">
                  <c:v>0.11</c:v>
                </c:pt>
                <c:pt idx="19">
                  <c:v>0.11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FE-4248-B4F5-23A4501AFAE1}"/>
            </c:ext>
          </c:extLst>
        </c:ser>
        <c:ser>
          <c:idx val="2"/>
          <c:order val="2"/>
          <c:tx>
            <c:v>5-Days</c:v>
          </c:tx>
          <c:spPr>
            <a:ln w="15875">
              <a:solidFill>
                <a:schemeClr val="accent3"/>
              </a:solidFill>
            </a:ln>
          </c:spPr>
          <c:marker>
            <c:symbol val="circle"/>
            <c:size val="5"/>
          </c:marker>
          <c:val>
            <c:numRef>
              <c:f>QSA!$Y$35:$Y$54</c:f>
              <c:numCache>
                <c:formatCode>0.000</c:formatCode>
                <c:ptCount val="20"/>
                <c:pt idx="0">
                  <c:v>-0.05</c:v>
                </c:pt>
                <c:pt idx="1">
                  <c:v>-6.5000000000000002E-2</c:v>
                </c:pt>
                <c:pt idx="2">
                  <c:v>-2.5000000000000001E-2</c:v>
                </c:pt>
                <c:pt idx="3">
                  <c:v>0.01</c:v>
                </c:pt>
                <c:pt idx="4">
                  <c:v>0.04</c:v>
                </c:pt>
                <c:pt idx="5">
                  <c:v>0.05</c:v>
                </c:pt>
                <c:pt idx="6">
                  <c:v>7.0000000000000007E-2</c:v>
                </c:pt>
                <c:pt idx="7">
                  <c:v>0.08</c:v>
                </c:pt>
                <c:pt idx="8">
                  <c:v>0.09</c:v>
                </c:pt>
                <c:pt idx="9">
                  <c:v>0.09</c:v>
                </c:pt>
                <c:pt idx="10">
                  <c:v>0.09</c:v>
                </c:pt>
                <c:pt idx="11">
                  <c:v>9.5000000000000001E-2</c:v>
                </c:pt>
                <c:pt idx="12">
                  <c:v>0.1</c:v>
                </c:pt>
                <c:pt idx="13">
                  <c:v>0.105</c:v>
                </c:pt>
                <c:pt idx="14">
                  <c:v>0.11</c:v>
                </c:pt>
                <c:pt idx="15">
                  <c:v>0.105</c:v>
                </c:pt>
                <c:pt idx="16">
                  <c:v>0.105</c:v>
                </c:pt>
                <c:pt idx="17">
                  <c:v>0.11</c:v>
                </c:pt>
                <c:pt idx="18">
                  <c:v>0.115</c:v>
                </c:pt>
                <c:pt idx="1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E-4248-B4F5-23A4501AFAE1}"/>
            </c:ext>
          </c:extLst>
        </c:ser>
        <c:ser>
          <c:idx val="3"/>
          <c:order val="3"/>
          <c:tx>
            <c:v>20-Days</c:v>
          </c:tx>
          <c:spPr>
            <a:ln w="15875"/>
          </c:spPr>
          <c:marker>
            <c:symbol val="circle"/>
            <c:size val="5"/>
          </c:marker>
          <c:val>
            <c:numRef>
              <c:f>QSA!$Z$35:$Z$54</c:f>
              <c:numCache>
                <c:formatCode>0.000</c:formatCode>
                <c:ptCount val="20"/>
                <c:pt idx="0">
                  <c:v>0.03</c:v>
                </c:pt>
                <c:pt idx="1">
                  <c:v>0.03</c:v>
                </c:pt>
                <c:pt idx="2">
                  <c:v>7.4999999999999997E-2</c:v>
                </c:pt>
                <c:pt idx="3">
                  <c:v>0.09</c:v>
                </c:pt>
                <c:pt idx="4">
                  <c:v>0.09</c:v>
                </c:pt>
                <c:pt idx="5">
                  <c:v>8.5000000000000006E-2</c:v>
                </c:pt>
                <c:pt idx="6">
                  <c:v>9.5000000000000001E-2</c:v>
                </c:pt>
                <c:pt idx="7">
                  <c:v>0.1</c:v>
                </c:pt>
                <c:pt idx="8">
                  <c:v>9.5000000000000001E-2</c:v>
                </c:pt>
                <c:pt idx="9">
                  <c:v>0.09</c:v>
                </c:pt>
                <c:pt idx="10">
                  <c:v>9.5000000000000001E-2</c:v>
                </c:pt>
                <c:pt idx="11">
                  <c:v>9.5000000000000001E-2</c:v>
                </c:pt>
                <c:pt idx="12">
                  <c:v>0.1</c:v>
                </c:pt>
                <c:pt idx="13">
                  <c:v>0.105</c:v>
                </c:pt>
                <c:pt idx="14">
                  <c:v>0.1</c:v>
                </c:pt>
                <c:pt idx="15">
                  <c:v>9.5000000000000001E-2</c:v>
                </c:pt>
                <c:pt idx="16">
                  <c:v>0.09</c:v>
                </c:pt>
                <c:pt idx="17">
                  <c:v>8.5000000000000006E-2</c:v>
                </c:pt>
                <c:pt idx="18">
                  <c:v>8.5000000000000006E-2</c:v>
                </c:pt>
                <c:pt idx="1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FE-4248-B4F5-23A4501AF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0842696"/>
        <c:axId val="410843872"/>
      </c:lineChart>
      <c:catAx>
        <c:axId val="410842696"/>
        <c:scaling>
          <c:orientation val="minMax"/>
        </c:scaling>
        <c:delete val="1"/>
        <c:axPos val="b"/>
        <c:majorGridlines>
          <c:spPr>
            <a:ln>
              <a:solidFill>
                <a:srgbClr val="FF0000"/>
              </a:solidFill>
              <a:prstDash val="sysDot"/>
            </a:ln>
          </c:spPr>
        </c:majorGridlines>
        <c:numFmt formatCode="General" sourceLinked="1"/>
        <c:majorTickMark val="out"/>
        <c:minorTickMark val="none"/>
        <c:tickLblPos val="low"/>
        <c:crossAx val="410843872"/>
        <c:crosses val="autoZero"/>
        <c:auto val="1"/>
        <c:lblAlgn val="ctr"/>
        <c:lblOffset val="100"/>
        <c:noMultiLvlLbl val="0"/>
      </c:catAx>
      <c:valAx>
        <c:axId val="410843872"/>
        <c:scaling>
          <c:orientation val="minMax"/>
        </c:scaling>
        <c:delete val="0"/>
        <c:axPos val="l"/>
        <c:majorGridlines>
          <c:spPr>
            <a:ln w="12700">
              <a:solidFill>
                <a:srgbClr val="FF0000"/>
              </a:solidFill>
              <a:prstDash val="sysDot"/>
            </a:ln>
          </c:spPr>
        </c:majorGridlines>
        <c:numFmt formatCode="#,##0.000" sourceLinked="0"/>
        <c:majorTickMark val="out"/>
        <c:minorTickMark val="none"/>
        <c:tickLblPos val="nextTo"/>
        <c:spPr>
          <a:ln>
            <a:solidFill>
              <a:srgbClr val="FF0000"/>
            </a:solidFill>
            <a:prstDash val="sysDash"/>
          </a:ln>
        </c:spPr>
        <c:crossAx val="410842696"/>
        <c:crosses val="autoZero"/>
        <c:crossBetween val="between"/>
      </c:valAx>
      <c:spPr>
        <a:noFill/>
        <a:ln cmpd="thickThin">
          <a:noFill/>
        </a:ln>
      </c:spPr>
    </c:plotArea>
    <c:legend>
      <c:legendPos val="b"/>
      <c:layout>
        <c:manualLayout>
          <c:xMode val="edge"/>
          <c:yMode val="edge"/>
          <c:x val="0.72811751536126779"/>
          <c:y val="0.79934689063248165"/>
          <c:w val="0.25436115561586664"/>
          <c:h val="9.6305330911637149E-2"/>
        </c:manualLayout>
      </c:layout>
      <c:overlay val="0"/>
    </c:legend>
    <c:plotVisOnly val="1"/>
    <c:dispBlanksAs val="gap"/>
    <c:showDLblsOverMax val="0"/>
  </c:chart>
  <c:spPr>
    <a:noFill/>
    <a:ln w="12700" cmpd="sng">
      <a:noFill/>
    </a:ln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049897970283288E-2"/>
          <c:y val="0.24454159682820287"/>
          <c:w val="0.9472579476483235"/>
          <c:h val="0.62736518578559564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chemeClr val="accent1">
                    <a:lumMod val="0"/>
                    <a:lumOff val="100000"/>
                  </a:schemeClr>
                </a:gs>
                <a:gs pos="35000">
                  <a:schemeClr val="accent1"/>
                </a:gs>
                <a:gs pos="100000">
                  <a:schemeClr val="accent1">
                    <a:lumMod val="100000"/>
                  </a:schemeClr>
                </a:gs>
              </a:gsLst>
              <a:path path="circle">
                <a:fillToRect l="50000" t="-80000" r="50000" b="180000"/>
              </a:path>
              <a:tileRect/>
            </a:gradFill>
            <a:ln>
              <a:noFill/>
            </a:ln>
            <a:effectLst/>
          </c:spPr>
          <c:invertIfNegative val="0"/>
          <c:val>
            <c:numRef>
              <c:f>QSA!$E$26:$E$45</c:f>
              <c:numCache>
                <c:formatCode>0.0000</c:formatCode>
                <c:ptCount val="20"/>
                <c:pt idx="0">
                  <c:v>1.5000000000000568E-2</c:v>
                </c:pt>
                <c:pt idx="1">
                  <c:v>1.9999999999996021E-2</c:v>
                </c:pt>
                <c:pt idx="2">
                  <c:v>2.0000000000010232E-2</c:v>
                </c:pt>
                <c:pt idx="3">
                  <c:v>2.5000000000005684E-2</c:v>
                </c:pt>
                <c:pt idx="4">
                  <c:v>2.0000000000010232E-2</c:v>
                </c:pt>
                <c:pt idx="5">
                  <c:v>2.0000000000010232E-2</c:v>
                </c:pt>
                <c:pt idx="6">
                  <c:v>1.9999999999996021E-2</c:v>
                </c:pt>
                <c:pt idx="7">
                  <c:v>1.5000000000000568E-2</c:v>
                </c:pt>
                <c:pt idx="8">
                  <c:v>1.0000000000005116E-2</c:v>
                </c:pt>
                <c:pt idx="9">
                  <c:v>9.9999999999909051E-3</c:v>
                </c:pt>
                <c:pt idx="10">
                  <c:v>1.0000000000005116E-2</c:v>
                </c:pt>
                <c:pt idx="11">
                  <c:v>1.5000000000000568E-2</c:v>
                </c:pt>
                <c:pt idx="12">
                  <c:v>1.5000000000000568E-2</c:v>
                </c:pt>
                <c:pt idx="13">
                  <c:v>2.0000000000010232E-2</c:v>
                </c:pt>
                <c:pt idx="14">
                  <c:v>1.5000000000000568E-2</c:v>
                </c:pt>
                <c:pt idx="15">
                  <c:v>2.0000000000010232E-2</c:v>
                </c:pt>
                <c:pt idx="16">
                  <c:v>2.5000000000005684E-2</c:v>
                </c:pt>
                <c:pt idx="17">
                  <c:v>3.0000000000001137E-2</c:v>
                </c:pt>
                <c:pt idx="18">
                  <c:v>2.5000000000005684E-2</c:v>
                </c:pt>
                <c:pt idx="19">
                  <c:v>2.0000000000010232E-2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6C-4BFC-B1E3-E9356D987683}"/>
            </c:ext>
          </c:extLst>
        </c:ser>
        <c:ser>
          <c:idx val="1"/>
          <c:order val="1"/>
          <c:spPr>
            <a:gradFill flip="none" rotWithShape="1">
              <a:gsLst>
                <a:gs pos="0">
                  <a:schemeClr val="accent3">
                    <a:lumMod val="40000"/>
                    <a:lumOff val="60000"/>
                  </a:schemeClr>
                </a:gs>
                <a:gs pos="46000">
                  <a:schemeClr val="accent3">
                    <a:lumMod val="95000"/>
                    <a:lumOff val="5000"/>
                  </a:schemeClr>
                </a:gs>
                <a:gs pos="100000">
                  <a:schemeClr val="accent3">
                    <a:lumMod val="60000"/>
                  </a:schemeClr>
                </a:gs>
              </a:gsLst>
              <a:path path="circle">
                <a:fillToRect l="50000" t="130000" r="50000" b="-30000"/>
              </a:path>
              <a:tileRect/>
            </a:gradFill>
            <a:ln>
              <a:noFill/>
            </a:ln>
            <a:effectLst/>
          </c:spPr>
          <c:invertIfNegative val="0"/>
          <c:val>
            <c:numRef>
              <c:f>QSA!$F$26:$F$45</c:f>
              <c:numCache>
                <c:formatCode>0.0000</c:formatCode>
                <c:ptCount val="20"/>
                <c:pt idx="0">
                  <c:v>4.0000000000006253E-2</c:v>
                </c:pt>
                <c:pt idx="1">
                  <c:v>3.9999999999992042E-2</c:v>
                </c:pt>
                <c:pt idx="2">
                  <c:v>3.50000000000108E-2</c:v>
                </c:pt>
                <c:pt idx="3">
                  <c:v>3.4999999999996589E-2</c:v>
                </c:pt>
                <c:pt idx="4">
                  <c:v>3.0000000000001137E-2</c:v>
                </c:pt>
                <c:pt idx="5">
                  <c:v>2.0000000000010232E-2</c:v>
                </c:pt>
                <c:pt idx="6">
                  <c:v>3.0000000000001137E-2</c:v>
                </c:pt>
                <c:pt idx="7">
                  <c:v>3.0000000000001137E-2</c:v>
                </c:pt>
                <c:pt idx="8">
                  <c:v>2.5000000000005684E-2</c:v>
                </c:pt>
                <c:pt idx="9">
                  <c:v>2.4999999999991473E-2</c:v>
                </c:pt>
                <c:pt idx="10">
                  <c:v>3.0000000000001137E-2</c:v>
                </c:pt>
                <c:pt idx="11">
                  <c:v>3.4999999999996589E-2</c:v>
                </c:pt>
                <c:pt idx="12">
                  <c:v>3.50000000000108E-2</c:v>
                </c:pt>
                <c:pt idx="13">
                  <c:v>4.0000000000006253E-2</c:v>
                </c:pt>
                <c:pt idx="14">
                  <c:v>3.4999999999996589E-2</c:v>
                </c:pt>
                <c:pt idx="15">
                  <c:v>4.0000000000006253E-2</c:v>
                </c:pt>
                <c:pt idx="16">
                  <c:v>4.5000000000001705E-2</c:v>
                </c:pt>
                <c:pt idx="17">
                  <c:v>4.9999999999997158E-2</c:v>
                </c:pt>
                <c:pt idx="18">
                  <c:v>4.0000000000006253E-2</c:v>
                </c:pt>
                <c:pt idx="19">
                  <c:v>3.4999999999996589E-2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6C-4BFC-B1E3-E9356D987683}"/>
            </c:ext>
          </c:extLst>
        </c:ser>
        <c:ser>
          <c:idx val="2"/>
          <c:order val="2"/>
          <c:spPr>
            <a:gradFill flip="none" rotWithShape="1">
              <a:gsLst>
                <a:gs pos="0">
                  <a:schemeClr val="accent1">
                    <a:lumMod val="40000"/>
                    <a:lumOff val="60000"/>
                  </a:schemeClr>
                </a:gs>
                <a:gs pos="46000">
                  <a:schemeClr val="tx2"/>
                </a:gs>
                <a:gs pos="100000">
                  <a:schemeClr val="accent1">
                    <a:lumMod val="60000"/>
                  </a:schemeClr>
                </a:gs>
              </a:gsLst>
              <a:path path="circle">
                <a:fillToRect l="50000" t="130000" r="50000" b="-30000"/>
              </a:path>
              <a:tileRect/>
            </a:gradFill>
            <a:ln>
              <a:noFill/>
            </a:ln>
            <a:effectLst/>
          </c:spPr>
          <c:invertIfNegative val="0"/>
          <c:val>
            <c:numRef>
              <c:f>QSA!$G$26:$G$45</c:f>
              <c:numCache>
                <c:formatCode>0.0000</c:formatCode>
                <c:ptCount val="20"/>
                <c:pt idx="0">
                  <c:v>2.5000000000005684E-2</c:v>
                </c:pt>
                <c:pt idx="1">
                  <c:v>3.9999999999992042E-2</c:v>
                </c:pt>
                <c:pt idx="2">
                  <c:v>4.5000000000001705E-2</c:v>
                </c:pt>
                <c:pt idx="3">
                  <c:v>6.9999999999993179E-2</c:v>
                </c:pt>
                <c:pt idx="4">
                  <c:v>0.10500000000000398</c:v>
                </c:pt>
                <c:pt idx="5">
                  <c:v>0.12000000000000455</c:v>
                </c:pt>
                <c:pt idx="6">
                  <c:v>0.14000000000000057</c:v>
                </c:pt>
                <c:pt idx="7">
                  <c:v>0.14499999999999602</c:v>
                </c:pt>
                <c:pt idx="8">
                  <c:v>0.15000000000000568</c:v>
                </c:pt>
                <c:pt idx="9">
                  <c:v>0.15500000000000114</c:v>
                </c:pt>
                <c:pt idx="10">
                  <c:v>0.16500000000000625</c:v>
                </c:pt>
                <c:pt idx="11">
                  <c:v>0.17000000000000171</c:v>
                </c:pt>
                <c:pt idx="12">
                  <c:v>0.16500000000000625</c:v>
                </c:pt>
                <c:pt idx="13">
                  <c:v>0.17000000000001592</c:v>
                </c:pt>
                <c:pt idx="14">
                  <c:v>0.17000000000000171</c:v>
                </c:pt>
                <c:pt idx="15">
                  <c:v>0.17500000000001137</c:v>
                </c:pt>
                <c:pt idx="16">
                  <c:v>0.17499999999999716</c:v>
                </c:pt>
                <c:pt idx="17">
                  <c:v>0.17499999999999716</c:v>
                </c:pt>
                <c:pt idx="18">
                  <c:v>0.17500000000001137</c:v>
                </c:pt>
                <c:pt idx="19">
                  <c:v>0.16500000000000625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66C-4BFC-B1E3-E9356D987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6"/>
        <c:overlap val="-67"/>
        <c:axId val="1979807487"/>
        <c:axId val="1979809983"/>
      </c:barChart>
      <c:catAx>
        <c:axId val="1979807487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rgbClr val="FF0000"/>
              </a:solidFill>
              <a:prstDash val="sysDot"/>
              <a:round/>
            </a:ln>
            <a:effectLst/>
          </c:spPr>
        </c:majorGridlines>
        <c:majorTickMark val="out"/>
        <c:minorTickMark val="none"/>
        <c:tickLblPos val="nextTo"/>
        <c:crossAx val="1979809983"/>
        <c:crosses val="autoZero"/>
        <c:auto val="1"/>
        <c:lblAlgn val="ctr"/>
        <c:lblOffset val="100"/>
        <c:noMultiLvlLbl val="0"/>
      </c:catAx>
      <c:valAx>
        <c:axId val="19798099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FF0000"/>
              </a:solidFill>
              <a:prstDash val="sysDot"/>
              <a:round/>
            </a:ln>
            <a:effectLst/>
          </c:spPr>
        </c:majorGridlines>
        <c:numFmt formatCode="0.0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979807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458572467010077E-2"/>
          <c:y val="0.24454159682820287"/>
          <c:w val="0.95200020578625777"/>
          <c:h val="0.62736518578559564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chemeClr val="accent1">
                    <a:lumMod val="0"/>
                    <a:lumOff val="100000"/>
                  </a:schemeClr>
                </a:gs>
                <a:gs pos="35000">
                  <a:schemeClr val="accent1"/>
                </a:gs>
                <a:gs pos="100000">
                  <a:schemeClr val="accent1">
                    <a:lumMod val="100000"/>
                  </a:schemeClr>
                </a:gs>
              </a:gsLst>
              <a:path path="circle">
                <a:fillToRect l="50000" t="-80000" r="50000" b="180000"/>
              </a:path>
              <a:tileRect/>
            </a:gradFill>
            <a:ln>
              <a:noFill/>
            </a:ln>
            <a:effectLst/>
          </c:spPr>
          <c:invertIfNegative val="0"/>
          <c:val>
            <c:numRef>
              <c:f>QSA!$AA$34:$AA$54</c:f>
              <c:numCache>
                <c:formatCode>0.000</c:formatCode>
                <c:ptCount val="21"/>
                <c:pt idx="0" formatCode="General">
                  <c:v>0</c:v>
                </c:pt>
                <c:pt idx="1">
                  <c:v>-9.999999999999995E-3</c:v>
                </c:pt>
                <c:pt idx="2">
                  <c:v>-5.0000000000000044E-3</c:v>
                </c:pt>
                <c:pt idx="3">
                  <c:v>-5.000000000000001E-3</c:v>
                </c:pt>
                <c:pt idx="4">
                  <c:v>0</c:v>
                </c:pt>
                <c:pt idx="5">
                  <c:v>0</c:v>
                </c:pt>
                <c:pt idx="6">
                  <c:v>-4.9999999999999975E-3</c:v>
                </c:pt>
                <c:pt idx="7">
                  <c:v>0</c:v>
                </c:pt>
                <c:pt idx="8">
                  <c:v>4.9999999999999906E-3</c:v>
                </c:pt>
                <c:pt idx="9">
                  <c:v>0</c:v>
                </c:pt>
                <c:pt idx="10">
                  <c:v>-5.0000000000000044E-3</c:v>
                </c:pt>
                <c:pt idx="11">
                  <c:v>0</c:v>
                </c:pt>
                <c:pt idx="12">
                  <c:v>-9.999999999999995E-3</c:v>
                </c:pt>
                <c:pt idx="13">
                  <c:v>-1.0000000000000009E-2</c:v>
                </c:pt>
                <c:pt idx="14">
                  <c:v>0</c:v>
                </c:pt>
                <c:pt idx="15">
                  <c:v>-5.0000000000000044E-3</c:v>
                </c:pt>
                <c:pt idx="16">
                  <c:v>0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77-47D1-B180-DFF47E73DB1F}"/>
            </c:ext>
          </c:extLst>
        </c:ser>
        <c:ser>
          <c:idx val="1"/>
          <c:order val="1"/>
          <c:spPr>
            <a:gradFill flip="none" rotWithShape="1">
              <a:gsLst>
                <a:gs pos="0">
                  <a:schemeClr val="accent3">
                    <a:lumMod val="40000"/>
                    <a:lumOff val="60000"/>
                  </a:schemeClr>
                </a:gs>
                <a:gs pos="46000">
                  <a:schemeClr val="accent3">
                    <a:lumMod val="95000"/>
                    <a:lumOff val="5000"/>
                  </a:schemeClr>
                </a:gs>
                <a:gs pos="100000">
                  <a:schemeClr val="accent3">
                    <a:lumMod val="60000"/>
                  </a:schemeClr>
                </a:gs>
              </a:gsLst>
              <a:path path="circle">
                <a:fillToRect l="50000" t="130000" r="50000" b="-30000"/>
              </a:path>
              <a:tileRect/>
            </a:gradFill>
            <a:ln>
              <a:noFill/>
            </a:ln>
            <a:effectLst/>
          </c:spPr>
          <c:invertIfNegative val="0"/>
          <c:val>
            <c:numRef>
              <c:f>QSA!$AB$35:$AB$54</c:f>
              <c:numCache>
                <c:formatCode>0.000</c:formatCode>
                <c:ptCount val="20"/>
                <c:pt idx="0">
                  <c:v>5.0000000000000044E-3</c:v>
                </c:pt>
                <c:pt idx="1">
                  <c:v>1.4999999999999999E-2</c:v>
                </c:pt>
                <c:pt idx="2">
                  <c:v>5.000000000000001E-3</c:v>
                </c:pt>
                <c:pt idx="3">
                  <c:v>4.9999999999999992E-3</c:v>
                </c:pt>
                <c:pt idx="4">
                  <c:v>0</c:v>
                </c:pt>
                <c:pt idx="5">
                  <c:v>-1.0000000000000002E-2</c:v>
                </c:pt>
                <c:pt idx="6">
                  <c:v>-5.0000000000000044E-3</c:v>
                </c:pt>
                <c:pt idx="7">
                  <c:v>-5.0000000000000044E-3</c:v>
                </c:pt>
                <c:pt idx="8">
                  <c:v>-9.999999999999995E-3</c:v>
                </c:pt>
                <c:pt idx="9">
                  <c:v>-1.4999999999999999E-2</c:v>
                </c:pt>
                <c:pt idx="10">
                  <c:v>-4.9999999999999906E-3</c:v>
                </c:pt>
                <c:pt idx="11">
                  <c:v>-9.999999999999995E-3</c:v>
                </c:pt>
                <c:pt idx="12">
                  <c:v>-1.0000000000000009E-2</c:v>
                </c:pt>
                <c:pt idx="13">
                  <c:v>0</c:v>
                </c:pt>
                <c:pt idx="14">
                  <c:v>-5.0000000000000044E-3</c:v>
                </c:pt>
                <c:pt idx="15">
                  <c:v>0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77-47D1-B180-DFF47E73DB1F}"/>
            </c:ext>
          </c:extLst>
        </c:ser>
        <c:ser>
          <c:idx val="2"/>
          <c:order val="2"/>
          <c:spPr>
            <a:gradFill flip="none" rotWithShape="1">
              <a:gsLst>
                <a:gs pos="0">
                  <a:schemeClr val="accent1">
                    <a:lumMod val="40000"/>
                    <a:lumOff val="60000"/>
                  </a:schemeClr>
                </a:gs>
                <a:gs pos="46000">
                  <a:schemeClr val="tx2"/>
                </a:gs>
                <a:gs pos="100000">
                  <a:schemeClr val="accent1">
                    <a:lumMod val="60000"/>
                  </a:schemeClr>
                </a:gs>
              </a:gsLst>
              <a:path path="circle">
                <a:fillToRect l="50000" t="130000" r="50000" b="-30000"/>
              </a:path>
              <a:tileRect/>
            </a:gradFill>
            <a:ln>
              <a:noFill/>
            </a:ln>
            <a:effectLst/>
          </c:spPr>
          <c:invertIfNegative val="0"/>
          <c:val>
            <c:numRef>
              <c:f>QSA!$AC$35:$AC$54</c:f>
              <c:numCache>
                <c:formatCode>0.000</c:formatCode>
                <c:ptCount val="20"/>
                <c:pt idx="0">
                  <c:v>-7.4999999999999997E-2</c:v>
                </c:pt>
                <c:pt idx="1">
                  <c:v>-0.08</c:v>
                </c:pt>
                <c:pt idx="2">
                  <c:v>-9.5000000000000001E-2</c:v>
                </c:pt>
                <c:pt idx="3">
                  <c:v>-7.4999999999999997E-2</c:v>
                </c:pt>
                <c:pt idx="4">
                  <c:v>-4.9999999999999996E-2</c:v>
                </c:pt>
                <c:pt idx="5">
                  <c:v>-4.5000000000000005E-2</c:v>
                </c:pt>
                <c:pt idx="6">
                  <c:v>-0.03</c:v>
                </c:pt>
                <c:pt idx="7">
                  <c:v>-2.5000000000000008E-2</c:v>
                </c:pt>
                <c:pt idx="8">
                  <c:v>-1.4999999999999999E-2</c:v>
                </c:pt>
                <c:pt idx="9">
                  <c:v>-1.4999999999999999E-2</c:v>
                </c:pt>
                <c:pt idx="10">
                  <c:v>-9.999999999999995E-3</c:v>
                </c:pt>
                <c:pt idx="11">
                  <c:v>-9.999999999999995E-3</c:v>
                </c:pt>
                <c:pt idx="12">
                  <c:v>-1.0000000000000009E-2</c:v>
                </c:pt>
                <c:pt idx="13">
                  <c:v>0</c:v>
                </c:pt>
                <c:pt idx="14">
                  <c:v>4.9999999999999906E-3</c:v>
                </c:pt>
                <c:pt idx="15">
                  <c:v>9.999999999999995E-3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77-47D1-B180-DFF47E73D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6"/>
        <c:overlap val="-67"/>
        <c:axId val="1979807487"/>
        <c:axId val="1979809983"/>
      </c:barChart>
      <c:catAx>
        <c:axId val="1979807487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rgbClr val="FF0000"/>
              </a:solidFill>
              <a:prstDash val="sysDot"/>
              <a:round/>
            </a:ln>
            <a:effectLst/>
          </c:spPr>
        </c:majorGridlines>
        <c:majorTickMark val="out"/>
        <c:minorTickMark val="none"/>
        <c:tickLblPos val="nextTo"/>
        <c:crossAx val="1979809983"/>
        <c:crosses val="autoZero"/>
        <c:auto val="1"/>
        <c:lblAlgn val="ctr"/>
        <c:lblOffset val="100"/>
        <c:noMultiLvlLbl val="0"/>
      </c:catAx>
      <c:valAx>
        <c:axId val="19798099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FF0000"/>
              </a:solidFill>
              <a:prstDash val="sysDot"/>
              <a:round/>
            </a:ln>
            <a:effectLst/>
          </c:spPr>
        </c:majorGridlines>
        <c:numFmt formatCode="0.0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979807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97858570927735E-2"/>
          <c:y val="4.640692640692641E-2"/>
          <c:w val="0.96600211722267515"/>
          <c:h val="0.91887439512751568"/>
        </c:manualLayout>
      </c:layout>
      <c:lineChart>
        <c:grouping val="standard"/>
        <c:varyColors val="0"/>
        <c:ser>
          <c:idx val="0"/>
          <c:order val="0"/>
          <c:tx>
            <c:v>Last</c:v>
          </c:tx>
          <c:spPr>
            <a:ln w="15875">
              <a:solidFill>
                <a:srgbClr val="FF0000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marker>
          <c:dLbls>
            <c:numFmt formatCode="#,##0.00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QSA!$AG$35:$AG$54</c:f>
              <c:numCache>
                <c:formatCode>0.000</c:formatCode>
                <c:ptCount val="20"/>
                <c:pt idx="0">
                  <c:v>2.5000000000000001E-2</c:v>
                </c:pt>
                <c:pt idx="1">
                  <c:v>-0.04</c:v>
                </c:pt>
                <c:pt idx="2">
                  <c:v>-0.02</c:v>
                </c:pt>
                <c:pt idx="3">
                  <c:v>-0.01</c:v>
                </c:pt>
                <c:pt idx="4">
                  <c:v>0.02</c:v>
                </c:pt>
                <c:pt idx="5">
                  <c:v>-0.01</c:v>
                </c:pt>
                <c:pt idx="6">
                  <c:v>1.4999999999999999E-2</c:v>
                </c:pt>
                <c:pt idx="7">
                  <c:v>1.4999999999999999E-2</c:v>
                </c:pt>
                <c:pt idx="8">
                  <c:v>2.5000000000000001E-2</c:v>
                </c:pt>
                <c:pt idx="9">
                  <c:v>0.01</c:v>
                </c:pt>
                <c:pt idx="10">
                  <c:v>0.02</c:v>
                </c:pt>
                <c:pt idx="11">
                  <c:v>0.02</c:v>
                </c:pt>
                <c:pt idx="12">
                  <c:v>2.5000000000000001E-2</c:v>
                </c:pt>
                <c:pt idx="13">
                  <c:v>#N/A</c:v>
                </c:pt>
                <c:pt idx="14">
                  <c:v>#N/A</c:v>
                </c:pt>
                <c:pt idx="15">
                  <c:v>2.5000000000000001E-2</c:v>
                </c:pt>
                <c:pt idx="16">
                  <c:v>#N/A</c:v>
                </c:pt>
                <c:pt idx="17">
                  <c:v>#N/A</c:v>
                </c:pt>
                <c:pt idx="18">
                  <c:v>2.5000000000000001E-2</c:v>
                </c:pt>
                <c:pt idx="19">
                  <c:v>2.5000000000000001E-2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54-4E22-B672-D72E4548DBEC}"/>
            </c:ext>
          </c:extLst>
        </c:ser>
        <c:ser>
          <c:idx val="1"/>
          <c:order val="1"/>
          <c:tx>
            <c:v>Yesterday</c:v>
          </c:tx>
          <c:spPr>
            <a:ln w="15875">
              <a:solidFill>
                <a:srgbClr val="00B0F0"/>
              </a:solidFill>
            </a:ln>
          </c:spPr>
          <c:marker>
            <c:symbol val="circle"/>
            <c:size val="3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marker>
          <c:val>
            <c:numRef>
              <c:f>QSA!$AI$35:$AI$54</c:f>
              <c:numCache>
                <c:formatCode>0.000</c:formatCode>
                <c:ptCount val="20"/>
                <c:pt idx="0">
                  <c:v>0.03</c:v>
                </c:pt>
                <c:pt idx="1">
                  <c:v>-0.04</c:v>
                </c:pt>
                <c:pt idx="2">
                  <c:v>-1.4999999999999999E-2</c:v>
                </c:pt>
                <c:pt idx="3">
                  <c:v>-0.01</c:v>
                </c:pt>
                <c:pt idx="4">
                  <c:v>0.02</c:v>
                </c:pt>
                <c:pt idx="5">
                  <c:v>-0.01</c:v>
                </c:pt>
                <c:pt idx="6">
                  <c:v>1.4999999999999999E-2</c:v>
                </c:pt>
                <c:pt idx="7">
                  <c:v>1.4999999999999999E-2</c:v>
                </c:pt>
                <c:pt idx="8">
                  <c:v>2.5000000000000001E-2</c:v>
                </c:pt>
                <c:pt idx="9">
                  <c:v>0.01</c:v>
                </c:pt>
                <c:pt idx="10">
                  <c:v>0.02</c:v>
                </c:pt>
                <c:pt idx="11">
                  <c:v>2.5000000000000001E-2</c:v>
                </c:pt>
                <c:pt idx="12">
                  <c:v>2.5000000000000001E-2</c:v>
                </c:pt>
                <c:pt idx="13">
                  <c:v>1.4999999999999999E-2</c:v>
                </c:pt>
                <c:pt idx="14">
                  <c:v>0.03</c:v>
                </c:pt>
                <c:pt idx="15">
                  <c:v>0.03</c:v>
                </c:pt>
                <c:pt idx="16">
                  <c:v>0.03</c:v>
                </c:pt>
                <c:pt idx="17">
                  <c:v>0.02</c:v>
                </c:pt>
                <c:pt idx="18">
                  <c:v>2.5000000000000001E-2</c:v>
                </c:pt>
                <c:pt idx="19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54-4E22-B672-D72E4548DBEC}"/>
            </c:ext>
          </c:extLst>
        </c:ser>
        <c:ser>
          <c:idx val="2"/>
          <c:order val="2"/>
          <c:tx>
            <c:v>5-Days</c:v>
          </c:tx>
          <c:spPr>
            <a:ln w="15875">
              <a:solidFill>
                <a:schemeClr val="accent3"/>
              </a:solidFill>
            </a:ln>
          </c:spPr>
          <c:marker>
            <c:symbol val="circle"/>
            <c:size val="5"/>
          </c:marker>
          <c:val>
            <c:numRef>
              <c:f>QSA!$AJ$35:$AJ$54</c:f>
              <c:numCache>
                <c:formatCode>0.000</c:formatCode>
                <c:ptCount val="20"/>
                <c:pt idx="0">
                  <c:v>0.03</c:v>
                </c:pt>
                <c:pt idx="1">
                  <c:v>-4.4999999999999998E-2</c:v>
                </c:pt>
                <c:pt idx="2">
                  <c:v>-0.02</c:v>
                </c:pt>
                <c:pt idx="3">
                  <c:v>-1.4999999999999999E-2</c:v>
                </c:pt>
                <c:pt idx="4">
                  <c:v>1.4999999999999999E-2</c:v>
                </c:pt>
                <c:pt idx="5">
                  <c:v>-5.0000000000000001E-3</c:v>
                </c:pt>
                <c:pt idx="6">
                  <c:v>1.4999999999999999E-2</c:v>
                </c:pt>
                <c:pt idx="7">
                  <c:v>1.4999999999999999E-2</c:v>
                </c:pt>
                <c:pt idx="8">
                  <c:v>2.5000000000000001E-2</c:v>
                </c:pt>
                <c:pt idx="9">
                  <c:v>1.4999999999999999E-2</c:v>
                </c:pt>
                <c:pt idx="10">
                  <c:v>2.5000000000000001E-2</c:v>
                </c:pt>
                <c:pt idx="11">
                  <c:v>2.5000000000000001E-2</c:v>
                </c:pt>
                <c:pt idx="12">
                  <c:v>2.5000000000000001E-2</c:v>
                </c:pt>
                <c:pt idx="13">
                  <c:v>1.4999999999999999E-2</c:v>
                </c:pt>
                <c:pt idx="14">
                  <c:v>0.03</c:v>
                </c:pt>
                <c:pt idx="15">
                  <c:v>0.03</c:v>
                </c:pt>
                <c:pt idx="16">
                  <c:v>0.03</c:v>
                </c:pt>
                <c:pt idx="17">
                  <c:v>0.02</c:v>
                </c:pt>
                <c:pt idx="18">
                  <c:v>2.5000000000000001E-2</c:v>
                </c:pt>
                <c:pt idx="19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54-4E22-B672-D72E4548DBEC}"/>
            </c:ext>
          </c:extLst>
        </c:ser>
        <c:ser>
          <c:idx val="3"/>
          <c:order val="3"/>
          <c:tx>
            <c:v>20-Days</c:v>
          </c:tx>
          <c:spPr>
            <a:ln w="15875"/>
          </c:spPr>
          <c:marker>
            <c:symbol val="circle"/>
            <c:size val="5"/>
          </c:marker>
          <c:val>
            <c:numRef>
              <c:f>QSA!$AK$35:$AK$54</c:f>
              <c:numCache>
                <c:formatCode>0.000</c:formatCode>
                <c:ptCount val="20"/>
                <c:pt idx="0">
                  <c:v>3.5000000000000003E-2</c:v>
                </c:pt>
                <c:pt idx="1">
                  <c:v>-3.5000000000000003E-2</c:v>
                </c:pt>
                <c:pt idx="2">
                  <c:v>5.0000000000000001E-3</c:v>
                </c:pt>
                <c:pt idx="3">
                  <c:v>2.5000000000000001E-2</c:v>
                </c:pt>
                <c:pt idx="4">
                  <c:v>3.5000000000000003E-2</c:v>
                </c:pt>
                <c:pt idx="5">
                  <c:v>0.01</c:v>
                </c:pt>
                <c:pt idx="6">
                  <c:v>0.02</c:v>
                </c:pt>
                <c:pt idx="7">
                  <c:v>2.5000000000000001E-2</c:v>
                </c:pt>
                <c:pt idx="8">
                  <c:v>0.03</c:v>
                </c:pt>
                <c:pt idx="9">
                  <c:v>0.02</c:v>
                </c:pt>
                <c:pt idx="10">
                  <c:v>2.5000000000000001E-2</c:v>
                </c:pt>
                <c:pt idx="11">
                  <c:v>0.02</c:v>
                </c:pt>
                <c:pt idx="12">
                  <c:v>2.5000000000000001E-2</c:v>
                </c:pt>
                <c:pt idx="13">
                  <c:v>2.5000000000000001E-2</c:v>
                </c:pt>
                <c:pt idx="14">
                  <c:v>2.5000000000000001E-2</c:v>
                </c:pt>
                <c:pt idx="15">
                  <c:v>2.5000000000000001E-2</c:v>
                </c:pt>
                <c:pt idx="16">
                  <c:v>0.03</c:v>
                </c:pt>
                <c:pt idx="17">
                  <c:v>0.02</c:v>
                </c:pt>
                <c:pt idx="18">
                  <c:v>0.02</c:v>
                </c:pt>
                <c:pt idx="19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254-4E22-B672-D72E4548D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0842696"/>
        <c:axId val="410843872"/>
      </c:lineChart>
      <c:catAx>
        <c:axId val="410842696"/>
        <c:scaling>
          <c:orientation val="minMax"/>
        </c:scaling>
        <c:delete val="1"/>
        <c:axPos val="b"/>
        <c:majorGridlines>
          <c:spPr>
            <a:ln>
              <a:solidFill>
                <a:srgbClr val="FF0000"/>
              </a:solidFill>
              <a:prstDash val="sysDot"/>
            </a:ln>
          </c:spPr>
        </c:majorGridlines>
        <c:numFmt formatCode="General" sourceLinked="1"/>
        <c:majorTickMark val="out"/>
        <c:minorTickMark val="none"/>
        <c:tickLblPos val="low"/>
        <c:crossAx val="410843872"/>
        <c:crosses val="autoZero"/>
        <c:auto val="1"/>
        <c:lblAlgn val="ctr"/>
        <c:lblOffset val="100"/>
        <c:noMultiLvlLbl val="0"/>
      </c:catAx>
      <c:valAx>
        <c:axId val="410843872"/>
        <c:scaling>
          <c:orientation val="minMax"/>
        </c:scaling>
        <c:delete val="0"/>
        <c:axPos val="l"/>
        <c:majorGridlines>
          <c:spPr>
            <a:ln w="12700">
              <a:solidFill>
                <a:srgbClr val="FF0000"/>
              </a:solidFill>
              <a:prstDash val="sysDot"/>
            </a:ln>
          </c:spPr>
        </c:majorGridlines>
        <c:numFmt formatCode="#,##0.000" sourceLinked="0"/>
        <c:majorTickMark val="out"/>
        <c:minorTickMark val="none"/>
        <c:tickLblPos val="nextTo"/>
        <c:spPr>
          <a:ln>
            <a:solidFill>
              <a:srgbClr val="FF0000"/>
            </a:solidFill>
            <a:prstDash val="sysDash"/>
          </a:ln>
        </c:spPr>
        <c:crossAx val="41084269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72811751536126779"/>
          <c:y val="0.79934689063248165"/>
          <c:w val="0.25436115561586664"/>
          <c:h val="9.6305330911637149E-2"/>
        </c:manualLayout>
      </c:layout>
      <c:overlay val="0"/>
    </c:legend>
    <c:plotVisOnly val="1"/>
    <c:dispBlanksAs val="gap"/>
    <c:showDLblsOverMax val="0"/>
  </c:chart>
  <c:spPr>
    <a:noFill/>
    <a:ln w="12700" cmpd="sng">
      <a:noFill/>
    </a:ln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458572467010077E-2"/>
          <c:y val="0.24454159682820287"/>
          <c:w val="0.95294987347360549"/>
          <c:h val="0.57100053555040198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chemeClr val="accent1">
                    <a:lumMod val="0"/>
                    <a:lumOff val="100000"/>
                  </a:schemeClr>
                </a:gs>
                <a:gs pos="35000">
                  <a:schemeClr val="accent1"/>
                </a:gs>
                <a:gs pos="100000">
                  <a:schemeClr val="accent1">
                    <a:lumMod val="100000"/>
                  </a:schemeClr>
                </a:gs>
              </a:gsLst>
              <a:path path="circle">
                <a:fillToRect l="50000" t="-80000" r="50000" b="180000"/>
              </a:path>
              <a:tileRect/>
            </a:gradFill>
            <a:ln>
              <a:noFill/>
            </a:ln>
            <a:effectLst/>
          </c:spPr>
          <c:invertIfNegative val="0"/>
          <c:val>
            <c:numRef>
              <c:f>QSA!$AL$35:$AL$54</c:f>
              <c:numCache>
                <c:formatCode>0.000</c:formatCode>
                <c:ptCount val="20"/>
                <c:pt idx="0">
                  <c:v>-4.9999999999999975E-3</c:v>
                </c:pt>
                <c:pt idx="1">
                  <c:v>0</c:v>
                </c:pt>
                <c:pt idx="2">
                  <c:v>-5.000000000000001E-3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-5.000000000000001E-3</c:v>
                </c:pt>
                <c:pt idx="12">
                  <c:v>0</c:v>
                </c:pt>
                <c:pt idx="13">
                  <c:v>#N/A</c:v>
                </c:pt>
                <c:pt idx="14">
                  <c:v>#N/A</c:v>
                </c:pt>
                <c:pt idx="15">
                  <c:v>-4.9999999999999975E-3</c:v>
                </c:pt>
                <c:pt idx="16">
                  <c:v>#N/A</c:v>
                </c:pt>
                <c:pt idx="17">
                  <c:v>#N/A</c:v>
                </c:pt>
                <c:pt idx="18">
                  <c:v>0</c:v>
                </c:pt>
                <c:pt idx="19">
                  <c:v>-4.9999999999999975E-3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10-43F0-BA1D-A7D63D433B03}"/>
            </c:ext>
          </c:extLst>
        </c:ser>
        <c:ser>
          <c:idx val="1"/>
          <c:order val="1"/>
          <c:spPr>
            <a:gradFill flip="none" rotWithShape="1">
              <a:gsLst>
                <a:gs pos="0">
                  <a:schemeClr val="accent3">
                    <a:lumMod val="40000"/>
                    <a:lumOff val="60000"/>
                  </a:schemeClr>
                </a:gs>
                <a:gs pos="46000">
                  <a:schemeClr val="accent3">
                    <a:lumMod val="95000"/>
                    <a:lumOff val="5000"/>
                  </a:schemeClr>
                </a:gs>
                <a:gs pos="100000">
                  <a:schemeClr val="accent3">
                    <a:lumMod val="60000"/>
                  </a:schemeClr>
                </a:gs>
              </a:gsLst>
              <a:path path="circle">
                <a:fillToRect l="50000" t="130000" r="50000" b="-30000"/>
              </a:path>
              <a:tileRect/>
            </a:gradFill>
            <a:ln>
              <a:noFill/>
            </a:ln>
            <a:effectLst/>
          </c:spPr>
          <c:invertIfNegative val="0"/>
          <c:val>
            <c:numRef>
              <c:f>QSA!$AM$35:$AM$54</c:f>
              <c:numCache>
                <c:formatCode>0.000</c:formatCode>
                <c:ptCount val="20"/>
                <c:pt idx="0">
                  <c:v>-4.9999999999999975E-3</c:v>
                </c:pt>
                <c:pt idx="1">
                  <c:v>4.9999999999999975E-3</c:v>
                </c:pt>
                <c:pt idx="2">
                  <c:v>0</c:v>
                </c:pt>
                <c:pt idx="3">
                  <c:v>4.9999999999999992E-3</c:v>
                </c:pt>
                <c:pt idx="4">
                  <c:v>5.000000000000001E-3</c:v>
                </c:pt>
                <c:pt idx="5">
                  <c:v>-5.0000000000000001E-3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-4.9999999999999992E-3</c:v>
                </c:pt>
                <c:pt idx="10">
                  <c:v>-5.000000000000001E-3</c:v>
                </c:pt>
                <c:pt idx="11">
                  <c:v>-5.000000000000001E-3</c:v>
                </c:pt>
                <c:pt idx="12">
                  <c:v>0</c:v>
                </c:pt>
                <c:pt idx="13">
                  <c:v>#N/A</c:v>
                </c:pt>
                <c:pt idx="14">
                  <c:v>#N/A</c:v>
                </c:pt>
                <c:pt idx="15">
                  <c:v>-4.9999999999999975E-3</c:v>
                </c:pt>
                <c:pt idx="16">
                  <c:v>#N/A</c:v>
                </c:pt>
                <c:pt idx="17">
                  <c:v>#N/A</c:v>
                </c:pt>
                <c:pt idx="18">
                  <c:v>0</c:v>
                </c:pt>
                <c:pt idx="19">
                  <c:v>-4.9999999999999975E-3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10-43F0-BA1D-A7D63D433B03}"/>
            </c:ext>
          </c:extLst>
        </c:ser>
        <c:ser>
          <c:idx val="2"/>
          <c:order val="2"/>
          <c:spPr>
            <a:gradFill flip="none" rotWithShape="1">
              <a:gsLst>
                <a:gs pos="0">
                  <a:schemeClr val="accent1">
                    <a:lumMod val="40000"/>
                    <a:lumOff val="60000"/>
                  </a:schemeClr>
                </a:gs>
                <a:gs pos="46000">
                  <a:schemeClr val="tx2"/>
                </a:gs>
                <a:gs pos="100000">
                  <a:schemeClr val="accent1">
                    <a:lumMod val="60000"/>
                  </a:schemeClr>
                </a:gs>
              </a:gsLst>
              <a:path path="circle">
                <a:fillToRect l="50000" t="130000" r="50000" b="-30000"/>
              </a:path>
              <a:tileRect/>
            </a:gradFill>
            <a:ln>
              <a:noFill/>
            </a:ln>
            <a:effectLst/>
          </c:spPr>
          <c:invertIfNegative val="0"/>
          <c:val>
            <c:numRef>
              <c:f>QSA!$AN$35:$AN$54</c:f>
              <c:numCache>
                <c:formatCode>0.000</c:formatCode>
                <c:ptCount val="20"/>
                <c:pt idx="0">
                  <c:v>-1.0000000000000002E-2</c:v>
                </c:pt>
                <c:pt idx="1">
                  <c:v>-4.9999999999999975E-3</c:v>
                </c:pt>
                <c:pt idx="2">
                  <c:v>-2.5000000000000001E-2</c:v>
                </c:pt>
                <c:pt idx="3">
                  <c:v>-3.5000000000000003E-2</c:v>
                </c:pt>
                <c:pt idx="4">
                  <c:v>-1.5000000000000003E-2</c:v>
                </c:pt>
                <c:pt idx="5">
                  <c:v>-0.02</c:v>
                </c:pt>
                <c:pt idx="6">
                  <c:v>-5.000000000000001E-3</c:v>
                </c:pt>
                <c:pt idx="7">
                  <c:v>-1.0000000000000002E-2</c:v>
                </c:pt>
                <c:pt idx="8">
                  <c:v>-4.9999999999999975E-3</c:v>
                </c:pt>
                <c:pt idx="9">
                  <c:v>-0.01</c:v>
                </c:pt>
                <c:pt idx="10">
                  <c:v>-5.000000000000001E-3</c:v>
                </c:pt>
                <c:pt idx="11">
                  <c:v>0</c:v>
                </c:pt>
                <c:pt idx="12">
                  <c:v>0</c:v>
                </c:pt>
                <c:pt idx="13">
                  <c:v>#N/A</c:v>
                </c:pt>
                <c:pt idx="14">
                  <c:v>#N/A</c:v>
                </c:pt>
                <c:pt idx="15">
                  <c:v>0</c:v>
                </c:pt>
                <c:pt idx="16">
                  <c:v>#N/A</c:v>
                </c:pt>
                <c:pt idx="17">
                  <c:v>#N/A</c:v>
                </c:pt>
                <c:pt idx="18">
                  <c:v>5.000000000000001E-3</c:v>
                </c:pt>
                <c:pt idx="19">
                  <c:v>5.000000000000001E-3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10-43F0-BA1D-A7D63D433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6"/>
        <c:overlap val="-67"/>
        <c:axId val="1979807487"/>
        <c:axId val="1979809983"/>
      </c:barChart>
      <c:catAx>
        <c:axId val="1979807487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rgbClr val="FF0000"/>
              </a:solidFill>
              <a:prstDash val="sysDot"/>
              <a:round/>
            </a:ln>
            <a:effectLst/>
          </c:spPr>
        </c:majorGridlines>
        <c:majorTickMark val="out"/>
        <c:minorTickMark val="none"/>
        <c:tickLblPos val="nextTo"/>
        <c:crossAx val="1979809983"/>
        <c:crosses val="autoZero"/>
        <c:auto val="1"/>
        <c:lblAlgn val="ctr"/>
        <c:lblOffset val="100"/>
        <c:noMultiLvlLbl val="0"/>
      </c:catAx>
      <c:valAx>
        <c:axId val="19798099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FF0000"/>
              </a:solidFill>
              <a:prstDash val="sysDot"/>
              <a:round/>
            </a:ln>
            <a:effectLst/>
          </c:spPr>
        </c:majorGridlines>
        <c:numFmt formatCode="0.0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979807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10</xdr:row>
      <xdr:rowOff>9525</xdr:rowOff>
    </xdr:from>
    <xdr:to>
      <xdr:col>29</xdr:col>
      <xdr:colOff>638174</xdr:colOff>
      <xdr:row>21</xdr:row>
      <xdr:rowOff>95251</xdr:rowOff>
    </xdr:to>
    <xdr:graphicFrame macro="">
      <xdr:nvGraphicFramePr>
        <xdr:cNvPr id="24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247650</xdr:colOff>
      <xdr:row>25</xdr:row>
      <xdr:rowOff>142876</xdr:rowOff>
    </xdr:from>
    <xdr:ext cx="470731" cy="112227"/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4076701"/>
          <a:ext cx="470731" cy="112227"/>
        </a:xfrm>
        <a:prstGeom prst="rect">
          <a:avLst/>
        </a:prstGeom>
      </xdr:spPr>
    </xdr:pic>
    <xdr:clientData/>
  </xdr:oneCellAnchor>
  <xdr:twoCellAnchor>
    <xdr:from>
      <xdr:col>9</xdr:col>
      <xdr:colOff>95250</xdr:colOff>
      <xdr:row>29</xdr:row>
      <xdr:rowOff>9525</xdr:rowOff>
    </xdr:from>
    <xdr:to>
      <xdr:col>30</xdr:col>
      <xdr:colOff>9525</xdr:colOff>
      <xdr:row>37</xdr:row>
      <xdr:rowOff>66675</xdr:rowOff>
    </xdr:to>
    <xdr:graphicFrame macro="">
      <xdr:nvGraphicFramePr>
        <xdr:cNvPr id="37" name="Chart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7</xdr:col>
      <xdr:colOff>438151</xdr:colOff>
      <xdr:row>25</xdr:row>
      <xdr:rowOff>161926</xdr:rowOff>
    </xdr:from>
    <xdr:ext cx="470731" cy="112227"/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1" y="4095751"/>
          <a:ext cx="470731" cy="112227"/>
        </a:xfrm>
        <a:prstGeom prst="rect">
          <a:avLst/>
        </a:prstGeom>
      </xdr:spPr>
    </xdr:pic>
    <xdr:clientData/>
  </xdr:oneCellAnchor>
  <xdr:twoCellAnchor>
    <xdr:from>
      <xdr:col>8</xdr:col>
      <xdr:colOff>581025</xdr:colOff>
      <xdr:row>20</xdr:row>
      <xdr:rowOff>104775</xdr:rowOff>
    </xdr:from>
    <xdr:to>
      <xdr:col>30</xdr:col>
      <xdr:colOff>133348</xdr:colOff>
      <xdr:row>25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</xdr:col>
      <xdr:colOff>152400</xdr:colOff>
      <xdr:row>41</xdr:row>
      <xdr:rowOff>161926</xdr:rowOff>
    </xdr:from>
    <xdr:ext cx="470731" cy="112227"/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7143751"/>
          <a:ext cx="470731" cy="112227"/>
        </a:xfrm>
        <a:prstGeom prst="rect">
          <a:avLst/>
        </a:prstGeom>
      </xdr:spPr>
    </xdr:pic>
    <xdr:clientData/>
  </xdr:oneCellAnchor>
  <xdr:oneCellAnchor>
    <xdr:from>
      <xdr:col>7</xdr:col>
      <xdr:colOff>457200</xdr:colOff>
      <xdr:row>41</xdr:row>
      <xdr:rowOff>152401</xdr:rowOff>
    </xdr:from>
    <xdr:ext cx="470731" cy="112227"/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2450" y="7134226"/>
          <a:ext cx="470731" cy="112227"/>
        </a:xfrm>
        <a:prstGeom prst="rect">
          <a:avLst/>
        </a:prstGeom>
      </xdr:spPr>
    </xdr:pic>
    <xdr:clientData/>
  </xdr:oneCellAnchor>
  <xdr:oneCellAnchor>
    <xdr:from>
      <xdr:col>28</xdr:col>
      <xdr:colOff>323850</xdr:colOff>
      <xdr:row>23</xdr:row>
      <xdr:rowOff>85725</xdr:rowOff>
    </xdr:from>
    <xdr:ext cx="861774" cy="249492"/>
    <xdr:sp macro="" textlink="">
      <xdr:nvSpPr>
        <xdr:cNvPr id="3" name="TextBox 2"/>
        <xdr:cNvSpPr txBox="1"/>
      </xdr:nvSpPr>
      <xdr:spPr>
        <a:xfrm>
          <a:off x="17306925" y="3629025"/>
          <a:ext cx="861774" cy="2494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00">
              <a:solidFill>
                <a:schemeClr val="bg1"/>
              </a:solidFill>
              <a:latin typeface="Century Gothic" panose="020B0502020202020204" pitchFamily="34" charset="0"/>
            </a:rPr>
            <a:t>Difiference</a:t>
          </a:r>
        </a:p>
      </xdr:txBody>
    </xdr:sp>
    <xdr:clientData/>
  </xdr:oneCellAnchor>
  <xdr:twoCellAnchor>
    <xdr:from>
      <xdr:col>9</xdr:col>
      <xdr:colOff>47625</xdr:colOff>
      <xdr:row>36</xdr:row>
      <xdr:rowOff>66675</xdr:rowOff>
    </xdr:from>
    <xdr:to>
      <xdr:col>30</xdr:col>
      <xdr:colOff>152399</xdr:colOff>
      <xdr:row>41</xdr:row>
      <xdr:rowOff>47625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114299</xdr:colOff>
      <xdr:row>44</xdr:row>
      <xdr:rowOff>171449</xdr:rowOff>
    </xdr:from>
    <xdr:to>
      <xdr:col>29</xdr:col>
      <xdr:colOff>638174</xdr:colOff>
      <xdr:row>53</xdr:row>
      <xdr:rowOff>9524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85725</xdr:colOff>
      <xdr:row>52</xdr:row>
      <xdr:rowOff>19050</xdr:rowOff>
    </xdr:from>
    <xdr:to>
      <xdr:col>30</xdr:col>
      <xdr:colOff>142875</xdr:colOff>
      <xdr:row>56</xdr:row>
      <xdr:rowOff>104776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oneCellAnchor>
    <xdr:from>
      <xdr:col>10</xdr:col>
      <xdr:colOff>123825</xdr:colOff>
      <xdr:row>29</xdr:row>
      <xdr:rowOff>161925</xdr:rowOff>
    </xdr:from>
    <xdr:ext cx="470731" cy="112227"/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1650" y="4857750"/>
          <a:ext cx="470731" cy="112227"/>
        </a:xfrm>
        <a:prstGeom prst="rect">
          <a:avLst/>
        </a:prstGeom>
      </xdr:spPr>
    </xdr:pic>
    <xdr:clientData/>
  </xdr:oneCellAnchor>
  <xdr:oneCellAnchor>
    <xdr:from>
      <xdr:col>10</xdr:col>
      <xdr:colOff>114300</xdr:colOff>
      <xdr:row>45</xdr:row>
      <xdr:rowOff>152400</xdr:rowOff>
    </xdr:from>
    <xdr:ext cx="470731" cy="112227"/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7896225"/>
          <a:ext cx="470731" cy="112227"/>
        </a:xfrm>
        <a:prstGeom prst="rect">
          <a:avLst/>
        </a:prstGeom>
      </xdr:spPr>
    </xdr:pic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0.92027</cdr:x>
      <cdr:y>0.63375</cdr:y>
    </cdr:from>
    <cdr:to>
      <cdr:x>0.9843</cdr:x>
      <cdr:y>0.91389</cdr:y>
    </cdr:to>
    <cdr:sp macro="" textlink="">
      <cdr:nvSpPr>
        <cdr:cNvPr id="2" name="TextBox 2"/>
        <cdr:cNvSpPr txBox="1"/>
      </cdr:nvSpPr>
      <cdr:spPr>
        <a:xfrm xmlns:a="http://schemas.openxmlformats.org/drawingml/2006/main">
          <a:off x="12341933" y="579501"/>
          <a:ext cx="858719" cy="2561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solidFill>
                <a:schemeClr val="bg1"/>
              </a:solidFill>
              <a:latin typeface="Century Gothic" panose="020B0502020202020204" pitchFamily="34" charset="0"/>
            </a:rPr>
            <a:t>Difiference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0.91814</cdr:x>
      <cdr:y>0.6025</cdr:y>
    </cdr:from>
    <cdr:to>
      <cdr:x>0.98217</cdr:x>
      <cdr:y>0.88264</cdr:y>
    </cdr:to>
    <cdr:sp macro="" textlink="">
      <cdr:nvSpPr>
        <cdr:cNvPr id="2" name="TextBox 2"/>
        <cdr:cNvSpPr txBox="1"/>
      </cdr:nvSpPr>
      <cdr:spPr>
        <a:xfrm xmlns:a="http://schemas.openxmlformats.org/drawingml/2006/main">
          <a:off x="12357100" y="536575"/>
          <a:ext cx="861774" cy="24949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solidFill>
                <a:schemeClr val="bg1"/>
              </a:solidFill>
              <a:latin typeface="Century Gothic" panose="020B0502020202020204" pitchFamily="34" charset="0"/>
            </a:rPr>
            <a:t>Difiference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E535"/>
  <sheetViews>
    <sheetView showGridLines="0" showRowColHeaders="0" tabSelected="1" topLeftCell="A3" zoomScaleNormal="100" workbookViewId="0">
      <selection activeCell="G59" sqref="G59"/>
    </sheetView>
  </sheetViews>
  <sheetFormatPr defaultColWidth="9" defaultRowHeight="12.75" x14ac:dyDescent="0.2"/>
  <cols>
    <col min="1" max="1" width="0.875" style="45" customWidth="1"/>
    <col min="2" max="2" width="11.25" style="1" customWidth="1"/>
    <col min="3" max="6" width="7.875" style="1" customWidth="1"/>
    <col min="7" max="8" width="6.625" style="1" customWidth="1"/>
    <col min="9" max="9" width="8.125" style="1" customWidth="1"/>
    <col min="10" max="10" width="7.125" style="10" customWidth="1"/>
    <col min="11" max="16" width="8.375" style="1" customWidth="1"/>
    <col min="17" max="17" width="8.375" style="10" customWidth="1"/>
    <col min="18" max="22" width="8.375" style="1" customWidth="1"/>
    <col min="23" max="23" width="8.375" style="10" customWidth="1"/>
    <col min="24" max="30" width="8.375" style="11" customWidth="1"/>
    <col min="31" max="39" width="9" style="11"/>
    <col min="40" max="57" width="9" style="10"/>
    <col min="58" max="16384" width="9" style="1"/>
  </cols>
  <sheetData>
    <row r="1" spans="1:55" ht="9" hidden="1" customHeight="1" x14ac:dyDescent="0.2"/>
    <row r="2" spans="1:55" ht="9" hidden="1" customHeight="1" thickBot="1" x14ac:dyDescent="0.25"/>
    <row r="3" spans="1:55" ht="5.0999999999999996" customHeight="1" x14ac:dyDescent="0.3">
      <c r="B3" s="196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42"/>
      <c r="W3" s="38"/>
      <c r="X3" s="38"/>
    </row>
    <row r="4" spans="1:55" ht="14.45" customHeight="1" x14ac:dyDescent="0.2">
      <c r="B4" s="150" t="str">
        <f>"CQG "&amp;RTD("cqg.rtd",,"ContractData",K6,"LongDescription")</f>
        <v>CQG Short Sterling (CONNECT- All Sessions), Sep 19</v>
      </c>
      <c r="C4" s="151"/>
      <c r="D4" s="151"/>
      <c r="E4" s="151"/>
      <c r="F4" s="151"/>
      <c r="G4" s="151"/>
      <c r="H4" s="151"/>
      <c r="I4" s="151"/>
      <c r="J4" s="152"/>
      <c r="K4" s="190"/>
      <c r="L4" s="191"/>
      <c r="M4" s="146" t="str">
        <f>"CQG "&amp;LEFT(RTD("cqg.rtd",,"ContractData","QSA","LongDescription"),LEN(RTD("cqg.rtd",,"ContractData","QSA","LongDescription"))-8)&amp;" Dashboard"</f>
        <v>CQG Short Sterling (CONNECT- All Sessions) Dashboard</v>
      </c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2">
        <f>RTD("cqg.rtd", ,"SystemInfo", "Linetime")</f>
        <v>43640.396296296298</v>
      </c>
      <c r="AC4" s="142"/>
      <c r="AD4" s="143"/>
    </row>
    <row r="5" spans="1:55" ht="14.45" customHeight="1" x14ac:dyDescent="0.2">
      <c r="B5" s="153"/>
      <c r="C5" s="154"/>
      <c r="D5" s="154"/>
      <c r="E5" s="154"/>
      <c r="F5" s="154"/>
      <c r="G5" s="154"/>
      <c r="H5" s="154"/>
      <c r="I5" s="154"/>
      <c r="J5" s="155"/>
      <c r="K5" s="192"/>
      <c r="L5" s="193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4"/>
      <c r="AC5" s="144"/>
      <c r="AD5" s="145"/>
    </row>
    <row r="6" spans="1:55" ht="14.45" hidden="1" customHeight="1" x14ac:dyDescent="0.2">
      <c r="B6" s="69"/>
      <c r="C6" s="65"/>
      <c r="D6" s="65"/>
      <c r="E6" s="65"/>
      <c r="F6" s="65"/>
      <c r="G6" s="65"/>
      <c r="H6" s="65"/>
      <c r="I6" s="70"/>
      <c r="J6" s="65"/>
      <c r="K6" s="22" t="str">
        <f>RTD("cqg.rtd", ,"ContractData",QSA!Q2, "Symbol")</f>
        <v>QSAU19</v>
      </c>
      <c r="L6" s="23" t="str">
        <f>RTD("cqg.rtd", ,"ContractData",QSA!Q3, "Symbol")</f>
        <v>QSAZ19</v>
      </c>
      <c r="M6" s="23" t="str">
        <f>RTD("cqg.rtd", ,"ContractData",QSA!Q4, "Symbol")</f>
        <v>QSAH20</v>
      </c>
      <c r="N6" s="23" t="str">
        <f>RTD("cqg.rtd", ,"ContractData",QSA!Q5, "Symbol")</f>
        <v>QSAM20</v>
      </c>
      <c r="O6" s="24" t="str">
        <f>RTD("cqg.rtd", ,"ContractData",QSA!Q6, "Symbol")</f>
        <v>QSAU20</v>
      </c>
      <c r="P6" s="24" t="str">
        <f>RTD("cqg.rtd", ,"ContractData",QSA!Q7, "Symbol")</f>
        <v>QSAZ20</v>
      </c>
      <c r="Q6" s="25" t="str">
        <f>RTD("cqg.rtd", ,"ContractData",QSA!Q8, "Symbol")</f>
        <v>QSAH21</v>
      </c>
      <c r="R6" s="26" t="str">
        <f>RTD("cqg.rtd", ,"ContractData",QSA!Q9, "Symbol")</f>
        <v>QSAM21</v>
      </c>
      <c r="S6" s="26" t="str">
        <f>RTD("cqg.rtd", ,"ContractData",QSA!Q10, "Symbol")</f>
        <v>QSAU21</v>
      </c>
      <c r="T6" s="26" t="str">
        <f>RTD("cqg.rtd", ,"ContractData",QSA!Q11, "Symbol")</f>
        <v>QSAZ21</v>
      </c>
      <c r="U6" s="26" t="str">
        <f>RTD("cqg.rtd", ,"ContractData",QSA!Q12, "Symbol")</f>
        <v>QSAH22</v>
      </c>
      <c r="V6" s="43" t="str">
        <f>RTD("cqg.rtd", ,"ContractData",QSA!Q13, "Symbol")</f>
        <v>QSAM22</v>
      </c>
      <c r="W6" s="55" t="str">
        <f>RTD("cqg.rtd", ,"ContractData",QSA!Q14, "Symbol")</f>
        <v>QSAU22</v>
      </c>
      <c r="X6" s="55" t="str">
        <f>RTD("cqg.rtd", ,"ContractData",QSA!Q15, "Symbol")</f>
        <v>QSAZ22</v>
      </c>
      <c r="Y6" s="10" t="str">
        <f>RTD("cqg.rtd", ,"ContractData",QSA!Q16, "Symbol")</f>
        <v>QSAH23</v>
      </c>
      <c r="Z6" s="10" t="str">
        <f>RTD("cqg.rtd", ,"ContractData",QSA!Q17, "Symbol")</f>
        <v>QSAM23</v>
      </c>
      <c r="AA6" s="10" t="str">
        <f>RTD("cqg.rtd", ,"ContractData",QSA!Q18, "Symbol")</f>
        <v>QSAU23</v>
      </c>
      <c r="AB6" s="10" t="str">
        <f>RTD("cqg.rtd", ,"ContractData",QSA!Q18, "Symbol")</f>
        <v>QSAU23</v>
      </c>
      <c r="AC6" s="10" t="str">
        <f>RTD("cqg.rtd", ,"ContractData",QSA!Q20, "Symbol")</f>
        <v>QSAH24</v>
      </c>
      <c r="AD6" s="10" t="str">
        <f>RTD("cqg.rtd", ,"ContractData",QSA!Q21, "Symbol")</f>
        <v>QSAM24</v>
      </c>
      <c r="AE6" s="10"/>
      <c r="AF6" s="10"/>
      <c r="AG6" s="10"/>
      <c r="AH6" s="10"/>
      <c r="AI6" s="11" t="str">
        <f>LEFT(RIGHT(K6,3),1)</f>
        <v>U</v>
      </c>
      <c r="AJ6" s="11" t="str">
        <f>LEFT(RIGHT(L6,3),1)</f>
        <v>Z</v>
      </c>
      <c r="AK6" s="11" t="str">
        <f t="shared" ref="AK6:AV6" si="0">LEFT(RIGHT(M6,3),1)</f>
        <v>H</v>
      </c>
      <c r="AL6" s="11" t="str">
        <f t="shared" si="0"/>
        <v>M</v>
      </c>
      <c r="AM6" s="11" t="str">
        <f t="shared" si="0"/>
        <v>U</v>
      </c>
      <c r="AN6" s="11" t="str">
        <f t="shared" si="0"/>
        <v>Z</v>
      </c>
      <c r="AO6" s="11" t="str">
        <f t="shared" si="0"/>
        <v>H</v>
      </c>
      <c r="AP6" s="11" t="str">
        <f t="shared" si="0"/>
        <v>M</v>
      </c>
      <c r="AQ6" s="11" t="str">
        <f t="shared" si="0"/>
        <v>U</v>
      </c>
      <c r="AR6" s="11" t="str">
        <f t="shared" si="0"/>
        <v>Z</v>
      </c>
      <c r="AS6" s="11" t="str">
        <f t="shared" si="0"/>
        <v>H</v>
      </c>
      <c r="AT6" s="11" t="str">
        <f t="shared" si="0"/>
        <v>M</v>
      </c>
      <c r="AU6" s="11" t="str">
        <f t="shared" si="0"/>
        <v>U</v>
      </c>
      <c r="AV6" s="11" t="str">
        <f t="shared" si="0"/>
        <v>Z</v>
      </c>
      <c r="AW6" s="11" t="str">
        <f t="shared" ref="AW6" si="1">LEFT(RIGHT(Y6,3),1)</f>
        <v>H</v>
      </c>
      <c r="AX6" s="11" t="str">
        <f t="shared" ref="AX6" si="2">LEFT(RIGHT(Z6,3),1)</f>
        <v>M</v>
      </c>
      <c r="AY6" s="11" t="str">
        <f t="shared" ref="AY6" si="3">LEFT(RIGHT(AA6,3),1)</f>
        <v>U</v>
      </c>
      <c r="AZ6" s="11" t="str">
        <f t="shared" ref="AZ6" si="4">LEFT(RIGHT(AB6,3),1)</f>
        <v>U</v>
      </c>
      <c r="BA6" s="11" t="str">
        <f t="shared" ref="BA6" si="5">LEFT(RIGHT(AC6,3),1)</f>
        <v>H</v>
      </c>
      <c r="BB6" s="11" t="str">
        <f t="shared" ref="BB6" si="6">LEFT(RIGHT(AD6,3),1)</f>
        <v>M</v>
      </c>
      <c r="BC6" s="11"/>
    </row>
    <row r="7" spans="1:55" ht="14.45" customHeight="1" x14ac:dyDescent="0.2">
      <c r="B7" s="173" t="s">
        <v>1</v>
      </c>
      <c r="C7" s="169">
        <f>RTD("cqg.rtd", ,"ContractData",K6, "MT_LastAskVolume")</f>
        <v>9792</v>
      </c>
      <c r="D7" s="169"/>
      <c r="E7" s="161">
        <f>RTD("cqg.rtd", ,"ContractData",K6, "Ask",,"T")</f>
        <v>99.215000000000003</v>
      </c>
      <c r="F7" s="162"/>
      <c r="G7" s="156" t="s">
        <v>12</v>
      </c>
      <c r="H7" s="156"/>
      <c r="I7" s="156"/>
      <c r="J7" s="157"/>
      <c r="K7" s="68" t="str">
        <f t="shared" ref="K7:X7" si="7">IF(AI6="F","JAN",IF(AI6="G","FEB",IF(AI6="H","MAR",IF(AI6="J","APR",IF(AI6="K","MAY",IF(AI6="M","JUN",IF(AI6="N","JUL",IF(AI6="Q","AUG",IF(AI6="U","SEP",IF(AI6="V","OCT",IF(AI6="X","NOV",IF(AI6="Z","DEC",))))))))))))&amp;" "&amp;RIGHT(K6,2)</f>
        <v>SEP 19</v>
      </c>
      <c r="L7" s="20" t="str">
        <f t="shared" si="7"/>
        <v>DEC 19</v>
      </c>
      <c r="M7" s="20" t="str">
        <f t="shared" si="7"/>
        <v>MAR 20</v>
      </c>
      <c r="N7" s="20" t="str">
        <f t="shared" si="7"/>
        <v>JUN 20</v>
      </c>
      <c r="O7" s="20" t="str">
        <f t="shared" si="7"/>
        <v>SEP 20</v>
      </c>
      <c r="P7" s="20" t="str">
        <f t="shared" si="7"/>
        <v>DEC 20</v>
      </c>
      <c r="Q7" s="20" t="str">
        <f t="shared" si="7"/>
        <v>MAR 21</v>
      </c>
      <c r="R7" s="20" t="str">
        <f t="shared" si="7"/>
        <v>JUN 21</v>
      </c>
      <c r="S7" s="20" t="str">
        <f t="shared" si="7"/>
        <v>SEP 21</v>
      </c>
      <c r="T7" s="20" t="str">
        <f t="shared" si="7"/>
        <v>DEC 21</v>
      </c>
      <c r="U7" s="20" t="str">
        <f t="shared" si="7"/>
        <v>MAR 22</v>
      </c>
      <c r="V7" s="20" t="str">
        <f t="shared" si="7"/>
        <v>JUN 22</v>
      </c>
      <c r="W7" s="20" t="str">
        <f t="shared" si="7"/>
        <v>SEP 22</v>
      </c>
      <c r="X7" s="20" t="str">
        <f t="shared" si="7"/>
        <v>DEC 22</v>
      </c>
      <c r="Y7" s="20" t="str">
        <f t="shared" ref="Y7:AD7" si="8">IF(AW6="F","JAN",IF(AW6="G","FEB",IF(AW6="H","MAR",IF(AW6="J","APR",IF(AW6="K","MAY",IF(AW6="M","JUN",IF(AW6="N","JUL",IF(AW6="Q","AUG",IF(AW6="U","SEP",IF(AW6="V","OCT",IF(AW6="X","NOV",IF(AW6="Z","DEC",))))))))))))&amp;" "&amp;RIGHT(Y6,2)</f>
        <v>MAR 23</v>
      </c>
      <c r="Z7" s="20" t="str">
        <f t="shared" si="8"/>
        <v>JUN 23</v>
      </c>
      <c r="AA7" s="20" t="str">
        <f t="shared" si="8"/>
        <v>SEP 23</v>
      </c>
      <c r="AB7" s="20" t="str">
        <f t="shared" si="8"/>
        <v>SEP 23</v>
      </c>
      <c r="AC7" s="20" t="str">
        <f t="shared" si="8"/>
        <v>MAR 24</v>
      </c>
      <c r="AD7" s="20" t="str">
        <f t="shared" si="8"/>
        <v>JUN 24</v>
      </c>
    </row>
    <row r="8" spans="1:55" ht="14.45" customHeight="1" x14ac:dyDescent="0.3">
      <c r="B8" s="174"/>
      <c r="C8" s="170"/>
      <c r="D8" s="170"/>
      <c r="E8" s="163"/>
      <c r="F8" s="164"/>
      <c r="G8" s="158"/>
      <c r="H8" s="158"/>
      <c r="I8" s="158"/>
      <c r="J8" s="159"/>
      <c r="K8" s="71" t="str">
        <f>TEXT(RTD("cqg.rtd",,"ContractData",K6,"Ask",,"T"),"#.000")&amp;" "&amp;"A"</f>
        <v>99.215 A</v>
      </c>
      <c r="L8" s="72" t="str">
        <f>TEXT(RTD("cqg.rtd",,"ContractData",L6,"Ask",,"T"),"#.000")&amp;" "&amp;"A"</f>
        <v>99.190 A</v>
      </c>
      <c r="M8" s="72" t="str">
        <f>TEXT(RTD("cqg.rtd",,"ContractData",M6,"Ask",,"T"),"#.000")&amp;" "&amp;"A"</f>
        <v>99.230 A</v>
      </c>
      <c r="N8" s="72" t="str">
        <f>TEXT(RTD("cqg.rtd",,"ContractData",N6,"Ask",,"T"),"#.000")&amp;" "&amp;"A"</f>
        <v>99.255 A</v>
      </c>
      <c r="O8" s="72" t="str">
        <f>TEXT(RTD("cqg.rtd",,"ContractData",O6,"Ask",,"T"),"#.000")&amp;" "&amp;"A"</f>
        <v>99.260 A</v>
      </c>
      <c r="P8" s="72" t="str">
        <f>TEXT(RTD("cqg.rtd",,"ContractData",P6,"Ask",,"T"),"#.000")&amp;" "&amp;"A"</f>
        <v>99.240 A</v>
      </c>
      <c r="Q8" s="72" t="str">
        <f>TEXT(RTD("cqg.rtd",,"ContractData",Q6,"Ask",,"T"),"#.000")&amp;" "&amp;"A"</f>
        <v>99.250 A</v>
      </c>
      <c r="R8" s="72" t="str">
        <f>TEXT(RTD("cqg.rtd",,"ContractData",R6,"Ask",,"T"),"#.000")&amp;" "&amp;"A"</f>
        <v>99.235 A</v>
      </c>
      <c r="S8" s="72" t="str">
        <f>TEXT(RTD("cqg.rtd",,"ContractData",S6,"Ask",,"T"),"#.000")&amp;" "&amp;"A"</f>
        <v>99.220 A</v>
      </c>
      <c r="T8" s="72" t="str">
        <f>TEXT(RTD("cqg.rtd",,"ContractData",T6,"Ask",,"T"),"#.000")&amp;" "&amp;"A"</f>
        <v>99.195 A</v>
      </c>
      <c r="U8" s="72" t="str">
        <f>TEXT(RTD("cqg.rtd",,"ContractData",U6,"Ask",,"T"),"#.000")&amp;" "&amp;"A"</f>
        <v>99.185 A</v>
      </c>
      <c r="V8" s="73" t="str">
        <f>TEXT(RTD("cqg.rtd",,"ContractData",V6,"Ask",,"T"),"#.000")&amp;" "&amp;"A"</f>
        <v>99.160 A</v>
      </c>
      <c r="W8" s="73" t="str">
        <f>TEXT(RTD("cqg.rtd",,"ContractData",W6,"Ask",,"T"),"#.000")&amp;" "&amp;"A"</f>
        <v>99.140 A</v>
      </c>
      <c r="X8" s="73" t="str">
        <f>TEXT(RTD("cqg.rtd",,"ContractData",X6,"Ask",,"T"),"#.000")&amp;" "&amp;"A"</f>
        <v>99.115 A</v>
      </c>
      <c r="Y8" s="73" t="str">
        <f>TEXT(RTD("cqg.rtd",,"ContractData",Y6,"Ask",,"T"),"#.000")&amp;" "&amp;"A"</f>
        <v>99.100 A</v>
      </c>
      <c r="Z8" s="73" t="str">
        <f>TEXT(RTD("cqg.rtd",,"ContractData",Z6,"Ask",,"T"),"#.000")&amp;" "&amp;"A"</f>
        <v>99.075 A</v>
      </c>
      <c r="AA8" s="73" t="str">
        <f>TEXT(RTD("cqg.rtd",,"ContractData",AA6,"Ask",,"T"),"#.000")&amp;" "&amp;"A"</f>
        <v>99.050 A</v>
      </c>
      <c r="AB8" s="73" t="str">
        <f>TEXT(RTD("cqg.rtd",,"ContractData",AB6,"Ask",,"T"),"#.000")&amp;" "&amp;"A"</f>
        <v>99.050 A</v>
      </c>
      <c r="AC8" s="73" t="str">
        <f>TEXT(RTD("cqg.rtd",,"ContractData",AC6,"Ask",,"T"),"#.000")&amp;" "&amp;"A"</f>
        <v>99.000 A</v>
      </c>
      <c r="AD8" s="73" t="str">
        <f>TEXT(RTD("cqg.rtd",,"ContractData",AD6,"Ask",,"T"),"#.000")&amp;" "&amp;"A"</f>
        <v>98.975 A</v>
      </c>
    </row>
    <row r="9" spans="1:55" ht="14.45" customHeight="1" x14ac:dyDescent="0.3">
      <c r="B9" s="197" t="s">
        <v>0</v>
      </c>
      <c r="C9" s="171">
        <f>RTD("cqg.rtd", ,"ContractData",K6, "MT_LastBidVolume")</f>
        <v>2694</v>
      </c>
      <c r="D9" s="171"/>
      <c r="E9" s="165">
        <f>RTD("cqg.rtd", ,"ContractData",K6, "Bid",,"T")</f>
        <v>99.210000000000008</v>
      </c>
      <c r="F9" s="166"/>
      <c r="G9" s="160">
        <f>RTD("cqg.rtd", ,"ContractData",K6,"LastTradeorSettle",,"T")</f>
        <v>99.215000000000003</v>
      </c>
      <c r="H9" s="160"/>
      <c r="I9" s="148" t="str">
        <f>IF(G13&gt;0,"+"&amp;TEXT(RTD("cqg.rtd",,"ContractData",K6,"NetLastTradeToday",,"T"),"#.0000"),TEXT(G13,"#.0000"))</f>
        <v>+.0150</v>
      </c>
      <c r="J9" s="149"/>
      <c r="K9" s="71" t="str">
        <f>TEXT(RTD("cqg.rtd",,"ContractData",K6,"Bid",,"T"),"#.000")&amp;" "&amp;"B"</f>
        <v>99.210 B</v>
      </c>
      <c r="L9" s="72" t="str">
        <f>TEXT(RTD("cqg.rtd",,"ContractData",L6,"Bid",,"T"),"#.000")&amp;" "&amp;"B"</f>
        <v>99.185 B</v>
      </c>
      <c r="M9" s="72" t="str">
        <f>TEXT(RTD("cqg.rtd",,"ContractData",M6,"Bid",,"T"),"#.000")&amp;" "&amp;"B"</f>
        <v>99.225 B</v>
      </c>
      <c r="N9" s="72" t="str">
        <f>TEXT(RTD("cqg.rtd",,"ContractData",N6,"Bid",,"T"),"#.000")&amp;" "&amp;"B"</f>
        <v>99.245 B</v>
      </c>
      <c r="O9" s="72" t="str">
        <f>TEXT(RTD("cqg.rtd",,"ContractData",O6,"Bid",,"T"),"#.000")&amp;" "&amp;"B"</f>
        <v>99.255 B</v>
      </c>
      <c r="P9" s="72" t="str">
        <f>TEXT(RTD("cqg.rtd",,"ContractData",P6,"Bid",,"T"),"#.000")&amp;" "&amp;"B"</f>
        <v>99.235 B</v>
      </c>
      <c r="Q9" s="72" t="str">
        <f>TEXT(RTD("cqg.rtd",,"ContractData",Q6,"Bid",,"T"),"#.000")&amp;" "&amp;"B"</f>
        <v>99.245 B</v>
      </c>
      <c r="R9" s="72" t="str">
        <f>TEXT(RTD("cqg.rtd",,"ContractData",R6,"Bid",,"T"),"#.000")&amp;" "&amp;"B"</f>
        <v>99.230 B</v>
      </c>
      <c r="S9" s="72" t="str">
        <f>TEXT(RTD("cqg.rtd",,"ContractData",S6,"Bid",,"T"),"#.000")&amp;" "&amp;"B"</f>
        <v>99.215 B</v>
      </c>
      <c r="T9" s="72" t="str">
        <f>TEXT(RTD("cqg.rtd",,"ContractData",T6,"Bid",,"T"),"#.000")&amp;" "&amp;"B"</f>
        <v>99.190 B</v>
      </c>
      <c r="U9" s="72" t="str">
        <f>TEXT(RTD("cqg.rtd",,"ContractData",U6,"Bid",,"T"),"#.000")&amp;" "&amp;"B"</f>
        <v>99.175 B</v>
      </c>
      <c r="V9" s="73" t="str">
        <f>TEXT(RTD("cqg.rtd",,"ContractData",V6,"Bid",,"T"),"#.000")&amp;" "&amp;"B"</f>
        <v>99.155 B</v>
      </c>
      <c r="W9" s="73" t="str">
        <f>TEXT(RTD("cqg.rtd",,"ContractData",W6,"Bid",,"T"),"#.000")&amp;" "&amp;"B"</f>
        <v>99.135 B</v>
      </c>
      <c r="X9" s="73" t="str">
        <f>TEXT(RTD("cqg.rtd",,"ContractData",X6,"Bid",,"T"),"#.000")&amp;" "&amp;"B"</f>
        <v>99.110 B</v>
      </c>
      <c r="Y9" s="73" t="str">
        <f>TEXT(RTD("cqg.rtd",,"ContractData",Y6,"Bid",,"T"),"#.000")&amp;" "&amp;"B"</f>
        <v>99.095 B</v>
      </c>
      <c r="Z9" s="73" t="str">
        <f>TEXT(RTD("cqg.rtd",,"ContractData",Z6,"Bid",,"T"),"#.000")&amp;" "&amp;"B"</f>
        <v>99.070 B</v>
      </c>
      <c r="AA9" s="73" t="str">
        <f>TEXT(RTD("cqg.rtd",,"ContractData",AA6,"Bid",,"T"),"#.000")&amp;" "&amp;"B"</f>
        <v>99.040 B</v>
      </c>
      <c r="AB9" s="73" t="str">
        <f>TEXT(RTD("cqg.rtd",,"ContractData",AB6,"Bid",,"T"),"#.000")&amp;" "&amp;"B"</f>
        <v>99.040 B</v>
      </c>
      <c r="AC9" s="73" t="str">
        <f>TEXT(RTD("cqg.rtd",,"ContractData",AC6,"Bid",,"T"),"#.000")&amp;" "&amp;"B"</f>
        <v>98.990 B</v>
      </c>
      <c r="AD9" s="73" t="str">
        <f>TEXT(RTD("cqg.rtd",,"ContractData",AD6,"Bid",,"T"),"#.000")&amp;" "&amp;"B"</f>
        <v>98.965 B</v>
      </c>
    </row>
    <row r="10" spans="1:55" ht="14.45" customHeight="1" x14ac:dyDescent="0.3">
      <c r="B10" s="198"/>
      <c r="C10" s="172"/>
      <c r="D10" s="172"/>
      <c r="E10" s="167"/>
      <c r="F10" s="168"/>
      <c r="G10" s="160"/>
      <c r="H10" s="160"/>
      <c r="I10" s="148"/>
      <c r="J10" s="149"/>
      <c r="K10" s="71" t="str">
        <f>TEXT(RTD("cqg.rtd", ,"ContractData",K6,"LastTradeorSettle",,"T"),"#.000")&amp;" "&amp;"L"</f>
        <v>99.215 L</v>
      </c>
      <c r="L10" s="72" t="str">
        <f>TEXT(RTD("cqg.rtd", ,"ContractData",L6,"LastTradeorSettle",,"T"),"#.000")&amp;" "&amp;"L"</f>
        <v>99.190 L</v>
      </c>
      <c r="M10" s="72" t="str">
        <f>TEXT(RTD("cqg.rtd", ,"ContractData",M6,"LastTradeorSettle",,"T"),"#.000")&amp;" "&amp;"L"</f>
        <v>99.230 L</v>
      </c>
      <c r="N10" s="72" t="str">
        <f>TEXT(RTD("cqg.rtd", ,"ContractData",N6,"LastTradeorSettle",,"T"),"#.000")&amp;" "&amp;"L"</f>
        <v>99.250 L</v>
      </c>
      <c r="O10" s="72" t="str">
        <f>TEXT(RTD("cqg.rtd", ,"ContractData",O6,"LastTradeorSettle",,"T"),"#.000")&amp;" "&amp;"L"</f>
        <v>99.260 L</v>
      </c>
      <c r="P10" s="72" t="str">
        <f>TEXT(RTD("cqg.rtd", ,"ContractData",P6,"LastTradeorSettle",,"T"),"#.000")&amp;" "&amp;"L"</f>
        <v>99.240 L</v>
      </c>
      <c r="Q10" s="72" t="str">
        <f>TEXT(RTD("cqg.rtd", ,"ContractData",Q6,"LastTradeorSettle",,"T"),"#.000")&amp;" "&amp;"L"</f>
        <v>99.250 L</v>
      </c>
      <c r="R10" s="72" t="str">
        <f>TEXT(RTD("cqg.rtd", ,"ContractData",R6,"LastTradeorSettle",,"T"),"#.000")&amp;" "&amp;"L"</f>
        <v>99.235 L</v>
      </c>
      <c r="S10" s="72" t="str">
        <f>TEXT(RTD("cqg.rtd", ,"ContractData",S6,"LastTradeorSettle",,"T"),"#.000")&amp;" "&amp;"L"</f>
        <v>99.215 L</v>
      </c>
      <c r="T10" s="72" t="str">
        <f>TEXT(RTD("cqg.rtd", ,"ContractData",T6,"LastTradeorSettle",,"T"),"#.000")&amp;" "&amp;"L"</f>
        <v>99.190 L</v>
      </c>
      <c r="U10" s="72" t="str">
        <f>TEXT(RTD("cqg.rtd", ,"ContractData",U6,"LastTradeorSettle",,"T"),"#.000")&amp;" "&amp;"L"</f>
        <v>99.180 L</v>
      </c>
      <c r="V10" s="73" t="str">
        <f>TEXT(RTD("cqg.rtd", ,"ContractData",V6,"LastTradeorSettle",,"T"),"#.000")&amp;" "&amp;"L"</f>
        <v>99.160 L</v>
      </c>
      <c r="W10" s="73" t="str">
        <f>TEXT(RTD("cqg.rtd", ,"ContractData",W6,"LastTradeorSettle",,"T"),"#.000")&amp;" "&amp;"L"</f>
        <v>99.135 L</v>
      </c>
      <c r="X10" s="73" t="str">
        <f>TEXT(RTD("cqg.rtd", ,"ContractData",X6,"LastTradeorSettle",,"T"),"#.000")&amp;" "&amp;"L"</f>
        <v>99.115 L</v>
      </c>
      <c r="Y10" s="73" t="str">
        <f>TEXT(RTD("cqg.rtd", ,"ContractData",Y6,"LastTradeorSettle",,"T"),"#.000")&amp;" "&amp;"L"</f>
        <v>99.095 L</v>
      </c>
      <c r="Z10" s="73" t="str">
        <f>TEXT(RTD("cqg.rtd", ,"ContractData",Z6,"LastTradeorSettle",,"T"),"#.000")&amp;" "&amp;"L"</f>
        <v>99.070 L</v>
      </c>
      <c r="AA10" s="73" t="str">
        <f>TEXT(RTD("cqg.rtd", ,"ContractData",AA6,"LastTradeorSettle",,"T"),"#.000")&amp;" "&amp;"L"</f>
        <v>99.045 L</v>
      </c>
      <c r="AB10" s="73" t="str">
        <f>TEXT(RTD("cqg.rtd", ,"ContractData",AB6,"LastTradeorSettle",,"T"),"#.000")&amp;" "&amp;"L"</f>
        <v>99.045 L</v>
      </c>
      <c r="AC10" s="73" t="str">
        <f>TEXT(RTD("cqg.rtd", ,"ContractData",AC6,"LastTradeorSettle",,"T"),"#.000")&amp;" "&amp;"L"</f>
        <v>98.995 L</v>
      </c>
      <c r="AD10" s="73" t="str">
        <f>TEXT(RTD("cqg.rtd", ,"ContractData",AD6,"LastTradeorSettle",,"T"),"#.000")&amp;" "&amp;"L"</f>
        <v>98.965 L</v>
      </c>
    </row>
    <row r="11" spans="1:55" ht="14.1" customHeight="1" x14ac:dyDescent="0.3">
      <c r="B11" s="199"/>
      <c r="C11" s="140"/>
      <c r="D11" s="109"/>
      <c r="E11" s="110"/>
      <c r="F11" s="111"/>
      <c r="G11" s="110"/>
      <c r="H11" s="112"/>
      <c r="I11" s="113"/>
      <c r="J11" s="120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7"/>
    </row>
    <row r="12" spans="1:55" ht="14.45" customHeight="1" x14ac:dyDescent="0.3">
      <c r="B12" s="106" t="s">
        <v>13</v>
      </c>
      <c r="C12" s="107" t="s">
        <v>7</v>
      </c>
      <c r="D12" s="107" t="s">
        <v>8</v>
      </c>
      <c r="E12" s="107" t="s">
        <v>9</v>
      </c>
      <c r="F12" s="107" t="s">
        <v>6</v>
      </c>
      <c r="G12" s="107" t="s">
        <v>10</v>
      </c>
      <c r="H12" s="107" t="s">
        <v>10</v>
      </c>
      <c r="I12" s="108" t="s">
        <v>11</v>
      </c>
      <c r="J12" s="66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9"/>
      <c r="AM12" s="10"/>
    </row>
    <row r="13" spans="1:55" ht="14.45" customHeight="1" x14ac:dyDescent="0.3">
      <c r="A13" s="45" t="str">
        <f>RTD("cqg.rtd",,"ContractData","QSA?1", "Symbol")</f>
        <v>QSAU19</v>
      </c>
      <c r="B13" s="50" t="str">
        <f>RIGHT(RTD("cqg.rtd",,"ContractData",A13, "LongDescription"),7)</f>
        <v xml:space="preserve"> Sep 19</v>
      </c>
      <c r="C13" s="51">
        <f>RTD("cqg.rtd", ,"ContractData",A13, "Open",,"T")</f>
        <v>99.210000000000008</v>
      </c>
      <c r="D13" s="51">
        <f>RTD("cqg.rtd", ,"ContractData",A13, "High",,"T")</f>
        <v>99.215000000000003</v>
      </c>
      <c r="E13" s="51">
        <f>RTD("cqg.rtd", ,"ContractData",A13, "Low",,"T")</f>
        <v>99.204999999999998</v>
      </c>
      <c r="F13" s="51">
        <f>RTD("cqg.rtd", ,"ContractData",A13, "LastTradeorSettle",,"T")</f>
        <v>99.215000000000003</v>
      </c>
      <c r="G13" s="52">
        <f>RTD("cqg.rtd",,"ContractData",A13,"NetLastTradeToday",,"T")</f>
        <v>1.5000000000000568E-2</v>
      </c>
      <c r="H13" s="53">
        <f>RTD("cqg.rtd",,"ContractData",A13,"NetLastTradeToday",,"T")</f>
        <v>1.5000000000000568E-2</v>
      </c>
      <c r="I13" s="54">
        <f>RTD("cqg.rtd", ,"ContractData",A13, "T_CVol")</f>
        <v>29446</v>
      </c>
      <c r="J13" s="66"/>
      <c r="K13" s="188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60"/>
    </row>
    <row r="14" spans="1:55" ht="14.45" customHeight="1" x14ac:dyDescent="0.3">
      <c r="A14" s="45" t="str">
        <f>RTD("cqg.rtd",,"ContractData","QSA?2", "Symbol")</f>
        <v>QSAZ19</v>
      </c>
      <c r="B14" s="50" t="str">
        <f>RIGHT(RTD("cqg.rtd",,"ContractData",A14, "LongDescription"),7)</f>
        <v xml:space="preserve"> Dec 19</v>
      </c>
      <c r="C14" s="51">
        <f>RTD("cqg.rtd", ,"ContractData",A14, "Open",,"T")</f>
        <v>99.19</v>
      </c>
      <c r="D14" s="51">
        <f>RTD("cqg.rtd", ,"ContractData",A14, "High",,"T")</f>
        <v>99.19</v>
      </c>
      <c r="E14" s="51">
        <f>RTD("cqg.rtd", ,"ContractData",A14, "Low",,"T")</f>
        <v>99.18</v>
      </c>
      <c r="F14" s="51">
        <f>RTD("cqg.rtd", ,"ContractData",A14, "LastTradeorSettle",,"T")</f>
        <v>99.19</v>
      </c>
      <c r="G14" s="52">
        <f>RTD("cqg.rtd",,"ContractData",A14,"NetLastTradeToday",,"T")</f>
        <v>1.9999999999996021E-2</v>
      </c>
      <c r="H14" s="53">
        <f>RTD("cqg.rtd",,"ContractData",A14,"NetLastTradeToday",,"T")</f>
        <v>1.9999999999996021E-2</v>
      </c>
      <c r="I14" s="54">
        <f>RTD("cqg.rtd", ,"ContractData",A14, "T_CVol")</f>
        <v>25181</v>
      </c>
      <c r="J14" s="66"/>
      <c r="K14" s="188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60"/>
    </row>
    <row r="15" spans="1:55" ht="14.45" customHeight="1" x14ac:dyDescent="0.3">
      <c r="A15" s="45" t="str">
        <f>RTD("cqg.rtd",,"ContractData","QSA?3", "Symbol")</f>
        <v>QSAH20</v>
      </c>
      <c r="B15" s="50" t="str">
        <f>RIGHT(RTD("cqg.rtd",,"ContractData",A15, "LongDescription"),7)</f>
        <v xml:space="preserve"> Mar 20</v>
      </c>
      <c r="C15" s="51">
        <f>RTD("cqg.rtd", ,"ContractData",A15, "Open",,"T")</f>
        <v>99.234999999999999</v>
      </c>
      <c r="D15" s="51">
        <f>RTD("cqg.rtd", ,"ContractData",A15, "High",,"T")</f>
        <v>99.240000000000009</v>
      </c>
      <c r="E15" s="51">
        <f>RTD("cqg.rtd", ,"ContractData",A15, "Low",,"T")</f>
        <v>99.22</v>
      </c>
      <c r="F15" s="51">
        <f>RTD("cqg.rtd", ,"ContractData",A15, "LastTradeorSettle",,"T")</f>
        <v>99.23</v>
      </c>
      <c r="G15" s="52">
        <f>RTD("cqg.rtd",,"ContractData",A15,"NetLastTradeToday",,"T")</f>
        <v>1.9999999999996021E-2</v>
      </c>
      <c r="H15" s="53">
        <f>RTD("cqg.rtd",,"ContractData",A15,"NetLastTradeToday",,"T")</f>
        <v>1.9999999999996021E-2</v>
      </c>
      <c r="I15" s="54">
        <f>RTD("cqg.rtd", ,"ContractData",A15, "T_CVol")</f>
        <v>37968</v>
      </c>
      <c r="J15" s="66"/>
      <c r="K15" s="188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60"/>
    </row>
    <row r="16" spans="1:55" ht="14.45" customHeight="1" x14ac:dyDescent="0.3">
      <c r="A16" s="45" t="str">
        <f>RTD("cqg.rtd",,"ContractData","QSA?4", "Symbol")</f>
        <v>QSAM20</v>
      </c>
      <c r="B16" s="50" t="str">
        <f>RIGHT(RTD("cqg.rtd",,"ContractData",A16, "LongDescription"),7)</f>
        <v xml:space="preserve"> Jun 20</v>
      </c>
      <c r="C16" s="51">
        <f>RTD("cqg.rtd", ,"ContractData",A16, "Open",,"T")</f>
        <v>99.240000000000009</v>
      </c>
      <c r="D16" s="51">
        <f>RTD("cqg.rtd", ,"ContractData",A16, "High",,"T")</f>
        <v>99.26</v>
      </c>
      <c r="E16" s="51">
        <f>RTD("cqg.rtd", ,"ContractData",A16, "Low",,"T")</f>
        <v>99.240000000000009</v>
      </c>
      <c r="F16" s="51">
        <f>RTD("cqg.rtd", ,"ContractData",A16, "LastTradeorSettle",,"T")</f>
        <v>99.25</v>
      </c>
      <c r="G16" s="52">
        <f>RTD("cqg.rtd",,"ContractData",A16,"NetLastTradeToday",,"T")</f>
        <v>2.4999999999991473E-2</v>
      </c>
      <c r="H16" s="53">
        <f>RTD("cqg.rtd",,"ContractData",A16,"NetLastTradeToday",,"T")</f>
        <v>2.4999999999991473E-2</v>
      </c>
      <c r="I16" s="54">
        <f>RTD("cqg.rtd", ,"ContractData",A16, "T_CVol")</f>
        <v>36587</v>
      </c>
      <c r="J16" s="66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61"/>
    </row>
    <row r="17" spans="1:57" ht="14.45" customHeight="1" x14ac:dyDescent="0.3">
      <c r="A17" s="45" t="str">
        <f>RTD("cqg.rtd",,"ContractData","QSA?5", "Symbol")</f>
        <v>QSAU20</v>
      </c>
      <c r="B17" s="50" t="str">
        <f>RIGHT(RTD("cqg.rtd",,"ContractData",A17, "LongDescription"),7)</f>
        <v xml:space="preserve"> Sep 20</v>
      </c>
      <c r="C17" s="51">
        <f>RTD("cqg.rtd", ,"ContractData",A17, "Open",,"T")</f>
        <v>99.25</v>
      </c>
      <c r="D17" s="51">
        <f>RTD("cqg.rtd", ,"ContractData",A17, "High",,"T")</f>
        <v>99.275000000000006</v>
      </c>
      <c r="E17" s="51">
        <f>RTD("cqg.rtd", ,"ContractData",A17, "Low",,"T")</f>
        <v>99.25</v>
      </c>
      <c r="F17" s="51">
        <f>RTD("cqg.rtd", ,"ContractData",A17, "LastTradeorSettle",,"T")</f>
        <v>99.26</v>
      </c>
      <c r="G17" s="52">
        <f>RTD("cqg.rtd",,"ContractData",A17,"NetLastTradeToday",,"T")</f>
        <v>1.9999999999996021E-2</v>
      </c>
      <c r="H17" s="53">
        <f>RTD("cqg.rtd",,"ContractData",A17,"NetLastTradeToday",,"T")</f>
        <v>1.9999999999996021E-2</v>
      </c>
      <c r="I17" s="54">
        <f>RTD("cqg.rtd", ,"ContractData",A17, "T_CVol")</f>
        <v>30444</v>
      </c>
      <c r="J17" s="66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62"/>
    </row>
    <row r="18" spans="1:57" ht="15" customHeight="1" x14ac:dyDescent="0.3">
      <c r="A18" s="45" t="str">
        <f>RTD("cqg.rtd",,"ContractData","QSA?6", "Symbol")</f>
        <v>QSAZ20</v>
      </c>
      <c r="B18" s="50" t="str">
        <f>RIGHT(RTD("cqg.rtd",,"ContractData",A18, "LongDescription"),7)</f>
        <v xml:space="preserve"> Dec 20</v>
      </c>
      <c r="C18" s="51">
        <f>RTD("cqg.rtd", ,"ContractData",A18, "Open",,"T")</f>
        <v>99.23</v>
      </c>
      <c r="D18" s="51">
        <f>RTD("cqg.rtd", ,"ContractData",A18, "High",,"T")</f>
        <v>99.254999999999995</v>
      </c>
      <c r="E18" s="51">
        <f>RTD("cqg.rtd", ,"ContractData",A18, "Low",,"T")</f>
        <v>99.23</v>
      </c>
      <c r="F18" s="51">
        <f>RTD("cqg.rtd", ,"ContractData",A18, "LastTradeorSettle",,"T")</f>
        <v>99.240000000000009</v>
      </c>
      <c r="G18" s="52">
        <f>RTD("cqg.rtd",,"ContractData",A18,"NetLastTradeToday",,"T")</f>
        <v>2.0000000000010232E-2</v>
      </c>
      <c r="H18" s="53">
        <f>RTD("cqg.rtd",,"ContractData",A18,"NetLastTradeToday",,"T")</f>
        <v>2.0000000000010232E-2</v>
      </c>
      <c r="I18" s="54">
        <f>RTD("cqg.rtd", ,"ContractData",A18, "T_CVol")</f>
        <v>30932</v>
      </c>
      <c r="J18" s="66"/>
      <c r="K18" s="3"/>
      <c r="L18" s="3"/>
      <c r="M18" s="3"/>
      <c r="N18" s="3"/>
      <c r="O18" s="3"/>
      <c r="P18" s="3"/>
      <c r="Q18" s="3"/>
      <c r="R18" s="4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63"/>
    </row>
    <row r="19" spans="1:57" ht="15" customHeight="1" x14ac:dyDescent="0.3">
      <c r="A19" s="45" t="str">
        <f>RTD("cqg.rtd",,"ContractData","QSA?7", "Symbol")</f>
        <v>QSAH21</v>
      </c>
      <c r="B19" s="50" t="str">
        <f>RIGHT(RTD("cqg.rtd",,"ContractData",A19, "LongDescription"),7)</f>
        <v xml:space="preserve"> Mar 21</v>
      </c>
      <c r="C19" s="51">
        <f>RTD("cqg.rtd", ,"ContractData",A19, "Open",,"T")</f>
        <v>99.25</v>
      </c>
      <c r="D19" s="51">
        <f>RTD("cqg.rtd", ,"ContractData",A19, "High",,"T")</f>
        <v>99.27</v>
      </c>
      <c r="E19" s="51">
        <f>RTD("cqg.rtd", ,"ContractData",A19, "Low",,"T")</f>
        <v>99.240000000000009</v>
      </c>
      <c r="F19" s="51">
        <f>RTD("cqg.rtd", ,"ContractData",A19, "LastTradeorSettle",,"T")</f>
        <v>99.25</v>
      </c>
      <c r="G19" s="52">
        <f>RTD("cqg.rtd",,"ContractData",A19,"NetLastTradeToday",,"T")</f>
        <v>1.9999999999996021E-2</v>
      </c>
      <c r="H19" s="53">
        <f>RTD("cqg.rtd",,"ContractData",A19,"NetLastTradeToday",,"T")</f>
        <v>1.9999999999996021E-2</v>
      </c>
      <c r="I19" s="54">
        <f>RTD("cqg.rtd", ,"ContractData",A19, "T_CVol")</f>
        <v>31225</v>
      </c>
      <c r="J19" s="66"/>
      <c r="K19" s="3"/>
      <c r="L19" s="3"/>
      <c r="M19" s="3"/>
      <c r="N19" s="3"/>
      <c r="O19" s="3"/>
      <c r="P19" s="3"/>
      <c r="Q19" s="3"/>
      <c r="R19" s="4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63"/>
    </row>
    <row r="20" spans="1:57" ht="15" customHeight="1" x14ac:dyDescent="0.3">
      <c r="A20" s="45" t="str">
        <f>RTD("cqg.rtd",,"ContractData","QSA?8", "Symbol")</f>
        <v>QSAM21</v>
      </c>
      <c r="B20" s="50" t="str">
        <f>RIGHT(RTD("cqg.rtd",,"ContractData",A20, "LongDescription"),7)</f>
        <v xml:space="preserve"> Jun 21</v>
      </c>
      <c r="C20" s="51">
        <f>RTD("cqg.rtd", ,"ContractData",A20, "Open",,"T")</f>
        <v>99.240000000000009</v>
      </c>
      <c r="D20" s="51">
        <f>RTD("cqg.rtd", ,"ContractData",A20, "High",,"T")</f>
        <v>99.26</v>
      </c>
      <c r="E20" s="51">
        <f>RTD("cqg.rtd", ,"ContractData",A20, "Low",,"T")</f>
        <v>99.225000000000009</v>
      </c>
      <c r="F20" s="51">
        <f>RTD("cqg.rtd", ,"ContractData",A20, "LastTradeorSettle",,"T")</f>
        <v>99.234999999999999</v>
      </c>
      <c r="G20" s="52">
        <f>RTD("cqg.rtd",,"ContractData",A20,"NetLastTradeToday",,"T")</f>
        <v>1.5000000000000568E-2</v>
      </c>
      <c r="H20" s="53">
        <f>RTD("cqg.rtd",,"ContractData",A20,"NetLastTradeToday",,"T")</f>
        <v>1.5000000000000568E-2</v>
      </c>
      <c r="I20" s="54">
        <f>RTD("cqg.rtd", ,"ContractData",A20, "T_CVol")</f>
        <v>26616</v>
      </c>
      <c r="J20" s="66"/>
      <c r="K20" s="3"/>
      <c r="L20" s="3"/>
      <c r="M20" s="3"/>
      <c r="N20" s="3"/>
      <c r="O20" s="3"/>
      <c r="P20" s="3"/>
      <c r="Q20" s="3"/>
      <c r="R20" s="6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63"/>
    </row>
    <row r="21" spans="1:57" ht="15" customHeight="1" x14ac:dyDescent="0.3">
      <c r="A21" s="45" t="str">
        <f>RTD("cqg.rtd",,"ContractData","QSA?9", "Symbol")</f>
        <v>QSAU21</v>
      </c>
      <c r="B21" s="50" t="str">
        <f>RIGHT(RTD("cqg.rtd",,"ContractData",A21, "LongDescription"),7)</f>
        <v xml:space="preserve"> Sep 21</v>
      </c>
      <c r="C21" s="51">
        <f>RTD("cqg.rtd", ,"ContractData",A21, "Open",,"T")</f>
        <v>99.22</v>
      </c>
      <c r="D21" s="51">
        <f>RTD("cqg.rtd", ,"ContractData",A21, "High",,"T")</f>
        <v>99.245000000000005</v>
      </c>
      <c r="E21" s="51">
        <f>RTD("cqg.rtd", ,"ContractData",A21, "Low",,"T")</f>
        <v>99.210000000000008</v>
      </c>
      <c r="F21" s="51">
        <f>RTD("cqg.rtd", ,"ContractData",A21, "LastTradeorSettle",,"T")</f>
        <v>99.215000000000003</v>
      </c>
      <c r="G21" s="52">
        <f>RTD("cqg.rtd",,"ContractData",A21,"NetLastTradeToday",,"T")</f>
        <v>1.0000000000005116E-2</v>
      </c>
      <c r="H21" s="53">
        <f>RTD("cqg.rtd",,"ContractData",A21,"NetLastTradeToday",,"T")</f>
        <v>1.0000000000005116E-2</v>
      </c>
      <c r="I21" s="54">
        <f>RTD("cqg.rtd", ,"ContractData",A21, "T_CVol")</f>
        <v>21228</v>
      </c>
      <c r="J21" s="66"/>
      <c r="K21" s="3"/>
      <c r="L21" s="3"/>
      <c r="M21" s="3"/>
      <c r="N21" s="3"/>
      <c r="O21" s="3"/>
      <c r="P21" s="3"/>
      <c r="Q21" s="3"/>
      <c r="R21" s="4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63"/>
    </row>
    <row r="22" spans="1:57" s="10" customFormat="1" ht="15" customHeight="1" x14ac:dyDescent="0.3">
      <c r="A22" s="45" t="str">
        <f>RTD("cqg.rtd",,"ContractData","QSA?10", "Symbol")</f>
        <v>QSAZ21</v>
      </c>
      <c r="B22" s="50" t="str">
        <f>RIGHT(RTD("cqg.rtd",,"ContractData",A22, "LongDescription"),7)</f>
        <v xml:space="preserve"> Dec 21</v>
      </c>
      <c r="C22" s="51">
        <f>RTD("cqg.rtd", ,"ContractData",A22, "Open",,"T")</f>
        <v>99.19</v>
      </c>
      <c r="D22" s="51">
        <f>RTD("cqg.rtd", ,"ContractData",A22, "High",,"T")</f>
        <v>99.22</v>
      </c>
      <c r="E22" s="51">
        <f>RTD("cqg.rtd", ,"ContractData",A22, "Low",,"T")</f>
        <v>99.185000000000002</v>
      </c>
      <c r="F22" s="51">
        <f>RTD("cqg.rtd", ,"ContractData",A22, "LastTradeorSettle",,"T")</f>
        <v>99.19</v>
      </c>
      <c r="G22" s="52">
        <f>RTD("cqg.rtd",,"ContractData",A22,"NetLastTradeToday",,"T")</f>
        <v>9.9999999999909051E-3</v>
      </c>
      <c r="H22" s="53">
        <f>RTD("cqg.rtd",,"ContractData",A22,"NetLastTradeToday",,"T")</f>
        <v>9.9999999999909051E-3</v>
      </c>
      <c r="I22" s="54">
        <f>RTD("cqg.rtd", ,"ContractData",A22, "T_CVol")</f>
        <v>15977</v>
      </c>
      <c r="J22" s="66"/>
      <c r="K22" s="3"/>
      <c r="L22" s="3"/>
      <c r="M22" s="3"/>
      <c r="N22" s="3"/>
      <c r="O22" s="3"/>
      <c r="P22" s="3"/>
      <c r="Q22" s="3"/>
      <c r="R22" s="4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63"/>
      <c r="AE22" s="11"/>
      <c r="AF22" s="11"/>
      <c r="AG22" s="11"/>
      <c r="AH22" s="11"/>
      <c r="AI22" s="11"/>
      <c r="AJ22" s="11"/>
      <c r="AK22" s="11"/>
      <c r="AL22" s="11"/>
      <c r="AM22" s="11"/>
    </row>
    <row r="23" spans="1:57" s="10" customFormat="1" ht="15" customHeight="1" x14ac:dyDescent="0.3">
      <c r="A23" s="45" t="str">
        <f>RTD("cqg.rtd",,"ContractData","QSA?11", "Symbol")</f>
        <v>QSAH22</v>
      </c>
      <c r="B23" s="50" t="str">
        <f>RIGHT(RTD("cqg.rtd",,"ContractData",A23, "LongDescription"),7)</f>
        <v xml:space="preserve"> Mar 22</v>
      </c>
      <c r="C23" s="51">
        <f>RTD("cqg.rtd", ,"ContractData",A23, "Open",,"T")</f>
        <v>99.185000000000002</v>
      </c>
      <c r="D23" s="51">
        <f>RTD("cqg.rtd", ,"ContractData",A23, "High",,"T")</f>
        <v>99.210000000000008</v>
      </c>
      <c r="E23" s="51">
        <f>RTD("cqg.rtd", ,"ContractData",A23, "Low",,"T")</f>
        <v>99.174999999999997</v>
      </c>
      <c r="F23" s="51">
        <f>RTD("cqg.rtd", ,"ContractData",A23, "LastTradeorSettle",,"T")</f>
        <v>99.18</v>
      </c>
      <c r="G23" s="52">
        <f>RTD("cqg.rtd",,"ContractData",A23,"NetLastTradeToday",,"T")</f>
        <v>1.0000000000005116E-2</v>
      </c>
      <c r="H23" s="53">
        <f>RTD("cqg.rtd",,"ContractData",A23,"NetLastTradeToday",,"T")</f>
        <v>1.0000000000005116E-2</v>
      </c>
      <c r="I23" s="54">
        <f>RTD("cqg.rtd", ,"ContractData",A23, "T_CVol")</f>
        <v>14980</v>
      </c>
      <c r="J23" s="66"/>
      <c r="K23" s="3"/>
      <c r="L23" s="3"/>
      <c r="M23" s="3"/>
      <c r="N23" s="3"/>
      <c r="O23" s="3"/>
      <c r="P23" s="3"/>
      <c r="Q23" s="3"/>
      <c r="R23" s="4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63"/>
      <c r="AE23" s="11"/>
      <c r="AF23" s="11"/>
      <c r="AG23" s="11"/>
      <c r="AH23" s="11"/>
      <c r="AI23" s="11"/>
      <c r="AJ23" s="11"/>
      <c r="AK23" s="11"/>
      <c r="AL23" s="11"/>
      <c r="AM23" s="11"/>
    </row>
    <row r="24" spans="1:57" s="10" customFormat="1" ht="15" customHeight="1" x14ac:dyDescent="0.3">
      <c r="A24" s="45" t="str">
        <f>RTD("cqg.rtd",,"ContractData","QSA?12", "Symbol")</f>
        <v>QSAM22</v>
      </c>
      <c r="B24" s="101" t="str">
        <f>RIGHT(RTD("cqg.rtd",,"ContractData",A24, "LongDescription"),7)</f>
        <v xml:space="preserve"> Jun 22</v>
      </c>
      <c r="C24" s="102">
        <f>RTD("cqg.rtd", ,"ContractData",A24, "Open",,"T")</f>
        <v>99.16</v>
      </c>
      <c r="D24" s="102">
        <f>RTD("cqg.rtd", ,"ContractData",A24, "High",,"T")</f>
        <v>99.19</v>
      </c>
      <c r="E24" s="102">
        <f>RTD("cqg.rtd", ,"ContractData",A24, "Low",,"T")</f>
        <v>99.155000000000001</v>
      </c>
      <c r="F24" s="102">
        <f>RTD("cqg.rtd", ,"ContractData",A24, "LastTradeorSettle",,"T")</f>
        <v>99.16</v>
      </c>
      <c r="G24" s="103">
        <f>RTD("cqg.rtd",,"ContractData",A24,"NetLastTradeToday",,"T")</f>
        <v>1.5000000000000568E-2</v>
      </c>
      <c r="H24" s="104">
        <f>RTD("cqg.rtd",,"ContractData",A24,"NetLastTradeToday",,"T")</f>
        <v>1.5000000000000568E-2</v>
      </c>
      <c r="I24" s="105">
        <f>RTD("cqg.rtd", ,"ContractData",A24, "T_CVol")</f>
        <v>14281</v>
      </c>
      <c r="J24" s="66"/>
      <c r="K24" s="3"/>
      <c r="L24" s="3"/>
      <c r="M24" s="3"/>
      <c r="N24" s="3"/>
      <c r="O24" s="3"/>
      <c r="P24" s="3"/>
      <c r="Q24" s="3"/>
      <c r="R24" s="4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63"/>
      <c r="AE24" s="11"/>
      <c r="AF24" s="11"/>
      <c r="AG24" s="11"/>
      <c r="AH24" s="11"/>
      <c r="AI24" s="11"/>
      <c r="AJ24" s="11"/>
      <c r="AK24" s="11"/>
      <c r="AL24" s="11"/>
      <c r="AM24" s="11"/>
    </row>
    <row r="25" spans="1:57" s="10" customFormat="1" ht="14.1" customHeight="1" x14ac:dyDescent="0.3">
      <c r="A25" s="45"/>
      <c r="B25" s="199"/>
      <c r="C25" s="140"/>
      <c r="D25" s="109"/>
      <c r="E25" s="110"/>
      <c r="F25" s="111"/>
      <c r="G25" s="110"/>
      <c r="H25" s="112"/>
      <c r="I25" s="113"/>
      <c r="J25" s="11"/>
      <c r="K25" s="35"/>
      <c r="L25" s="35"/>
      <c r="M25" s="35"/>
      <c r="N25" s="35"/>
      <c r="O25" s="35"/>
      <c r="P25" s="35"/>
      <c r="Q25" s="35"/>
      <c r="R25" s="36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64"/>
      <c r="AE25" s="11"/>
      <c r="AF25" s="11"/>
      <c r="AG25" s="11"/>
      <c r="AH25" s="11"/>
      <c r="AI25" s="11"/>
      <c r="AJ25" s="11"/>
      <c r="AK25" s="11"/>
      <c r="AL25" s="11"/>
      <c r="AM25" s="11"/>
    </row>
    <row r="26" spans="1:57" s="10" customFormat="1" ht="15" customHeight="1" x14ac:dyDescent="0.3">
      <c r="A26" s="45"/>
      <c r="B26" s="175" t="s">
        <v>17</v>
      </c>
      <c r="C26" s="176"/>
      <c r="D26" s="176"/>
      <c r="E26" s="176"/>
      <c r="F26" s="176"/>
      <c r="G26" s="176"/>
      <c r="H26" s="176"/>
      <c r="I26" s="177"/>
      <c r="J26" s="67"/>
      <c r="K26" s="21" t="str">
        <f>RIGHT(RTD("cqg.rtd",,"ContractData","QSAS12?1", "LongDescription"),15)</f>
        <v xml:space="preserve"> Sep 19, Sep 20</v>
      </c>
      <c r="L26" s="21" t="str">
        <f>RIGHT(RTD("cqg.rtd",,"ContractData","QSAS12?2", "LongDescription"),15)</f>
        <v xml:space="preserve"> Dec 19, Dec 20</v>
      </c>
      <c r="M26" s="21" t="str">
        <f>RIGHT(RTD("cqg.rtd",,"ContractData","QSAS12?3", "LongDescription"),15)</f>
        <v xml:space="preserve"> Mar 20, Mar 21</v>
      </c>
      <c r="N26" s="21" t="str">
        <f>RIGHT(RTD("cqg.rtd",,"ContractData","QSAS12?4", "LongDescription"),15)</f>
        <v xml:space="preserve"> Jun 20, Jun 21</v>
      </c>
      <c r="O26" s="21" t="str">
        <f>RIGHT(RTD("cqg.rtd",,"ContractData","QSAS12?5", "LongDescription"),15)</f>
        <v xml:space="preserve"> Sep 20, Sep 21</v>
      </c>
      <c r="P26" s="21" t="str">
        <f>RIGHT(RTD("cqg.rtd",,"ContractData","QSAS12?6", "LongDescription"),15)</f>
        <v xml:space="preserve"> Dec 20, Dec 21</v>
      </c>
      <c r="Q26" s="21" t="str">
        <f>RIGHT(RTD("cqg.rtd",,"ContractData","QSAS12?7", "LongDescription"),15)</f>
        <v xml:space="preserve"> Mar 21, Mar 22</v>
      </c>
      <c r="R26" s="21" t="str">
        <f>RIGHT(RTD("cqg.rtd",,"ContractData","QSAS12?8", "LongDescription"),15)</f>
        <v xml:space="preserve"> Jun 21, Jun 22</v>
      </c>
      <c r="S26" s="21" t="str">
        <f>RIGHT(RTD("cqg.rtd",,"ContractData","QSAS12?9", "LongDescription"),15)</f>
        <v xml:space="preserve"> Sep 21, Sep 22</v>
      </c>
      <c r="T26" s="21" t="str">
        <f>RIGHT(RTD("cqg.rtd",,"ContractData","QSAS12?10", "LongDescription"),15)</f>
        <v xml:space="preserve"> Dec 21, Dec 22</v>
      </c>
      <c r="U26" s="21" t="str">
        <f>RIGHT(RTD("cqg.rtd",,"ContractData","QSAS12?11", "LongDescription"),15)</f>
        <v xml:space="preserve"> Mar 22, Mar 23</v>
      </c>
      <c r="V26" s="21" t="str">
        <f>RIGHT(RTD("cqg.rtd",,"ContractData","QSAS12?12", "LongDescription"),15)</f>
        <v xml:space="preserve"> Jun 22, Jun 23</v>
      </c>
      <c r="W26" s="21" t="str">
        <f>RIGHT(RTD("cqg.rtd",,"ContractData","QSAS12?13", "LongDescription"),15)</f>
        <v xml:space="preserve"> Sep 22, Sep 23</v>
      </c>
      <c r="X26" s="21" t="str">
        <f>RIGHT(RTD("cqg.rtd",,"ContractData","QSAS12?14", "LongDescription"),15)</f>
        <v xml:space="preserve"> Dec 22, Dec 23</v>
      </c>
      <c r="Y26" s="21" t="str">
        <f>RIGHT(RTD("cqg.rtd",,"ContractData","QSAS12?15", "LongDescription"),15)</f>
        <v xml:space="preserve"> Mar 23, Mar 24</v>
      </c>
      <c r="Z26" s="21" t="str">
        <f>RIGHT(RTD("cqg.rtd",,"ContractData","QSAS12?16", "LongDescription"),15)</f>
        <v xml:space="preserve"> Jun 23, Jun 24</v>
      </c>
      <c r="AA26" s="21" t="str">
        <f>RIGHT(RTD("cqg.rtd",,"ContractData","QSAS12?17", "LongDescription"),15)</f>
        <v xml:space="preserve"> Sep 23, Sep 24</v>
      </c>
      <c r="AB26" s="21" t="str">
        <f>RIGHT(RTD("cqg.rtd",,"ContractData","QSAS12?18", "LongDescription"),15)</f>
        <v xml:space="preserve"> Dec 23, Dec 24</v>
      </c>
      <c r="AC26" s="21" t="str">
        <f>RIGHT(RTD("cqg.rtd",,"ContractData","QSAS12?19", "LongDescription"),15)</f>
        <v xml:space="preserve"> Mar 24, Mar 25</v>
      </c>
      <c r="AD26" s="21" t="str">
        <f>RIGHT(RTD("cqg.rtd",,"ContractData","QSAS12?20", "LongDescription"),15)</f>
        <v xml:space="preserve"> Jun 24, Jun 25</v>
      </c>
      <c r="AE26" s="11"/>
      <c r="AF26" s="11"/>
      <c r="AG26" s="11"/>
      <c r="AH26" s="11"/>
      <c r="AI26" s="11"/>
      <c r="AJ26" s="11"/>
      <c r="AK26" s="11"/>
      <c r="AL26" s="11"/>
      <c r="AM26" s="11"/>
    </row>
    <row r="27" spans="1:57" s="10" customFormat="1" ht="15" customHeight="1" x14ac:dyDescent="0.3">
      <c r="A27" s="45"/>
      <c r="B27" s="178"/>
      <c r="C27" s="179"/>
      <c r="D27" s="179"/>
      <c r="E27" s="179"/>
      <c r="F27" s="179"/>
      <c r="G27" s="179"/>
      <c r="H27" s="179"/>
      <c r="I27" s="180"/>
      <c r="J27" s="67"/>
      <c r="K27" s="74" t="str">
        <f>TEXT(RTD("cqg.rtd",,"ContractData","QSAS12?1", "Ask"),"#.000")&amp;" "&amp;"A"</f>
        <v>-.045 A</v>
      </c>
      <c r="L27" s="74" t="str">
        <f>TEXT(RTD("cqg.rtd",,"ContractData","QSAS12?2", "Ask"),"#.000")&amp;" "&amp;"A"</f>
        <v>-.045 A</v>
      </c>
      <c r="M27" s="74" t="str">
        <f>TEXT(RTD("cqg.rtd",,"ContractData","QSAS12?3", "Ask"),"#.000")&amp;" "&amp;"A"</f>
        <v>-.020 A</v>
      </c>
      <c r="N27" s="74" t="str">
        <f>TEXT(RTD("cqg.rtd",,"ContractData","QSAS12?4", "Ask"),"#.000")&amp;" "&amp;"A"</f>
        <v>.020 A</v>
      </c>
      <c r="O27" s="74" t="str">
        <f>TEXT(RTD("cqg.rtd",,"ContractData","QSAS12?5", "Ask"),"#.000")&amp;" "&amp;"A"</f>
        <v>.045 A</v>
      </c>
      <c r="P27" s="74" t="str">
        <f>TEXT(RTD("cqg.rtd",,"ContractData","QSAS12?6", "Ask"),"#.000")&amp;" "&amp;"A"</f>
        <v>.045 A</v>
      </c>
      <c r="Q27" s="74" t="str">
        <f>TEXT(RTD("cqg.rtd",,"ContractData","QSAS12?7", "Ask"),"#.000")&amp;" "&amp;"A"</f>
        <v>.070 A</v>
      </c>
      <c r="R27" s="74" t="str">
        <f>TEXT(RTD("cqg.rtd",,"ContractData","QSAS12?8", "Ask"),"#.000")&amp;" "&amp;"A"</f>
        <v>.075 A</v>
      </c>
      <c r="S27" s="74" t="str">
        <f>TEXT(RTD("cqg.rtd",,"ContractData","QSAS12?9", "Ask"),"#.000")&amp;" "&amp;"A"</f>
        <v>.085 A</v>
      </c>
      <c r="T27" s="74" t="str">
        <f>TEXT(RTD("cqg.rtd",,"ContractData","QSAS12?10", "Ask"),"#.000")&amp;" "&amp;"A"</f>
        <v>.080 A</v>
      </c>
      <c r="U27" s="74" t="str">
        <f>TEXT(RTD("cqg.rtd",,"ContractData","QSAS12?11", "Ask"),"#.000")&amp;" "&amp;"A"</f>
        <v>.085 A</v>
      </c>
      <c r="V27" s="74" t="str">
        <f>TEXT(RTD("cqg.rtd",,"ContractData","QSAS12?12", "Ask"),"#.000")&amp;" "&amp;"A"</f>
        <v>.090 A</v>
      </c>
      <c r="W27" s="74" t="str">
        <f>TEXT(RTD("cqg.rtd",,"ContractData","QSAS12?13", "Ask"),"#.000")&amp;" "&amp;"A"</f>
        <v>.095 A</v>
      </c>
      <c r="X27" s="74" t="str">
        <f>TEXT(RTD("cqg.rtd",,"ContractData","QSAS12?14", "Ask"),"#.000")&amp;" "&amp;"A"</f>
        <v>.105 A</v>
      </c>
      <c r="Y27" s="74" t="str">
        <f>TEXT(RTD("cqg.rtd",,"ContractData","QSAS12?15", "Ask"),"#.000")&amp;" "&amp;"A"</f>
        <v>.105 A</v>
      </c>
      <c r="Z27" s="74" t="str">
        <f>TEXT(RTD("cqg.rtd",,"ContractData","QSAS12?16", "Ask"),"#.000")&amp;" "&amp;"A"</f>
        <v>.110 A</v>
      </c>
      <c r="AA27" s="74" t="str">
        <f>TEXT(RTD("cqg.rtd",,"ContractData","QSAS12?17", "Ask"),"#.000")&amp;" "&amp;"A"</f>
        <v>.115 A</v>
      </c>
      <c r="AB27" s="74" t="str">
        <f>TEXT(RTD("cqg.rtd",,"ContractData","QSAS12?18", "Ask"),"#.000")&amp;" "&amp;"A"</f>
        <v>.115 A</v>
      </c>
      <c r="AC27" s="74" t="str">
        <f>TEXT(RTD("cqg.rtd",,"ContractData","QSAS12?19", "Ask"),"#.000")&amp;" "&amp;"A"</f>
        <v>.125 A</v>
      </c>
      <c r="AD27" s="74" t="str">
        <f>TEXT(RTD("cqg.rtd",,"ContractData","QSAS12?20", "Ask"),"#.000")&amp;" "&amp;"A"</f>
        <v>.130 A</v>
      </c>
      <c r="AE27" s="11"/>
      <c r="AF27" s="11"/>
      <c r="AG27" s="11"/>
      <c r="AH27" s="11"/>
      <c r="AI27" s="11"/>
      <c r="AJ27" s="11"/>
      <c r="AK27" s="11"/>
      <c r="AL27" s="11"/>
    </row>
    <row r="28" spans="1:57" ht="15" customHeight="1" x14ac:dyDescent="0.3">
      <c r="B28" s="46" t="s">
        <v>13</v>
      </c>
      <c r="C28" s="47" t="s">
        <v>7</v>
      </c>
      <c r="D28" s="47" t="s">
        <v>8</v>
      </c>
      <c r="E28" s="47" t="s">
        <v>9</v>
      </c>
      <c r="F28" s="47" t="s">
        <v>6</v>
      </c>
      <c r="G28" s="47" t="s">
        <v>10</v>
      </c>
      <c r="H28" s="47" t="s">
        <v>10</v>
      </c>
      <c r="I28" s="48" t="s">
        <v>11</v>
      </c>
      <c r="J28" s="67"/>
      <c r="K28" s="74" t="str">
        <f>TEXT(RTD("cqg.rtd",,"ContractData","QSAS12?1", "Bid"),"#.000")&amp;" "&amp;"B"</f>
        <v>-.050 B</v>
      </c>
      <c r="L28" s="74" t="str">
        <f>TEXT(RTD("cqg.rtd",,"ContractData","QSAS12?2", "Bid"),"#.000")&amp;" "&amp;"B"</f>
        <v>-.050 B</v>
      </c>
      <c r="M28" s="74" t="str">
        <f>TEXT(RTD("cqg.rtd",,"ContractData","QSAS12?3", "Bid"),"#.000")&amp;" "&amp;"A"</f>
        <v>-.025 A</v>
      </c>
      <c r="N28" s="74" t="str">
        <f>TEXT(RTD("cqg.rtd",,"ContractData","QSAS12?4", "Bid"),"#.000")&amp;" "&amp;"A"</f>
        <v>.010 A</v>
      </c>
      <c r="O28" s="74" t="str">
        <f>TEXT(RTD("cqg.rtd",,"ContractData","QSAS12?5", "Bid"),"#.000")&amp;" "&amp;"A"</f>
        <v>.040 A</v>
      </c>
      <c r="P28" s="74" t="str">
        <f>TEXT(RTD("cqg.rtd",,"ContractData","QSAS12?6", "Bid"),"#.000")&amp;" "&amp;"B"</f>
        <v>.040 B</v>
      </c>
      <c r="Q28" s="74" t="str">
        <f>TEXT(RTD("cqg.rtd",,"ContractData","QSAS12?7", "Bid"),"#.000")&amp;" "&amp;"B"</f>
        <v>.065 B</v>
      </c>
      <c r="R28" s="74" t="str">
        <f>TEXT(RTD("cqg.rtd",,"ContractData","QSAS12?8", "Bid"),"#.000")&amp;" "&amp;"B"</f>
        <v>.070 B</v>
      </c>
      <c r="S28" s="74" t="str">
        <f>TEXT(RTD("cqg.rtd",,"ContractData","QSAS12?9", "Bid"),"#.000")&amp;" "&amp;"B"</f>
        <v>.075 B</v>
      </c>
      <c r="T28" s="74" t="str">
        <f>TEXT(RTD("cqg.rtd",,"ContractData","QSAS12?10", "Bid"),"#.000")&amp;" "&amp;"B"</f>
        <v>.075 B</v>
      </c>
      <c r="U28" s="74" t="str">
        <f>TEXT(RTD("cqg.rtd",,"ContractData","QSAS12?11", "Bid"),"#.000")&amp;" "&amp;"B"</f>
        <v>.080 B</v>
      </c>
      <c r="V28" s="74" t="str">
        <f>TEXT(RTD("cqg.rtd",,"ContractData","QSAS12?12", "Bid"),"#.000")&amp;" "&amp;"B"</f>
        <v>.085 B</v>
      </c>
      <c r="W28" s="74" t="str">
        <f>TEXT(RTD("cqg.rtd",,"ContractData","QSAS12?13", "Bid"),"#.000")&amp;" "&amp;"B"</f>
        <v>.090 B</v>
      </c>
      <c r="X28" s="74" t="str">
        <f>TEXT(RTD("cqg.rtd",,"ContractData","QSAS12?14", "Bid"),"#.000")&amp;" "&amp;"B"</f>
        <v>.095 B</v>
      </c>
      <c r="Y28" s="74" t="str">
        <f>TEXT(RTD("cqg.rtd",,"ContractData","QSAS12?15", "Bid"),"#.000")&amp;" "&amp;"B"</f>
        <v>.100 B</v>
      </c>
      <c r="Z28" s="74" t="str">
        <f>TEXT(RTD("cqg.rtd",,"ContractData","QSAS12?16", "Bid"),"#.000")&amp;" "&amp;"B"</f>
        <v>.100 B</v>
      </c>
      <c r="AA28" s="74" t="str">
        <f>TEXT(RTD("cqg.rtd",,"ContractData","QSAS12?17", "Bid"),"#.000")&amp;" "&amp;"B"</f>
        <v>.095 B</v>
      </c>
      <c r="AB28" s="74" t="str">
        <f>TEXT(RTD("cqg.rtd",,"ContractData","QSAS12?18", "Bid"),"#.000")&amp;" "&amp;"B"</f>
        <v>.090 B</v>
      </c>
      <c r="AC28" s="74" t="str">
        <f>TEXT(RTD("cqg.rtd",,"ContractData","QSAS12?19", "Bid"),"#.000")&amp;" "&amp;"B"</f>
        <v>.095 B</v>
      </c>
      <c r="AD28" s="74" t="str">
        <f>TEXT(RTD("cqg.rtd",,"ContractData","QSAS12?20", "Bid"),"#.000")&amp;" "&amp;"B"</f>
        <v>.090 B</v>
      </c>
      <c r="AM28" s="10"/>
      <c r="BE28" s="1"/>
    </row>
    <row r="29" spans="1:57" ht="15" customHeight="1" x14ac:dyDescent="0.3">
      <c r="A29" s="45" t="str">
        <f>RTD("cqg.rtd",,"ContractData","QSAS12?1", "Symbol")</f>
        <v>QSAS12U19</v>
      </c>
      <c r="B29" s="16" t="str">
        <f>RIGHT(RTD("cqg.rtd",,"ContractData",A29, "LongDescription"),15)</f>
        <v xml:space="preserve"> Sep 19, Sep 20</v>
      </c>
      <c r="C29" s="51">
        <f>RTD("cqg.rtd", ,"ContractData",A29, "Open",,"T")</f>
        <v>-0.05</v>
      </c>
      <c r="D29" s="51">
        <f>RTD("cqg.rtd", ,"ContractData",A29, "High",,"T")</f>
        <v>-4.4999999999999998E-2</v>
      </c>
      <c r="E29" s="51">
        <f>RTD("cqg.rtd", ,"ContractData",A29, "Low",,"T")</f>
        <v>-6.5000000000000002E-2</v>
      </c>
      <c r="F29" s="51">
        <f>RTD("cqg.rtd", ,"ContractData",A29, "LastTradeorSettle",,"T")</f>
        <v>-4.4999999999999998E-2</v>
      </c>
      <c r="G29" s="52">
        <f>RTD("cqg.rtd",,"ContractData",A29,"NetLastTradeToday",,"T")</f>
        <v>-9.999999999999995E-3</v>
      </c>
      <c r="H29" s="13">
        <f>RTD("cqg.rtd",,"ContractData",A29,"NetLastTradeToday",,"T")</f>
        <v>-9.999999999999995E-3</v>
      </c>
      <c r="I29" s="18">
        <f>RTD("cqg.rtd", ,"ContractData",A29, "T_CVol")</f>
        <v>1640</v>
      </c>
      <c r="J29" s="67"/>
      <c r="K29" s="74" t="str">
        <f>TEXT(RTD("cqg.rtd", ,"ContractData","QSAS12?1","LastTradeorSettle",,"T"),"#.000")&amp;" "&amp;"L"</f>
        <v>-.045 L</v>
      </c>
      <c r="L29" s="74" t="str">
        <f>TEXT(RTD("cqg.rtd", ,"ContractData","QSAS12?2","LastTradeorSettle",,"T"),"#.000")&amp;" "&amp;"L"</f>
        <v>-.050 L</v>
      </c>
      <c r="M29" s="74" t="str">
        <f>TEXT(RTD("cqg.rtd", ,"ContractData","QSAS12?3","LastTradeorSettle",,"T"),"#.000")&amp;" "&amp;"L"</f>
        <v>-.020 L</v>
      </c>
      <c r="N29" s="74" t="str">
        <f>TEXT(RTD("cqg.rtd", ,"ContractData","QSAS12?4","LastTradeorSettle",,"T"),"#.000")&amp;" "&amp;"L"</f>
        <v>.015 L</v>
      </c>
      <c r="O29" s="74" t="str">
        <f>TEXT(RTD("cqg.rtd", ,"ContractData","QSAS12?5","LastTradeorSettle",,"T"),"#.000")&amp;" "&amp;"L"</f>
        <v>.040 L</v>
      </c>
      <c r="P29" s="74" t="str">
        <f>TEXT(RTD("cqg.rtd", ,"ContractData","QSAS12?6","LastTradeorSettle",,"T"),"#.000")&amp;" "&amp;"L"</f>
        <v>.040 L</v>
      </c>
      <c r="Q29" s="74" t="str">
        <f>TEXT(RTD("cqg.rtd", ,"ContractData","QSAS12?7","LastTradeorSettle",,"T"),"#.000")&amp;" "&amp;"L"</f>
        <v>.065 L</v>
      </c>
      <c r="R29" s="74" t="str">
        <f>TEXT(RTD("cqg.rtd", ,"ContractData","QSAS12?8","LastTradeorSettle",,"T"),"#.000")&amp;" "&amp;"L"</f>
        <v>.075 L</v>
      </c>
      <c r="S29" s="74" t="str">
        <f>TEXT(RTD("cqg.rtd", ,"ContractData","QSAS12?9","LastTradeorSettle",,"T"),"#.000")&amp;" "&amp;"L"</f>
        <v>.080 L</v>
      </c>
      <c r="T29" s="74" t="str">
        <f>TEXT(RTD("cqg.rtd", ,"ContractData","QSAS12?10","LastTradeorSettle",,"T"),"#.000")&amp;" "&amp;"L"</f>
        <v>.075 L</v>
      </c>
      <c r="U29" s="74" t="str">
        <f>TEXT(RTD("cqg.rtd", ,"ContractData","QSAS12?11","LastTradeorSettle",,"T"),"#.000")&amp;" "&amp;"L"</f>
        <v>.085 L</v>
      </c>
      <c r="V29" s="74" t="str">
        <f>TEXT(RTD("cqg.rtd", ,"ContractData","QSAS12?12","LastTradeorSettle",,"T"),"#.000")&amp;" "&amp;"L"</f>
        <v>.085 L</v>
      </c>
      <c r="W29" s="74" t="str">
        <f>TEXT(RTD("cqg.rtd", ,"ContractData","QSAS12?13","LastTradeorSettle",,"T"),"#.000")&amp;" "&amp;"L"</f>
        <v>.090 L</v>
      </c>
      <c r="X29" s="74" t="str">
        <f>TEXT(RTD("cqg.rtd", ,"ContractData","QSAS12?14","LastTradeorSettle",,"T"),"#.000")&amp;" "&amp;"L"</f>
        <v>.105 L</v>
      </c>
      <c r="Y29" s="74" t="str">
        <f>TEXT(RTD("cqg.rtd", ,"ContractData","QSAS12?15","LastTradeorSettle",,"T"),"#.000")&amp;" "&amp;"L"</f>
        <v>.105 L</v>
      </c>
      <c r="Z29" s="74" t="str">
        <f>TEXT(RTD("cqg.rtd", ,"ContractData","QSAS12?16","LastTradeorSettle",,"T"),"#.000")&amp;" "&amp;"L"</f>
        <v>.105 L</v>
      </c>
      <c r="AA29" s="74" t="str">
        <f>TEXT(RTD("cqg.rtd", ,"ContractData","QSAS12?17","LastTradeorSettle",,"T"),"#.000")&amp;" "&amp;"L"</f>
        <v xml:space="preserve"> L</v>
      </c>
      <c r="AB29" s="74" t="str">
        <f>TEXT(RTD("cqg.rtd", ,"ContractData","QSAS12?18","LastTradeorSettle",,"T"),"#.000")&amp;" "&amp;"L"</f>
        <v xml:space="preserve"> L</v>
      </c>
      <c r="AC29" s="74" t="str">
        <f>TEXT(RTD("cqg.rtd", ,"ContractData","QSAS12?19","LastTradeorSettle",,"T"),"#.000")&amp;" "&amp;"L"</f>
        <v xml:space="preserve"> L</v>
      </c>
      <c r="AD29" s="74" t="str">
        <f>TEXT(RTD("cqg.rtd", ,"ContractData","QSAS12?20","LastTradeorSettle",,"T"),"#.000")&amp;" "&amp;"L"</f>
        <v xml:space="preserve"> L</v>
      </c>
      <c r="AM29" s="10"/>
      <c r="BE29" s="1"/>
    </row>
    <row r="30" spans="1:57" ht="15" customHeight="1" x14ac:dyDescent="0.3">
      <c r="A30" s="45" t="str">
        <f>RTD("cqg.rtd",,"ContractData","QSAS12?2", "Symbol")</f>
        <v>QSAS12Z19</v>
      </c>
      <c r="B30" s="16" t="str">
        <f>RIGHT(RTD("cqg.rtd",,"ContractData",A30, "LongDescription"),15)</f>
        <v xml:space="preserve"> Dec 19, Dec 20</v>
      </c>
      <c r="C30" s="51">
        <f>RTD("cqg.rtd", ,"ContractData",A30, "Open",,"T")</f>
        <v>-5.5E-2</v>
      </c>
      <c r="D30" s="51">
        <f>RTD("cqg.rtd", ,"ContractData",A30, "High",,"T")</f>
        <v>-0.05</v>
      </c>
      <c r="E30" s="51">
        <f>RTD("cqg.rtd", ,"ContractData",A30, "Low",,"T")</f>
        <v>-6.5000000000000002E-2</v>
      </c>
      <c r="F30" s="51">
        <f>RTD("cqg.rtd", ,"ContractData",A30, "LastTradeorSettle",,"T")</f>
        <v>-0.05</v>
      </c>
      <c r="G30" s="52">
        <f>RTD("cqg.rtd",,"ContractData",A30,"NetLastTradeToday",,"T")</f>
        <v>-5.0000000000000044E-3</v>
      </c>
      <c r="H30" s="13">
        <f>RTD("cqg.rtd",,"ContractData",A30,"NetLastTradeToday",,"T")</f>
        <v>-5.0000000000000044E-3</v>
      </c>
      <c r="I30" s="18">
        <f>RTD("cqg.rtd", ,"ContractData",A30, "T_CVol")</f>
        <v>2021</v>
      </c>
      <c r="J30" s="67"/>
      <c r="K30" s="119"/>
      <c r="L30" s="7"/>
      <c r="M30" s="7"/>
      <c r="N30" s="7"/>
      <c r="O30" s="7"/>
      <c r="P30" s="7"/>
      <c r="Q30" s="7"/>
      <c r="R30" s="6"/>
      <c r="S30" s="5"/>
      <c r="T30" s="5"/>
      <c r="U30" s="5"/>
      <c r="V30" s="118"/>
      <c r="W30" s="27"/>
      <c r="AE30" s="100"/>
    </row>
    <row r="31" spans="1:57" ht="15" customHeight="1" x14ac:dyDescent="0.3">
      <c r="A31" s="45" t="str">
        <f>RTD("cqg.rtd",,"ContractData","QSAS12?3", "Symbol")</f>
        <v>QSAS12H20</v>
      </c>
      <c r="B31" s="16" t="str">
        <f>RIGHT(RTD("cqg.rtd",,"ContractData",A31, "LongDescription"),15)</f>
        <v xml:space="preserve"> Mar 20, Mar 21</v>
      </c>
      <c r="C31" s="51">
        <f>RTD("cqg.rtd", ,"ContractData",A31, "Open",,"T")</f>
        <v>-0.02</v>
      </c>
      <c r="D31" s="51">
        <f>RTD("cqg.rtd", ,"ContractData",A31, "High",,"T")</f>
        <v>-0.02</v>
      </c>
      <c r="E31" s="51">
        <f>RTD("cqg.rtd", ,"ContractData",A31, "Low",,"T")</f>
        <v>-0.03</v>
      </c>
      <c r="F31" s="51">
        <f>RTD("cqg.rtd", ,"ContractData",A31, "LastTradeorSettle",,"T")</f>
        <v>-0.02</v>
      </c>
      <c r="G31" s="52">
        <f>RTD("cqg.rtd",,"ContractData",A31,"NetLastTradeToday",,"T")</f>
        <v>-5.000000000000001E-3</v>
      </c>
      <c r="H31" s="13">
        <f>RTD("cqg.rtd",,"ContractData",A31,"NetLastTradeToday",,"T")</f>
        <v>-5.000000000000001E-3</v>
      </c>
      <c r="I31" s="18">
        <f>RTD("cqg.rtd", ,"ContractData",A31, "T_CVol")</f>
        <v>5660</v>
      </c>
      <c r="J31" s="67"/>
      <c r="K31" s="8"/>
      <c r="L31" s="8"/>
      <c r="M31" s="8"/>
      <c r="N31" s="8"/>
      <c r="O31" s="8"/>
      <c r="P31" s="8"/>
      <c r="Q31" s="8"/>
      <c r="R31" s="30"/>
      <c r="S31" s="27"/>
      <c r="T31" s="27"/>
      <c r="U31" s="27"/>
      <c r="V31" s="27"/>
      <c r="W31" s="27"/>
      <c r="AE31" s="100"/>
    </row>
    <row r="32" spans="1:57" ht="15" customHeight="1" x14ac:dyDescent="0.3">
      <c r="A32" s="45" t="str">
        <f>RTD("cqg.rtd",,"ContractData","QSAS12?4", "Symbol")</f>
        <v>QSAS12M20</v>
      </c>
      <c r="B32" s="16" t="str">
        <f>RIGHT(RTD("cqg.rtd",,"ContractData",A32, "LongDescription"),15)</f>
        <v xml:space="preserve"> Jun 20, Jun 21</v>
      </c>
      <c r="C32" s="51">
        <f>RTD("cqg.rtd", ,"ContractData",A32, "Open",,"T")</f>
        <v>5.0000000000000001E-3</v>
      </c>
      <c r="D32" s="51">
        <f>RTD("cqg.rtd", ,"ContractData",A32, "High",,"T")</f>
        <v>1.4999999999999999E-2</v>
      </c>
      <c r="E32" s="51">
        <f>RTD("cqg.rtd", ,"ContractData",A32, "Low",,"T")</f>
        <v>0</v>
      </c>
      <c r="F32" s="51">
        <f>RTD("cqg.rtd", ,"ContractData",A32, "LastTradeorSettle",,"T")</f>
        <v>1.4999999999999999E-2</v>
      </c>
      <c r="G32" s="52">
        <f>RTD("cqg.rtd",,"ContractData",A32,"NetLastTradeToday",,"T")</f>
        <v>0</v>
      </c>
      <c r="H32" s="13">
        <f>RTD("cqg.rtd",,"ContractData",A32,"NetLastTradeToday",,"T")</f>
        <v>0</v>
      </c>
      <c r="I32" s="18">
        <f>RTD("cqg.rtd", ,"ContractData",A32, "T_CVol")</f>
        <v>2001</v>
      </c>
      <c r="J32" s="67"/>
      <c r="K32" s="8"/>
      <c r="L32" s="8"/>
      <c r="M32" s="8"/>
      <c r="N32" s="8"/>
      <c r="O32" s="8"/>
      <c r="P32" s="8"/>
      <c r="Q32" s="8"/>
      <c r="R32" s="30"/>
      <c r="S32" s="27"/>
      <c r="T32" s="27"/>
      <c r="U32" s="27"/>
      <c r="V32" s="27"/>
      <c r="W32" s="27"/>
      <c r="AE32" s="100"/>
    </row>
    <row r="33" spans="1:39" ht="15" customHeight="1" x14ac:dyDescent="0.3">
      <c r="A33" s="45" t="str">
        <f>RTD("cqg.rtd",,"ContractData","QSAS12?5", "Symbol")</f>
        <v>QSAS12U20</v>
      </c>
      <c r="B33" s="16" t="str">
        <f>RIGHT(RTD("cqg.rtd",,"ContractData",A33, "LongDescription"),15)</f>
        <v xml:space="preserve"> Sep 20, Sep 21</v>
      </c>
      <c r="C33" s="51">
        <f>RTD("cqg.rtd", ,"ContractData",A33, "Open",,"T")</f>
        <v>3.5000000000000003E-2</v>
      </c>
      <c r="D33" s="51">
        <f>RTD("cqg.rtd", ,"ContractData",A33, "High",,"T")</f>
        <v>0.04</v>
      </c>
      <c r="E33" s="51">
        <f>RTD("cqg.rtd", ,"ContractData",A33, "Low",,"T")</f>
        <v>2.5000000000000001E-2</v>
      </c>
      <c r="F33" s="51">
        <f>RTD("cqg.rtd", ,"ContractData",A33, "LastTradeorSettle",,"T")</f>
        <v>0.04</v>
      </c>
      <c r="G33" s="52">
        <f>RTD("cqg.rtd",,"ContractData",A33,"NetLastTradeToday",,"T")</f>
        <v>0</v>
      </c>
      <c r="H33" s="13">
        <f>RTD("cqg.rtd",,"ContractData",A33,"NetLastTradeToday",,"T")</f>
        <v>0</v>
      </c>
      <c r="I33" s="18">
        <f>RTD("cqg.rtd", ,"ContractData",A33, "T_CVol")</f>
        <v>1810</v>
      </c>
      <c r="J33" s="67"/>
      <c r="K33" s="8"/>
      <c r="L33" s="8"/>
      <c r="M33" s="8"/>
      <c r="N33" s="8"/>
      <c r="O33" s="8"/>
      <c r="P33" s="8"/>
      <c r="Q33" s="8"/>
      <c r="R33" s="30"/>
      <c r="S33" s="27"/>
      <c r="T33" s="27"/>
      <c r="U33" s="27"/>
      <c r="V33" s="27"/>
      <c r="W33" s="27"/>
      <c r="AE33" s="100"/>
    </row>
    <row r="34" spans="1:39" s="10" customFormat="1" ht="15" customHeight="1" x14ac:dyDescent="0.3">
      <c r="A34" s="45" t="str">
        <f>RTD("cqg.rtd",,"ContractData","QSAS12?6", "Symbol")</f>
        <v>QSAS12Z20</v>
      </c>
      <c r="B34" s="17" t="str">
        <f>RIGHT(RTD("cqg.rtd",,"ContractData",A34, "LongDescription"),15)</f>
        <v xml:space="preserve"> Dec 20, Dec 21</v>
      </c>
      <c r="C34" s="102">
        <f>RTD("cqg.rtd", ,"ContractData",A34, "Open",,"T")</f>
        <v>0.04</v>
      </c>
      <c r="D34" s="102">
        <f>RTD("cqg.rtd", ,"ContractData",A34, "High",,"T")</f>
        <v>0.04</v>
      </c>
      <c r="E34" s="102">
        <f>RTD("cqg.rtd", ,"ContractData",A34, "Low",,"T")</f>
        <v>3.5000000000000003E-2</v>
      </c>
      <c r="F34" s="102">
        <f>RTD("cqg.rtd", ,"ContractData",A34, "LastTradeorSettle",,"T")</f>
        <v>0.04</v>
      </c>
      <c r="G34" s="52">
        <f>RTD("cqg.rtd",,"ContractData",A34,"NetLastTradeToday",,"T")</f>
        <v>-4.9999999999999975E-3</v>
      </c>
      <c r="H34" s="14">
        <f>RTD("cqg.rtd",,"ContractData",A34,"NetLastTradeToday",,"T")</f>
        <v>-4.9999999999999975E-3</v>
      </c>
      <c r="I34" s="18">
        <f>RTD("cqg.rtd", ,"ContractData",A34, "T_CVol")</f>
        <v>687</v>
      </c>
      <c r="J34" s="67"/>
      <c r="K34" s="8"/>
      <c r="L34" s="8"/>
      <c r="M34" s="8"/>
      <c r="N34" s="8"/>
      <c r="O34" s="8"/>
      <c r="P34" s="8"/>
      <c r="Q34" s="8"/>
      <c r="R34" s="30"/>
      <c r="S34" s="27"/>
      <c r="T34" s="27"/>
      <c r="U34" s="27"/>
      <c r="V34" s="27"/>
      <c r="W34" s="27"/>
      <c r="X34" s="11"/>
      <c r="Y34" s="11"/>
      <c r="Z34" s="11"/>
      <c r="AA34" s="11"/>
      <c r="AB34" s="11"/>
      <c r="AC34" s="11"/>
      <c r="AD34" s="11"/>
      <c r="AE34" s="100"/>
      <c r="AF34" s="11"/>
      <c r="AG34" s="11"/>
      <c r="AH34" s="11"/>
      <c r="AI34" s="11"/>
      <c r="AJ34" s="11"/>
      <c r="AK34" s="11"/>
      <c r="AL34" s="11"/>
      <c r="AM34" s="11"/>
    </row>
    <row r="35" spans="1:39" ht="15" customHeight="1" x14ac:dyDescent="0.3">
      <c r="A35" s="45" t="str">
        <f>RTD("cqg.rtd",,"ContractData","QSAS12?7", "Symbol")</f>
        <v>QSAS12H21</v>
      </c>
      <c r="B35" s="17" t="str">
        <f>RIGHT(RTD("cqg.rtd",,"ContractData",A35, "LongDescription"),15)</f>
        <v xml:space="preserve"> Mar 21, Mar 22</v>
      </c>
      <c r="C35" s="102">
        <f>RTD("cqg.rtd", ,"ContractData",A35, "Open",,"T")</f>
        <v>6.5000000000000002E-2</v>
      </c>
      <c r="D35" s="102">
        <f>RTD("cqg.rtd", ,"ContractData",A35, "High",,"T")</f>
        <v>6.5000000000000002E-2</v>
      </c>
      <c r="E35" s="102">
        <f>RTD("cqg.rtd", ,"ContractData",A35, "Low",,"T")</f>
        <v>0.06</v>
      </c>
      <c r="F35" s="102">
        <f>RTD("cqg.rtd", ,"ContractData",A35, "LastTradeorSettle",,"T")</f>
        <v>6.5000000000000002E-2</v>
      </c>
      <c r="G35" s="103">
        <f>RTD("cqg.rtd",,"ContractData",A35,"NetLastTradeToday",,"T")</f>
        <v>0</v>
      </c>
      <c r="H35" s="14">
        <f>RTD("cqg.rtd",,"ContractData",A35,"NetLastTradeToday",,"T")</f>
        <v>0</v>
      </c>
      <c r="I35" s="18">
        <f>RTD("cqg.rtd", ,"ContractData",A35, "T_CVol")</f>
        <v>819</v>
      </c>
      <c r="J35" s="67"/>
      <c r="K35" s="7"/>
      <c r="L35" s="7"/>
      <c r="M35" s="7"/>
      <c r="N35" s="7"/>
      <c r="O35" s="7"/>
      <c r="P35" s="7"/>
      <c r="Q35" s="7"/>
      <c r="R35" s="31"/>
      <c r="S35" s="27"/>
      <c r="T35" s="27"/>
      <c r="U35" s="27"/>
      <c r="V35" s="27"/>
      <c r="W35" s="27"/>
      <c r="AE35" s="100"/>
    </row>
    <row r="36" spans="1:39" ht="15" customHeight="1" x14ac:dyDescent="0.3">
      <c r="A36" s="45" t="str">
        <f>RTD("cqg.rtd",,"ContractData","QSAS12?8", "Symbol")</f>
        <v>QSAS12M21</v>
      </c>
      <c r="B36" s="17" t="str">
        <f>RIGHT(RTD("cqg.rtd",,"ContractData",A36, "LongDescription"),15)</f>
        <v xml:space="preserve"> Jun 21, Jun 22</v>
      </c>
      <c r="C36" s="102">
        <f>RTD("cqg.rtd", ,"ContractData",A36, "Open",,"T")</f>
        <v>7.4999999999999997E-2</v>
      </c>
      <c r="D36" s="102">
        <f>RTD("cqg.rtd", ,"ContractData",A36, "High",,"T")</f>
        <v>7.4999999999999997E-2</v>
      </c>
      <c r="E36" s="102">
        <f>RTD("cqg.rtd", ,"ContractData",A36, "Low",,"T")</f>
        <v>7.0000000000000007E-2</v>
      </c>
      <c r="F36" s="102">
        <f>RTD("cqg.rtd", ,"ContractData",A36, "LastTradeorSettle",,"T")</f>
        <v>7.4999999999999997E-2</v>
      </c>
      <c r="G36" s="52">
        <f>RTD("cqg.rtd",,"ContractData",A36,"NetLastTradeToday",,"T")</f>
        <v>4.9999999999999906E-3</v>
      </c>
      <c r="H36" s="14">
        <f>RTD("cqg.rtd",,"ContractData",A36,"NetLastTradeToday",,"T")</f>
        <v>4.9999999999999906E-3</v>
      </c>
      <c r="I36" s="18">
        <f>RTD("cqg.rtd", ,"ContractData",A36, "T_CVol")</f>
        <v>1150</v>
      </c>
      <c r="J36" s="67"/>
      <c r="K36" s="8"/>
      <c r="L36" s="8"/>
      <c r="M36" s="8"/>
      <c r="N36" s="8"/>
      <c r="O36" s="8"/>
      <c r="P36" s="8"/>
      <c r="Q36" s="8"/>
      <c r="R36" s="30"/>
      <c r="S36" s="27"/>
      <c r="T36" s="27"/>
      <c r="U36" s="27"/>
      <c r="V36" s="27"/>
      <c r="W36" s="27"/>
      <c r="AE36" s="100"/>
    </row>
    <row r="37" spans="1:39" ht="15" customHeight="1" x14ac:dyDescent="0.3">
      <c r="A37" s="45" t="str">
        <f>RTD("cqg.rtd",,"ContractData","QSAS12?9", "Symbol")</f>
        <v>QSAS12U21</v>
      </c>
      <c r="B37" s="17" t="str">
        <f>RIGHT(RTD("cqg.rtd",,"ContractData",A37, "LongDescription"),15)</f>
        <v xml:space="preserve"> Sep 21, Sep 22</v>
      </c>
      <c r="C37" s="102">
        <f>RTD("cqg.rtd", ,"ContractData",A37, "Open",,"T")</f>
        <v>0.08</v>
      </c>
      <c r="D37" s="102">
        <f>RTD("cqg.rtd", ,"ContractData",A37, "High",,"T")</f>
        <v>0.08</v>
      </c>
      <c r="E37" s="102">
        <f>RTD("cqg.rtd", ,"ContractData",A37, "Low",,"T")</f>
        <v>7.4999999999999997E-2</v>
      </c>
      <c r="F37" s="102">
        <f>RTD("cqg.rtd", ,"ContractData",A37, "LastTradeorSettle",,"T")</f>
        <v>0.08</v>
      </c>
      <c r="G37" s="103">
        <f>RTD("cqg.rtd",,"ContractData",A37,"NetLastTradeToday",,"T")</f>
        <v>0</v>
      </c>
      <c r="H37" s="14">
        <f>RTD("cqg.rtd",,"ContractData",A37,"NetLastTradeToday",,"T")</f>
        <v>0</v>
      </c>
      <c r="I37" s="18">
        <f>RTD("cqg.rtd", ,"ContractData",A37, "T_CVol")</f>
        <v>570</v>
      </c>
      <c r="J37" s="67"/>
      <c r="K37" s="8"/>
      <c r="L37" s="8"/>
      <c r="M37" s="8"/>
      <c r="N37" s="8"/>
      <c r="O37" s="8"/>
      <c r="P37" s="8"/>
      <c r="Q37" s="8"/>
      <c r="R37" s="30"/>
      <c r="S37" s="27"/>
      <c r="T37" s="27"/>
      <c r="U37" s="27"/>
      <c r="V37" s="27"/>
      <c r="W37" s="27"/>
      <c r="AE37" s="100"/>
    </row>
    <row r="38" spans="1:39" ht="15" customHeight="1" x14ac:dyDescent="0.3">
      <c r="A38" s="45" t="str">
        <f>RTD("cqg.rtd",,"ContractData","QSAS12?10", "Symbol")</f>
        <v>QSAS12Z21</v>
      </c>
      <c r="B38" s="17" t="str">
        <f>RIGHT(RTD("cqg.rtd",,"ContractData",A38, "LongDescription"),15)</f>
        <v xml:space="preserve"> Dec 21, Dec 22</v>
      </c>
      <c r="C38" s="102">
        <f>RTD("cqg.rtd", ,"ContractData",A38, "Open",,"T")</f>
        <v>0.08</v>
      </c>
      <c r="D38" s="102">
        <f>RTD("cqg.rtd", ,"ContractData",A38, "High",,"T")</f>
        <v>0.08</v>
      </c>
      <c r="E38" s="102">
        <f>RTD("cqg.rtd", ,"ContractData",A38, "Low",,"T")</f>
        <v>7.4999999999999997E-2</v>
      </c>
      <c r="F38" s="102">
        <f>RTD("cqg.rtd", ,"ContractData",A38, "LastTradeorSettle",,"T")</f>
        <v>7.4999999999999997E-2</v>
      </c>
      <c r="G38" s="103">
        <f>RTD("cqg.rtd",,"ContractData",A38,"NetLastTradeToday",,"T")</f>
        <v>-5.0000000000000044E-3</v>
      </c>
      <c r="H38" s="14">
        <f>RTD("cqg.rtd",,"ContractData",A38,"NetLastTradeToday",,"T")</f>
        <v>-5.0000000000000044E-3</v>
      </c>
      <c r="I38" s="18">
        <f>RTD("cqg.rtd", ,"ContractData",A38, "T_CVol")</f>
        <v>325</v>
      </c>
      <c r="J38" s="67"/>
      <c r="K38" s="8"/>
      <c r="L38" s="8"/>
      <c r="M38" s="8"/>
      <c r="N38" s="8"/>
      <c r="O38" s="8"/>
      <c r="P38" s="8"/>
      <c r="Q38" s="8"/>
      <c r="R38" s="30"/>
      <c r="S38" s="27"/>
      <c r="T38" s="27"/>
      <c r="U38" s="27"/>
      <c r="V38" s="27"/>
      <c r="W38" s="27"/>
      <c r="AE38" s="100"/>
    </row>
    <row r="39" spans="1:39" s="10" customFormat="1" ht="15" customHeight="1" x14ac:dyDescent="0.3">
      <c r="A39" s="45" t="str">
        <f>RTD("cqg.rtd",,"ContractData","QSAS12?10", "Symbol")</f>
        <v>QSAS12Z21</v>
      </c>
      <c r="B39" s="17" t="str">
        <f>RIGHT(RTD("cqg.rtd",,"ContractData",A39, "LongDescription"),15)</f>
        <v xml:space="preserve"> Dec 21, Dec 22</v>
      </c>
      <c r="C39" s="102">
        <f>RTD("cqg.rtd", ,"ContractData",A39, "Open",,"T")</f>
        <v>0.08</v>
      </c>
      <c r="D39" s="102">
        <f>RTD("cqg.rtd", ,"ContractData",A39, "High",,"T")</f>
        <v>0.08</v>
      </c>
      <c r="E39" s="102">
        <f>RTD("cqg.rtd", ,"ContractData",A39, "Low",,"T")</f>
        <v>7.4999999999999997E-2</v>
      </c>
      <c r="F39" s="102">
        <f>RTD("cqg.rtd", ,"ContractData",A39, "LastTradeorSettle",,"T")</f>
        <v>7.4999999999999997E-2</v>
      </c>
      <c r="G39" s="103">
        <f>RTD("cqg.rtd",,"ContractData",A39,"NetLastTradeToday",,"T")</f>
        <v>-5.0000000000000044E-3</v>
      </c>
      <c r="H39" s="14">
        <f>RTD("cqg.rtd",,"ContractData",A39,"NetLastTradeToday",,"T")</f>
        <v>-5.0000000000000044E-3</v>
      </c>
      <c r="I39" s="18">
        <f>RTD("cqg.rtd", ,"ContractData",A39, "T_CVol")</f>
        <v>325</v>
      </c>
      <c r="J39" s="67"/>
      <c r="K39" s="8"/>
      <c r="L39" s="8"/>
      <c r="M39" s="8"/>
      <c r="N39" s="8"/>
      <c r="O39" s="8"/>
      <c r="P39" s="8"/>
      <c r="Q39" s="8"/>
      <c r="R39" s="30"/>
      <c r="S39" s="27"/>
      <c r="T39" s="27"/>
      <c r="U39" s="27"/>
      <c r="V39" s="27"/>
      <c r="W39" s="27"/>
      <c r="X39" s="11"/>
      <c r="Y39" s="11"/>
      <c r="Z39" s="11"/>
      <c r="AA39" s="11"/>
      <c r="AB39" s="11"/>
      <c r="AC39" s="11"/>
      <c r="AD39" s="11"/>
      <c r="AE39" s="100"/>
      <c r="AF39" s="11"/>
      <c r="AG39" s="11"/>
      <c r="AH39" s="11"/>
      <c r="AI39" s="11"/>
      <c r="AJ39" s="11"/>
      <c r="AK39" s="11"/>
      <c r="AL39" s="11"/>
      <c r="AM39" s="11"/>
    </row>
    <row r="40" spans="1:39" s="10" customFormat="1" ht="15" customHeight="1" x14ac:dyDescent="0.3">
      <c r="A40" s="45" t="str">
        <f>RTD("cqg.rtd",,"ContractData","QSAS12?12", "Symbol")</f>
        <v>QSAS12M22</v>
      </c>
      <c r="B40" s="17" t="str">
        <f>RIGHT(RTD("cqg.rtd",,"ContractData",A40, "LongDescription"),15)</f>
        <v xml:space="preserve"> Jun 22, Jun 23</v>
      </c>
      <c r="C40" s="102">
        <f>RTD("cqg.rtd", ,"ContractData",A40, "Open",,"T")</f>
        <v>0.09</v>
      </c>
      <c r="D40" s="102">
        <f>RTD("cqg.rtd", ,"ContractData",A40, "High",,"T")</f>
        <v>0.09</v>
      </c>
      <c r="E40" s="102">
        <f>RTD("cqg.rtd", ,"ContractData",A40, "Low",,"T")</f>
        <v>8.5000000000000006E-2</v>
      </c>
      <c r="F40" s="102">
        <f>RTD("cqg.rtd", ,"ContractData",A40, "LastTradeorSettle",,"T")</f>
        <v>8.5000000000000006E-2</v>
      </c>
      <c r="G40" s="103">
        <f>RTD("cqg.rtd",,"ContractData",A40,"NetLastTradeToday",,"T")</f>
        <v>-9.999999999999995E-3</v>
      </c>
      <c r="H40" s="14">
        <f>RTD("cqg.rtd",,"ContractData",A40,"NetLastTradeToday",,"T")</f>
        <v>-9.999999999999995E-3</v>
      </c>
      <c r="I40" s="19">
        <f>RTD("cqg.rtd", ,"ContractData",A40, "T_CVol")</f>
        <v>796</v>
      </c>
      <c r="J40" s="67"/>
      <c r="K40" s="8"/>
      <c r="L40" s="8"/>
      <c r="M40" s="8"/>
      <c r="N40" s="8"/>
      <c r="O40" s="8"/>
      <c r="P40" s="8"/>
      <c r="Q40" s="8"/>
      <c r="R40" s="30"/>
      <c r="S40" s="27"/>
      <c r="T40" s="27"/>
      <c r="U40" s="27"/>
      <c r="V40" s="27"/>
      <c r="W40" s="27"/>
      <c r="X40" s="11"/>
      <c r="Y40" s="11"/>
      <c r="Z40" s="11"/>
      <c r="AA40" s="11"/>
      <c r="AB40" s="11"/>
      <c r="AC40" s="11"/>
      <c r="AD40" s="11"/>
      <c r="AE40" s="100"/>
      <c r="AF40" s="11"/>
      <c r="AG40" s="11"/>
      <c r="AH40" s="11"/>
      <c r="AI40" s="11"/>
      <c r="AJ40" s="11"/>
      <c r="AK40" s="11"/>
      <c r="AL40" s="11"/>
      <c r="AM40" s="11"/>
    </row>
    <row r="41" spans="1:39" s="10" customFormat="1" ht="14.1" customHeight="1" x14ac:dyDescent="0.3">
      <c r="A41" s="45"/>
      <c r="B41" s="199"/>
      <c r="C41" s="140"/>
      <c r="D41" s="109"/>
      <c r="E41" s="110"/>
      <c r="F41" s="111"/>
      <c r="G41" s="110"/>
      <c r="H41" s="112"/>
      <c r="I41" s="113"/>
      <c r="J41" s="67"/>
      <c r="K41" s="32"/>
      <c r="L41" s="32"/>
      <c r="M41" s="32"/>
      <c r="N41" s="32"/>
      <c r="O41" s="32"/>
      <c r="P41" s="32"/>
      <c r="Q41" s="32"/>
      <c r="R41" s="33"/>
      <c r="S41" s="28"/>
      <c r="T41" s="28"/>
      <c r="U41" s="28"/>
      <c r="V41" s="28"/>
      <c r="W41" s="27"/>
      <c r="X41" s="11"/>
      <c r="Y41" s="11"/>
      <c r="Z41" s="11"/>
      <c r="AA41" s="11"/>
      <c r="AB41" s="11"/>
      <c r="AC41" s="11"/>
      <c r="AD41" s="11"/>
      <c r="AE41" s="100"/>
      <c r="AF41" s="11"/>
      <c r="AG41" s="11"/>
      <c r="AH41" s="11"/>
      <c r="AI41" s="11"/>
      <c r="AJ41" s="11"/>
      <c r="AK41" s="11"/>
      <c r="AL41" s="11"/>
      <c r="AM41" s="11"/>
    </row>
    <row r="42" spans="1:39" s="10" customFormat="1" ht="15" customHeight="1" x14ac:dyDescent="0.3">
      <c r="A42" s="45"/>
      <c r="B42" s="175" t="s">
        <v>20</v>
      </c>
      <c r="C42" s="176"/>
      <c r="D42" s="176"/>
      <c r="E42" s="176"/>
      <c r="F42" s="176"/>
      <c r="G42" s="176"/>
      <c r="H42" s="176"/>
      <c r="I42" s="177"/>
      <c r="J42" s="67"/>
      <c r="K42" s="29" t="str">
        <f>RIGHT(RTD("cqg.rtd",,"ContractData","QSAS3?1", "LongDescription"),15)</f>
        <v xml:space="preserve"> Sep 19, Dec 19</v>
      </c>
      <c r="L42" s="29" t="str">
        <f>RIGHT(RTD("cqg.rtd",,"ContractData","QSAS3?2", "LongDescription"),15)</f>
        <v xml:space="preserve"> Dec 19, Mar 20</v>
      </c>
      <c r="M42" s="29" t="str">
        <f>RIGHT(RTD("cqg.rtd",,"ContractData","QSAS3?3", "LongDescription"),15)</f>
        <v xml:space="preserve"> Mar 20, Jun 20</v>
      </c>
      <c r="N42" s="29" t="str">
        <f>RIGHT(RTD("cqg.rtd",,"ContractData","QSAS3?4", "LongDescription"),15)</f>
        <v xml:space="preserve"> Jun 20, Sep 20</v>
      </c>
      <c r="O42" s="29" t="str">
        <f>RIGHT(RTD("cqg.rtd",,"ContractData","QSAS3?5", "LongDescription"),15)</f>
        <v xml:space="preserve"> Sep 20, Dec 20</v>
      </c>
      <c r="P42" s="29" t="str">
        <f>RIGHT(RTD("cqg.rtd",,"ContractData","QSAS3?6", "LongDescription"),15)</f>
        <v xml:space="preserve"> Dec 20, Mar 21</v>
      </c>
      <c r="Q42" s="29" t="str">
        <f>RIGHT(RTD("cqg.rtd",,"ContractData","QSAS3?7", "LongDescription"),15)</f>
        <v xml:space="preserve"> Mar 21, Jun 21</v>
      </c>
      <c r="R42" s="29" t="str">
        <f>RIGHT(RTD("cqg.rtd",,"ContractData","QSAS3?8", "LongDescription"),15)</f>
        <v xml:space="preserve"> Jun 21, Sep 21</v>
      </c>
      <c r="S42" s="29" t="str">
        <f>RIGHT(RTD("cqg.rtd",,"ContractData","QSAS3?9", "LongDescription"),15)</f>
        <v xml:space="preserve"> Sep 21, Dec 21</v>
      </c>
      <c r="T42" s="29" t="str">
        <f>RIGHT(RTD("cqg.rtd",,"ContractData","QSAS3?10", "LongDescription"),15)</f>
        <v xml:space="preserve"> Dec 21, Mar 22</v>
      </c>
      <c r="U42" s="29" t="str">
        <f>RIGHT(RTD("cqg.rtd",,"ContractData","QSAS3?11", "LongDescription"),15)</f>
        <v xml:space="preserve"> Mar 22, Jun 22</v>
      </c>
      <c r="V42" s="29" t="str">
        <f>RIGHT(RTD("cqg.rtd",,"ContractData","QSAS3?12", "LongDescription"),15)</f>
        <v xml:space="preserve"> Jun 22, Sep 22</v>
      </c>
      <c r="W42" s="29" t="str">
        <f>RIGHT(RTD("cqg.rtd",,"ContractData","QSAS3?13", "LongDescription"),15)</f>
        <v xml:space="preserve"> Sep 22, Dec 22</v>
      </c>
      <c r="X42" s="29" t="str">
        <f>RIGHT(RTD("cqg.rtd",,"ContractData","QSAS3?14", "LongDescription"),15)</f>
        <v xml:space="preserve"> Dec 22, Mar 23</v>
      </c>
      <c r="Y42" s="29" t="str">
        <f>RIGHT(RTD("cqg.rtd",,"ContractData","QSAS3?15", "LongDescription"),15)</f>
        <v xml:space="preserve"> Mar 23, Jun 23</v>
      </c>
      <c r="Z42" s="29" t="str">
        <f>RIGHT(RTD("cqg.rtd",,"ContractData","QSAS3?16", "LongDescription"),15)</f>
        <v xml:space="preserve"> Jun 23, Sep 23</v>
      </c>
      <c r="AA42" s="29" t="str">
        <f>RIGHT(RTD("cqg.rtd",,"ContractData","QSAS3?17", "LongDescription"),15)</f>
        <v xml:space="preserve"> Sep 23, Dec 23</v>
      </c>
      <c r="AB42" s="29" t="str">
        <f>RIGHT(RTD("cqg.rtd",,"ContractData","QSAS3?18", "LongDescription"),15)</f>
        <v xml:space="preserve"> Dec 23, Mar 24</v>
      </c>
      <c r="AC42" s="29" t="str">
        <f>RIGHT(RTD("cqg.rtd",,"ContractData","QSAS3?19", "LongDescription"),15)</f>
        <v xml:space="preserve"> Mar 24, Jun 24</v>
      </c>
      <c r="AD42" s="121" t="str">
        <f>RIGHT(RTD("cqg.rtd",,"ContractData","QSAS3?20", "LongDescription"),15)</f>
        <v xml:space="preserve"> Jun 24, Sep 24</v>
      </c>
      <c r="AE42" s="100"/>
      <c r="AF42" s="11"/>
      <c r="AG42" s="11"/>
      <c r="AH42" s="11"/>
      <c r="AI42" s="11"/>
      <c r="AJ42" s="11"/>
      <c r="AK42" s="11"/>
      <c r="AL42" s="11"/>
    </row>
    <row r="43" spans="1:39" s="10" customFormat="1" ht="15" customHeight="1" x14ac:dyDescent="0.3">
      <c r="A43" s="45"/>
      <c r="B43" s="178"/>
      <c r="C43" s="179"/>
      <c r="D43" s="179"/>
      <c r="E43" s="179"/>
      <c r="F43" s="179"/>
      <c r="G43" s="179"/>
      <c r="H43" s="179"/>
      <c r="I43" s="180"/>
      <c r="J43" s="67"/>
      <c r="K43" s="74" t="str">
        <f>TEXT(RTD("cqg.rtd",,"ContractData","QSAS3?1", "Ask"),"#.000")&amp;" "&amp;"A"</f>
        <v>.025 A</v>
      </c>
      <c r="L43" s="74" t="str">
        <f>TEXT(RTD("cqg.rtd",,"ContractData","QSAS3?2", "Ask"),"#.000")&amp;" "&amp;"A"</f>
        <v>-.040 A</v>
      </c>
      <c r="M43" s="74" t="str">
        <f>TEXT(RTD("cqg.rtd",,"ContractData","QSAS3?3", "Ask"),"#.000")&amp;" "&amp;"A"</f>
        <v>-.020 A</v>
      </c>
      <c r="N43" s="74" t="str">
        <f>TEXT(RTD("cqg.rtd",,"ContractData","QSAS3?4", "Ask"),"#.000")&amp;" "&amp;"A"</f>
        <v>-.005 A</v>
      </c>
      <c r="O43" s="74" t="str">
        <f>TEXT(RTD("cqg.rtd",,"ContractData","QSAS3?5", "Ask"),"#.000")&amp;" "&amp;"A"</f>
        <v>.025 A</v>
      </c>
      <c r="P43" s="74" t="str">
        <f>TEXT(RTD("cqg.rtd",,"ContractData","QSAS3?6", "Ask"),"#.000")&amp;" "&amp;"A"</f>
        <v>-.010 A</v>
      </c>
      <c r="Q43" s="74" t="str">
        <f>TEXT(RTD("cqg.rtd",,"ContractData","QSAS3?7", "Ask"),"#.000")&amp;" "&amp;"A"</f>
        <v>.015 A</v>
      </c>
      <c r="R43" s="74" t="str">
        <f>TEXT(RTD("cqg.rtd",,"ContractData","QSAS3?8", "Ask"),"#.000")&amp;" "&amp;"A"</f>
        <v>.020 A</v>
      </c>
      <c r="S43" s="74" t="str">
        <f>TEXT(RTD("cqg.rtd",,"ContractData","QSAS3?9", "Ask"),"#.000")&amp;" "&amp;"A"</f>
        <v>.025 A</v>
      </c>
      <c r="T43" s="74" t="str">
        <f>TEXT(RTD("cqg.rtd",,"ContractData","QSAS3?10", "Ask"),"#.000")&amp;" "&amp;"A"</f>
        <v>.015 A</v>
      </c>
      <c r="U43" s="74" t="str">
        <f>TEXT(RTD("cqg.rtd",,"ContractData","QSAS3?11", "Ask"),"#.000")&amp;" "&amp;"A"</f>
        <v>.025 A</v>
      </c>
      <c r="V43" s="74" t="str">
        <f>TEXT(RTD("cqg.rtd",,"ContractData","QSAS3?12", "Ask"),"#.000")&amp;" "&amp;"A"</f>
        <v>.025 A</v>
      </c>
      <c r="W43" s="74" t="str">
        <f>TEXT(RTD("cqg.rtd",,"ContractData","QSAS3?13", "Ask"),"#.000")&amp;" "&amp;"A"</f>
        <v>.025 A</v>
      </c>
      <c r="X43" s="74" t="str">
        <f>TEXT(RTD("cqg.rtd",,"ContractData","QSAS3?14", "Ask"),"#.000")&amp;" "&amp;"A"</f>
        <v>.020 A</v>
      </c>
      <c r="Y43" s="74" t="str">
        <f>TEXT(RTD("cqg.rtd",,"ContractData","QSAS3?15", "Ask"),"#.000")&amp;" "&amp;"A"</f>
        <v>.030 A</v>
      </c>
      <c r="Z43" s="74" t="str">
        <f>TEXT(RTD("cqg.rtd",,"ContractData","QSAS3?16", "Ask"),"#.000")&amp;" "&amp;"A"</f>
        <v>.030 A</v>
      </c>
      <c r="AA43" s="74" t="str">
        <f>TEXT(RTD("cqg.rtd",,"ContractData","QSAS3?17", "Ask"),"#.000")&amp;" "&amp;"A"</f>
        <v>.035 A</v>
      </c>
      <c r="AB43" s="74" t="str">
        <f>TEXT(RTD("cqg.rtd",,"ContractData","QSAS3?18", "Ask"),"#.000")&amp;" "&amp;"A"</f>
        <v>.020 A</v>
      </c>
      <c r="AC43" s="74" t="str">
        <f>TEXT(RTD("cqg.rtd",,"ContractData","QSAS3?19", "Ask"),"#.000")&amp;" "&amp;"A"</f>
        <v>.030 A</v>
      </c>
      <c r="AD43" s="122" t="str">
        <f>TEXT(RTD("cqg.rtd",,"ContractData","QSAS3?20", "Ask"),"#.000")&amp;" "&amp;"A"</f>
        <v>.030 A</v>
      </c>
      <c r="AE43" s="100"/>
      <c r="AF43" s="11"/>
      <c r="AG43" s="11"/>
      <c r="AH43" s="11"/>
      <c r="AI43" s="11"/>
      <c r="AJ43" s="11"/>
      <c r="AK43" s="11"/>
      <c r="AL43" s="11"/>
    </row>
    <row r="44" spans="1:39" s="10" customFormat="1" ht="15" customHeight="1" x14ac:dyDescent="0.3">
      <c r="A44" s="45"/>
      <c r="B44" s="46" t="s">
        <v>13</v>
      </c>
      <c r="C44" s="47" t="s">
        <v>7</v>
      </c>
      <c r="D44" s="47" t="s">
        <v>8</v>
      </c>
      <c r="E44" s="47" t="s">
        <v>9</v>
      </c>
      <c r="F44" s="47" t="s">
        <v>6</v>
      </c>
      <c r="G44" s="47" t="s">
        <v>10</v>
      </c>
      <c r="H44" s="47" t="s">
        <v>10</v>
      </c>
      <c r="I44" s="48" t="s">
        <v>11</v>
      </c>
      <c r="J44" s="67"/>
      <c r="K44" s="12" t="str">
        <f>TEXT(RTD("cqg.rtd",,"ContractData","QSAS3?1", "Bid"),"#.000")&amp;" "&amp;"B"</f>
        <v>.020 B</v>
      </c>
      <c r="L44" s="12" t="str">
        <f>TEXT(RTD("cqg.rtd",,"ContractData","QSAS3?2", "Bid"),"#.000")&amp;" "&amp;"B"</f>
        <v>-.045 B</v>
      </c>
      <c r="M44" s="12" t="str">
        <f>TEXT(RTD("cqg.rtd",,"ContractData","QSAS3?3", "Bid"),"#.000")&amp;" "&amp;"B"</f>
        <v>-.025 B</v>
      </c>
      <c r="N44" s="12" t="str">
        <f>TEXT(RTD("cqg.rtd",,"ContractData","QSAS3?4", "Bid"),"#.000")&amp;" "&amp;"B"</f>
        <v>-.010 B</v>
      </c>
      <c r="O44" s="12" t="str">
        <f>TEXT(RTD("cqg.rtd",,"ContractData","QSAS3?5", "Bid"),"#.000")&amp;" "&amp;"B"</f>
        <v>.020 B</v>
      </c>
      <c r="P44" s="12" t="str">
        <f>TEXT(RTD("cqg.rtd",,"ContractData","QSAS3?6", "Bid"),"#.000")&amp;" "&amp;"B"</f>
        <v>-.015 B</v>
      </c>
      <c r="Q44" s="12" t="str">
        <f>TEXT(RTD("cqg.rtd",,"ContractData","QSAS3?7", "Bid"),"#.000")&amp;" "&amp;"B"</f>
        <v>.010 B</v>
      </c>
      <c r="R44" s="12" t="str">
        <f>TEXT(RTD("cqg.rtd",,"ContractData","QSAS3?8", "Bid"),"#.000")&amp;" "&amp;"B"</f>
        <v>.015 B</v>
      </c>
      <c r="S44" s="12" t="str">
        <f>TEXT(RTD("cqg.rtd",,"ContractData","QSAS3?9", "Bid"),"#.000")&amp;" "&amp;"B"</f>
        <v>.020 B</v>
      </c>
      <c r="T44" s="12" t="str">
        <f>TEXT(RTD("cqg.rtd",,"ContractData","QSAS3?10", "Bid"),"#.000")&amp;" "&amp;"B"</f>
        <v>.010 B</v>
      </c>
      <c r="U44" s="12" t="str">
        <f>TEXT(RTD("cqg.rtd",,"ContractData","QSAS3?11", "Bid"),"#.000")&amp;" "&amp;"B"</f>
        <v>.020 B</v>
      </c>
      <c r="V44" s="12" t="str">
        <f>TEXT(RTD("cqg.rtd",,"ContractData","QSAS3?12", "Bid"),"#.000")&amp;" "&amp;"B"</f>
        <v>.020 B</v>
      </c>
      <c r="W44" s="12" t="str">
        <f>TEXT(RTD("cqg.rtd",,"ContractData","QSAS3?13", "Bid"),"#.000")&amp;" "&amp;"B"</f>
        <v>.020 B</v>
      </c>
      <c r="X44" s="12" t="str">
        <f>TEXT(RTD("cqg.rtd",,"ContractData","QSAS3?14", "Bid"),"#.000")&amp;" "&amp;"B"</f>
        <v>.015 B</v>
      </c>
      <c r="Y44" s="12" t="str">
        <f>TEXT(RTD("cqg.rtd",,"ContractData","QSAS3?15", "Bid"),"#.000")&amp;" "&amp;"B"</f>
        <v>.025 B</v>
      </c>
      <c r="Z44" s="12" t="str">
        <f>TEXT(RTD("cqg.rtd",,"ContractData","QSAS3?16", "Bid"),"#.000")&amp;" "&amp;"B"</f>
        <v>.025 B</v>
      </c>
      <c r="AA44" s="12" t="str">
        <f>TEXT(RTD("cqg.rtd",,"ContractData","QSAS3?17", "Bid"),"#.000")&amp;" "&amp;"B"</f>
        <v>.030 B</v>
      </c>
      <c r="AB44" s="12" t="str">
        <f>TEXT(RTD("cqg.rtd",,"ContractData","QSAS3?18", "Bid"),"#.000")&amp;" "&amp;"B"</f>
        <v>.015 B</v>
      </c>
      <c r="AC44" s="12" t="str">
        <f>TEXT(RTD("cqg.rtd",,"ContractData","QSAS3?19", "Bid"),"#.000")&amp;" "&amp;"B"</f>
        <v>.025 B</v>
      </c>
      <c r="AD44" s="123" t="str">
        <f>TEXT(RTD("cqg.rtd",,"ContractData","QSAS3?20", "Bid"),"#.000")&amp;" "&amp;"B"</f>
        <v>.025 B</v>
      </c>
      <c r="AE44" s="100"/>
      <c r="AF44" s="11"/>
      <c r="AG44" s="11"/>
      <c r="AH44" s="11"/>
      <c r="AI44" s="11"/>
      <c r="AJ44" s="11"/>
      <c r="AK44" s="11"/>
      <c r="AL44" s="11"/>
    </row>
    <row r="45" spans="1:39" s="10" customFormat="1" ht="15" customHeight="1" x14ac:dyDescent="0.3">
      <c r="A45" s="45" t="str">
        <f>RTD("cqg.rtd",,"ContractData","QSAS3?1", "Symbol")</f>
        <v>QSAS3U19</v>
      </c>
      <c r="B45" s="16" t="str">
        <f>RIGHT(RTD("cqg.rtd",,"ContractData",A45, "LongDescription"),15)</f>
        <v xml:space="preserve"> Sep 19, Dec 19</v>
      </c>
      <c r="C45" s="51">
        <f>RTD("cqg.rtd", ,"ContractData",A45, "Open",,"T")</f>
        <v>0.02</v>
      </c>
      <c r="D45" s="51">
        <f>RTD("cqg.rtd", ,"ContractData",A45, "High",,"T")</f>
        <v>2.5000000000000001E-2</v>
      </c>
      <c r="E45" s="51">
        <f>RTD("cqg.rtd", ,"ContractData",A45, "Low",,"T")</f>
        <v>0.02</v>
      </c>
      <c r="F45" s="51">
        <f>RTD("cqg.rtd", ,"ContractData",A45, "LastTradeorSettle",,"T")</f>
        <v>2.5000000000000001E-2</v>
      </c>
      <c r="G45" s="52">
        <f>RTD("cqg.rtd",,"ContractData",A45,"NetLastTradeToday",,"T")</f>
        <v>-4.9999999999999975E-3</v>
      </c>
      <c r="H45" s="13">
        <f>RTD("cqg.rtd",,"ContractData",A45,"NetLastTradeToday",,"T")</f>
        <v>-4.9999999999999975E-3</v>
      </c>
      <c r="I45" s="18">
        <f>RTD("cqg.rtd", ,"ContractData",A45, "T_CVol")</f>
        <v>3334</v>
      </c>
      <c r="J45" s="67"/>
      <c r="K45" s="74" t="str">
        <f>TEXT(RTD("cqg.rtd", ,"ContractData","QSAS3?1","LastTradeorSettle",,"T"),"#.000")&amp;" "&amp;"L"</f>
        <v>.025 L</v>
      </c>
      <c r="L45" s="74" t="str">
        <f>TEXT(RTD("cqg.rtd", ,"ContractData","QSAS3?2","LastTradeorSettle",,"T"),"#.000")&amp;" "&amp;"L"</f>
        <v>-.040 L</v>
      </c>
      <c r="M45" s="74" t="str">
        <f>TEXT(RTD("cqg.rtd", ,"ContractData","QSAS3?3","LastTradeorSettle",,"T"),"#.000")&amp;" "&amp;"L"</f>
        <v>-.020 L</v>
      </c>
      <c r="N45" s="74" t="str">
        <f>TEXT(RTD("cqg.rtd", ,"ContractData","QSAS3?4","LastTradeorSettle",,"T"),"#.000")&amp;" "&amp;"L"</f>
        <v>-.010 L</v>
      </c>
      <c r="O45" s="74" t="str">
        <f>TEXT(RTD("cqg.rtd", ,"ContractData","QSAS3?5","LastTradeorSettle",,"T"),"#.000")&amp;" "&amp;"L"</f>
        <v>.020 L</v>
      </c>
      <c r="P45" s="74" t="str">
        <f>TEXT(RTD("cqg.rtd", ,"ContractData","QSAS3?6","LastTradeorSettle",,"T"),"#.000")&amp;" "&amp;"L"</f>
        <v>-.010 L</v>
      </c>
      <c r="Q45" s="74" t="str">
        <f>TEXT(RTD("cqg.rtd", ,"ContractData","QSAS3?7","LastTradeorSettle",,"T"),"#.000")&amp;" "&amp;"L"</f>
        <v>.015 L</v>
      </c>
      <c r="R45" s="74" t="str">
        <f>TEXT(RTD("cqg.rtd", ,"ContractData","QSAS3?8","LastTradeorSettle",,"T"),"#.000")&amp;" "&amp;"L"</f>
        <v>.015 L</v>
      </c>
      <c r="S45" s="74" t="str">
        <f>TEXT(RTD("cqg.rtd", ,"ContractData","QSAS3?9","LastTradeorSettle",,"T"),"#.000")&amp;" "&amp;"L"</f>
        <v>.025 L</v>
      </c>
      <c r="T45" s="74" t="str">
        <f>TEXT(RTD("cqg.rtd", ,"ContractData","QSAS3?10","LastTradeorSettle",,"T"),"#.000")&amp;" "&amp;"L"</f>
        <v>.010 L</v>
      </c>
      <c r="U45" s="74" t="str">
        <f>TEXT(RTD("cqg.rtd", ,"ContractData","QSAS3?11","LastTradeorSettle",,"T"),"#.000")&amp;" "&amp;"L"</f>
        <v>.020 L</v>
      </c>
      <c r="V45" s="74" t="str">
        <f>TEXT(RTD("cqg.rtd", ,"ContractData","QSAS3?12","LastTradeorSettle",,"T"),"#.000")&amp;" "&amp;"L"</f>
        <v>.020 L</v>
      </c>
      <c r="W45" s="74" t="str">
        <f>TEXT(RTD("cqg.rtd", ,"ContractData","QSAS3?13","LastTradeorSettle",,"T"),"#.000")&amp;" "&amp;"L"</f>
        <v>.025 L</v>
      </c>
      <c r="X45" s="74" t="str">
        <f>TEXT(RTD("cqg.rtd", ,"ContractData","QSAS3?14","LastTradeorSettle",,"T"),"#.000")&amp;" "&amp;"L"</f>
        <v xml:space="preserve"> L</v>
      </c>
      <c r="Y45" s="74" t="str">
        <f>TEXT(RTD("cqg.rtd", ,"ContractData","QSAS3?15","LastTradeorSettle",,"T"),"#.000")&amp;" "&amp;"L"</f>
        <v xml:space="preserve"> L</v>
      </c>
      <c r="Z45" s="74" t="str">
        <f>TEXT(RTD("cqg.rtd", ,"ContractData","QSAS3?16","LastTradeorSettle",,"T"),"#.000")&amp;" "&amp;"L"</f>
        <v>.025 L</v>
      </c>
      <c r="AA45" s="74" t="str">
        <f>TEXT(RTD("cqg.rtd", ,"ContractData","QSAS3?17","LastTradeorSettle",,"T"),"#.000")&amp;" "&amp;"L"</f>
        <v xml:space="preserve"> L</v>
      </c>
      <c r="AB45" s="74" t="str">
        <f>TEXT(RTD("cqg.rtd", ,"ContractData","QSAS3?18","LastTradeorSettle",,"T"),"#.000")&amp;" "&amp;"L"</f>
        <v xml:space="preserve"> L</v>
      </c>
      <c r="AC45" s="74" t="str">
        <f>TEXT(RTD("cqg.rtd", ,"ContractData","QSAS3?19","LastTradeorSettle",,"T"),"#.000")&amp;" "&amp;"L"</f>
        <v>.025 L</v>
      </c>
      <c r="AD45" s="122" t="str">
        <f>TEXT(RTD("cqg.rtd", ,"ContractData","QSAS3?20","LastTradeorSettle",,"T"),"#.000")&amp;" "&amp;"L"</f>
        <v>.025 L</v>
      </c>
      <c r="AE45" s="100"/>
      <c r="AF45" s="11"/>
      <c r="AG45" s="11"/>
      <c r="AH45" s="11"/>
      <c r="AI45" s="11"/>
      <c r="AJ45" s="11"/>
      <c r="AK45" s="11"/>
      <c r="AL45" s="11"/>
    </row>
    <row r="46" spans="1:39" s="10" customFormat="1" ht="15" customHeight="1" x14ac:dyDescent="0.3">
      <c r="A46" s="45" t="str">
        <f>RTD("cqg.rtd",,"ContractData","QSAS3?2", "Symbol")</f>
        <v>QSAS3Z19</v>
      </c>
      <c r="B46" s="16" t="str">
        <f>RIGHT(RTD("cqg.rtd",,"ContractData",A46, "LongDescription"),15)</f>
        <v xml:space="preserve"> Dec 19, Mar 20</v>
      </c>
      <c r="C46" s="51">
        <f>RTD("cqg.rtd", ,"ContractData",A46, "Open",,"T")</f>
        <v>-0.04</v>
      </c>
      <c r="D46" s="51">
        <f>RTD("cqg.rtd", ,"ContractData",A46, "High",,"T")</f>
        <v>-0.04</v>
      </c>
      <c r="E46" s="51">
        <f>RTD("cqg.rtd", ,"ContractData",A46, "Low",,"T")</f>
        <v>-0.05</v>
      </c>
      <c r="F46" s="51">
        <f>RTD("cqg.rtd", ,"ContractData",A46, "LastTradeorSettle",,"T")</f>
        <v>-0.04</v>
      </c>
      <c r="G46" s="52">
        <f>RTD("cqg.rtd",,"ContractData",A46,"NetLastTradeToday",,"T")</f>
        <v>0</v>
      </c>
      <c r="H46" s="13">
        <f>RTD("cqg.rtd",,"ContractData",A46,"NetLastTradeToday",,"T")</f>
        <v>0</v>
      </c>
      <c r="I46" s="18">
        <f>RTD("cqg.rtd", ,"ContractData",A46, "T_CVol")</f>
        <v>2964</v>
      </c>
      <c r="J46" s="67"/>
      <c r="K46" s="8"/>
      <c r="L46" s="8"/>
      <c r="M46" s="8"/>
      <c r="N46" s="8"/>
      <c r="O46" s="8"/>
      <c r="P46" s="8"/>
      <c r="Q46" s="8"/>
      <c r="R46" s="30"/>
      <c r="S46" s="27"/>
      <c r="T46" s="27"/>
      <c r="U46" s="27"/>
      <c r="V46" s="117"/>
      <c r="W46" s="27"/>
      <c r="X46" s="11"/>
      <c r="Y46" s="11"/>
      <c r="Z46" s="11"/>
      <c r="AA46" s="11"/>
      <c r="AB46" s="11"/>
      <c r="AC46" s="11"/>
      <c r="AD46" s="11"/>
      <c r="AE46" s="100"/>
      <c r="AF46" s="11"/>
      <c r="AG46" s="11"/>
      <c r="AH46" s="11"/>
      <c r="AI46" s="11"/>
      <c r="AJ46" s="11"/>
      <c r="AK46" s="11"/>
      <c r="AL46" s="11"/>
      <c r="AM46" s="11"/>
    </row>
    <row r="47" spans="1:39" s="10" customFormat="1" ht="15" customHeight="1" x14ac:dyDescent="0.3">
      <c r="A47" s="45" t="str">
        <f>RTD("cqg.rtd",,"ContractData","QSAS3?3", "Symbol")</f>
        <v>QSAS3H20</v>
      </c>
      <c r="B47" s="16" t="str">
        <f>RIGHT(RTD("cqg.rtd",,"ContractData",A47, "LongDescription"),15)</f>
        <v xml:space="preserve"> Mar 20, Jun 20</v>
      </c>
      <c r="C47" s="51">
        <f>RTD("cqg.rtd", ,"ContractData",A47, "Open",,"T")</f>
        <v>-1.4999999999999999E-2</v>
      </c>
      <c r="D47" s="51">
        <f>RTD("cqg.rtd", ,"ContractData",A47, "High",,"T")</f>
        <v>-1.4999999999999999E-2</v>
      </c>
      <c r="E47" s="51">
        <f>RTD("cqg.rtd", ,"ContractData",A47, "Low",,"T")</f>
        <v>-0.02</v>
      </c>
      <c r="F47" s="51">
        <f>RTD("cqg.rtd", ,"ContractData",A47, "LastTradeorSettle",,"T")</f>
        <v>-0.02</v>
      </c>
      <c r="G47" s="52">
        <f>RTD("cqg.rtd",,"ContractData",A47,"NetLastTradeToday",,"T")</f>
        <v>-5.000000000000001E-3</v>
      </c>
      <c r="H47" s="13">
        <f>RTD("cqg.rtd",,"ContractData",A47,"NetLastTradeToday",,"T")</f>
        <v>-5.000000000000001E-3</v>
      </c>
      <c r="I47" s="18">
        <f>RTD("cqg.rtd", ,"ContractData",A47, "T_CVol")</f>
        <v>6552</v>
      </c>
      <c r="J47" s="67"/>
      <c r="K47" s="8"/>
      <c r="L47" s="8"/>
      <c r="M47" s="8"/>
      <c r="N47" s="8"/>
      <c r="O47" s="8"/>
      <c r="P47" s="8"/>
      <c r="Q47" s="8"/>
      <c r="R47" s="30"/>
      <c r="S47" s="27"/>
      <c r="T47" s="27"/>
      <c r="U47" s="27"/>
      <c r="V47" s="27"/>
      <c r="W47" s="27"/>
      <c r="X47" s="11"/>
      <c r="Y47" s="11"/>
      <c r="Z47" s="11"/>
      <c r="AA47" s="11"/>
      <c r="AB47" s="11"/>
      <c r="AC47" s="11"/>
      <c r="AD47" s="11"/>
      <c r="AE47" s="100"/>
      <c r="AF47" s="11"/>
      <c r="AG47" s="11"/>
      <c r="AH47" s="11"/>
      <c r="AI47" s="11"/>
      <c r="AJ47" s="11"/>
      <c r="AK47" s="11"/>
      <c r="AL47" s="11"/>
      <c r="AM47" s="11"/>
    </row>
    <row r="48" spans="1:39" s="10" customFormat="1" ht="15" customHeight="1" x14ac:dyDescent="0.3">
      <c r="A48" s="45" t="str">
        <f>RTD("cqg.rtd",,"ContractData","QSAS3?4", "Symbol")</f>
        <v>QSAS3M20</v>
      </c>
      <c r="B48" s="16" t="str">
        <f>RIGHT(RTD("cqg.rtd",,"ContractData",A48, "LongDescription"),15)</f>
        <v xml:space="preserve"> Jun 20, Sep 20</v>
      </c>
      <c r="C48" s="51">
        <f>RTD("cqg.rtd", ,"ContractData",A48, "Open",,"T")</f>
        <v>-0.01</v>
      </c>
      <c r="D48" s="51">
        <f>RTD("cqg.rtd", ,"ContractData",A48, "High",,"T")</f>
        <v>-0.01</v>
      </c>
      <c r="E48" s="51">
        <f>RTD("cqg.rtd", ,"ContractData",A48, "Low",,"T")</f>
        <v>-1.4999999999999999E-2</v>
      </c>
      <c r="F48" s="51">
        <f>RTD("cqg.rtd", ,"ContractData",A48, "LastTradeorSettle",,"T")</f>
        <v>-0.01</v>
      </c>
      <c r="G48" s="52">
        <f>RTD("cqg.rtd",,"ContractData",A48,"NetLastTradeToday",,"T")</f>
        <v>0</v>
      </c>
      <c r="H48" s="13">
        <f>RTD("cqg.rtd",,"ContractData",A48,"NetLastTradeToday",,"T")</f>
        <v>0</v>
      </c>
      <c r="I48" s="18">
        <f>RTD("cqg.rtd", ,"ContractData",A48, "T_CVol")</f>
        <v>3609</v>
      </c>
      <c r="J48" s="67"/>
      <c r="K48" s="8"/>
      <c r="L48" s="8"/>
      <c r="M48" s="8"/>
      <c r="N48" s="8"/>
      <c r="O48" s="8"/>
      <c r="P48" s="8"/>
      <c r="Q48" s="8"/>
      <c r="R48" s="30"/>
      <c r="S48" s="27"/>
      <c r="T48" s="27"/>
      <c r="U48" s="27"/>
      <c r="V48" s="27"/>
      <c r="W48" s="27"/>
      <c r="X48" s="11"/>
      <c r="Y48" s="11"/>
      <c r="Z48" s="11"/>
      <c r="AA48" s="11"/>
      <c r="AB48" s="11"/>
      <c r="AC48" s="11"/>
      <c r="AD48" s="11"/>
      <c r="AE48" s="100"/>
      <c r="AF48" s="11"/>
      <c r="AG48" s="11"/>
      <c r="AH48" s="11"/>
      <c r="AI48" s="11"/>
      <c r="AJ48" s="11"/>
      <c r="AK48" s="11"/>
      <c r="AL48" s="11"/>
      <c r="AM48" s="11"/>
    </row>
    <row r="49" spans="1:42" s="10" customFormat="1" ht="15" customHeight="1" x14ac:dyDescent="0.3">
      <c r="A49" s="45" t="str">
        <f>RTD("cqg.rtd",,"ContractData","QSAS3?5", "Symbol")</f>
        <v>QSAS3U20</v>
      </c>
      <c r="B49" s="16" t="str">
        <f>RIGHT(RTD("cqg.rtd",,"ContractData",A49, "LongDescription"),15)</f>
        <v xml:space="preserve"> Sep 20, Dec 20</v>
      </c>
      <c r="C49" s="51">
        <f>RTD("cqg.rtd", ,"ContractData",A49, "Open",,"T")</f>
        <v>0.02</v>
      </c>
      <c r="D49" s="51">
        <f>RTD("cqg.rtd", ,"ContractData",A49, "High",,"T")</f>
        <v>0.02</v>
      </c>
      <c r="E49" s="51">
        <f>RTD("cqg.rtd", ,"ContractData",A49, "Low",,"T")</f>
        <v>1.4999999999999999E-2</v>
      </c>
      <c r="F49" s="51">
        <f>RTD("cqg.rtd", ,"ContractData",A49, "LastTradeorSettle",,"T")</f>
        <v>0.02</v>
      </c>
      <c r="G49" s="52">
        <f>RTD("cqg.rtd",,"ContractData",A49,"NetLastTradeToday",,"T")</f>
        <v>0</v>
      </c>
      <c r="H49" s="13">
        <f>RTD("cqg.rtd",,"ContractData",A49,"NetLastTradeToday",,"T")</f>
        <v>0</v>
      </c>
      <c r="I49" s="18">
        <f>RTD("cqg.rtd", ,"ContractData",A49, "T_CVol")</f>
        <v>2076</v>
      </c>
      <c r="J49" s="67"/>
      <c r="K49" s="8"/>
      <c r="L49" s="8"/>
      <c r="M49" s="8"/>
      <c r="N49" s="8"/>
      <c r="O49" s="8"/>
      <c r="P49" s="8"/>
      <c r="Q49" s="8"/>
      <c r="R49" s="30"/>
      <c r="S49" s="27"/>
      <c r="T49" s="27"/>
      <c r="U49" s="27"/>
      <c r="V49" s="27"/>
      <c r="W49" s="27"/>
      <c r="X49" s="11"/>
      <c r="Y49" s="11"/>
      <c r="Z49" s="11"/>
      <c r="AA49" s="11"/>
      <c r="AB49" s="11"/>
      <c r="AC49" s="11"/>
      <c r="AD49" s="11"/>
      <c r="AE49" s="100"/>
      <c r="AF49" s="11"/>
      <c r="AG49" s="11"/>
      <c r="AH49" s="11"/>
      <c r="AI49" s="11"/>
      <c r="AJ49" s="11"/>
      <c r="AK49" s="11"/>
      <c r="AL49" s="11"/>
      <c r="AM49" s="11"/>
    </row>
    <row r="50" spans="1:42" s="10" customFormat="1" ht="15" customHeight="1" x14ac:dyDescent="0.3">
      <c r="A50" s="45" t="str">
        <f>RTD("cqg.rtd",,"ContractData","QSAS3?6", "Symbol")</f>
        <v>QSAS3Z20</v>
      </c>
      <c r="B50" s="17" t="str">
        <f>RIGHT(RTD("cqg.rtd",,"ContractData",A50, "LongDescription"),15)</f>
        <v xml:space="preserve"> Dec 20, Mar 21</v>
      </c>
      <c r="C50" s="102">
        <f>RTD("cqg.rtd", ,"ContractData",A50, "Open",,"T")</f>
        <v>-1.4999999999999999E-2</v>
      </c>
      <c r="D50" s="102">
        <f>RTD("cqg.rtd", ,"ContractData",A50, "High",,"T")</f>
        <v>-0.01</v>
      </c>
      <c r="E50" s="102">
        <f>RTD("cqg.rtd", ,"ContractData",A50, "Low",,"T")</f>
        <v>-1.4999999999999999E-2</v>
      </c>
      <c r="F50" s="102">
        <f>RTD("cqg.rtd", ,"ContractData",A50, "LastTradeorSettle",,"T")</f>
        <v>-0.01</v>
      </c>
      <c r="G50" s="52">
        <f>RTD("cqg.rtd",,"ContractData",A50,"NetLastTradeToday",,"T")</f>
        <v>0</v>
      </c>
      <c r="H50" s="14">
        <f>RTD("cqg.rtd",,"ContractData",A50,"NetLastTradeToday",,"T")</f>
        <v>0</v>
      </c>
      <c r="I50" s="18">
        <f>RTD("cqg.rtd", ,"ContractData",A50, "T_CVol")</f>
        <v>673</v>
      </c>
      <c r="J50" s="67"/>
      <c r="K50" s="8"/>
      <c r="L50" s="8"/>
      <c r="M50" s="8"/>
      <c r="N50" s="8"/>
      <c r="O50" s="8"/>
      <c r="P50" s="8"/>
      <c r="Q50" s="8"/>
      <c r="R50" s="30"/>
      <c r="S50" s="27"/>
      <c r="T50" s="27"/>
      <c r="U50" s="27"/>
      <c r="V50" s="27"/>
      <c r="W50" s="27"/>
      <c r="X50" s="11"/>
      <c r="Y50" s="11"/>
      <c r="Z50" s="11"/>
      <c r="AA50" s="11"/>
      <c r="AB50" s="11"/>
      <c r="AC50" s="11"/>
      <c r="AD50" s="11"/>
      <c r="AE50" s="100"/>
      <c r="AF50" s="11"/>
      <c r="AG50" s="11"/>
      <c r="AH50" s="11"/>
      <c r="AI50" s="11"/>
      <c r="AJ50" s="11"/>
      <c r="AK50" s="11"/>
      <c r="AL50" s="11"/>
      <c r="AM50" s="11"/>
    </row>
    <row r="51" spans="1:42" s="10" customFormat="1" ht="15" customHeight="1" x14ac:dyDescent="0.3">
      <c r="A51" s="45" t="str">
        <f>RTD("cqg.rtd",,"ContractData","QSAS3?7", "Symbol")</f>
        <v>QSAS3H21</v>
      </c>
      <c r="B51" s="17" t="str">
        <f>RIGHT(RTD("cqg.rtd",,"ContractData",A51, "LongDescription"),15)</f>
        <v xml:space="preserve"> Mar 21, Jun 21</v>
      </c>
      <c r="C51" s="102">
        <f>RTD("cqg.rtd", ,"ContractData",A51, "Open",,"T")</f>
        <v>0.01</v>
      </c>
      <c r="D51" s="102">
        <f>RTD("cqg.rtd", ,"ContractData",A51, "High",,"T")</f>
        <v>1.4999999999999999E-2</v>
      </c>
      <c r="E51" s="102">
        <f>RTD("cqg.rtd", ,"ContractData",A51, "Low",,"T")</f>
        <v>0.01</v>
      </c>
      <c r="F51" s="102">
        <f>RTD("cqg.rtd", ,"ContractData",A51, "LastTradeorSettle",,"T")</f>
        <v>1.4999999999999999E-2</v>
      </c>
      <c r="G51" s="103">
        <f>RTD("cqg.rtd",,"ContractData",A51,"NetLastTradeToday",,"T")</f>
        <v>0</v>
      </c>
      <c r="H51" s="14">
        <f>RTD("cqg.rtd",,"ContractData",A51,"NetLastTradeToday",,"T")</f>
        <v>0</v>
      </c>
      <c r="I51" s="18">
        <f>RTD("cqg.rtd", ,"ContractData",A51, "T_CVol")</f>
        <v>1276</v>
      </c>
      <c r="J51" s="67"/>
      <c r="K51" s="8"/>
      <c r="L51" s="8"/>
      <c r="M51" s="8"/>
      <c r="N51" s="8"/>
      <c r="O51" s="8"/>
      <c r="P51" s="8"/>
      <c r="Q51" s="8"/>
      <c r="R51" s="30"/>
      <c r="S51" s="27"/>
      <c r="T51" s="27"/>
      <c r="U51" s="27"/>
      <c r="V51" s="27"/>
      <c r="W51" s="27"/>
      <c r="X51" s="11"/>
      <c r="Y51" s="11"/>
      <c r="Z51" s="11"/>
      <c r="AA51" s="11"/>
      <c r="AB51" s="11"/>
      <c r="AC51" s="11"/>
      <c r="AD51" s="11"/>
      <c r="AE51" s="100"/>
      <c r="AF51" s="11"/>
      <c r="AG51" s="11"/>
      <c r="AH51" s="11"/>
      <c r="AI51" s="11"/>
      <c r="AJ51" s="11"/>
      <c r="AK51" s="11"/>
      <c r="AL51" s="11"/>
      <c r="AM51" s="11"/>
    </row>
    <row r="52" spans="1:42" s="10" customFormat="1" ht="15" customHeight="1" x14ac:dyDescent="0.3">
      <c r="A52" s="45" t="str">
        <f>RTD("cqg.rtd",,"ContractData","QSAS3?8", "Symbol")</f>
        <v>QSAS3M21</v>
      </c>
      <c r="B52" s="17" t="str">
        <f>RIGHT(RTD("cqg.rtd",,"ContractData",A52, "LongDescription"),15)</f>
        <v xml:space="preserve"> Jun 21, Sep 21</v>
      </c>
      <c r="C52" s="102">
        <f>RTD("cqg.rtd", ,"ContractData",A52, "Open",,"T")</f>
        <v>1.4999999999999999E-2</v>
      </c>
      <c r="D52" s="102">
        <f>RTD("cqg.rtd", ,"ContractData",A52, "High",,"T")</f>
        <v>1.4999999999999999E-2</v>
      </c>
      <c r="E52" s="102">
        <f>RTD("cqg.rtd", ,"ContractData",A52, "Low",,"T")</f>
        <v>1.4999999999999999E-2</v>
      </c>
      <c r="F52" s="102">
        <f>RTD("cqg.rtd", ,"ContractData",A52, "LastTradeorSettle",,"T")</f>
        <v>1.4999999999999999E-2</v>
      </c>
      <c r="G52" s="52">
        <f>RTD("cqg.rtd",,"ContractData",A52,"NetLastTradeToday",,"T")</f>
        <v>0</v>
      </c>
      <c r="H52" s="14">
        <f>RTD("cqg.rtd",,"ContractData",A52,"NetLastTradeToday",,"T")</f>
        <v>0</v>
      </c>
      <c r="I52" s="18">
        <f>RTD("cqg.rtd", ,"ContractData",A52, "T_CVol")</f>
        <v>4060</v>
      </c>
      <c r="J52" s="67"/>
      <c r="K52" s="8"/>
      <c r="L52" s="8"/>
      <c r="M52" s="8"/>
      <c r="N52" s="8"/>
      <c r="O52" s="8"/>
      <c r="P52" s="8"/>
      <c r="Q52" s="8"/>
      <c r="R52" s="30"/>
      <c r="S52" s="27"/>
      <c r="T52" s="27"/>
      <c r="U52" s="27"/>
      <c r="V52" s="27"/>
      <c r="W52" s="27"/>
      <c r="X52" s="11"/>
      <c r="Y52" s="11"/>
      <c r="Z52" s="11"/>
      <c r="AA52" s="11"/>
      <c r="AB52" s="11"/>
      <c r="AC52" s="11"/>
      <c r="AD52" s="11"/>
      <c r="AE52" s="100"/>
      <c r="AF52" s="11"/>
      <c r="AG52" s="11"/>
      <c r="AH52" s="11"/>
      <c r="AI52" s="11"/>
      <c r="AJ52" s="11"/>
      <c r="AK52" s="11"/>
      <c r="AL52" s="11"/>
      <c r="AM52" s="11"/>
    </row>
    <row r="53" spans="1:42" s="10" customFormat="1" ht="15" customHeight="1" x14ac:dyDescent="0.3">
      <c r="A53" s="45" t="str">
        <f>RTD("cqg.rtd",,"ContractData","QSAS3?9", "Symbol")</f>
        <v>QSAS3U21</v>
      </c>
      <c r="B53" s="17" t="str">
        <f>RIGHT(RTD("cqg.rtd",,"ContractData",A53, "LongDescription"),15)</f>
        <v xml:space="preserve"> Sep 21, Dec 21</v>
      </c>
      <c r="C53" s="102">
        <f>RTD("cqg.rtd", ,"ContractData",A53, "Open",,"T")</f>
        <v>2.5000000000000001E-2</v>
      </c>
      <c r="D53" s="102">
        <f>RTD("cqg.rtd", ,"ContractData",A53, "High",,"T")</f>
        <v>2.5000000000000001E-2</v>
      </c>
      <c r="E53" s="102">
        <f>RTD("cqg.rtd", ,"ContractData",A53, "Low",,"T")</f>
        <v>2.5000000000000001E-2</v>
      </c>
      <c r="F53" s="102">
        <f>RTD("cqg.rtd", ,"ContractData",A53, "LastTradeorSettle",,"T")</f>
        <v>2.5000000000000001E-2</v>
      </c>
      <c r="G53" s="103">
        <f>RTD("cqg.rtd",,"ContractData",A53,"NetLastTradeToday",,"T")</f>
        <v>0</v>
      </c>
      <c r="H53" s="14">
        <f>RTD("cqg.rtd",,"ContractData",A53,"NetLastTradeToday",,"T")</f>
        <v>0</v>
      </c>
      <c r="I53" s="18">
        <f>RTD("cqg.rtd", ,"ContractData",A53, "T_CVol")</f>
        <v>535</v>
      </c>
      <c r="J53" s="67"/>
      <c r="K53" s="8"/>
      <c r="L53" s="8"/>
      <c r="M53" s="8"/>
      <c r="N53" s="8"/>
      <c r="O53" s="8"/>
      <c r="P53" s="8"/>
      <c r="Q53" s="8"/>
      <c r="R53" s="30"/>
      <c r="S53" s="27"/>
      <c r="T53" s="27"/>
      <c r="U53" s="27"/>
      <c r="V53" s="27"/>
      <c r="W53" s="27"/>
      <c r="X53" s="11"/>
      <c r="Y53" s="11"/>
      <c r="Z53" s="11"/>
      <c r="AA53" s="11"/>
      <c r="AB53" s="11"/>
      <c r="AC53" s="11"/>
      <c r="AD53" s="11"/>
      <c r="AE53" s="100"/>
      <c r="AF53" s="11"/>
      <c r="AG53" s="11"/>
      <c r="AH53" s="11"/>
      <c r="AI53" s="11"/>
      <c r="AJ53" s="11"/>
      <c r="AK53" s="11"/>
      <c r="AL53" s="11"/>
      <c r="AM53" s="11"/>
    </row>
    <row r="54" spans="1:42" s="10" customFormat="1" ht="15" customHeight="1" x14ac:dyDescent="0.3">
      <c r="A54" s="45" t="str">
        <f>RTD("cqg.rtd",,"ContractData","QSAS3?10", "Symbol")</f>
        <v>QSAS3Z21</v>
      </c>
      <c r="B54" s="17" t="str">
        <f>RIGHT(RTD("cqg.rtd",,"ContractData",A54, "LongDescription"),15)</f>
        <v xml:space="preserve"> Dec 21, Mar 22</v>
      </c>
      <c r="C54" s="102">
        <f>RTD("cqg.rtd", ,"ContractData",A54, "Open",,"T")</f>
        <v>0.01</v>
      </c>
      <c r="D54" s="102">
        <f>RTD("cqg.rtd", ,"ContractData",A54, "High",,"T")</f>
        <v>1.4999999999999999E-2</v>
      </c>
      <c r="E54" s="102">
        <f>RTD("cqg.rtd", ,"ContractData",A54, "Low",,"T")</f>
        <v>0.01</v>
      </c>
      <c r="F54" s="102">
        <f>RTD("cqg.rtd", ,"ContractData",A54, "LastTradeorSettle",,"T")</f>
        <v>0.01</v>
      </c>
      <c r="G54" s="103">
        <f>RTD("cqg.rtd",,"ContractData",A54,"NetLastTradeToday",,"T")</f>
        <v>0</v>
      </c>
      <c r="H54" s="14">
        <f>RTD("cqg.rtd",,"ContractData",A54,"NetLastTradeToday",,"T")</f>
        <v>0</v>
      </c>
      <c r="I54" s="18">
        <f>RTD("cqg.rtd", ,"ContractData",A54, "T_CVol")</f>
        <v>1049</v>
      </c>
      <c r="J54" s="67"/>
      <c r="K54" s="8"/>
      <c r="L54" s="8"/>
      <c r="M54" s="8"/>
      <c r="N54" s="8"/>
      <c r="O54" s="8"/>
      <c r="P54" s="8"/>
      <c r="Q54" s="8"/>
      <c r="R54" s="30"/>
      <c r="S54" s="27"/>
      <c r="T54" s="27"/>
      <c r="U54" s="27"/>
      <c r="V54" s="27"/>
      <c r="W54" s="27"/>
      <c r="X54" s="11"/>
      <c r="Y54" s="11"/>
      <c r="Z54" s="11"/>
      <c r="AA54" s="11"/>
      <c r="AB54" s="11"/>
      <c r="AC54" s="11"/>
      <c r="AD54" s="11"/>
      <c r="AE54" s="100"/>
      <c r="AF54" s="11"/>
      <c r="AG54" s="11"/>
      <c r="AH54" s="11"/>
      <c r="AI54" s="11"/>
      <c r="AJ54" s="11"/>
      <c r="AK54" s="11"/>
      <c r="AL54" s="11"/>
      <c r="AM54" s="11"/>
    </row>
    <row r="55" spans="1:42" s="10" customFormat="1" ht="15" customHeight="1" x14ac:dyDescent="0.3">
      <c r="A55" s="45" t="str">
        <f>RTD("cqg.rtd",,"ContractData","QSAS3?11", "Symbol")</f>
        <v>QSAS3H22</v>
      </c>
      <c r="B55" s="17" t="str">
        <f>RIGHT(RTD("cqg.rtd",,"ContractData",A55, "LongDescription"),15)</f>
        <v xml:space="preserve"> Mar 22, Jun 22</v>
      </c>
      <c r="C55" s="102">
        <f>RTD("cqg.rtd", ,"ContractData",A55, "Open",,"T")</f>
        <v>0.02</v>
      </c>
      <c r="D55" s="102">
        <f>RTD("cqg.rtd", ,"ContractData",A55, "High",,"T")</f>
        <v>0.02</v>
      </c>
      <c r="E55" s="102">
        <f>RTD("cqg.rtd", ,"ContractData",A55, "Low",,"T")</f>
        <v>0.02</v>
      </c>
      <c r="F55" s="102">
        <f>RTD("cqg.rtd", ,"ContractData",A55, "LastTradeorSettle",,"T")</f>
        <v>0.02</v>
      </c>
      <c r="G55" s="103">
        <f>RTD("cqg.rtd",,"ContractData",A55,"NetLastTradeToday",,"T")</f>
        <v>0</v>
      </c>
      <c r="H55" s="14">
        <f>RTD("cqg.rtd",,"ContractData",A55,"NetLastTradeToday",,"T")</f>
        <v>0</v>
      </c>
      <c r="I55" s="18">
        <f>RTD("cqg.rtd", ,"ContractData",A55, "T_CVol")</f>
        <v>569</v>
      </c>
      <c r="J55" s="67"/>
      <c r="K55" s="8"/>
      <c r="L55" s="8"/>
      <c r="M55" s="8"/>
      <c r="N55" s="8"/>
      <c r="O55" s="8"/>
      <c r="P55" s="8"/>
      <c r="Q55" s="8"/>
      <c r="R55" s="30"/>
      <c r="S55" s="27"/>
      <c r="T55" s="27"/>
      <c r="U55" s="27"/>
      <c r="V55" s="27"/>
      <c r="W55" s="27"/>
      <c r="X55" s="11"/>
      <c r="Y55" s="11"/>
      <c r="Z55" s="11"/>
      <c r="AA55" s="11"/>
      <c r="AB55" s="11"/>
      <c r="AC55" s="11"/>
      <c r="AD55" s="11"/>
      <c r="AE55" s="100"/>
      <c r="AF55" s="11"/>
      <c r="AG55" s="11"/>
      <c r="AH55" s="11"/>
      <c r="AI55" s="11"/>
      <c r="AJ55" s="11"/>
      <c r="AK55" s="11"/>
      <c r="AL55" s="11"/>
      <c r="AM55" s="11"/>
    </row>
    <row r="56" spans="1:42" s="10" customFormat="1" ht="15" customHeight="1" x14ac:dyDescent="0.3">
      <c r="A56" s="45" t="str">
        <f>RTD("cqg.rtd",,"ContractData","QSAS3?12", "Symbol")</f>
        <v>QSAS3M22</v>
      </c>
      <c r="B56" s="114" t="str">
        <f>RIGHT(RTD("cqg.rtd",,"ContractData",A56, "LongDescription"),15)</f>
        <v xml:space="preserve"> Jun 22, Sep 22</v>
      </c>
      <c r="C56" s="138">
        <f>RTD("cqg.rtd", ,"ContractData",A56, "Open",,"T")</f>
        <v>2.5000000000000001E-2</v>
      </c>
      <c r="D56" s="138">
        <f>RTD("cqg.rtd", ,"ContractData",A56, "High",,"T")</f>
        <v>2.5000000000000001E-2</v>
      </c>
      <c r="E56" s="138">
        <f>RTD("cqg.rtd", ,"ContractData",A56, "Low",,"T")</f>
        <v>0.02</v>
      </c>
      <c r="F56" s="138">
        <f>RTD("cqg.rtd", ,"ContractData",A56, "LastTradeorSettle",,"T")</f>
        <v>0.02</v>
      </c>
      <c r="G56" s="139">
        <f>RTD("cqg.rtd",,"ContractData",A56,"NetLastTradeToday",,"T")</f>
        <v>-5.000000000000001E-3</v>
      </c>
      <c r="H56" s="115">
        <f>RTD("cqg.rtd",,"ContractData",A56,"NetLastTradeToday",,"T")</f>
        <v>-5.000000000000001E-3</v>
      </c>
      <c r="I56" s="116">
        <f>RTD("cqg.rtd", ,"ContractData",A56, "T_CVol")</f>
        <v>654</v>
      </c>
      <c r="J56" s="67"/>
      <c r="K56" s="8"/>
      <c r="L56" s="8"/>
      <c r="M56" s="8"/>
      <c r="N56" s="8"/>
      <c r="O56" s="8"/>
      <c r="P56" s="8"/>
      <c r="Q56" s="8"/>
      <c r="R56" s="30"/>
      <c r="S56" s="27"/>
      <c r="T56" s="27"/>
      <c r="U56" s="27"/>
      <c r="V56" s="27"/>
      <c r="W56" s="27"/>
      <c r="X56" s="11"/>
      <c r="Y56" s="11"/>
      <c r="Z56" s="11"/>
      <c r="AA56" s="11"/>
      <c r="AB56" s="11"/>
      <c r="AC56" s="11"/>
      <c r="AD56" s="11"/>
      <c r="AE56" s="100"/>
      <c r="AF56" s="11"/>
      <c r="AG56" s="11"/>
      <c r="AH56" s="11"/>
      <c r="AI56" s="11"/>
      <c r="AJ56" s="11"/>
      <c r="AK56" s="11"/>
      <c r="AL56" s="11"/>
      <c r="AM56" s="11"/>
    </row>
    <row r="57" spans="1:42" s="10" customFormat="1" ht="15" customHeight="1" x14ac:dyDescent="0.3">
      <c r="A57" s="75"/>
      <c r="B57" s="181" t="s">
        <v>18</v>
      </c>
      <c r="C57" s="182"/>
      <c r="D57" s="109"/>
      <c r="E57" s="141" t="s">
        <v>19</v>
      </c>
      <c r="F57" s="141"/>
      <c r="G57" s="141"/>
      <c r="H57" s="141"/>
      <c r="I57" s="110"/>
      <c r="J57" s="140"/>
      <c r="K57" s="140"/>
      <c r="L57" s="109"/>
      <c r="M57" s="110"/>
      <c r="N57" s="111"/>
      <c r="O57" s="110"/>
      <c r="P57" s="112"/>
      <c r="Q57" s="110"/>
      <c r="R57" s="140"/>
      <c r="S57" s="140"/>
      <c r="T57" s="109"/>
      <c r="U57" s="110"/>
      <c r="V57" s="111"/>
      <c r="W57" s="110"/>
      <c r="X57" s="112"/>
      <c r="Y57" s="112"/>
      <c r="Z57" s="110"/>
      <c r="AA57" s="140"/>
      <c r="AB57" s="140"/>
      <c r="AC57" s="110"/>
      <c r="AD57" s="110"/>
      <c r="AE57" s="100"/>
      <c r="AF57" s="80"/>
      <c r="AG57" s="80"/>
      <c r="AH57" s="80"/>
      <c r="AI57" s="80"/>
      <c r="AJ57" s="80"/>
      <c r="AK57" s="80"/>
      <c r="AL57" s="80"/>
      <c r="AM57" s="80"/>
      <c r="AN57" s="27"/>
      <c r="AO57" s="27"/>
      <c r="AP57" s="27"/>
    </row>
    <row r="58" spans="1:42" s="10" customFormat="1" ht="15" customHeight="1" x14ac:dyDescent="0.2">
      <c r="A58" s="75"/>
      <c r="B58" s="99"/>
      <c r="C58" s="99"/>
      <c r="D58" s="99"/>
      <c r="E58" s="99"/>
      <c r="F58" s="99"/>
      <c r="G58" s="99"/>
      <c r="H58" s="99"/>
      <c r="I58" s="99"/>
      <c r="J58" s="99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27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  <c r="AJ58" s="80"/>
      <c r="AK58" s="80"/>
      <c r="AL58" s="80"/>
      <c r="AM58" s="80"/>
      <c r="AN58" s="27"/>
      <c r="AO58" s="27"/>
      <c r="AP58" s="27"/>
    </row>
    <row r="59" spans="1:42" s="10" customFormat="1" ht="15" customHeight="1" x14ac:dyDescent="0.3">
      <c r="A59" s="75"/>
      <c r="B59" s="99"/>
      <c r="C59" s="99"/>
      <c r="D59" s="99"/>
      <c r="E59" s="99"/>
      <c r="F59" s="99"/>
      <c r="G59" s="99"/>
      <c r="H59" s="99"/>
      <c r="I59" s="99"/>
      <c r="J59" s="99"/>
      <c r="K59" s="9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27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80"/>
      <c r="AK59" s="80"/>
      <c r="AL59" s="80"/>
      <c r="AM59" s="80"/>
      <c r="AN59" s="27"/>
      <c r="AO59" s="27"/>
      <c r="AP59" s="27"/>
    </row>
    <row r="60" spans="1:42" s="10" customFormat="1" ht="15" customHeight="1" x14ac:dyDescent="0.3">
      <c r="A60" s="75"/>
      <c r="B60" s="83"/>
      <c r="C60" s="84"/>
      <c r="D60" s="84"/>
      <c r="E60" s="84"/>
      <c r="F60" s="84"/>
      <c r="G60" s="84"/>
      <c r="H60" s="84"/>
      <c r="I60" s="85"/>
      <c r="J60" s="85"/>
      <c r="K60" s="9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27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27"/>
      <c r="AO60" s="27"/>
      <c r="AP60" s="27"/>
    </row>
    <row r="61" spans="1:42" s="10" customFormat="1" ht="15" customHeight="1" x14ac:dyDescent="0.3">
      <c r="A61" s="75"/>
      <c r="B61" s="86"/>
      <c r="C61" s="87"/>
      <c r="D61" s="87"/>
      <c r="E61" s="87"/>
      <c r="F61" s="87"/>
      <c r="G61" s="88"/>
      <c r="H61" s="89"/>
      <c r="I61" s="67"/>
      <c r="J61" s="67"/>
      <c r="K61" s="9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27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  <c r="AJ61" s="80"/>
      <c r="AK61" s="80"/>
      <c r="AL61" s="80"/>
      <c r="AM61" s="80"/>
      <c r="AN61" s="27"/>
      <c r="AO61" s="27"/>
      <c r="AP61" s="27"/>
    </row>
    <row r="62" spans="1:42" s="10" customFormat="1" ht="15" customHeight="1" x14ac:dyDescent="0.3">
      <c r="A62" s="75"/>
      <c r="B62" s="86"/>
      <c r="C62" s="87"/>
      <c r="D62" s="87"/>
      <c r="E62" s="87"/>
      <c r="F62" s="87"/>
      <c r="G62" s="88"/>
      <c r="H62" s="89"/>
      <c r="I62" s="67"/>
      <c r="J62" s="67"/>
      <c r="K62" s="8"/>
      <c r="L62" s="8"/>
      <c r="M62" s="8"/>
      <c r="N62" s="8"/>
      <c r="O62" s="8"/>
      <c r="P62" s="8"/>
      <c r="Q62" s="8"/>
      <c r="R62" s="30"/>
      <c r="S62" s="27"/>
      <c r="T62" s="27"/>
      <c r="U62" s="27"/>
      <c r="V62" s="27"/>
      <c r="W62" s="27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  <c r="AJ62" s="80"/>
      <c r="AK62" s="80"/>
      <c r="AL62" s="80"/>
      <c r="AM62" s="80"/>
      <c r="AN62" s="27"/>
      <c r="AO62" s="27"/>
      <c r="AP62" s="27"/>
    </row>
    <row r="63" spans="1:42" s="10" customFormat="1" ht="15" customHeight="1" x14ac:dyDescent="0.3">
      <c r="A63" s="75"/>
      <c r="B63" s="86"/>
      <c r="C63" s="87"/>
      <c r="D63" s="87"/>
      <c r="E63" s="87"/>
      <c r="F63" s="87"/>
      <c r="G63" s="88"/>
      <c r="H63" s="89"/>
      <c r="I63" s="67"/>
      <c r="J63" s="67"/>
      <c r="K63" s="8"/>
      <c r="L63" s="8"/>
      <c r="M63" s="8"/>
      <c r="N63" s="8"/>
      <c r="O63" s="8"/>
      <c r="P63" s="8"/>
      <c r="Q63" s="8"/>
      <c r="R63" s="30"/>
      <c r="S63" s="27"/>
      <c r="T63" s="27"/>
      <c r="U63" s="27"/>
      <c r="V63" s="27"/>
      <c r="W63" s="27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0"/>
      <c r="AK63" s="80"/>
      <c r="AL63" s="80"/>
      <c r="AM63" s="80"/>
      <c r="AN63" s="27"/>
      <c r="AO63" s="27"/>
      <c r="AP63" s="27"/>
    </row>
    <row r="64" spans="1:42" s="10" customFormat="1" ht="15" customHeight="1" x14ac:dyDescent="0.3">
      <c r="A64" s="75"/>
      <c r="B64" s="86"/>
      <c r="C64" s="87"/>
      <c r="D64" s="87"/>
      <c r="E64" s="87"/>
      <c r="F64" s="87"/>
      <c r="G64" s="88"/>
      <c r="H64" s="89"/>
      <c r="I64" s="67"/>
      <c r="J64" s="67"/>
      <c r="K64" s="8"/>
      <c r="L64" s="8"/>
      <c r="M64" s="8"/>
      <c r="N64" s="8"/>
      <c r="O64" s="8"/>
      <c r="P64" s="8"/>
      <c r="Q64" s="8"/>
      <c r="R64" s="30"/>
      <c r="S64" s="27"/>
      <c r="T64" s="27"/>
      <c r="U64" s="27"/>
      <c r="V64" s="27"/>
      <c r="W64" s="27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  <c r="AJ64" s="80"/>
      <c r="AK64" s="80"/>
      <c r="AL64" s="80"/>
      <c r="AM64" s="80"/>
      <c r="AN64" s="27"/>
      <c r="AO64" s="27"/>
      <c r="AP64" s="27"/>
    </row>
    <row r="65" spans="1:42" s="10" customFormat="1" ht="15" customHeight="1" x14ac:dyDescent="0.3">
      <c r="A65" s="75"/>
      <c r="B65" s="86"/>
      <c r="C65" s="87"/>
      <c r="D65" s="87"/>
      <c r="E65" s="87"/>
      <c r="F65" s="87"/>
      <c r="G65" s="88"/>
      <c r="H65" s="89"/>
      <c r="I65" s="67"/>
      <c r="J65" s="67"/>
      <c r="K65" s="8"/>
      <c r="L65" s="8"/>
      <c r="M65" s="8"/>
      <c r="N65" s="8"/>
      <c r="O65" s="8"/>
      <c r="P65" s="8"/>
      <c r="Q65" s="8"/>
      <c r="R65" s="30"/>
      <c r="S65" s="27"/>
      <c r="T65" s="27"/>
      <c r="U65" s="27"/>
      <c r="V65" s="27"/>
      <c r="W65" s="27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27"/>
      <c r="AO65" s="27"/>
      <c r="AP65" s="27"/>
    </row>
    <row r="66" spans="1:42" s="10" customFormat="1" ht="15" customHeight="1" x14ac:dyDescent="0.3">
      <c r="A66" s="75"/>
      <c r="B66" s="86"/>
      <c r="C66" s="87"/>
      <c r="D66" s="87"/>
      <c r="E66" s="87"/>
      <c r="F66" s="87"/>
      <c r="G66" s="88"/>
      <c r="H66" s="89"/>
      <c r="I66" s="67"/>
      <c r="J66" s="67"/>
      <c r="K66" s="8"/>
      <c r="L66" s="8"/>
      <c r="M66" s="8"/>
      <c r="N66" s="8"/>
      <c r="O66" s="8"/>
      <c r="P66" s="8"/>
      <c r="Q66" s="8"/>
      <c r="R66" s="30"/>
      <c r="S66" s="27"/>
      <c r="T66" s="27"/>
      <c r="U66" s="27"/>
      <c r="V66" s="27"/>
      <c r="W66" s="27"/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80"/>
      <c r="AJ66" s="80"/>
      <c r="AK66" s="80"/>
      <c r="AL66" s="80"/>
      <c r="AM66" s="80"/>
      <c r="AN66" s="27"/>
      <c r="AO66" s="27"/>
      <c r="AP66" s="27"/>
    </row>
    <row r="67" spans="1:42" s="10" customFormat="1" ht="15" customHeight="1" x14ac:dyDescent="0.3">
      <c r="A67" s="75"/>
      <c r="B67" s="86"/>
      <c r="C67" s="87"/>
      <c r="D67" s="87"/>
      <c r="E67" s="87"/>
      <c r="F67" s="87"/>
      <c r="G67" s="88"/>
      <c r="H67" s="89"/>
      <c r="I67" s="67"/>
      <c r="J67" s="67"/>
      <c r="K67" s="8"/>
      <c r="L67" s="8"/>
      <c r="M67" s="8"/>
      <c r="N67" s="8"/>
      <c r="O67" s="8"/>
      <c r="P67" s="8"/>
      <c r="Q67" s="8"/>
      <c r="R67" s="30"/>
      <c r="S67" s="27"/>
      <c r="T67" s="27"/>
      <c r="U67" s="27"/>
      <c r="V67" s="27"/>
      <c r="W67" s="27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  <c r="AJ67" s="80"/>
      <c r="AK67" s="80"/>
      <c r="AL67" s="80"/>
      <c r="AM67" s="80"/>
      <c r="AN67" s="27"/>
      <c r="AO67" s="27"/>
      <c r="AP67" s="27"/>
    </row>
    <row r="68" spans="1:42" s="10" customFormat="1" ht="15" customHeight="1" x14ac:dyDescent="0.3">
      <c r="A68" s="75"/>
      <c r="B68" s="86"/>
      <c r="C68" s="87"/>
      <c r="D68" s="87"/>
      <c r="E68" s="87"/>
      <c r="F68" s="87"/>
      <c r="G68" s="88"/>
      <c r="H68" s="89"/>
      <c r="I68" s="67"/>
      <c r="J68" s="67"/>
      <c r="K68" s="8"/>
      <c r="L68" s="8"/>
      <c r="M68" s="8"/>
      <c r="N68" s="8"/>
      <c r="O68" s="8"/>
      <c r="P68" s="8"/>
      <c r="Q68" s="8"/>
      <c r="R68" s="30"/>
      <c r="S68" s="27"/>
      <c r="T68" s="27"/>
      <c r="U68" s="27"/>
      <c r="V68" s="27"/>
      <c r="W68" s="27"/>
      <c r="X68" s="80"/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0"/>
      <c r="AJ68" s="80"/>
      <c r="AK68" s="80"/>
      <c r="AL68" s="80"/>
      <c r="AM68" s="80"/>
      <c r="AN68" s="27"/>
      <c r="AO68" s="27"/>
      <c r="AP68" s="27"/>
    </row>
    <row r="69" spans="1:42" s="10" customFormat="1" ht="15" customHeight="1" x14ac:dyDescent="0.3">
      <c r="A69" s="75"/>
      <c r="B69" s="86"/>
      <c r="C69" s="87"/>
      <c r="D69" s="87"/>
      <c r="E69" s="87"/>
      <c r="F69" s="87"/>
      <c r="G69" s="88"/>
      <c r="H69" s="89"/>
      <c r="I69" s="67"/>
      <c r="J69" s="67"/>
      <c r="K69" s="8"/>
      <c r="L69" s="8"/>
      <c r="M69" s="8"/>
      <c r="N69" s="8"/>
      <c r="O69" s="8"/>
      <c r="P69" s="8"/>
      <c r="Q69" s="8"/>
      <c r="R69" s="30"/>
      <c r="S69" s="27"/>
      <c r="T69" s="27"/>
      <c r="U69" s="27"/>
      <c r="V69" s="27"/>
      <c r="W69" s="27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  <c r="AJ69" s="80"/>
      <c r="AK69" s="80"/>
      <c r="AL69" s="80"/>
      <c r="AM69" s="80"/>
      <c r="AN69" s="27"/>
      <c r="AO69" s="27"/>
      <c r="AP69" s="27"/>
    </row>
    <row r="70" spans="1:42" s="10" customFormat="1" ht="15" customHeight="1" x14ac:dyDescent="0.3">
      <c r="A70" s="75"/>
      <c r="B70" s="86"/>
      <c r="C70" s="87"/>
      <c r="D70" s="87"/>
      <c r="E70" s="87"/>
      <c r="F70" s="87"/>
      <c r="G70" s="88"/>
      <c r="H70" s="89"/>
      <c r="I70" s="67"/>
      <c r="J70" s="67"/>
      <c r="K70" s="8"/>
      <c r="L70" s="8"/>
      <c r="M70" s="8"/>
      <c r="N70" s="8"/>
      <c r="O70" s="8"/>
      <c r="P70" s="8"/>
      <c r="Q70" s="8"/>
      <c r="R70" s="30"/>
      <c r="S70" s="27"/>
      <c r="T70" s="27"/>
      <c r="U70" s="27"/>
      <c r="V70" s="27"/>
      <c r="W70" s="27"/>
      <c r="X70" s="80"/>
      <c r="Y70" s="80"/>
      <c r="Z70" s="80"/>
      <c r="AA70" s="80"/>
      <c r="AB70" s="80"/>
      <c r="AC70" s="80"/>
      <c r="AD70" s="80"/>
      <c r="AE70" s="80"/>
      <c r="AF70" s="80"/>
      <c r="AG70" s="80"/>
      <c r="AH70" s="80"/>
      <c r="AI70" s="80"/>
      <c r="AJ70" s="80"/>
      <c r="AK70" s="80"/>
      <c r="AL70" s="80"/>
      <c r="AM70" s="80"/>
      <c r="AN70" s="27"/>
      <c r="AO70" s="27"/>
      <c r="AP70" s="27"/>
    </row>
    <row r="71" spans="1:42" s="10" customFormat="1" ht="15" customHeight="1" x14ac:dyDescent="0.3">
      <c r="A71" s="75"/>
      <c r="B71" s="86"/>
      <c r="C71" s="87"/>
      <c r="D71" s="87"/>
      <c r="E71" s="87"/>
      <c r="F71" s="87"/>
      <c r="G71" s="88"/>
      <c r="H71" s="89"/>
      <c r="I71" s="67"/>
      <c r="J71" s="67"/>
      <c r="K71" s="8"/>
      <c r="L71" s="8"/>
      <c r="M71" s="8"/>
      <c r="N71" s="8"/>
      <c r="O71" s="8"/>
      <c r="P71" s="8"/>
      <c r="Q71" s="8"/>
      <c r="R71" s="30"/>
      <c r="S71" s="27"/>
      <c r="T71" s="27"/>
      <c r="U71" s="27"/>
      <c r="V71" s="27"/>
      <c r="W71" s="27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  <c r="AJ71" s="80"/>
      <c r="AK71" s="80"/>
      <c r="AL71" s="80"/>
      <c r="AM71" s="80"/>
      <c r="AN71" s="27"/>
      <c r="AO71" s="27"/>
      <c r="AP71" s="27"/>
    </row>
    <row r="72" spans="1:42" s="10" customFormat="1" ht="15" customHeight="1" x14ac:dyDescent="0.3">
      <c r="A72" s="75"/>
      <c r="B72" s="86"/>
      <c r="C72" s="87"/>
      <c r="D72" s="87"/>
      <c r="E72" s="87"/>
      <c r="F72" s="87"/>
      <c r="G72" s="88"/>
      <c r="H72" s="89"/>
      <c r="I72" s="67"/>
      <c r="J72" s="67"/>
      <c r="K72" s="8"/>
      <c r="L72" s="8"/>
      <c r="M72" s="8"/>
      <c r="N72" s="8"/>
      <c r="O72" s="8"/>
      <c r="P72" s="8"/>
      <c r="Q72" s="8"/>
      <c r="R72" s="30"/>
      <c r="S72" s="27"/>
      <c r="T72" s="27"/>
      <c r="U72" s="27"/>
      <c r="V72" s="27"/>
      <c r="W72" s="27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  <c r="AJ72" s="80"/>
      <c r="AK72" s="80"/>
      <c r="AL72" s="80"/>
      <c r="AM72" s="80"/>
      <c r="AN72" s="27"/>
      <c r="AO72" s="27"/>
      <c r="AP72" s="27"/>
    </row>
    <row r="73" spans="1:42" s="10" customFormat="1" ht="15" customHeight="1" x14ac:dyDescent="0.3">
      <c r="A73" s="75"/>
      <c r="B73" s="195"/>
      <c r="C73" s="195"/>
      <c r="D73" s="76"/>
      <c r="E73" s="77"/>
      <c r="F73" s="78"/>
      <c r="G73" s="77"/>
      <c r="H73" s="79"/>
      <c r="I73" s="77"/>
      <c r="J73" s="77"/>
      <c r="K73" s="8"/>
      <c r="L73" s="8"/>
      <c r="M73" s="8"/>
      <c r="N73" s="8"/>
      <c r="O73" s="8"/>
      <c r="P73" s="8"/>
      <c r="Q73" s="8"/>
      <c r="R73" s="30"/>
      <c r="S73" s="27"/>
      <c r="T73" s="27"/>
      <c r="U73" s="27"/>
      <c r="V73" s="27"/>
      <c r="W73" s="27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0"/>
      <c r="AJ73" s="80"/>
      <c r="AK73" s="80"/>
      <c r="AL73" s="80"/>
      <c r="AM73" s="80"/>
      <c r="AN73" s="27"/>
      <c r="AO73" s="27"/>
      <c r="AP73" s="27"/>
    </row>
    <row r="74" spans="1:42" s="10" customFormat="1" ht="15" customHeight="1" x14ac:dyDescent="0.2">
      <c r="A74" s="75"/>
      <c r="B74" s="194"/>
      <c r="C74" s="194"/>
      <c r="D74" s="194"/>
      <c r="E74" s="194"/>
      <c r="F74" s="194"/>
      <c r="G74" s="194"/>
      <c r="H74" s="194"/>
      <c r="I74" s="194"/>
      <c r="J74" s="81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27"/>
      <c r="X74" s="80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0"/>
      <c r="AJ74" s="80"/>
      <c r="AK74" s="80"/>
      <c r="AL74" s="80"/>
      <c r="AM74" s="80"/>
      <c r="AN74" s="27"/>
      <c r="AO74" s="27"/>
      <c r="AP74" s="27"/>
    </row>
    <row r="75" spans="1:42" s="10" customFormat="1" ht="15" customHeight="1" x14ac:dyDescent="0.3">
      <c r="A75" s="75"/>
      <c r="B75" s="194"/>
      <c r="C75" s="194"/>
      <c r="D75" s="194"/>
      <c r="E75" s="194"/>
      <c r="F75" s="194"/>
      <c r="G75" s="194"/>
      <c r="H75" s="194"/>
      <c r="I75" s="194"/>
      <c r="J75" s="81"/>
      <c r="K75" s="187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27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  <c r="AJ75" s="80"/>
      <c r="AK75" s="80"/>
      <c r="AL75" s="80"/>
      <c r="AM75" s="80"/>
      <c r="AN75" s="27"/>
      <c r="AO75" s="27"/>
      <c r="AP75" s="27"/>
    </row>
    <row r="76" spans="1:42" s="10" customFormat="1" ht="15" customHeight="1" x14ac:dyDescent="0.3">
      <c r="A76" s="75"/>
      <c r="B76" s="83"/>
      <c r="C76" s="84"/>
      <c r="D76" s="84"/>
      <c r="E76" s="84"/>
      <c r="F76" s="84"/>
      <c r="G76" s="84"/>
      <c r="H76" s="84"/>
      <c r="I76" s="85"/>
      <c r="J76" s="85"/>
      <c r="K76" s="187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27"/>
      <c r="X76" s="80"/>
      <c r="Y76" s="80"/>
      <c r="Z76" s="80"/>
      <c r="AA76" s="80"/>
      <c r="AB76" s="80"/>
      <c r="AC76" s="80"/>
      <c r="AD76" s="80"/>
      <c r="AE76" s="80"/>
      <c r="AF76" s="80"/>
      <c r="AG76" s="80"/>
      <c r="AH76" s="80"/>
      <c r="AI76" s="80"/>
      <c r="AJ76" s="80"/>
      <c r="AK76" s="80"/>
      <c r="AL76" s="80"/>
      <c r="AM76" s="80"/>
      <c r="AN76" s="27"/>
      <c r="AO76" s="27"/>
      <c r="AP76" s="27"/>
    </row>
    <row r="77" spans="1:42" s="10" customFormat="1" ht="15" customHeight="1" x14ac:dyDescent="0.3">
      <c r="A77" s="75"/>
      <c r="B77" s="86"/>
      <c r="C77" s="87"/>
      <c r="D77" s="87"/>
      <c r="E77" s="87"/>
      <c r="F77" s="87"/>
      <c r="G77" s="88"/>
      <c r="H77" s="89"/>
      <c r="I77" s="67"/>
      <c r="J77" s="67"/>
      <c r="K77" s="187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27"/>
      <c r="X77" s="80"/>
      <c r="Y77" s="80"/>
      <c r="Z77" s="80"/>
      <c r="AA77" s="80"/>
      <c r="AB77" s="80"/>
      <c r="AC77" s="80"/>
      <c r="AD77" s="80"/>
      <c r="AE77" s="80"/>
      <c r="AF77" s="80"/>
      <c r="AG77" s="80"/>
      <c r="AH77" s="80"/>
      <c r="AI77" s="80"/>
      <c r="AJ77" s="80"/>
      <c r="AK77" s="80"/>
      <c r="AL77" s="80"/>
      <c r="AM77" s="80"/>
      <c r="AN77" s="27"/>
      <c r="AO77" s="27"/>
      <c r="AP77" s="27"/>
    </row>
    <row r="78" spans="1:42" s="10" customFormat="1" ht="15" customHeight="1" x14ac:dyDescent="0.3">
      <c r="A78" s="75"/>
      <c r="B78" s="86"/>
      <c r="C78" s="87"/>
      <c r="D78" s="87"/>
      <c r="E78" s="87"/>
      <c r="F78" s="87"/>
      <c r="G78" s="88"/>
      <c r="H78" s="89"/>
      <c r="I78" s="67"/>
      <c r="J78" s="67"/>
      <c r="K78" s="8"/>
      <c r="L78" s="8"/>
      <c r="M78" s="8"/>
      <c r="N78" s="8"/>
      <c r="O78" s="8"/>
      <c r="P78" s="8"/>
      <c r="Q78" s="8"/>
      <c r="R78" s="30"/>
      <c r="S78" s="27"/>
      <c r="T78" s="27"/>
      <c r="U78" s="27"/>
      <c r="V78" s="27"/>
      <c r="W78" s="27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0"/>
      <c r="AJ78" s="80"/>
      <c r="AK78" s="80"/>
      <c r="AL78" s="80"/>
      <c r="AM78" s="80"/>
      <c r="AN78" s="27"/>
      <c r="AO78" s="27"/>
      <c r="AP78" s="27"/>
    </row>
    <row r="79" spans="1:42" s="10" customFormat="1" ht="15" customHeight="1" x14ac:dyDescent="0.3">
      <c r="A79" s="75"/>
      <c r="B79" s="86"/>
      <c r="C79" s="87"/>
      <c r="D79" s="87"/>
      <c r="E79" s="87"/>
      <c r="F79" s="87"/>
      <c r="G79" s="88"/>
      <c r="H79" s="89"/>
      <c r="I79" s="67"/>
      <c r="J79" s="67"/>
      <c r="K79" s="8"/>
      <c r="L79" s="8"/>
      <c r="M79" s="8"/>
      <c r="N79" s="8"/>
      <c r="O79" s="8"/>
      <c r="P79" s="8"/>
      <c r="Q79" s="8"/>
      <c r="R79" s="30"/>
      <c r="S79" s="27"/>
      <c r="T79" s="27"/>
      <c r="U79" s="27"/>
      <c r="V79" s="27"/>
      <c r="W79" s="27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  <c r="AJ79" s="80"/>
      <c r="AK79" s="80"/>
      <c r="AL79" s="80"/>
      <c r="AM79" s="80"/>
      <c r="AN79" s="27"/>
      <c r="AO79" s="27"/>
      <c r="AP79" s="27"/>
    </row>
    <row r="80" spans="1:42" s="10" customFormat="1" ht="15" customHeight="1" x14ac:dyDescent="0.3">
      <c r="A80" s="75"/>
      <c r="B80" s="86"/>
      <c r="C80" s="87"/>
      <c r="D80" s="87"/>
      <c r="E80" s="87"/>
      <c r="F80" s="87"/>
      <c r="G80" s="88"/>
      <c r="H80" s="89"/>
      <c r="I80" s="67"/>
      <c r="J80" s="67"/>
      <c r="K80" s="8"/>
      <c r="L80" s="8"/>
      <c r="M80" s="8"/>
      <c r="N80" s="8"/>
      <c r="O80" s="8"/>
      <c r="P80" s="8"/>
      <c r="Q80" s="8"/>
      <c r="R80" s="30"/>
      <c r="S80" s="27"/>
      <c r="T80" s="27"/>
      <c r="U80" s="27"/>
      <c r="V80" s="27"/>
      <c r="W80" s="27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  <c r="AJ80" s="80"/>
      <c r="AK80" s="80"/>
      <c r="AL80" s="80"/>
      <c r="AM80" s="80"/>
      <c r="AN80" s="27"/>
      <c r="AO80" s="27"/>
      <c r="AP80" s="27"/>
    </row>
    <row r="81" spans="1:42" s="10" customFormat="1" ht="15" customHeight="1" x14ac:dyDescent="0.3">
      <c r="A81" s="75"/>
      <c r="B81" s="86"/>
      <c r="C81" s="87"/>
      <c r="D81" s="87"/>
      <c r="E81" s="87"/>
      <c r="F81" s="87"/>
      <c r="G81" s="88"/>
      <c r="H81" s="89"/>
      <c r="I81" s="67"/>
      <c r="J81" s="67"/>
      <c r="K81" s="8"/>
      <c r="L81" s="8"/>
      <c r="M81" s="8"/>
      <c r="N81" s="8"/>
      <c r="O81" s="8"/>
      <c r="P81" s="8"/>
      <c r="Q81" s="8"/>
      <c r="R81" s="30"/>
      <c r="S81" s="27"/>
      <c r="T81" s="27"/>
      <c r="U81" s="27"/>
      <c r="V81" s="27"/>
      <c r="W81" s="27"/>
      <c r="X81" s="80"/>
      <c r="Y81" s="80"/>
      <c r="Z81" s="80"/>
      <c r="AA81" s="80"/>
      <c r="AB81" s="80"/>
      <c r="AC81" s="80"/>
      <c r="AD81" s="80"/>
      <c r="AE81" s="80"/>
      <c r="AF81" s="80"/>
      <c r="AG81" s="80"/>
      <c r="AH81" s="80"/>
      <c r="AI81" s="80"/>
      <c r="AJ81" s="80"/>
      <c r="AK81" s="80"/>
      <c r="AL81" s="80"/>
      <c r="AM81" s="80"/>
      <c r="AN81" s="27"/>
      <c r="AO81" s="27"/>
      <c r="AP81" s="27"/>
    </row>
    <row r="82" spans="1:42" s="10" customFormat="1" ht="15" customHeight="1" x14ac:dyDescent="0.3">
      <c r="A82" s="75"/>
      <c r="B82" s="86"/>
      <c r="C82" s="87"/>
      <c r="D82" s="87"/>
      <c r="E82" s="87"/>
      <c r="F82" s="87"/>
      <c r="G82" s="88"/>
      <c r="H82" s="89"/>
      <c r="I82" s="67"/>
      <c r="J82" s="67"/>
      <c r="K82" s="8"/>
      <c r="L82" s="8"/>
      <c r="M82" s="8"/>
      <c r="N82" s="8"/>
      <c r="O82" s="8"/>
      <c r="P82" s="8"/>
      <c r="Q82" s="8"/>
      <c r="R82" s="30"/>
      <c r="S82" s="27"/>
      <c r="T82" s="27"/>
      <c r="U82" s="27"/>
      <c r="V82" s="27"/>
      <c r="W82" s="27"/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0"/>
      <c r="AJ82" s="80"/>
      <c r="AK82" s="80"/>
      <c r="AL82" s="80"/>
      <c r="AM82" s="80"/>
      <c r="AN82" s="27"/>
      <c r="AO82" s="27"/>
      <c r="AP82" s="27"/>
    </row>
    <row r="83" spans="1:42" s="10" customFormat="1" ht="15" customHeight="1" x14ac:dyDescent="0.3">
      <c r="A83" s="75"/>
      <c r="B83" s="86"/>
      <c r="C83" s="87"/>
      <c r="D83" s="87"/>
      <c r="E83" s="87"/>
      <c r="F83" s="87"/>
      <c r="G83" s="88"/>
      <c r="H83" s="89"/>
      <c r="I83" s="67"/>
      <c r="J83" s="67"/>
      <c r="K83" s="8"/>
      <c r="L83" s="8"/>
      <c r="M83" s="8"/>
      <c r="N83" s="8"/>
      <c r="O83" s="8"/>
      <c r="P83" s="8"/>
      <c r="Q83" s="8"/>
      <c r="R83" s="30"/>
      <c r="S83" s="27"/>
      <c r="T83" s="27"/>
      <c r="U83" s="27"/>
      <c r="V83" s="27"/>
      <c r="W83" s="27"/>
      <c r="X83" s="80"/>
      <c r="Y83" s="80"/>
      <c r="Z83" s="80"/>
      <c r="AA83" s="80"/>
      <c r="AB83" s="80"/>
      <c r="AC83" s="80"/>
      <c r="AD83" s="80"/>
      <c r="AE83" s="80"/>
      <c r="AF83" s="80"/>
      <c r="AG83" s="80"/>
      <c r="AH83" s="80"/>
      <c r="AI83" s="80"/>
      <c r="AJ83" s="80"/>
      <c r="AK83" s="80"/>
      <c r="AL83" s="80"/>
      <c r="AM83" s="80"/>
      <c r="AN83" s="27"/>
      <c r="AO83" s="27"/>
      <c r="AP83" s="27"/>
    </row>
    <row r="84" spans="1:42" s="10" customFormat="1" ht="15" customHeight="1" x14ac:dyDescent="0.3">
      <c r="A84" s="75"/>
      <c r="B84" s="86"/>
      <c r="C84" s="87"/>
      <c r="D84" s="87"/>
      <c r="E84" s="87"/>
      <c r="F84" s="87"/>
      <c r="G84" s="88"/>
      <c r="H84" s="89"/>
      <c r="I84" s="67"/>
      <c r="J84" s="67"/>
      <c r="K84" s="8"/>
      <c r="L84" s="8"/>
      <c r="M84" s="8"/>
      <c r="N84" s="8"/>
      <c r="O84" s="8"/>
      <c r="P84" s="8"/>
      <c r="Q84" s="8"/>
      <c r="R84" s="30"/>
      <c r="S84" s="27"/>
      <c r="T84" s="27"/>
      <c r="U84" s="27"/>
      <c r="V84" s="27"/>
      <c r="W84" s="27"/>
      <c r="X84" s="80"/>
      <c r="Y84" s="80"/>
      <c r="Z84" s="80"/>
      <c r="AA84" s="80"/>
      <c r="AB84" s="80"/>
      <c r="AC84" s="80"/>
      <c r="AD84" s="80"/>
      <c r="AE84" s="80"/>
      <c r="AF84" s="80"/>
      <c r="AG84" s="80"/>
      <c r="AH84" s="80"/>
      <c r="AI84" s="80"/>
      <c r="AJ84" s="80"/>
      <c r="AK84" s="80"/>
      <c r="AL84" s="80"/>
      <c r="AM84" s="80"/>
      <c r="AN84" s="27"/>
      <c r="AO84" s="27"/>
      <c r="AP84" s="27"/>
    </row>
    <row r="85" spans="1:42" s="10" customFormat="1" ht="15" customHeight="1" x14ac:dyDescent="0.3">
      <c r="A85" s="75"/>
      <c r="B85" s="86"/>
      <c r="C85" s="87"/>
      <c r="D85" s="87"/>
      <c r="E85" s="87"/>
      <c r="F85" s="87"/>
      <c r="G85" s="88"/>
      <c r="H85" s="89"/>
      <c r="I85" s="67"/>
      <c r="J85" s="67"/>
      <c r="K85" s="8"/>
      <c r="L85" s="8"/>
      <c r="M85" s="8"/>
      <c r="N85" s="8"/>
      <c r="O85" s="8"/>
      <c r="P85" s="8"/>
      <c r="Q85" s="8"/>
      <c r="R85" s="30"/>
      <c r="S85" s="27"/>
      <c r="T85" s="27"/>
      <c r="U85" s="27"/>
      <c r="V85" s="27"/>
      <c r="W85" s="27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  <c r="AJ85" s="80"/>
      <c r="AK85" s="80"/>
      <c r="AL85" s="80"/>
      <c r="AM85" s="80"/>
      <c r="AN85" s="27"/>
      <c r="AO85" s="27"/>
      <c r="AP85" s="27"/>
    </row>
    <row r="86" spans="1:42" s="10" customFormat="1" ht="15" customHeight="1" x14ac:dyDescent="0.3">
      <c r="A86" s="75"/>
      <c r="B86" s="86"/>
      <c r="C86" s="87"/>
      <c r="D86" s="87"/>
      <c r="E86" s="87"/>
      <c r="F86" s="87"/>
      <c r="G86" s="88"/>
      <c r="H86" s="89"/>
      <c r="I86" s="67"/>
      <c r="J86" s="67"/>
      <c r="K86" s="8"/>
      <c r="L86" s="8"/>
      <c r="M86" s="8"/>
      <c r="N86" s="8"/>
      <c r="O86" s="8"/>
      <c r="P86" s="8"/>
      <c r="Q86" s="8"/>
      <c r="R86" s="30"/>
      <c r="S86" s="27"/>
      <c r="T86" s="27"/>
      <c r="U86" s="27"/>
      <c r="V86" s="27"/>
      <c r="W86" s="27"/>
      <c r="X86" s="80"/>
      <c r="Y86" s="80"/>
      <c r="Z86" s="80"/>
      <c r="AA86" s="80"/>
      <c r="AB86" s="80"/>
      <c r="AC86" s="80"/>
      <c r="AD86" s="80"/>
      <c r="AE86" s="80"/>
      <c r="AF86" s="80"/>
      <c r="AG86" s="80"/>
      <c r="AH86" s="80"/>
      <c r="AI86" s="80"/>
      <c r="AJ86" s="80"/>
      <c r="AK86" s="80"/>
      <c r="AL86" s="80"/>
      <c r="AM86" s="80"/>
      <c r="AN86" s="27"/>
      <c r="AO86" s="27"/>
      <c r="AP86" s="27"/>
    </row>
    <row r="87" spans="1:42" s="10" customFormat="1" ht="15" customHeight="1" x14ac:dyDescent="0.3">
      <c r="A87" s="75"/>
      <c r="B87" s="86"/>
      <c r="C87" s="87"/>
      <c r="D87" s="87"/>
      <c r="E87" s="87"/>
      <c r="F87" s="87"/>
      <c r="G87" s="88"/>
      <c r="H87" s="89"/>
      <c r="I87" s="67"/>
      <c r="J87" s="67"/>
      <c r="K87" s="8"/>
      <c r="L87" s="8"/>
      <c r="M87" s="8"/>
      <c r="N87" s="8"/>
      <c r="O87" s="8"/>
      <c r="P87" s="8"/>
      <c r="Q87" s="8"/>
      <c r="R87" s="30"/>
      <c r="S87" s="27"/>
      <c r="T87" s="27"/>
      <c r="U87" s="27"/>
      <c r="V87" s="27"/>
      <c r="W87" s="27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  <c r="AJ87" s="80"/>
      <c r="AK87" s="80"/>
      <c r="AL87" s="80"/>
      <c r="AM87" s="80"/>
      <c r="AN87" s="27"/>
      <c r="AO87" s="27"/>
      <c r="AP87" s="27"/>
    </row>
    <row r="88" spans="1:42" s="10" customFormat="1" ht="15" customHeight="1" x14ac:dyDescent="0.3">
      <c r="A88" s="75"/>
      <c r="B88" s="86"/>
      <c r="C88" s="87"/>
      <c r="D88" s="87"/>
      <c r="E88" s="87"/>
      <c r="F88" s="87"/>
      <c r="G88" s="88"/>
      <c r="H88" s="89"/>
      <c r="I88" s="67"/>
      <c r="J88" s="67"/>
      <c r="K88" s="8"/>
      <c r="L88" s="8"/>
      <c r="M88" s="8"/>
      <c r="N88" s="8"/>
      <c r="O88" s="8"/>
      <c r="P88" s="8"/>
      <c r="Q88" s="8"/>
      <c r="R88" s="30"/>
      <c r="S88" s="27"/>
      <c r="T88" s="27"/>
      <c r="U88" s="27"/>
      <c r="V88" s="27"/>
      <c r="W88" s="27"/>
      <c r="X88" s="80"/>
      <c r="Y88" s="80"/>
      <c r="Z88" s="80"/>
      <c r="AA88" s="80"/>
      <c r="AB88" s="80"/>
      <c r="AC88" s="80"/>
      <c r="AD88" s="80"/>
      <c r="AE88" s="80"/>
      <c r="AF88" s="80"/>
      <c r="AG88" s="80"/>
      <c r="AH88" s="80"/>
      <c r="AI88" s="80"/>
      <c r="AJ88" s="80"/>
      <c r="AK88" s="80"/>
      <c r="AL88" s="80"/>
      <c r="AM88" s="80"/>
      <c r="AN88" s="27"/>
      <c r="AO88" s="27"/>
      <c r="AP88" s="27"/>
    </row>
    <row r="89" spans="1:42" s="10" customFormat="1" ht="15" customHeight="1" x14ac:dyDescent="0.3">
      <c r="A89" s="75"/>
      <c r="B89" s="195"/>
      <c r="C89" s="195"/>
      <c r="D89" s="76"/>
      <c r="E89" s="77"/>
      <c r="F89" s="78"/>
      <c r="G89" s="77"/>
      <c r="H89" s="79"/>
      <c r="I89" s="77"/>
      <c r="J89" s="77"/>
      <c r="K89" s="8"/>
      <c r="L89" s="8"/>
      <c r="M89" s="8"/>
      <c r="N89" s="8"/>
      <c r="O89" s="8"/>
      <c r="P89" s="8"/>
      <c r="Q89" s="8"/>
      <c r="R89" s="30"/>
      <c r="S89" s="27"/>
      <c r="T89" s="27"/>
      <c r="U89" s="27"/>
      <c r="V89" s="27"/>
      <c r="W89" s="27"/>
      <c r="X89" s="80"/>
      <c r="Y89" s="80"/>
      <c r="Z89" s="80"/>
      <c r="AA89" s="80"/>
      <c r="AB89" s="80"/>
      <c r="AC89" s="80"/>
      <c r="AD89" s="80"/>
      <c r="AE89" s="80"/>
      <c r="AF89" s="80"/>
      <c r="AG89" s="80"/>
      <c r="AH89" s="80"/>
      <c r="AI89" s="80"/>
      <c r="AJ89" s="80"/>
      <c r="AK89" s="80"/>
      <c r="AL89" s="80"/>
      <c r="AM89" s="80"/>
      <c r="AN89" s="27"/>
      <c r="AO89" s="27"/>
      <c r="AP89" s="27"/>
    </row>
    <row r="90" spans="1:42" s="10" customFormat="1" ht="15" customHeight="1" x14ac:dyDescent="0.2">
      <c r="A90" s="75"/>
      <c r="B90" s="194"/>
      <c r="C90" s="194"/>
      <c r="D90" s="194"/>
      <c r="E90" s="194"/>
      <c r="F90" s="194"/>
      <c r="G90" s="194"/>
      <c r="H90" s="194"/>
      <c r="I90" s="194"/>
      <c r="J90" s="81"/>
      <c r="K90" s="82"/>
      <c r="L90" s="82"/>
      <c r="M90" s="82"/>
      <c r="N90" s="82"/>
      <c r="O90" s="82"/>
      <c r="P90" s="82"/>
      <c r="Q90" s="82"/>
      <c r="R90" s="82"/>
      <c r="S90" s="82"/>
      <c r="T90" s="82"/>
      <c r="U90" s="82"/>
      <c r="V90" s="82"/>
      <c r="W90" s="27"/>
      <c r="X90" s="80"/>
      <c r="Y90" s="80"/>
      <c r="Z90" s="80"/>
      <c r="AA90" s="80"/>
      <c r="AB90" s="80"/>
      <c r="AC90" s="80"/>
      <c r="AD90" s="80"/>
      <c r="AE90" s="80"/>
      <c r="AF90" s="80"/>
      <c r="AG90" s="80"/>
      <c r="AH90" s="80"/>
      <c r="AI90" s="80"/>
      <c r="AJ90" s="80"/>
      <c r="AK90" s="80"/>
      <c r="AL90" s="80"/>
      <c r="AM90" s="80"/>
      <c r="AN90" s="27"/>
      <c r="AO90" s="27"/>
      <c r="AP90" s="27"/>
    </row>
    <row r="91" spans="1:42" s="10" customFormat="1" ht="15" customHeight="1" x14ac:dyDescent="0.3">
      <c r="A91" s="75"/>
      <c r="B91" s="194"/>
      <c r="C91" s="194"/>
      <c r="D91" s="194"/>
      <c r="E91" s="194"/>
      <c r="F91" s="194"/>
      <c r="G91" s="194"/>
      <c r="H91" s="194"/>
      <c r="I91" s="194"/>
      <c r="J91" s="81"/>
      <c r="K91" s="187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27"/>
      <c r="X91" s="80"/>
      <c r="Y91" s="80"/>
      <c r="Z91" s="80"/>
      <c r="AA91" s="80"/>
      <c r="AB91" s="80"/>
      <c r="AC91" s="80"/>
      <c r="AD91" s="80"/>
      <c r="AE91" s="80"/>
      <c r="AF91" s="80"/>
      <c r="AG91" s="80"/>
      <c r="AH91" s="80"/>
      <c r="AI91" s="80"/>
      <c r="AJ91" s="80"/>
      <c r="AK91" s="80"/>
      <c r="AL91" s="80"/>
      <c r="AM91" s="80"/>
      <c r="AN91" s="27"/>
      <c r="AO91" s="27"/>
      <c r="AP91" s="27"/>
    </row>
    <row r="92" spans="1:42" s="10" customFormat="1" ht="15" customHeight="1" x14ac:dyDescent="0.3">
      <c r="A92" s="75"/>
      <c r="B92" s="83"/>
      <c r="C92" s="84"/>
      <c r="D92" s="84"/>
      <c r="E92" s="84"/>
      <c r="F92" s="84"/>
      <c r="G92" s="84"/>
      <c r="H92" s="84"/>
      <c r="I92" s="85"/>
      <c r="J92" s="85"/>
      <c r="K92" s="187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27"/>
      <c r="X92" s="80"/>
      <c r="Y92" s="80"/>
      <c r="Z92" s="80"/>
      <c r="AA92" s="80"/>
      <c r="AB92" s="80"/>
      <c r="AC92" s="80"/>
      <c r="AD92" s="80"/>
      <c r="AE92" s="80"/>
      <c r="AF92" s="80"/>
      <c r="AG92" s="80"/>
      <c r="AH92" s="80"/>
      <c r="AI92" s="80"/>
      <c r="AJ92" s="80"/>
      <c r="AK92" s="80"/>
      <c r="AL92" s="80"/>
      <c r="AM92" s="80"/>
      <c r="AN92" s="27"/>
      <c r="AO92" s="27"/>
      <c r="AP92" s="27"/>
    </row>
    <row r="93" spans="1:42" s="10" customFormat="1" ht="15" customHeight="1" x14ac:dyDescent="0.3">
      <c r="A93" s="75"/>
      <c r="B93" s="86"/>
      <c r="C93" s="87"/>
      <c r="D93" s="87"/>
      <c r="E93" s="87"/>
      <c r="F93" s="87"/>
      <c r="G93" s="88"/>
      <c r="H93" s="89"/>
      <c r="I93" s="67"/>
      <c r="J93" s="67"/>
      <c r="K93" s="187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27"/>
      <c r="X93" s="80"/>
      <c r="Y93" s="80"/>
      <c r="Z93" s="80"/>
      <c r="AA93" s="80"/>
      <c r="AB93" s="80"/>
      <c r="AC93" s="80"/>
      <c r="AD93" s="80"/>
      <c r="AE93" s="80"/>
      <c r="AF93" s="80"/>
      <c r="AG93" s="80"/>
      <c r="AH93" s="80"/>
      <c r="AI93" s="80"/>
      <c r="AJ93" s="80"/>
      <c r="AK93" s="80"/>
      <c r="AL93" s="80"/>
      <c r="AM93" s="80"/>
      <c r="AN93" s="27"/>
      <c r="AO93" s="27"/>
      <c r="AP93" s="27"/>
    </row>
    <row r="94" spans="1:42" s="10" customFormat="1" ht="15" customHeight="1" x14ac:dyDescent="0.3">
      <c r="A94" s="75"/>
      <c r="B94" s="86"/>
      <c r="C94" s="87"/>
      <c r="D94" s="87"/>
      <c r="E94" s="87"/>
      <c r="F94" s="87"/>
      <c r="G94" s="88"/>
      <c r="H94" s="89"/>
      <c r="I94" s="67"/>
      <c r="J94" s="67"/>
      <c r="K94" s="8"/>
      <c r="L94" s="8"/>
      <c r="M94" s="8"/>
      <c r="N94" s="8"/>
      <c r="O94" s="8"/>
      <c r="P94" s="8"/>
      <c r="Q94" s="8"/>
      <c r="R94" s="30"/>
      <c r="S94" s="27"/>
      <c r="T94" s="27"/>
      <c r="U94" s="27"/>
      <c r="V94" s="27"/>
      <c r="W94" s="27"/>
      <c r="X94" s="80"/>
      <c r="Y94" s="80"/>
      <c r="Z94" s="80"/>
      <c r="AA94" s="80"/>
      <c r="AB94" s="80"/>
      <c r="AC94" s="80"/>
      <c r="AD94" s="80"/>
      <c r="AE94" s="80"/>
      <c r="AF94" s="80"/>
      <c r="AG94" s="80"/>
      <c r="AH94" s="80"/>
      <c r="AI94" s="80"/>
      <c r="AJ94" s="80"/>
      <c r="AK94" s="80"/>
      <c r="AL94" s="80"/>
      <c r="AM94" s="80"/>
      <c r="AN94" s="27"/>
      <c r="AO94" s="27"/>
      <c r="AP94" s="27"/>
    </row>
    <row r="95" spans="1:42" s="10" customFormat="1" ht="15" customHeight="1" x14ac:dyDescent="0.3">
      <c r="A95" s="75"/>
      <c r="B95" s="86"/>
      <c r="C95" s="87"/>
      <c r="D95" s="87"/>
      <c r="E95" s="87"/>
      <c r="F95" s="87"/>
      <c r="G95" s="88"/>
      <c r="H95" s="89"/>
      <c r="I95" s="67"/>
      <c r="J95" s="67"/>
      <c r="K95" s="8"/>
      <c r="L95" s="8"/>
      <c r="M95" s="8"/>
      <c r="N95" s="8"/>
      <c r="O95" s="8"/>
      <c r="P95" s="8"/>
      <c r="Q95" s="8"/>
      <c r="R95" s="30"/>
      <c r="S95" s="27"/>
      <c r="T95" s="27"/>
      <c r="U95" s="27"/>
      <c r="V95" s="27"/>
      <c r="W95" s="27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0"/>
      <c r="AJ95" s="80"/>
      <c r="AK95" s="80"/>
      <c r="AL95" s="80"/>
      <c r="AM95" s="80"/>
      <c r="AN95" s="27"/>
      <c r="AO95" s="27"/>
      <c r="AP95" s="27"/>
    </row>
    <row r="96" spans="1:42" s="10" customFormat="1" ht="15" customHeight="1" x14ac:dyDescent="0.3">
      <c r="A96" s="75"/>
      <c r="B96" s="86"/>
      <c r="C96" s="87"/>
      <c r="D96" s="87"/>
      <c r="E96" s="87"/>
      <c r="F96" s="87"/>
      <c r="G96" s="88"/>
      <c r="H96" s="89"/>
      <c r="I96" s="67"/>
      <c r="J96" s="67"/>
      <c r="K96" s="8"/>
      <c r="L96" s="8"/>
      <c r="M96" s="8"/>
      <c r="N96" s="8"/>
      <c r="O96" s="8"/>
      <c r="P96" s="8"/>
      <c r="Q96" s="8"/>
      <c r="R96" s="30"/>
      <c r="S96" s="27"/>
      <c r="T96" s="27"/>
      <c r="U96" s="27"/>
      <c r="V96" s="27"/>
      <c r="W96" s="27"/>
      <c r="X96" s="80"/>
      <c r="Y96" s="80"/>
      <c r="Z96" s="80"/>
      <c r="AA96" s="80"/>
      <c r="AB96" s="80"/>
      <c r="AC96" s="80"/>
      <c r="AD96" s="80"/>
      <c r="AE96" s="80"/>
      <c r="AF96" s="80"/>
      <c r="AG96" s="80"/>
      <c r="AH96" s="80"/>
      <c r="AI96" s="80"/>
      <c r="AJ96" s="80"/>
      <c r="AK96" s="80"/>
      <c r="AL96" s="80"/>
      <c r="AM96" s="80"/>
      <c r="AN96" s="27"/>
      <c r="AO96" s="27"/>
      <c r="AP96" s="27"/>
    </row>
    <row r="97" spans="1:42" s="10" customFormat="1" ht="15" customHeight="1" x14ac:dyDescent="0.3">
      <c r="A97" s="75"/>
      <c r="B97" s="86"/>
      <c r="C97" s="87"/>
      <c r="D97" s="87"/>
      <c r="E97" s="87"/>
      <c r="F97" s="87"/>
      <c r="G97" s="88"/>
      <c r="H97" s="89"/>
      <c r="I97" s="67"/>
      <c r="J97" s="67"/>
      <c r="K97" s="8"/>
      <c r="L97" s="8"/>
      <c r="M97" s="8"/>
      <c r="N97" s="8"/>
      <c r="O97" s="8"/>
      <c r="P97" s="8"/>
      <c r="Q97" s="8"/>
      <c r="R97" s="30"/>
      <c r="S97" s="27"/>
      <c r="T97" s="27"/>
      <c r="U97" s="27"/>
      <c r="V97" s="27"/>
      <c r="W97" s="27"/>
      <c r="X97" s="80"/>
      <c r="Y97" s="80"/>
      <c r="Z97" s="80"/>
      <c r="AA97" s="80"/>
      <c r="AB97" s="80"/>
      <c r="AC97" s="80"/>
      <c r="AD97" s="80"/>
      <c r="AE97" s="80"/>
      <c r="AF97" s="80"/>
      <c r="AG97" s="80"/>
      <c r="AH97" s="80"/>
      <c r="AI97" s="80"/>
      <c r="AJ97" s="80"/>
      <c r="AK97" s="80"/>
      <c r="AL97" s="80"/>
      <c r="AM97" s="80"/>
      <c r="AN97" s="27"/>
      <c r="AO97" s="27"/>
      <c r="AP97" s="27"/>
    </row>
    <row r="98" spans="1:42" s="10" customFormat="1" ht="15" customHeight="1" x14ac:dyDescent="0.3">
      <c r="A98" s="75"/>
      <c r="B98" s="86"/>
      <c r="C98" s="87"/>
      <c r="D98" s="87"/>
      <c r="E98" s="87"/>
      <c r="F98" s="87"/>
      <c r="G98" s="88"/>
      <c r="H98" s="89"/>
      <c r="I98" s="67"/>
      <c r="J98" s="67"/>
      <c r="K98" s="8"/>
      <c r="L98" s="8"/>
      <c r="M98" s="8"/>
      <c r="N98" s="8"/>
      <c r="O98" s="8"/>
      <c r="P98" s="8"/>
      <c r="Q98" s="8"/>
      <c r="R98" s="30"/>
      <c r="S98" s="27"/>
      <c r="T98" s="27"/>
      <c r="U98" s="27"/>
      <c r="V98" s="27"/>
      <c r="W98" s="27"/>
      <c r="X98" s="80"/>
      <c r="Y98" s="80"/>
      <c r="Z98" s="80"/>
      <c r="AA98" s="80"/>
      <c r="AB98" s="80"/>
      <c r="AC98" s="80"/>
      <c r="AD98" s="80"/>
      <c r="AE98" s="80"/>
      <c r="AF98" s="80"/>
      <c r="AG98" s="80"/>
      <c r="AH98" s="80"/>
      <c r="AI98" s="80"/>
      <c r="AJ98" s="80"/>
      <c r="AK98" s="80"/>
      <c r="AL98" s="80"/>
      <c r="AM98" s="80"/>
      <c r="AN98" s="27"/>
      <c r="AO98" s="27"/>
      <c r="AP98" s="27"/>
    </row>
    <row r="99" spans="1:42" s="10" customFormat="1" ht="15" customHeight="1" x14ac:dyDescent="0.3">
      <c r="A99" s="75"/>
      <c r="B99" s="86"/>
      <c r="C99" s="87"/>
      <c r="D99" s="87"/>
      <c r="E99" s="87"/>
      <c r="F99" s="87"/>
      <c r="G99" s="88"/>
      <c r="H99" s="89"/>
      <c r="I99" s="67"/>
      <c r="J99" s="67"/>
      <c r="K99" s="8"/>
      <c r="L99" s="8"/>
      <c r="M99" s="8"/>
      <c r="N99" s="8"/>
      <c r="O99" s="8"/>
      <c r="P99" s="8"/>
      <c r="Q99" s="8"/>
      <c r="R99" s="30"/>
      <c r="S99" s="27"/>
      <c r="T99" s="27"/>
      <c r="U99" s="27"/>
      <c r="V99" s="27"/>
      <c r="W99" s="27"/>
      <c r="X99" s="80"/>
      <c r="Y99" s="80"/>
      <c r="Z99" s="80"/>
      <c r="AA99" s="80"/>
      <c r="AB99" s="80"/>
      <c r="AC99" s="80"/>
      <c r="AD99" s="80"/>
      <c r="AE99" s="80"/>
      <c r="AF99" s="80"/>
      <c r="AG99" s="80"/>
      <c r="AH99" s="80"/>
      <c r="AI99" s="80"/>
      <c r="AJ99" s="80"/>
      <c r="AK99" s="80"/>
      <c r="AL99" s="80"/>
      <c r="AM99" s="80"/>
      <c r="AN99" s="27"/>
      <c r="AO99" s="27"/>
      <c r="AP99" s="27"/>
    </row>
    <row r="100" spans="1:42" s="10" customFormat="1" ht="15" customHeight="1" x14ac:dyDescent="0.3">
      <c r="A100" s="75"/>
      <c r="B100" s="86"/>
      <c r="C100" s="87"/>
      <c r="D100" s="87"/>
      <c r="E100" s="87"/>
      <c r="F100" s="87"/>
      <c r="G100" s="88"/>
      <c r="H100" s="89"/>
      <c r="I100" s="67"/>
      <c r="J100" s="67"/>
      <c r="K100" s="8"/>
      <c r="L100" s="8"/>
      <c r="M100" s="8"/>
      <c r="N100" s="8"/>
      <c r="O100" s="8"/>
      <c r="P100" s="8"/>
      <c r="Q100" s="8"/>
      <c r="R100" s="30"/>
      <c r="S100" s="27"/>
      <c r="T100" s="27"/>
      <c r="U100" s="27"/>
      <c r="V100" s="27"/>
      <c r="W100" s="27"/>
      <c r="X100" s="80"/>
      <c r="Y100" s="80"/>
      <c r="Z100" s="80"/>
      <c r="AA100" s="80"/>
      <c r="AB100" s="80"/>
      <c r="AC100" s="80"/>
      <c r="AD100" s="80"/>
      <c r="AE100" s="80"/>
      <c r="AF100" s="80"/>
      <c r="AG100" s="80"/>
      <c r="AH100" s="80"/>
      <c r="AI100" s="80"/>
      <c r="AJ100" s="80"/>
      <c r="AK100" s="80"/>
      <c r="AL100" s="80"/>
      <c r="AM100" s="80"/>
      <c r="AN100" s="27"/>
      <c r="AO100" s="27"/>
      <c r="AP100" s="27"/>
    </row>
    <row r="101" spans="1:42" s="10" customFormat="1" ht="15" customHeight="1" x14ac:dyDescent="0.3">
      <c r="A101" s="75"/>
      <c r="B101" s="86"/>
      <c r="C101" s="87"/>
      <c r="D101" s="87"/>
      <c r="E101" s="87"/>
      <c r="F101" s="87"/>
      <c r="G101" s="88"/>
      <c r="H101" s="89"/>
      <c r="I101" s="67"/>
      <c r="J101" s="67"/>
      <c r="K101" s="8"/>
      <c r="L101" s="8"/>
      <c r="M101" s="8"/>
      <c r="N101" s="8"/>
      <c r="O101" s="8"/>
      <c r="P101" s="8"/>
      <c r="Q101" s="8"/>
      <c r="R101" s="30"/>
      <c r="S101" s="27"/>
      <c r="T101" s="27"/>
      <c r="U101" s="27"/>
      <c r="V101" s="27"/>
      <c r="W101" s="27"/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  <c r="AI101" s="80"/>
      <c r="AJ101" s="80"/>
      <c r="AK101" s="80"/>
      <c r="AL101" s="80"/>
      <c r="AM101" s="80"/>
      <c r="AN101" s="27"/>
      <c r="AO101" s="27"/>
      <c r="AP101" s="27"/>
    </row>
    <row r="102" spans="1:42" s="10" customFormat="1" ht="15" customHeight="1" x14ac:dyDescent="0.3">
      <c r="A102" s="75"/>
      <c r="B102" s="86"/>
      <c r="C102" s="87"/>
      <c r="D102" s="87"/>
      <c r="E102" s="87"/>
      <c r="F102" s="87"/>
      <c r="G102" s="88"/>
      <c r="H102" s="89"/>
      <c r="I102" s="67"/>
      <c r="J102" s="67"/>
      <c r="K102" s="8"/>
      <c r="L102" s="8"/>
      <c r="M102" s="8"/>
      <c r="N102" s="8"/>
      <c r="O102" s="8"/>
      <c r="P102" s="8"/>
      <c r="Q102" s="8"/>
      <c r="R102" s="30"/>
      <c r="S102" s="27"/>
      <c r="T102" s="27"/>
      <c r="U102" s="27"/>
      <c r="V102" s="27"/>
      <c r="W102" s="27"/>
      <c r="X102" s="80"/>
      <c r="Y102" s="80"/>
      <c r="Z102" s="80"/>
      <c r="AA102" s="80"/>
      <c r="AB102" s="80"/>
      <c r="AC102" s="80"/>
      <c r="AD102" s="80"/>
      <c r="AE102" s="80"/>
      <c r="AF102" s="80"/>
      <c r="AG102" s="80"/>
      <c r="AH102" s="80"/>
      <c r="AI102" s="80"/>
      <c r="AJ102" s="80"/>
      <c r="AK102" s="80"/>
      <c r="AL102" s="80"/>
      <c r="AM102" s="80"/>
      <c r="AN102" s="27"/>
      <c r="AO102" s="27"/>
      <c r="AP102" s="27"/>
    </row>
    <row r="103" spans="1:42" s="10" customFormat="1" ht="15" customHeight="1" x14ac:dyDescent="0.3">
      <c r="A103" s="75"/>
      <c r="B103" s="86"/>
      <c r="C103" s="87"/>
      <c r="D103" s="87"/>
      <c r="E103" s="87"/>
      <c r="F103" s="87"/>
      <c r="G103" s="88"/>
      <c r="H103" s="89"/>
      <c r="I103" s="67"/>
      <c r="J103" s="67"/>
      <c r="K103" s="8"/>
      <c r="L103" s="8"/>
      <c r="M103" s="8"/>
      <c r="N103" s="8"/>
      <c r="O103" s="8"/>
      <c r="P103" s="8"/>
      <c r="Q103" s="8"/>
      <c r="R103" s="30"/>
      <c r="S103" s="27"/>
      <c r="T103" s="27"/>
      <c r="U103" s="27"/>
      <c r="V103" s="27"/>
      <c r="W103" s="27"/>
      <c r="X103" s="80"/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  <c r="AJ103" s="80"/>
      <c r="AK103" s="80"/>
      <c r="AL103" s="80"/>
      <c r="AM103" s="80"/>
      <c r="AN103" s="27"/>
      <c r="AO103" s="27"/>
      <c r="AP103" s="27"/>
    </row>
    <row r="104" spans="1:42" s="10" customFormat="1" ht="15" customHeight="1" x14ac:dyDescent="0.3">
      <c r="A104" s="75"/>
      <c r="B104" s="86"/>
      <c r="C104" s="87"/>
      <c r="D104" s="87"/>
      <c r="E104" s="87"/>
      <c r="F104" s="87"/>
      <c r="G104" s="88"/>
      <c r="H104" s="89"/>
      <c r="I104" s="67"/>
      <c r="J104" s="67"/>
      <c r="K104" s="8"/>
      <c r="L104" s="8"/>
      <c r="M104" s="8"/>
      <c r="N104" s="8"/>
      <c r="O104" s="8"/>
      <c r="P104" s="8"/>
      <c r="Q104" s="8"/>
      <c r="R104" s="30"/>
      <c r="S104" s="27"/>
      <c r="T104" s="27"/>
      <c r="U104" s="27"/>
      <c r="V104" s="27"/>
      <c r="W104" s="27"/>
      <c r="X104" s="80"/>
      <c r="Y104" s="80"/>
      <c r="Z104" s="80"/>
      <c r="AA104" s="80"/>
      <c r="AB104" s="80"/>
      <c r="AC104" s="80"/>
      <c r="AD104" s="80"/>
      <c r="AE104" s="80"/>
      <c r="AF104" s="80"/>
      <c r="AG104" s="80"/>
      <c r="AH104" s="80"/>
      <c r="AI104" s="80"/>
      <c r="AJ104" s="80"/>
      <c r="AK104" s="80"/>
      <c r="AL104" s="80"/>
      <c r="AM104" s="80"/>
      <c r="AN104" s="27"/>
      <c r="AO104" s="27"/>
      <c r="AP104" s="27"/>
    </row>
    <row r="105" spans="1:42" s="10" customFormat="1" ht="15" customHeight="1" x14ac:dyDescent="0.3">
      <c r="A105" s="75"/>
      <c r="B105" s="90"/>
      <c r="C105" s="90"/>
      <c r="D105" s="76"/>
      <c r="E105" s="77"/>
      <c r="F105" s="78"/>
      <c r="G105" s="77"/>
      <c r="H105" s="79"/>
      <c r="I105" s="77"/>
      <c r="J105" s="77"/>
      <c r="K105" s="8"/>
      <c r="L105" s="8"/>
      <c r="M105" s="8"/>
      <c r="N105" s="8"/>
      <c r="O105" s="8"/>
      <c r="P105" s="8"/>
      <c r="Q105" s="8"/>
      <c r="R105" s="30"/>
      <c r="S105" s="27"/>
      <c r="T105" s="27"/>
      <c r="U105" s="27"/>
      <c r="V105" s="27"/>
      <c r="W105" s="27"/>
      <c r="X105" s="80"/>
      <c r="Y105" s="80"/>
      <c r="Z105" s="80"/>
      <c r="AA105" s="80"/>
      <c r="AB105" s="80"/>
      <c r="AC105" s="80"/>
      <c r="AD105" s="80"/>
      <c r="AE105" s="80"/>
      <c r="AF105" s="80"/>
      <c r="AG105" s="80"/>
      <c r="AH105" s="80"/>
      <c r="AI105" s="80"/>
      <c r="AJ105" s="80"/>
      <c r="AK105" s="80"/>
      <c r="AL105" s="80"/>
      <c r="AM105" s="80"/>
      <c r="AN105" s="27"/>
      <c r="AO105" s="27"/>
      <c r="AP105" s="27"/>
    </row>
    <row r="106" spans="1:42" ht="15" customHeight="1" x14ac:dyDescent="0.2">
      <c r="A106" s="75"/>
      <c r="B106" s="194"/>
      <c r="C106" s="194"/>
      <c r="D106" s="194"/>
      <c r="E106" s="194"/>
      <c r="F106" s="194"/>
      <c r="G106" s="194"/>
      <c r="H106" s="194"/>
      <c r="I106" s="194"/>
      <c r="J106" s="81"/>
      <c r="K106" s="82"/>
      <c r="L106" s="82"/>
      <c r="M106" s="82"/>
      <c r="N106" s="82"/>
      <c r="O106" s="82"/>
      <c r="P106" s="82"/>
      <c r="Q106" s="82"/>
      <c r="R106" s="82"/>
      <c r="S106" s="82"/>
      <c r="T106" s="82"/>
      <c r="U106" s="82"/>
      <c r="V106" s="82"/>
      <c r="W106" s="27"/>
      <c r="X106" s="80"/>
      <c r="Y106" s="80"/>
      <c r="Z106" s="80"/>
      <c r="AA106" s="80"/>
      <c r="AB106" s="80"/>
      <c r="AC106" s="80"/>
      <c r="AD106" s="80"/>
      <c r="AE106" s="80"/>
      <c r="AF106" s="80"/>
      <c r="AG106" s="80"/>
      <c r="AH106" s="80"/>
      <c r="AI106" s="80"/>
      <c r="AJ106" s="80"/>
      <c r="AK106" s="80"/>
      <c r="AL106" s="80"/>
      <c r="AM106" s="80"/>
      <c r="AN106" s="27"/>
      <c r="AO106" s="27"/>
      <c r="AP106" s="27"/>
    </row>
    <row r="107" spans="1:42" ht="15" customHeight="1" x14ac:dyDescent="0.3">
      <c r="A107" s="75"/>
      <c r="B107" s="194"/>
      <c r="C107" s="194"/>
      <c r="D107" s="194"/>
      <c r="E107" s="194"/>
      <c r="F107" s="194"/>
      <c r="G107" s="194"/>
      <c r="H107" s="194"/>
      <c r="I107" s="194"/>
      <c r="J107" s="81"/>
      <c r="K107" s="187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27"/>
      <c r="X107" s="80"/>
      <c r="Y107" s="80"/>
      <c r="Z107" s="80"/>
      <c r="AA107" s="80"/>
      <c r="AB107" s="80"/>
      <c r="AC107" s="80"/>
      <c r="AD107" s="80"/>
      <c r="AE107" s="80"/>
      <c r="AF107" s="80"/>
      <c r="AG107" s="80"/>
      <c r="AH107" s="80"/>
      <c r="AI107" s="80"/>
      <c r="AJ107" s="80"/>
      <c r="AK107" s="80"/>
      <c r="AL107" s="80"/>
      <c r="AM107" s="80"/>
      <c r="AN107" s="27"/>
      <c r="AO107" s="27"/>
      <c r="AP107" s="27"/>
    </row>
    <row r="108" spans="1:42" ht="15" customHeight="1" x14ac:dyDescent="0.3">
      <c r="A108" s="75"/>
      <c r="B108" s="91"/>
      <c r="C108" s="91"/>
      <c r="D108" s="84"/>
      <c r="E108" s="84"/>
      <c r="F108" s="84"/>
      <c r="G108" s="84"/>
      <c r="H108" s="84"/>
      <c r="I108" s="85"/>
      <c r="J108" s="85"/>
      <c r="K108" s="187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27"/>
      <c r="X108" s="80"/>
      <c r="Y108" s="80"/>
      <c r="Z108" s="80"/>
      <c r="AA108" s="80"/>
      <c r="AB108" s="80"/>
      <c r="AC108" s="80"/>
      <c r="AD108" s="80"/>
      <c r="AE108" s="80"/>
      <c r="AF108" s="80"/>
      <c r="AG108" s="80"/>
      <c r="AH108" s="80"/>
      <c r="AI108" s="80"/>
      <c r="AJ108" s="80"/>
      <c r="AK108" s="80"/>
      <c r="AL108" s="80"/>
      <c r="AM108" s="80"/>
      <c r="AN108" s="27"/>
      <c r="AO108" s="27"/>
      <c r="AP108" s="27"/>
    </row>
    <row r="109" spans="1:42" ht="15" customHeight="1" x14ac:dyDescent="0.3">
      <c r="A109" s="75"/>
      <c r="B109" s="195"/>
      <c r="C109" s="195"/>
      <c r="D109" s="87"/>
      <c r="E109" s="87"/>
      <c r="F109" s="87"/>
      <c r="G109" s="87"/>
      <c r="H109" s="88"/>
      <c r="I109" s="67"/>
      <c r="J109" s="67"/>
      <c r="K109" s="187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27"/>
      <c r="X109" s="80"/>
      <c r="Y109" s="80"/>
      <c r="Z109" s="80"/>
      <c r="AA109" s="80"/>
      <c r="AB109" s="80"/>
      <c r="AC109" s="80"/>
      <c r="AD109" s="80"/>
      <c r="AE109" s="80"/>
      <c r="AF109" s="80"/>
      <c r="AG109" s="80"/>
      <c r="AH109" s="80"/>
      <c r="AI109" s="80"/>
      <c r="AJ109" s="80"/>
      <c r="AK109" s="80"/>
      <c r="AL109" s="80"/>
      <c r="AM109" s="80"/>
      <c r="AN109" s="27"/>
      <c r="AO109" s="27"/>
      <c r="AP109" s="27"/>
    </row>
    <row r="110" spans="1:42" ht="15" customHeight="1" x14ac:dyDescent="0.3">
      <c r="A110" s="75"/>
      <c r="B110" s="195"/>
      <c r="C110" s="195"/>
      <c r="D110" s="87"/>
      <c r="E110" s="87"/>
      <c r="F110" s="87"/>
      <c r="G110" s="87"/>
      <c r="H110" s="88"/>
      <c r="I110" s="67"/>
      <c r="J110" s="67"/>
      <c r="K110" s="9"/>
      <c r="L110" s="9"/>
      <c r="M110" s="9"/>
      <c r="N110" s="9"/>
      <c r="O110" s="9"/>
      <c r="P110" s="9"/>
      <c r="Q110" s="9"/>
      <c r="R110" s="27"/>
      <c r="S110" s="27"/>
      <c r="T110" s="27"/>
      <c r="U110" s="27"/>
      <c r="V110" s="27"/>
      <c r="W110" s="27"/>
      <c r="X110" s="80"/>
      <c r="Y110" s="80"/>
      <c r="Z110" s="80"/>
      <c r="AA110" s="80"/>
      <c r="AB110" s="80"/>
      <c r="AC110" s="80"/>
      <c r="AD110" s="80"/>
      <c r="AE110" s="80"/>
      <c r="AF110" s="80"/>
      <c r="AG110" s="80"/>
      <c r="AH110" s="80"/>
      <c r="AI110" s="80"/>
      <c r="AJ110" s="80"/>
      <c r="AK110" s="80"/>
      <c r="AL110" s="80"/>
      <c r="AM110" s="80"/>
      <c r="AN110" s="27"/>
      <c r="AO110" s="27"/>
      <c r="AP110" s="27"/>
    </row>
    <row r="111" spans="1:42" ht="15" customHeight="1" x14ac:dyDescent="0.3">
      <c r="A111" s="75"/>
      <c r="B111" s="195"/>
      <c r="C111" s="195"/>
      <c r="D111" s="87"/>
      <c r="E111" s="87"/>
      <c r="F111" s="87"/>
      <c r="G111" s="87"/>
      <c r="H111" s="88"/>
      <c r="I111" s="67"/>
      <c r="J111" s="67"/>
      <c r="K111" s="8"/>
      <c r="L111" s="8"/>
      <c r="M111" s="8"/>
      <c r="N111" s="8"/>
      <c r="O111" s="8"/>
      <c r="P111" s="8"/>
      <c r="Q111" s="8"/>
      <c r="R111" s="27"/>
      <c r="S111" s="27"/>
      <c r="T111" s="27"/>
      <c r="U111" s="27"/>
      <c r="V111" s="27"/>
      <c r="W111" s="27"/>
      <c r="X111" s="80"/>
      <c r="Y111" s="80"/>
      <c r="Z111" s="80"/>
      <c r="AA111" s="80"/>
      <c r="AB111" s="80"/>
      <c r="AC111" s="80"/>
      <c r="AD111" s="80"/>
      <c r="AE111" s="80"/>
      <c r="AF111" s="80"/>
      <c r="AG111" s="80"/>
      <c r="AH111" s="80"/>
      <c r="AI111" s="80"/>
      <c r="AJ111" s="80"/>
      <c r="AK111" s="80"/>
      <c r="AL111" s="80"/>
      <c r="AM111" s="80"/>
      <c r="AN111" s="27"/>
      <c r="AO111" s="27"/>
      <c r="AP111" s="27"/>
    </row>
    <row r="112" spans="1:42" ht="15" customHeight="1" x14ac:dyDescent="0.3">
      <c r="A112" s="75"/>
      <c r="B112" s="195"/>
      <c r="C112" s="195"/>
      <c r="D112" s="87"/>
      <c r="E112" s="87"/>
      <c r="F112" s="87"/>
      <c r="G112" s="87"/>
      <c r="H112" s="88"/>
      <c r="I112" s="67"/>
      <c r="J112" s="67"/>
      <c r="K112" s="8"/>
      <c r="L112" s="8"/>
      <c r="M112" s="8"/>
      <c r="N112" s="8"/>
      <c r="O112" s="8"/>
      <c r="P112" s="8"/>
      <c r="Q112" s="8"/>
      <c r="R112" s="27"/>
      <c r="S112" s="27"/>
      <c r="T112" s="27"/>
      <c r="U112" s="27"/>
      <c r="V112" s="27"/>
      <c r="W112" s="27"/>
      <c r="X112" s="80"/>
      <c r="Y112" s="80"/>
      <c r="Z112" s="80"/>
      <c r="AA112" s="80"/>
      <c r="AB112" s="80"/>
      <c r="AC112" s="80"/>
      <c r="AD112" s="80"/>
      <c r="AE112" s="80"/>
      <c r="AF112" s="80"/>
      <c r="AG112" s="80"/>
      <c r="AH112" s="80"/>
      <c r="AI112" s="80"/>
      <c r="AJ112" s="80"/>
      <c r="AK112" s="80"/>
      <c r="AL112" s="80"/>
      <c r="AM112" s="80"/>
      <c r="AN112" s="27"/>
      <c r="AO112" s="27"/>
      <c r="AP112" s="27"/>
    </row>
    <row r="113" spans="1:42" ht="15" customHeight="1" x14ac:dyDescent="0.3">
      <c r="A113" s="75"/>
      <c r="B113" s="195"/>
      <c r="C113" s="195"/>
      <c r="D113" s="87"/>
      <c r="E113" s="87"/>
      <c r="F113" s="87"/>
      <c r="G113" s="87"/>
      <c r="H113" s="88"/>
      <c r="I113" s="67"/>
      <c r="J113" s="67"/>
      <c r="K113" s="8"/>
      <c r="L113" s="8"/>
      <c r="M113" s="8"/>
      <c r="N113" s="8"/>
      <c r="O113" s="8"/>
      <c r="P113" s="8"/>
      <c r="Q113" s="8"/>
      <c r="R113" s="27"/>
      <c r="S113" s="27"/>
      <c r="T113" s="27"/>
      <c r="U113" s="27"/>
      <c r="V113" s="27"/>
      <c r="W113" s="27"/>
      <c r="X113" s="80"/>
      <c r="Y113" s="80"/>
      <c r="Z113" s="80"/>
      <c r="AA113" s="80"/>
      <c r="AB113" s="80"/>
      <c r="AC113" s="80"/>
      <c r="AD113" s="80"/>
      <c r="AE113" s="80"/>
      <c r="AF113" s="80"/>
      <c r="AG113" s="80"/>
      <c r="AH113" s="80"/>
      <c r="AI113" s="80"/>
      <c r="AJ113" s="80"/>
      <c r="AK113" s="80"/>
      <c r="AL113" s="80"/>
      <c r="AM113" s="80"/>
      <c r="AN113" s="27"/>
      <c r="AO113" s="27"/>
      <c r="AP113" s="27"/>
    </row>
    <row r="114" spans="1:42" ht="15" customHeight="1" x14ac:dyDescent="0.3">
      <c r="A114" s="75"/>
      <c r="B114" s="195"/>
      <c r="C114" s="195"/>
      <c r="D114" s="87"/>
      <c r="E114" s="87"/>
      <c r="F114" s="87"/>
      <c r="G114" s="87"/>
      <c r="H114" s="88"/>
      <c r="I114" s="67"/>
      <c r="J114" s="67"/>
      <c r="K114" s="2"/>
      <c r="L114" s="9"/>
      <c r="M114" s="9"/>
      <c r="N114" s="9"/>
      <c r="O114" s="9"/>
      <c r="P114" s="9"/>
      <c r="Q114" s="9"/>
      <c r="R114" s="27"/>
      <c r="S114" s="27"/>
      <c r="T114" s="27"/>
      <c r="U114" s="27"/>
      <c r="V114" s="27"/>
      <c r="W114" s="27"/>
      <c r="X114" s="80"/>
      <c r="Y114" s="80"/>
      <c r="Z114" s="80"/>
      <c r="AA114" s="80"/>
      <c r="AB114" s="80"/>
      <c r="AC114" s="80"/>
      <c r="AD114" s="80"/>
      <c r="AE114" s="80"/>
      <c r="AF114" s="80"/>
      <c r="AG114" s="80"/>
      <c r="AH114" s="80"/>
      <c r="AI114" s="80"/>
      <c r="AJ114" s="80"/>
      <c r="AK114" s="80"/>
      <c r="AL114" s="80"/>
      <c r="AM114" s="80"/>
      <c r="AN114" s="27"/>
      <c r="AO114" s="27"/>
      <c r="AP114" s="27"/>
    </row>
    <row r="115" spans="1:42" ht="15" customHeight="1" x14ac:dyDescent="0.3">
      <c r="A115" s="75"/>
      <c r="B115" s="195"/>
      <c r="C115" s="195"/>
      <c r="D115" s="87"/>
      <c r="E115" s="87"/>
      <c r="F115" s="87"/>
      <c r="G115" s="87"/>
      <c r="H115" s="88"/>
      <c r="I115" s="67"/>
      <c r="J115" s="67"/>
      <c r="K115" s="8"/>
      <c r="L115" s="8"/>
      <c r="M115" s="8"/>
      <c r="N115" s="8"/>
      <c r="O115" s="8"/>
      <c r="P115" s="8"/>
      <c r="Q115" s="8"/>
      <c r="R115" s="27"/>
      <c r="S115" s="27"/>
      <c r="T115" s="27"/>
      <c r="U115" s="27"/>
      <c r="V115" s="27"/>
      <c r="W115" s="27"/>
      <c r="X115" s="80"/>
      <c r="Y115" s="80"/>
      <c r="Z115" s="80"/>
      <c r="AA115" s="80"/>
      <c r="AB115" s="80"/>
      <c r="AC115" s="80"/>
      <c r="AD115" s="80"/>
      <c r="AE115" s="80"/>
      <c r="AF115" s="80"/>
      <c r="AG115" s="80"/>
      <c r="AH115" s="80"/>
      <c r="AI115" s="80"/>
      <c r="AJ115" s="80"/>
      <c r="AK115" s="80"/>
      <c r="AL115" s="80"/>
      <c r="AM115" s="80"/>
      <c r="AN115" s="27"/>
      <c r="AO115" s="27"/>
      <c r="AP115" s="27"/>
    </row>
    <row r="116" spans="1:42" ht="15" customHeight="1" x14ac:dyDescent="0.3">
      <c r="A116" s="75"/>
      <c r="B116" s="195"/>
      <c r="C116" s="195"/>
      <c r="D116" s="87"/>
      <c r="E116" s="87"/>
      <c r="F116" s="87"/>
      <c r="G116" s="87"/>
      <c r="H116" s="88"/>
      <c r="I116" s="67"/>
      <c r="J116" s="67"/>
      <c r="K116" s="8"/>
      <c r="L116" s="8"/>
      <c r="M116" s="8"/>
      <c r="N116" s="8"/>
      <c r="O116" s="8"/>
      <c r="P116" s="8"/>
      <c r="Q116" s="8"/>
      <c r="R116" s="27"/>
      <c r="S116" s="27"/>
      <c r="T116" s="27"/>
      <c r="U116" s="27"/>
      <c r="V116" s="27"/>
      <c r="W116" s="27"/>
      <c r="X116" s="80"/>
      <c r="Y116" s="80"/>
      <c r="Z116" s="80"/>
      <c r="AA116" s="80"/>
      <c r="AB116" s="80"/>
      <c r="AC116" s="80"/>
      <c r="AD116" s="80"/>
      <c r="AE116" s="80"/>
      <c r="AF116" s="80"/>
      <c r="AG116" s="80"/>
      <c r="AH116" s="80"/>
      <c r="AI116" s="80"/>
      <c r="AJ116" s="80"/>
      <c r="AK116" s="80"/>
      <c r="AL116" s="80"/>
      <c r="AM116" s="80"/>
      <c r="AN116" s="27"/>
      <c r="AO116" s="27"/>
      <c r="AP116" s="27"/>
    </row>
    <row r="117" spans="1:42" ht="15" customHeight="1" x14ac:dyDescent="0.3">
      <c r="A117" s="75"/>
      <c r="B117" s="195"/>
      <c r="C117" s="195"/>
      <c r="D117" s="87"/>
      <c r="E117" s="87"/>
      <c r="F117" s="87"/>
      <c r="G117" s="87"/>
      <c r="H117" s="88"/>
      <c r="I117" s="67"/>
      <c r="J117" s="67"/>
      <c r="K117" s="8"/>
      <c r="L117" s="8"/>
      <c r="M117" s="8"/>
      <c r="N117" s="8"/>
      <c r="O117" s="8"/>
      <c r="P117" s="8"/>
      <c r="Q117" s="8"/>
      <c r="R117" s="27"/>
      <c r="S117" s="27"/>
      <c r="T117" s="27"/>
      <c r="U117" s="27"/>
      <c r="V117" s="27"/>
      <c r="W117" s="27"/>
      <c r="X117" s="80"/>
      <c r="Y117" s="80"/>
      <c r="Z117" s="80"/>
      <c r="AA117" s="80"/>
      <c r="AB117" s="80"/>
      <c r="AC117" s="80"/>
      <c r="AD117" s="80"/>
      <c r="AE117" s="80"/>
      <c r="AF117" s="80"/>
      <c r="AG117" s="80"/>
      <c r="AH117" s="80"/>
      <c r="AI117" s="80"/>
      <c r="AJ117" s="80"/>
      <c r="AK117" s="80"/>
      <c r="AL117" s="80"/>
      <c r="AM117" s="80"/>
      <c r="AN117" s="27"/>
      <c r="AO117" s="27"/>
      <c r="AP117" s="27"/>
    </row>
    <row r="118" spans="1:42" ht="15" customHeight="1" x14ac:dyDescent="0.3">
      <c r="A118" s="75"/>
      <c r="B118" s="195"/>
      <c r="C118" s="195"/>
      <c r="D118" s="87"/>
      <c r="E118" s="87"/>
      <c r="F118" s="87"/>
      <c r="G118" s="87"/>
      <c r="H118" s="88"/>
      <c r="I118" s="67"/>
      <c r="J118" s="67"/>
      <c r="K118" s="40"/>
      <c r="L118" s="2"/>
      <c r="M118" s="9"/>
      <c r="N118" s="9"/>
      <c r="O118" s="9"/>
      <c r="P118" s="9"/>
      <c r="Q118" s="9"/>
      <c r="R118" s="27"/>
      <c r="S118" s="27"/>
      <c r="T118" s="27"/>
      <c r="U118" s="27"/>
      <c r="V118" s="27"/>
      <c r="W118" s="27"/>
      <c r="X118" s="80"/>
      <c r="Y118" s="80"/>
      <c r="Z118" s="80"/>
      <c r="AA118" s="80"/>
      <c r="AB118" s="80"/>
      <c r="AC118" s="80"/>
      <c r="AD118" s="80"/>
      <c r="AE118" s="80"/>
      <c r="AF118" s="80"/>
      <c r="AG118" s="80"/>
      <c r="AH118" s="80"/>
      <c r="AI118" s="80"/>
      <c r="AJ118" s="80"/>
      <c r="AK118" s="80"/>
      <c r="AL118" s="80"/>
      <c r="AM118" s="80"/>
      <c r="AN118" s="27"/>
      <c r="AO118" s="27"/>
      <c r="AP118" s="27"/>
    </row>
    <row r="119" spans="1:42" ht="15" customHeight="1" x14ac:dyDescent="0.3">
      <c r="A119" s="75"/>
      <c r="B119" s="195"/>
      <c r="C119" s="195"/>
      <c r="D119" s="87"/>
      <c r="E119" s="87"/>
      <c r="F119" s="87"/>
      <c r="G119" s="87"/>
      <c r="H119" s="88"/>
      <c r="I119" s="67"/>
      <c r="J119" s="67"/>
      <c r="K119" s="40"/>
      <c r="L119" s="8"/>
      <c r="M119" s="8"/>
      <c r="N119" s="8"/>
      <c r="O119" s="8"/>
      <c r="P119" s="8"/>
      <c r="Q119" s="8"/>
      <c r="R119" s="27"/>
      <c r="S119" s="27"/>
      <c r="T119" s="27"/>
      <c r="U119" s="27"/>
      <c r="V119" s="27"/>
      <c r="W119" s="27"/>
      <c r="X119" s="80"/>
      <c r="Y119" s="80"/>
      <c r="Z119" s="80"/>
      <c r="AA119" s="80"/>
      <c r="AB119" s="80"/>
      <c r="AC119" s="80"/>
      <c r="AD119" s="80"/>
      <c r="AE119" s="80"/>
      <c r="AF119" s="80"/>
      <c r="AG119" s="80"/>
      <c r="AH119" s="80"/>
      <c r="AI119" s="80"/>
      <c r="AJ119" s="80"/>
      <c r="AK119" s="80"/>
      <c r="AL119" s="80"/>
      <c r="AM119" s="80"/>
      <c r="AN119" s="27"/>
      <c r="AO119" s="27"/>
      <c r="AP119" s="27"/>
    </row>
    <row r="120" spans="1:42" ht="15" customHeight="1" x14ac:dyDescent="0.3">
      <c r="A120" s="75"/>
      <c r="B120" s="195"/>
      <c r="C120" s="195"/>
      <c r="D120" s="87"/>
      <c r="E120" s="87"/>
      <c r="F120" s="87"/>
      <c r="G120" s="87"/>
      <c r="H120" s="88"/>
      <c r="I120" s="67"/>
      <c r="J120" s="67"/>
      <c r="K120" s="40"/>
      <c r="L120" s="8"/>
      <c r="M120" s="8"/>
      <c r="N120" s="8"/>
      <c r="O120" s="8"/>
      <c r="P120" s="8"/>
      <c r="Q120" s="8"/>
      <c r="R120" s="27"/>
      <c r="S120" s="27"/>
      <c r="T120" s="27"/>
      <c r="U120" s="27"/>
      <c r="V120" s="27"/>
      <c r="W120" s="27"/>
      <c r="X120" s="80"/>
      <c r="Y120" s="80"/>
      <c r="Z120" s="80"/>
      <c r="AA120" s="80"/>
      <c r="AB120" s="80"/>
      <c r="AC120" s="80"/>
      <c r="AD120" s="80"/>
      <c r="AE120" s="80"/>
      <c r="AF120" s="80"/>
      <c r="AG120" s="80"/>
      <c r="AH120" s="80"/>
      <c r="AI120" s="80"/>
      <c r="AJ120" s="80"/>
      <c r="AK120" s="80"/>
      <c r="AL120" s="80"/>
      <c r="AM120" s="80"/>
      <c r="AN120" s="27"/>
      <c r="AO120" s="27"/>
      <c r="AP120" s="27"/>
    </row>
    <row r="121" spans="1:42" ht="15" customHeight="1" x14ac:dyDescent="0.2">
      <c r="A121" s="75"/>
      <c r="B121" s="41"/>
      <c r="C121" s="49"/>
      <c r="D121" s="49"/>
      <c r="E121" s="44"/>
      <c r="F121" s="44"/>
      <c r="G121" s="44"/>
      <c r="H121" s="44"/>
      <c r="I121" s="44"/>
      <c r="J121" s="44"/>
      <c r="K121" s="40"/>
      <c r="L121" s="8"/>
      <c r="M121" s="8"/>
      <c r="N121" s="8"/>
      <c r="O121" s="8"/>
      <c r="P121" s="8"/>
      <c r="Q121" s="8"/>
      <c r="R121" s="27"/>
      <c r="S121" s="27"/>
      <c r="T121" s="27"/>
      <c r="U121" s="27"/>
      <c r="V121" s="27"/>
      <c r="W121" s="27"/>
      <c r="X121" s="80"/>
      <c r="Y121" s="80"/>
      <c r="Z121" s="80"/>
      <c r="AA121" s="80"/>
      <c r="AB121" s="80"/>
      <c r="AC121" s="80"/>
      <c r="AD121" s="80"/>
      <c r="AE121" s="80"/>
      <c r="AF121" s="80"/>
      <c r="AG121" s="80"/>
      <c r="AH121" s="80"/>
      <c r="AI121" s="80"/>
      <c r="AJ121" s="80"/>
      <c r="AK121" s="80"/>
      <c r="AL121" s="80"/>
      <c r="AM121" s="80"/>
      <c r="AN121" s="27"/>
      <c r="AO121" s="27"/>
      <c r="AP121" s="27"/>
    </row>
    <row r="122" spans="1:42" ht="15.95" customHeight="1" x14ac:dyDescent="0.2">
      <c r="A122" s="75"/>
      <c r="B122" s="92"/>
      <c r="C122" s="92"/>
      <c r="D122" s="92"/>
      <c r="E122" s="92"/>
      <c r="F122" s="92"/>
      <c r="G122" s="92"/>
      <c r="H122" s="92"/>
      <c r="I122" s="186"/>
      <c r="J122" s="186"/>
      <c r="K122" s="186"/>
      <c r="L122" s="93"/>
      <c r="M122" s="94"/>
      <c r="N122" s="183"/>
      <c r="O122" s="183"/>
      <c r="P122" s="189"/>
      <c r="Q122" s="189"/>
      <c r="R122" s="185"/>
      <c r="S122" s="185"/>
      <c r="T122" s="94"/>
      <c r="U122" s="183"/>
      <c r="V122" s="183"/>
      <c r="W122" s="27"/>
      <c r="X122" s="80"/>
      <c r="Y122" s="80"/>
      <c r="Z122" s="80"/>
      <c r="AA122" s="80"/>
      <c r="AB122" s="80"/>
      <c r="AC122" s="80"/>
      <c r="AD122" s="80"/>
      <c r="AE122" s="80"/>
      <c r="AF122" s="80"/>
      <c r="AG122" s="80"/>
      <c r="AH122" s="80"/>
      <c r="AI122" s="80"/>
      <c r="AJ122" s="80"/>
      <c r="AK122" s="80"/>
      <c r="AL122" s="80"/>
      <c r="AM122" s="80"/>
      <c r="AN122" s="27"/>
      <c r="AO122" s="27"/>
      <c r="AP122" s="27"/>
    </row>
    <row r="123" spans="1:42" ht="15.95" customHeight="1" x14ac:dyDescent="0.2">
      <c r="A123" s="75"/>
      <c r="B123" s="3"/>
      <c r="C123" s="3"/>
      <c r="D123" s="3"/>
      <c r="E123" s="3"/>
      <c r="F123" s="8"/>
      <c r="G123" s="8"/>
      <c r="H123" s="27"/>
      <c r="I123" s="27"/>
      <c r="J123" s="27"/>
      <c r="K123" s="27"/>
      <c r="L123" s="27"/>
      <c r="M123" s="27"/>
      <c r="N123" s="27"/>
      <c r="O123" s="8"/>
      <c r="P123" s="8"/>
      <c r="Q123" s="8"/>
      <c r="R123" s="27"/>
      <c r="S123" s="27"/>
      <c r="T123" s="27"/>
      <c r="U123" s="27"/>
      <c r="V123" s="27"/>
      <c r="W123" s="27"/>
      <c r="X123" s="80"/>
      <c r="Y123" s="80"/>
      <c r="Z123" s="80"/>
      <c r="AA123" s="80"/>
      <c r="AB123" s="80"/>
      <c r="AC123" s="80"/>
      <c r="AD123" s="80"/>
      <c r="AE123" s="80"/>
      <c r="AF123" s="80"/>
      <c r="AG123" s="80"/>
      <c r="AH123" s="80"/>
      <c r="AI123" s="80"/>
      <c r="AJ123" s="80"/>
      <c r="AK123" s="80"/>
      <c r="AL123" s="80"/>
      <c r="AM123" s="80"/>
      <c r="AN123" s="27"/>
      <c r="AO123" s="27"/>
      <c r="AP123" s="27"/>
    </row>
    <row r="124" spans="1:42" ht="15.95" customHeight="1" x14ac:dyDescent="0.2">
      <c r="A124" s="75"/>
      <c r="B124" s="41"/>
      <c r="C124" s="200"/>
      <c r="D124" s="200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80"/>
      <c r="Y124" s="80"/>
      <c r="Z124" s="80"/>
      <c r="AA124" s="80"/>
      <c r="AB124" s="80"/>
      <c r="AC124" s="80"/>
      <c r="AD124" s="80"/>
      <c r="AE124" s="80"/>
      <c r="AF124" s="80"/>
      <c r="AG124" s="80"/>
      <c r="AH124" s="80"/>
      <c r="AI124" s="80"/>
      <c r="AJ124" s="80"/>
      <c r="AK124" s="80"/>
      <c r="AL124" s="80"/>
      <c r="AM124" s="80"/>
      <c r="AN124" s="27"/>
      <c r="AO124" s="27"/>
      <c r="AP124" s="27"/>
    </row>
    <row r="125" spans="1:42" ht="15.95" customHeight="1" x14ac:dyDescent="0.2">
      <c r="A125" s="75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80"/>
      <c r="Y125" s="80"/>
      <c r="Z125" s="80"/>
      <c r="AA125" s="80"/>
      <c r="AB125" s="80"/>
      <c r="AC125" s="80"/>
      <c r="AD125" s="80"/>
      <c r="AE125" s="80"/>
      <c r="AF125" s="80"/>
      <c r="AG125" s="80"/>
      <c r="AH125" s="80"/>
      <c r="AI125" s="80"/>
      <c r="AJ125" s="80"/>
      <c r="AK125" s="80"/>
      <c r="AL125" s="80"/>
      <c r="AM125" s="80"/>
      <c r="AN125" s="27"/>
      <c r="AO125" s="27"/>
      <c r="AP125" s="27"/>
    </row>
    <row r="126" spans="1:42" ht="15.95" customHeight="1" x14ac:dyDescent="0.2">
      <c r="A126" s="75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80"/>
      <c r="Y126" s="80"/>
      <c r="Z126" s="80"/>
      <c r="AA126" s="80"/>
      <c r="AB126" s="80"/>
      <c r="AC126" s="80"/>
      <c r="AD126" s="80"/>
      <c r="AE126" s="80"/>
      <c r="AF126" s="80"/>
      <c r="AG126" s="80"/>
      <c r="AH126" s="80"/>
      <c r="AI126" s="80"/>
      <c r="AJ126" s="80"/>
      <c r="AK126" s="80"/>
      <c r="AL126" s="80"/>
      <c r="AM126" s="80"/>
      <c r="AN126" s="27"/>
      <c r="AO126" s="27"/>
      <c r="AP126" s="27"/>
    </row>
    <row r="127" spans="1:42" ht="15.95" customHeight="1" x14ac:dyDescent="0.2">
      <c r="A127" s="75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80"/>
      <c r="Y127" s="80"/>
      <c r="Z127" s="80"/>
      <c r="AA127" s="80"/>
      <c r="AB127" s="80"/>
      <c r="AC127" s="80"/>
      <c r="AD127" s="80"/>
      <c r="AE127" s="80"/>
      <c r="AF127" s="80"/>
      <c r="AG127" s="80"/>
      <c r="AH127" s="80"/>
      <c r="AI127" s="80"/>
      <c r="AJ127" s="80"/>
      <c r="AK127" s="80"/>
      <c r="AL127" s="80"/>
      <c r="AM127" s="80"/>
      <c r="AN127" s="27"/>
      <c r="AO127" s="27"/>
      <c r="AP127" s="27"/>
    </row>
    <row r="128" spans="1:42" s="15" customFormat="1" ht="20.100000000000001" customHeight="1" x14ac:dyDescent="0.25">
      <c r="A128" s="95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39"/>
      <c r="X128" s="39"/>
      <c r="Y128" s="96"/>
      <c r="Z128" s="96"/>
      <c r="AA128" s="96"/>
      <c r="AB128" s="96"/>
      <c r="AC128" s="96"/>
      <c r="AD128" s="96"/>
      <c r="AE128" s="96"/>
      <c r="AF128" s="96"/>
      <c r="AG128" s="96"/>
      <c r="AH128" s="96"/>
      <c r="AI128" s="96"/>
      <c r="AJ128" s="96"/>
      <c r="AK128" s="96"/>
      <c r="AL128" s="96"/>
      <c r="AM128" s="96"/>
      <c r="AN128" s="97"/>
      <c r="AO128" s="97"/>
      <c r="AP128" s="97"/>
    </row>
    <row r="129" spans="1:42" ht="15.95" customHeight="1" x14ac:dyDescent="0.2">
      <c r="A129" s="75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80"/>
      <c r="Y129" s="80"/>
      <c r="Z129" s="80"/>
      <c r="AA129" s="80"/>
      <c r="AB129" s="80"/>
      <c r="AC129" s="80"/>
      <c r="AD129" s="80"/>
      <c r="AE129" s="80"/>
      <c r="AF129" s="80"/>
      <c r="AG129" s="80"/>
      <c r="AH129" s="80"/>
      <c r="AI129" s="80"/>
      <c r="AJ129" s="80"/>
      <c r="AK129" s="80"/>
      <c r="AL129" s="80"/>
      <c r="AM129" s="80"/>
      <c r="AN129" s="27"/>
      <c r="AO129" s="27"/>
      <c r="AP129" s="27"/>
    </row>
    <row r="130" spans="1:42" ht="15.95" customHeight="1" x14ac:dyDescent="0.2">
      <c r="A130" s="75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80"/>
      <c r="Y130" s="80"/>
      <c r="Z130" s="80"/>
      <c r="AA130" s="80"/>
      <c r="AB130" s="80"/>
      <c r="AC130" s="80"/>
      <c r="AD130" s="80"/>
      <c r="AE130" s="80"/>
      <c r="AF130" s="80"/>
      <c r="AG130" s="80"/>
      <c r="AH130" s="80"/>
      <c r="AI130" s="80"/>
      <c r="AJ130" s="80"/>
      <c r="AK130" s="80"/>
      <c r="AL130" s="80"/>
      <c r="AM130" s="80"/>
      <c r="AN130" s="27"/>
      <c r="AO130" s="27"/>
      <c r="AP130" s="27"/>
    </row>
    <row r="131" spans="1:42" ht="15" customHeight="1" x14ac:dyDescent="0.2">
      <c r="A131" s="75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80"/>
      <c r="Y131" s="80"/>
      <c r="Z131" s="80"/>
      <c r="AA131" s="80"/>
      <c r="AB131" s="80"/>
      <c r="AC131" s="80"/>
      <c r="AD131" s="80"/>
      <c r="AE131" s="80"/>
      <c r="AF131" s="80"/>
      <c r="AG131" s="80"/>
      <c r="AH131" s="80"/>
      <c r="AI131" s="80"/>
      <c r="AJ131" s="80"/>
      <c r="AK131" s="80"/>
      <c r="AL131" s="80"/>
      <c r="AM131" s="80"/>
      <c r="AN131" s="27"/>
      <c r="AO131" s="27"/>
      <c r="AP131" s="27"/>
    </row>
    <row r="132" spans="1:42" x14ac:dyDescent="0.2">
      <c r="A132" s="75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80"/>
      <c r="Y132" s="80"/>
      <c r="Z132" s="80"/>
      <c r="AA132" s="80"/>
      <c r="AB132" s="80"/>
      <c r="AC132" s="80"/>
      <c r="AD132" s="80"/>
      <c r="AE132" s="80"/>
      <c r="AF132" s="80"/>
      <c r="AG132" s="80"/>
      <c r="AH132" s="80"/>
      <c r="AI132" s="80"/>
      <c r="AJ132" s="80"/>
      <c r="AK132" s="80"/>
      <c r="AL132" s="80"/>
      <c r="AM132" s="80"/>
      <c r="AN132" s="27"/>
      <c r="AO132" s="27"/>
      <c r="AP132" s="27"/>
    </row>
    <row r="133" spans="1:42" x14ac:dyDescent="0.2">
      <c r="A133" s="75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80"/>
      <c r="Y133" s="80"/>
      <c r="Z133" s="80"/>
      <c r="AA133" s="80"/>
      <c r="AB133" s="80"/>
      <c r="AC133" s="80"/>
      <c r="AD133" s="80"/>
      <c r="AE133" s="80"/>
      <c r="AF133" s="80"/>
      <c r="AG133" s="80"/>
      <c r="AH133" s="80"/>
      <c r="AI133" s="80"/>
      <c r="AJ133" s="80"/>
      <c r="AK133" s="80"/>
      <c r="AL133" s="80"/>
      <c r="AM133" s="80"/>
      <c r="AN133" s="27"/>
      <c r="AO133" s="27"/>
      <c r="AP133" s="27"/>
    </row>
    <row r="134" spans="1:42" x14ac:dyDescent="0.2">
      <c r="A134" s="75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80"/>
      <c r="Y134" s="80"/>
      <c r="Z134" s="80"/>
      <c r="AA134" s="80"/>
      <c r="AB134" s="80"/>
      <c r="AC134" s="80"/>
      <c r="AD134" s="80"/>
      <c r="AE134" s="80"/>
      <c r="AF134" s="80"/>
      <c r="AG134" s="80"/>
      <c r="AH134" s="80"/>
      <c r="AI134" s="80"/>
      <c r="AJ134" s="80"/>
      <c r="AK134" s="80"/>
      <c r="AL134" s="80"/>
      <c r="AM134" s="80"/>
      <c r="AN134" s="27"/>
      <c r="AO134" s="27"/>
      <c r="AP134" s="27"/>
    </row>
    <row r="135" spans="1:42" x14ac:dyDescent="0.2">
      <c r="A135" s="75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80"/>
      <c r="Y135" s="80"/>
      <c r="Z135" s="80"/>
      <c r="AA135" s="80"/>
      <c r="AB135" s="80"/>
      <c r="AC135" s="80"/>
      <c r="AD135" s="80"/>
      <c r="AE135" s="80"/>
      <c r="AF135" s="80"/>
      <c r="AG135" s="80"/>
      <c r="AH135" s="80"/>
      <c r="AI135" s="80"/>
      <c r="AJ135" s="80"/>
      <c r="AK135" s="80"/>
      <c r="AL135" s="80"/>
      <c r="AM135" s="80"/>
      <c r="AN135" s="27"/>
      <c r="AO135" s="27"/>
      <c r="AP135" s="27"/>
    </row>
    <row r="136" spans="1:42" x14ac:dyDescent="0.2">
      <c r="A136" s="75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80"/>
      <c r="Y136" s="80"/>
      <c r="Z136" s="80"/>
      <c r="AA136" s="80"/>
      <c r="AB136" s="80"/>
      <c r="AC136" s="80"/>
      <c r="AD136" s="80"/>
      <c r="AE136" s="80"/>
      <c r="AF136" s="80"/>
      <c r="AG136" s="80"/>
      <c r="AH136" s="80"/>
      <c r="AI136" s="80"/>
      <c r="AJ136" s="80"/>
      <c r="AK136" s="80"/>
      <c r="AL136" s="80"/>
      <c r="AM136" s="80"/>
      <c r="AN136" s="27"/>
      <c r="AO136" s="27"/>
      <c r="AP136" s="27"/>
    </row>
    <row r="137" spans="1:42" x14ac:dyDescent="0.2">
      <c r="A137" s="75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80"/>
      <c r="Y137" s="80"/>
      <c r="Z137" s="80"/>
      <c r="AA137" s="80"/>
      <c r="AB137" s="80"/>
      <c r="AC137" s="80"/>
      <c r="AD137" s="80"/>
      <c r="AE137" s="80"/>
      <c r="AF137" s="80"/>
      <c r="AG137" s="80"/>
      <c r="AH137" s="80"/>
      <c r="AI137" s="80"/>
      <c r="AJ137" s="80"/>
      <c r="AK137" s="80"/>
      <c r="AL137" s="80"/>
      <c r="AM137" s="80"/>
      <c r="AN137" s="27"/>
      <c r="AO137" s="27"/>
      <c r="AP137" s="27"/>
    </row>
    <row r="138" spans="1:42" x14ac:dyDescent="0.2">
      <c r="A138" s="75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80"/>
      <c r="Y138" s="80"/>
      <c r="Z138" s="80"/>
      <c r="AA138" s="80"/>
      <c r="AB138" s="80"/>
      <c r="AC138" s="80"/>
      <c r="AD138" s="80"/>
      <c r="AE138" s="80"/>
      <c r="AF138" s="80"/>
      <c r="AG138" s="80"/>
      <c r="AH138" s="80"/>
      <c r="AI138" s="80"/>
      <c r="AJ138" s="80"/>
      <c r="AK138" s="80"/>
      <c r="AL138" s="80"/>
      <c r="AM138" s="80"/>
      <c r="AN138" s="27"/>
      <c r="AO138" s="27"/>
      <c r="AP138" s="27"/>
    </row>
    <row r="139" spans="1:42" x14ac:dyDescent="0.2">
      <c r="A139" s="75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80"/>
      <c r="Y139" s="80"/>
      <c r="Z139" s="80"/>
      <c r="AA139" s="80"/>
      <c r="AB139" s="80"/>
      <c r="AC139" s="80"/>
      <c r="AD139" s="80"/>
      <c r="AE139" s="80"/>
      <c r="AF139" s="80"/>
      <c r="AG139" s="80"/>
      <c r="AH139" s="80"/>
      <c r="AI139" s="80"/>
      <c r="AJ139" s="80"/>
      <c r="AK139" s="80"/>
      <c r="AL139" s="80"/>
      <c r="AM139" s="80"/>
      <c r="AN139" s="27"/>
      <c r="AO139" s="27"/>
      <c r="AP139" s="27"/>
    </row>
    <row r="140" spans="1:42" x14ac:dyDescent="0.2">
      <c r="A140" s="75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80"/>
      <c r="Y140" s="80"/>
      <c r="Z140" s="80"/>
      <c r="AA140" s="80"/>
      <c r="AB140" s="80"/>
      <c r="AC140" s="80"/>
      <c r="AD140" s="80"/>
      <c r="AE140" s="80"/>
      <c r="AF140" s="80"/>
      <c r="AG140" s="80"/>
      <c r="AH140" s="80"/>
      <c r="AI140" s="80"/>
      <c r="AJ140" s="80"/>
      <c r="AK140" s="80"/>
      <c r="AL140" s="80"/>
      <c r="AM140" s="80"/>
      <c r="AN140" s="27"/>
      <c r="AO140" s="27"/>
      <c r="AP140" s="27"/>
    </row>
    <row r="141" spans="1:42" x14ac:dyDescent="0.2">
      <c r="A141" s="75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80"/>
      <c r="Y141" s="80"/>
      <c r="Z141" s="80"/>
      <c r="AA141" s="80"/>
      <c r="AB141" s="80"/>
      <c r="AC141" s="80"/>
      <c r="AD141" s="80"/>
      <c r="AE141" s="80"/>
      <c r="AF141" s="80"/>
      <c r="AG141" s="80"/>
      <c r="AH141" s="80"/>
      <c r="AI141" s="80"/>
      <c r="AJ141" s="80"/>
      <c r="AK141" s="80"/>
      <c r="AL141" s="80"/>
      <c r="AM141" s="80"/>
      <c r="AN141" s="27"/>
      <c r="AO141" s="27"/>
      <c r="AP141" s="27"/>
    </row>
    <row r="142" spans="1:42" x14ac:dyDescent="0.2">
      <c r="A142" s="75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80"/>
      <c r="Y142" s="80"/>
      <c r="Z142" s="80"/>
      <c r="AA142" s="80"/>
      <c r="AB142" s="80"/>
      <c r="AC142" s="80"/>
      <c r="AD142" s="80"/>
      <c r="AE142" s="80"/>
      <c r="AF142" s="80"/>
      <c r="AG142" s="80"/>
      <c r="AH142" s="80"/>
      <c r="AI142" s="80"/>
      <c r="AJ142" s="80"/>
      <c r="AK142" s="80"/>
      <c r="AL142" s="80"/>
      <c r="AM142" s="80"/>
      <c r="AN142" s="27"/>
      <c r="AO142" s="27"/>
      <c r="AP142" s="27"/>
    </row>
    <row r="143" spans="1:42" x14ac:dyDescent="0.2">
      <c r="A143" s="75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80"/>
      <c r="Y143" s="80"/>
      <c r="Z143" s="80"/>
      <c r="AA143" s="80"/>
      <c r="AB143" s="80"/>
      <c r="AC143" s="80"/>
      <c r="AD143" s="80"/>
      <c r="AE143" s="80"/>
      <c r="AF143" s="80"/>
      <c r="AG143" s="80"/>
      <c r="AH143" s="80"/>
      <c r="AI143" s="80"/>
      <c r="AJ143" s="80"/>
      <c r="AK143" s="80"/>
      <c r="AL143" s="80"/>
      <c r="AM143" s="80"/>
      <c r="AN143" s="27"/>
      <c r="AO143" s="27"/>
      <c r="AP143" s="27"/>
    </row>
    <row r="144" spans="1:42" x14ac:dyDescent="0.2">
      <c r="A144" s="75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80"/>
      <c r="Y144" s="80"/>
      <c r="Z144" s="80"/>
      <c r="AA144" s="80"/>
      <c r="AB144" s="80"/>
      <c r="AC144" s="80"/>
      <c r="AD144" s="80"/>
      <c r="AE144" s="80"/>
      <c r="AF144" s="80"/>
      <c r="AG144" s="80"/>
      <c r="AH144" s="80"/>
      <c r="AI144" s="80"/>
      <c r="AJ144" s="80"/>
      <c r="AK144" s="80"/>
      <c r="AL144" s="80"/>
      <c r="AM144" s="80"/>
      <c r="AN144" s="27"/>
      <c r="AO144" s="27"/>
      <c r="AP144" s="27"/>
    </row>
    <row r="145" spans="1:42" x14ac:dyDescent="0.2">
      <c r="A145" s="75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80"/>
      <c r="Y145" s="80"/>
      <c r="Z145" s="80"/>
      <c r="AA145" s="80"/>
      <c r="AB145" s="80"/>
      <c r="AC145" s="80"/>
      <c r="AD145" s="80"/>
      <c r="AE145" s="80"/>
      <c r="AF145" s="80"/>
      <c r="AG145" s="80"/>
      <c r="AH145" s="80"/>
      <c r="AI145" s="80"/>
      <c r="AJ145" s="80"/>
      <c r="AK145" s="80"/>
      <c r="AL145" s="80"/>
      <c r="AM145" s="80"/>
      <c r="AN145" s="27"/>
      <c r="AO145" s="27"/>
      <c r="AP145" s="27"/>
    </row>
    <row r="146" spans="1:42" x14ac:dyDescent="0.2">
      <c r="A146" s="75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80"/>
      <c r="Y146" s="80"/>
      <c r="Z146" s="80"/>
      <c r="AA146" s="80"/>
      <c r="AB146" s="80"/>
      <c r="AC146" s="80"/>
      <c r="AD146" s="80"/>
      <c r="AE146" s="80"/>
      <c r="AF146" s="80"/>
      <c r="AG146" s="80"/>
      <c r="AH146" s="80"/>
      <c r="AI146" s="80"/>
      <c r="AJ146" s="80"/>
      <c r="AK146" s="80"/>
      <c r="AL146" s="80"/>
      <c r="AM146" s="80"/>
      <c r="AN146" s="27"/>
      <c r="AO146" s="27"/>
      <c r="AP146" s="27"/>
    </row>
    <row r="147" spans="1:42" x14ac:dyDescent="0.2">
      <c r="A147" s="75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80"/>
      <c r="Y147" s="80"/>
      <c r="Z147" s="80"/>
      <c r="AA147" s="80"/>
      <c r="AB147" s="80"/>
      <c r="AC147" s="80"/>
      <c r="AD147" s="80"/>
      <c r="AE147" s="80"/>
      <c r="AF147" s="80"/>
      <c r="AG147" s="80"/>
      <c r="AH147" s="80"/>
      <c r="AI147" s="80"/>
      <c r="AJ147" s="80"/>
      <c r="AK147" s="80"/>
      <c r="AL147" s="80"/>
      <c r="AM147" s="80"/>
      <c r="AN147" s="27"/>
      <c r="AO147" s="27"/>
      <c r="AP147" s="27"/>
    </row>
    <row r="148" spans="1:42" x14ac:dyDescent="0.2">
      <c r="A148" s="75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80"/>
      <c r="Y148" s="80"/>
      <c r="Z148" s="80"/>
      <c r="AA148" s="80"/>
      <c r="AB148" s="80"/>
      <c r="AC148" s="80"/>
      <c r="AD148" s="80"/>
      <c r="AE148" s="80"/>
      <c r="AF148" s="80"/>
      <c r="AG148" s="80"/>
      <c r="AH148" s="80"/>
      <c r="AI148" s="80"/>
      <c r="AJ148" s="80"/>
      <c r="AK148" s="80"/>
      <c r="AL148" s="80"/>
      <c r="AM148" s="80"/>
      <c r="AN148" s="27"/>
      <c r="AO148" s="27"/>
      <c r="AP148" s="27"/>
    </row>
    <row r="149" spans="1:42" x14ac:dyDescent="0.2">
      <c r="A149" s="75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80"/>
      <c r="Y149" s="80"/>
      <c r="Z149" s="80"/>
      <c r="AA149" s="80"/>
      <c r="AB149" s="80"/>
      <c r="AC149" s="80"/>
      <c r="AD149" s="80"/>
      <c r="AE149" s="80"/>
      <c r="AF149" s="80"/>
      <c r="AG149" s="80"/>
      <c r="AH149" s="80"/>
      <c r="AI149" s="80"/>
      <c r="AJ149" s="80"/>
      <c r="AK149" s="80"/>
      <c r="AL149" s="80"/>
      <c r="AM149" s="80"/>
      <c r="AN149" s="27"/>
      <c r="AO149" s="27"/>
      <c r="AP149" s="27"/>
    </row>
    <row r="150" spans="1:42" x14ac:dyDescent="0.2">
      <c r="A150" s="75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80"/>
      <c r="Y150" s="80"/>
      <c r="Z150" s="80"/>
      <c r="AA150" s="80"/>
      <c r="AB150" s="80"/>
      <c r="AC150" s="80"/>
      <c r="AD150" s="80"/>
      <c r="AE150" s="80"/>
      <c r="AF150" s="80"/>
      <c r="AG150" s="80"/>
      <c r="AH150" s="80"/>
      <c r="AI150" s="80"/>
      <c r="AJ150" s="80"/>
      <c r="AK150" s="80"/>
      <c r="AL150" s="80"/>
      <c r="AM150" s="80"/>
      <c r="AN150" s="27"/>
      <c r="AO150" s="27"/>
      <c r="AP150" s="27"/>
    </row>
    <row r="151" spans="1:42" x14ac:dyDescent="0.2">
      <c r="A151" s="75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80"/>
      <c r="Y151" s="80"/>
      <c r="Z151" s="80"/>
      <c r="AA151" s="80"/>
      <c r="AB151" s="80"/>
      <c r="AC151" s="80"/>
      <c r="AD151" s="80"/>
      <c r="AE151" s="80"/>
      <c r="AF151" s="80"/>
      <c r="AG151" s="80"/>
      <c r="AH151" s="80"/>
      <c r="AI151" s="80"/>
      <c r="AJ151" s="80"/>
      <c r="AK151" s="80"/>
      <c r="AL151" s="80"/>
      <c r="AM151" s="80"/>
      <c r="AN151" s="27"/>
      <c r="AO151" s="27"/>
      <c r="AP151" s="27"/>
    </row>
    <row r="152" spans="1:42" x14ac:dyDescent="0.2">
      <c r="A152" s="75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80"/>
      <c r="Y152" s="80"/>
      <c r="Z152" s="80"/>
      <c r="AA152" s="80"/>
      <c r="AB152" s="80"/>
      <c r="AC152" s="80"/>
      <c r="AD152" s="80"/>
      <c r="AE152" s="80"/>
      <c r="AF152" s="80"/>
      <c r="AG152" s="80"/>
      <c r="AH152" s="80"/>
      <c r="AI152" s="80"/>
      <c r="AJ152" s="80"/>
      <c r="AK152" s="80"/>
      <c r="AL152" s="80"/>
      <c r="AM152" s="80"/>
      <c r="AN152" s="27"/>
      <c r="AO152" s="27"/>
      <c r="AP152" s="27"/>
    </row>
    <row r="153" spans="1:42" x14ac:dyDescent="0.2">
      <c r="A153" s="75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80"/>
      <c r="Y153" s="80"/>
      <c r="Z153" s="80"/>
      <c r="AA153" s="80"/>
      <c r="AB153" s="80"/>
      <c r="AC153" s="80"/>
      <c r="AD153" s="80"/>
      <c r="AE153" s="80"/>
      <c r="AF153" s="80"/>
      <c r="AG153" s="80"/>
      <c r="AH153" s="80"/>
      <c r="AI153" s="80"/>
      <c r="AJ153" s="80"/>
      <c r="AK153" s="80"/>
      <c r="AL153" s="80"/>
      <c r="AM153" s="80"/>
      <c r="AN153" s="27"/>
      <c r="AO153" s="27"/>
      <c r="AP153" s="27"/>
    </row>
    <row r="154" spans="1:42" x14ac:dyDescent="0.2">
      <c r="A154" s="75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80"/>
      <c r="Y154" s="80"/>
      <c r="Z154" s="80"/>
      <c r="AA154" s="80"/>
      <c r="AB154" s="80"/>
      <c r="AC154" s="80"/>
      <c r="AD154" s="80"/>
      <c r="AE154" s="80"/>
      <c r="AF154" s="80"/>
      <c r="AG154" s="80"/>
      <c r="AH154" s="80"/>
      <c r="AI154" s="80"/>
      <c r="AJ154" s="80"/>
      <c r="AK154" s="80"/>
      <c r="AL154" s="80"/>
      <c r="AM154" s="80"/>
      <c r="AN154" s="27"/>
      <c r="AO154" s="27"/>
      <c r="AP154" s="27"/>
    </row>
    <row r="155" spans="1:42" x14ac:dyDescent="0.2">
      <c r="A155" s="75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80"/>
      <c r="Y155" s="80"/>
      <c r="Z155" s="80"/>
      <c r="AA155" s="80"/>
      <c r="AB155" s="80"/>
      <c r="AC155" s="80"/>
      <c r="AD155" s="80"/>
      <c r="AE155" s="80"/>
      <c r="AF155" s="80"/>
      <c r="AG155" s="80"/>
      <c r="AH155" s="80"/>
      <c r="AI155" s="80"/>
      <c r="AJ155" s="80"/>
      <c r="AK155" s="80"/>
      <c r="AL155" s="80"/>
      <c r="AM155" s="80"/>
      <c r="AN155" s="27"/>
      <c r="AO155" s="27"/>
      <c r="AP155" s="27"/>
    </row>
    <row r="156" spans="1:42" x14ac:dyDescent="0.2">
      <c r="A156" s="75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80"/>
      <c r="Y156" s="80"/>
      <c r="Z156" s="80"/>
      <c r="AA156" s="80"/>
      <c r="AB156" s="80"/>
      <c r="AC156" s="80"/>
      <c r="AD156" s="80"/>
      <c r="AE156" s="80"/>
      <c r="AF156" s="80"/>
      <c r="AG156" s="80"/>
      <c r="AH156" s="80"/>
      <c r="AI156" s="80"/>
      <c r="AJ156" s="80"/>
      <c r="AK156" s="80"/>
      <c r="AL156" s="80"/>
      <c r="AM156" s="80"/>
      <c r="AN156" s="27"/>
      <c r="AO156" s="27"/>
      <c r="AP156" s="27"/>
    </row>
    <row r="157" spans="1:42" x14ac:dyDescent="0.2">
      <c r="A157" s="75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80"/>
      <c r="Y157" s="80"/>
      <c r="Z157" s="80"/>
      <c r="AA157" s="80"/>
      <c r="AB157" s="80"/>
      <c r="AC157" s="80"/>
      <c r="AD157" s="80"/>
      <c r="AE157" s="80"/>
      <c r="AF157" s="80"/>
      <c r="AG157" s="80"/>
      <c r="AH157" s="80"/>
      <c r="AI157" s="80"/>
      <c r="AJ157" s="80"/>
      <c r="AK157" s="80"/>
      <c r="AL157" s="80"/>
      <c r="AM157" s="80"/>
      <c r="AN157" s="27"/>
      <c r="AO157" s="27"/>
      <c r="AP157" s="27"/>
    </row>
    <row r="158" spans="1:42" x14ac:dyDescent="0.2">
      <c r="A158" s="75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80"/>
      <c r="Y158" s="80"/>
      <c r="Z158" s="80"/>
      <c r="AA158" s="80"/>
      <c r="AB158" s="80"/>
      <c r="AC158" s="80"/>
      <c r="AD158" s="80"/>
      <c r="AE158" s="80"/>
      <c r="AF158" s="80"/>
      <c r="AG158" s="80"/>
      <c r="AH158" s="80"/>
      <c r="AI158" s="80"/>
      <c r="AJ158" s="80"/>
      <c r="AK158" s="80"/>
      <c r="AL158" s="80"/>
      <c r="AM158" s="80"/>
      <c r="AN158" s="27"/>
      <c r="AO158" s="27"/>
      <c r="AP158" s="27"/>
    </row>
    <row r="159" spans="1:42" x14ac:dyDescent="0.2">
      <c r="A159" s="75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80"/>
      <c r="Y159" s="80"/>
      <c r="Z159" s="80"/>
      <c r="AA159" s="80"/>
      <c r="AB159" s="80"/>
      <c r="AC159" s="80"/>
      <c r="AD159" s="80"/>
      <c r="AE159" s="80"/>
      <c r="AF159" s="80"/>
      <c r="AG159" s="80"/>
      <c r="AH159" s="80"/>
      <c r="AI159" s="80"/>
      <c r="AJ159" s="80"/>
      <c r="AK159" s="80"/>
      <c r="AL159" s="80"/>
      <c r="AM159" s="80"/>
      <c r="AN159" s="27"/>
      <c r="AO159" s="27"/>
      <c r="AP159" s="27"/>
    </row>
    <row r="160" spans="1:42" x14ac:dyDescent="0.2">
      <c r="A160" s="75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80"/>
      <c r="Y160" s="80"/>
      <c r="Z160" s="80"/>
      <c r="AA160" s="80"/>
      <c r="AB160" s="80"/>
      <c r="AC160" s="80"/>
      <c r="AD160" s="80"/>
      <c r="AE160" s="80"/>
      <c r="AF160" s="80"/>
      <c r="AG160" s="80"/>
      <c r="AH160" s="80"/>
      <c r="AI160" s="80"/>
      <c r="AJ160" s="80"/>
      <c r="AK160" s="80"/>
      <c r="AL160" s="80"/>
      <c r="AM160" s="80"/>
      <c r="AN160" s="27"/>
      <c r="AO160" s="27"/>
      <c r="AP160" s="27"/>
    </row>
    <row r="161" spans="1:42" x14ac:dyDescent="0.2">
      <c r="A161" s="75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80"/>
      <c r="Y161" s="80"/>
      <c r="Z161" s="80"/>
      <c r="AA161" s="80"/>
      <c r="AB161" s="80"/>
      <c r="AC161" s="80"/>
      <c r="AD161" s="80"/>
      <c r="AE161" s="80"/>
      <c r="AF161" s="80"/>
      <c r="AG161" s="80"/>
      <c r="AH161" s="80"/>
      <c r="AI161" s="80"/>
      <c r="AJ161" s="80"/>
      <c r="AK161" s="80"/>
      <c r="AL161" s="80"/>
      <c r="AM161" s="80"/>
      <c r="AN161" s="27"/>
      <c r="AO161" s="27"/>
      <c r="AP161" s="27"/>
    </row>
    <row r="162" spans="1:42" x14ac:dyDescent="0.2">
      <c r="A162" s="75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80"/>
      <c r="Y162" s="80"/>
      <c r="Z162" s="80"/>
      <c r="AA162" s="80"/>
      <c r="AB162" s="80"/>
      <c r="AC162" s="80"/>
      <c r="AD162" s="80"/>
      <c r="AE162" s="80"/>
      <c r="AF162" s="80"/>
      <c r="AG162" s="80"/>
      <c r="AH162" s="80"/>
      <c r="AI162" s="80"/>
      <c r="AJ162" s="80"/>
      <c r="AK162" s="80"/>
      <c r="AL162" s="80"/>
      <c r="AM162" s="80"/>
      <c r="AN162" s="27"/>
      <c r="AO162" s="27"/>
      <c r="AP162" s="27"/>
    </row>
    <row r="163" spans="1:42" x14ac:dyDescent="0.2">
      <c r="A163" s="75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80"/>
      <c r="Y163" s="80"/>
      <c r="Z163" s="80"/>
      <c r="AA163" s="80"/>
      <c r="AB163" s="80"/>
      <c r="AC163" s="80"/>
      <c r="AD163" s="80"/>
      <c r="AE163" s="80"/>
      <c r="AF163" s="80"/>
      <c r="AG163" s="80"/>
      <c r="AH163" s="80"/>
      <c r="AI163" s="80"/>
      <c r="AJ163" s="80"/>
      <c r="AK163" s="80"/>
      <c r="AL163" s="80"/>
      <c r="AM163" s="80"/>
      <c r="AN163" s="27"/>
      <c r="AO163" s="27"/>
      <c r="AP163" s="27"/>
    </row>
    <row r="164" spans="1:42" x14ac:dyDescent="0.2">
      <c r="A164" s="75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80"/>
      <c r="Y164" s="80"/>
      <c r="Z164" s="80"/>
      <c r="AA164" s="80"/>
      <c r="AB164" s="80"/>
      <c r="AC164" s="80"/>
      <c r="AD164" s="80"/>
      <c r="AE164" s="80"/>
      <c r="AF164" s="80"/>
      <c r="AG164" s="80"/>
      <c r="AH164" s="80"/>
      <c r="AI164" s="80"/>
      <c r="AJ164" s="80"/>
      <c r="AK164" s="80"/>
      <c r="AL164" s="80"/>
      <c r="AM164" s="80"/>
      <c r="AN164" s="27"/>
      <c r="AO164" s="27"/>
      <c r="AP164" s="27"/>
    </row>
    <row r="165" spans="1:42" x14ac:dyDescent="0.2">
      <c r="A165" s="75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80"/>
      <c r="Y165" s="80"/>
      <c r="Z165" s="80"/>
      <c r="AA165" s="80"/>
      <c r="AB165" s="80"/>
      <c r="AC165" s="80"/>
      <c r="AD165" s="80"/>
      <c r="AE165" s="80"/>
      <c r="AF165" s="80"/>
      <c r="AG165" s="80"/>
      <c r="AH165" s="80"/>
      <c r="AI165" s="80"/>
      <c r="AJ165" s="80"/>
      <c r="AK165" s="80"/>
      <c r="AL165" s="80"/>
      <c r="AM165" s="80"/>
      <c r="AN165" s="27"/>
      <c r="AO165" s="27"/>
      <c r="AP165" s="27"/>
    </row>
    <row r="166" spans="1:42" x14ac:dyDescent="0.2">
      <c r="A166" s="75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80"/>
      <c r="Y166" s="80"/>
      <c r="Z166" s="80"/>
      <c r="AA166" s="80"/>
      <c r="AB166" s="80"/>
      <c r="AC166" s="80"/>
      <c r="AD166" s="80"/>
      <c r="AE166" s="80"/>
      <c r="AF166" s="80"/>
      <c r="AG166" s="80"/>
      <c r="AH166" s="80"/>
      <c r="AI166" s="80"/>
      <c r="AJ166" s="80"/>
      <c r="AK166" s="80"/>
      <c r="AL166" s="80"/>
      <c r="AM166" s="80"/>
      <c r="AN166" s="27"/>
      <c r="AO166" s="27"/>
      <c r="AP166" s="27"/>
    </row>
    <row r="167" spans="1:42" x14ac:dyDescent="0.2">
      <c r="A167" s="75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80"/>
      <c r="Y167" s="80"/>
      <c r="Z167" s="80"/>
      <c r="AA167" s="80"/>
      <c r="AB167" s="80"/>
      <c r="AC167" s="80"/>
      <c r="AD167" s="80"/>
      <c r="AE167" s="80"/>
      <c r="AF167" s="80"/>
      <c r="AG167" s="80"/>
      <c r="AH167" s="80"/>
      <c r="AI167" s="80"/>
      <c r="AJ167" s="80"/>
      <c r="AK167" s="80"/>
      <c r="AL167" s="80"/>
      <c r="AM167" s="80"/>
      <c r="AN167" s="27"/>
      <c r="AO167" s="27"/>
      <c r="AP167" s="27"/>
    </row>
    <row r="168" spans="1:42" x14ac:dyDescent="0.2">
      <c r="A168" s="75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80"/>
      <c r="Y168" s="80"/>
      <c r="Z168" s="80"/>
      <c r="AA168" s="80"/>
      <c r="AB168" s="80"/>
      <c r="AC168" s="80"/>
      <c r="AD168" s="80"/>
      <c r="AE168" s="80"/>
      <c r="AF168" s="80"/>
      <c r="AG168" s="80"/>
      <c r="AH168" s="80"/>
      <c r="AI168" s="80"/>
      <c r="AJ168" s="80"/>
      <c r="AK168" s="80"/>
      <c r="AL168" s="80"/>
      <c r="AM168" s="80"/>
      <c r="AN168" s="27"/>
      <c r="AO168" s="27"/>
      <c r="AP168" s="27"/>
    </row>
    <row r="169" spans="1:42" x14ac:dyDescent="0.2">
      <c r="A169" s="75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80"/>
      <c r="Y169" s="80"/>
      <c r="Z169" s="80"/>
      <c r="AA169" s="80"/>
      <c r="AB169" s="80"/>
      <c r="AC169" s="80"/>
      <c r="AD169" s="80"/>
      <c r="AE169" s="80"/>
      <c r="AF169" s="80"/>
      <c r="AG169" s="80"/>
      <c r="AH169" s="80"/>
      <c r="AI169" s="80"/>
      <c r="AJ169" s="80"/>
      <c r="AK169" s="80"/>
      <c r="AL169" s="80"/>
      <c r="AM169" s="80"/>
      <c r="AN169" s="27"/>
      <c r="AO169" s="27"/>
      <c r="AP169" s="27"/>
    </row>
    <row r="170" spans="1:42" x14ac:dyDescent="0.2">
      <c r="A170" s="75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80"/>
      <c r="Y170" s="80"/>
      <c r="Z170" s="80"/>
      <c r="AA170" s="80"/>
      <c r="AB170" s="80"/>
      <c r="AC170" s="80"/>
      <c r="AD170" s="80"/>
      <c r="AE170" s="80"/>
      <c r="AF170" s="80"/>
      <c r="AG170" s="80"/>
      <c r="AH170" s="80"/>
      <c r="AI170" s="80"/>
      <c r="AJ170" s="80"/>
      <c r="AK170" s="80"/>
      <c r="AL170" s="80"/>
      <c r="AM170" s="80"/>
      <c r="AN170" s="27"/>
      <c r="AO170" s="27"/>
      <c r="AP170" s="27"/>
    </row>
    <row r="171" spans="1:42" x14ac:dyDescent="0.2">
      <c r="A171" s="75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80"/>
      <c r="Y171" s="80"/>
      <c r="Z171" s="80"/>
      <c r="AA171" s="80"/>
      <c r="AB171" s="80"/>
      <c r="AC171" s="80"/>
      <c r="AD171" s="80"/>
      <c r="AE171" s="80"/>
      <c r="AF171" s="80"/>
      <c r="AG171" s="80"/>
      <c r="AH171" s="80"/>
      <c r="AI171" s="80"/>
      <c r="AJ171" s="80"/>
      <c r="AK171" s="80"/>
      <c r="AL171" s="80"/>
      <c r="AM171" s="80"/>
      <c r="AN171" s="27"/>
      <c r="AO171" s="27"/>
      <c r="AP171" s="27"/>
    </row>
    <row r="172" spans="1:42" x14ac:dyDescent="0.2">
      <c r="A172" s="75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80"/>
      <c r="Y172" s="80"/>
      <c r="Z172" s="80"/>
      <c r="AA172" s="80"/>
      <c r="AB172" s="80"/>
      <c r="AC172" s="80"/>
      <c r="AD172" s="80"/>
      <c r="AE172" s="80"/>
      <c r="AF172" s="80"/>
      <c r="AG172" s="80"/>
      <c r="AH172" s="80"/>
      <c r="AI172" s="80"/>
      <c r="AJ172" s="80"/>
      <c r="AK172" s="80"/>
      <c r="AL172" s="80"/>
      <c r="AM172" s="80"/>
      <c r="AN172" s="27"/>
      <c r="AO172" s="27"/>
      <c r="AP172" s="27"/>
    </row>
    <row r="173" spans="1:42" x14ac:dyDescent="0.2">
      <c r="A173" s="75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80"/>
      <c r="Y173" s="80"/>
      <c r="Z173" s="80"/>
      <c r="AA173" s="80"/>
      <c r="AB173" s="80"/>
      <c r="AC173" s="80"/>
      <c r="AD173" s="80"/>
      <c r="AE173" s="80"/>
      <c r="AF173" s="80"/>
      <c r="AG173" s="80"/>
      <c r="AH173" s="80"/>
      <c r="AI173" s="80"/>
      <c r="AJ173" s="80"/>
      <c r="AK173" s="80"/>
      <c r="AL173" s="80"/>
      <c r="AM173" s="80"/>
      <c r="AN173" s="27"/>
      <c r="AO173" s="27"/>
      <c r="AP173" s="27"/>
    </row>
    <row r="174" spans="1:42" x14ac:dyDescent="0.2">
      <c r="A174" s="75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80"/>
      <c r="Y174" s="80"/>
      <c r="Z174" s="80"/>
      <c r="AA174" s="80"/>
      <c r="AB174" s="80"/>
      <c r="AC174" s="80"/>
      <c r="AD174" s="80"/>
      <c r="AE174" s="80"/>
      <c r="AF174" s="80"/>
      <c r="AG174" s="80"/>
      <c r="AH174" s="80"/>
      <c r="AI174" s="80"/>
      <c r="AJ174" s="80"/>
      <c r="AK174" s="80"/>
      <c r="AL174" s="80"/>
      <c r="AM174" s="80"/>
      <c r="AN174" s="27"/>
      <c r="AO174" s="27"/>
      <c r="AP174" s="27"/>
    </row>
    <row r="175" spans="1:42" x14ac:dyDescent="0.2">
      <c r="A175" s="75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80"/>
      <c r="Y175" s="80"/>
      <c r="Z175" s="80"/>
      <c r="AA175" s="80"/>
      <c r="AB175" s="80"/>
      <c r="AC175" s="80"/>
      <c r="AD175" s="80"/>
      <c r="AE175" s="80"/>
      <c r="AF175" s="80"/>
      <c r="AG175" s="80"/>
      <c r="AH175" s="80"/>
      <c r="AI175" s="80"/>
      <c r="AJ175" s="80"/>
      <c r="AK175" s="80"/>
      <c r="AL175" s="80"/>
      <c r="AM175" s="80"/>
      <c r="AN175" s="27"/>
      <c r="AO175" s="27"/>
      <c r="AP175" s="27"/>
    </row>
    <row r="176" spans="1:42" x14ac:dyDescent="0.2">
      <c r="A176" s="75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80"/>
      <c r="Y176" s="80"/>
      <c r="Z176" s="80"/>
      <c r="AA176" s="80"/>
      <c r="AB176" s="80"/>
      <c r="AC176" s="80"/>
      <c r="AD176" s="80"/>
      <c r="AE176" s="80"/>
      <c r="AF176" s="80"/>
      <c r="AG176" s="80"/>
      <c r="AH176" s="80"/>
      <c r="AI176" s="80"/>
      <c r="AJ176" s="80"/>
      <c r="AK176" s="80"/>
      <c r="AL176" s="80"/>
      <c r="AM176" s="80"/>
      <c r="AN176" s="27"/>
      <c r="AO176" s="27"/>
      <c r="AP176" s="27"/>
    </row>
    <row r="177" spans="1:42" x14ac:dyDescent="0.2">
      <c r="A177" s="75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  <c r="AJ177" s="80"/>
      <c r="AK177" s="80"/>
      <c r="AL177" s="80"/>
      <c r="AM177" s="80"/>
      <c r="AN177" s="27"/>
      <c r="AO177" s="27"/>
      <c r="AP177" s="27"/>
    </row>
    <row r="178" spans="1:42" x14ac:dyDescent="0.2">
      <c r="A178" s="75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80"/>
      <c r="Y178" s="80"/>
      <c r="Z178" s="80"/>
      <c r="AA178" s="80"/>
      <c r="AB178" s="80"/>
      <c r="AC178" s="80"/>
      <c r="AD178" s="80"/>
      <c r="AE178" s="80"/>
      <c r="AF178" s="80"/>
      <c r="AG178" s="80"/>
      <c r="AH178" s="80"/>
      <c r="AI178" s="80"/>
      <c r="AJ178" s="80"/>
      <c r="AK178" s="80"/>
      <c r="AL178" s="80"/>
      <c r="AM178" s="80"/>
      <c r="AN178" s="27"/>
      <c r="AO178" s="27"/>
      <c r="AP178" s="27"/>
    </row>
    <row r="179" spans="1:42" x14ac:dyDescent="0.2">
      <c r="A179" s="75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80"/>
      <c r="Y179" s="80"/>
      <c r="Z179" s="80"/>
      <c r="AA179" s="80"/>
      <c r="AB179" s="80"/>
      <c r="AC179" s="80"/>
      <c r="AD179" s="80"/>
      <c r="AE179" s="80"/>
      <c r="AF179" s="80"/>
      <c r="AG179" s="80"/>
      <c r="AH179" s="80"/>
      <c r="AI179" s="80"/>
      <c r="AJ179" s="80"/>
      <c r="AK179" s="80"/>
      <c r="AL179" s="80"/>
      <c r="AM179" s="80"/>
      <c r="AN179" s="27"/>
      <c r="AO179" s="27"/>
      <c r="AP179" s="27"/>
    </row>
    <row r="180" spans="1:42" x14ac:dyDescent="0.2">
      <c r="A180" s="75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80"/>
      <c r="Y180" s="80"/>
      <c r="Z180" s="80"/>
      <c r="AA180" s="80"/>
      <c r="AB180" s="80"/>
      <c r="AC180" s="80"/>
      <c r="AD180" s="80"/>
      <c r="AE180" s="80"/>
      <c r="AF180" s="80"/>
      <c r="AG180" s="80"/>
      <c r="AH180" s="80"/>
      <c r="AI180" s="80"/>
      <c r="AJ180" s="80"/>
      <c r="AK180" s="80"/>
      <c r="AL180" s="80"/>
      <c r="AM180" s="80"/>
      <c r="AN180" s="27"/>
      <c r="AO180" s="27"/>
      <c r="AP180" s="27"/>
    </row>
    <row r="181" spans="1:42" x14ac:dyDescent="0.2">
      <c r="A181" s="75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80"/>
      <c r="Y181" s="80"/>
      <c r="Z181" s="80"/>
      <c r="AA181" s="80"/>
      <c r="AB181" s="80"/>
      <c r="AC181" s="80"/>
      <c r="AD181" s="80"/>
      <c r="AE181" s="80"/>
      <c r="AF181" s="80"/>
      <c r="AG181" s="80"/>
      <c r="AH181" s="80"/>
      <c r="AI181" s="80"/>
      <c r="AJ181" s="80"/>
      <c r="AK181" s="80"/>
      <c r="AL181" s="80"/>
      <c r="AM181" s="80"/>
      <c r="AN181" s="27"/>
      <c r="AO181" s="27"/>
      <c r="AP181" s="27"/>
    </row>
    <row r="182" spans="1:42" x14ac:dyDescent="0.2">
      <c r="A182" s="75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80"/>
      <c r="Y182" s="80"/>
      <c r="Z182" s="80"/>
      <c r="AA182" s="80"/>
      <c r="AB182" s="80"/>
      <c r="AC182" s="80"/>
      <c r="AD182" s="80"/>
      <c r="AE182" s="80"/>
      <c r="AF182" s="80"/>
      <c r="AG182" s="80"/>
      <c r="AH182" s="80"/>
      <c r="AI182" s="80"/>
      <c r="AJ182" s="80"/>
      <c r="AK182" s="80"/>
      <c r="AL182" s="80"/>
      <c r="AM182" s="80"/>
      <c r="AN182" s="27"/>
      <c r="AO182" s="27"/>
      <c r="AP182" s="27"/>
    </row>
    <row r="183" spans="1:42" x14ac:dyDescent="0.2">
      <c r="A183" s="75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80"/>
      <c r="Y183" s="80"/>
      <c r="Z183" s="80"/>
      <c r="AA183" s="80"/>
      <c r="AB183" s="80"/>
      <c r="AC183" s="80"/>
      <c r="AD183" s="80"/>
      <c r="AE183" s="80"/>
      <c r="AF183" s="80"/>
      <c r="AG183" s="80"/>
      <c r="AH183" s="80"/>
      <c r="AI183" s="80"/>
      <c r="AJ183" s="80"/>
      <c r="AK183" s="80"/>
      <c r="AL183" s="80"/>
      <c r="AM183" s="80"/>
      <c r="AN183" s="27"/>
      <c r="AO183" s="27"/>
      <c r="AP183" s="27"/>
    </row>
    <row r="184" spans="1:42" x14ac:dyDescent="0.2">
      <c r="A184" s="75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80"/>
      <c r="Y184" s="80"/>
      <c r="Z184" s="80"/>
      <c r="AA184" s="80"/>
      <c r="AB184" s="80"/>
      <c r="AC184" s="80"/>
      <c r="AD184" s="80"/>
      <c r="AE184" s="80"/>
      <c r="AF184" s="80"/>
      <c r="AG184" s="80"/>
      <c r="AH184" s="80"/>
      <c r="AI184" s="80"/>
      <c r="AJ184" s="80"/>
      <c r="AK184" s="80"/>
      <c r="AL184" s="80"/>
      <c r="AM184" s="80"/>
      <c r="AN184" s="27"/>
      <c r="AO184" s="27"/>
      <c r="AP184" s="27"/>
    </row>
    <row r="185" spans="1:42" x14ac:dyDescent="0.2">
      <c r="A185" s="75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80"/>
      <c r="Y185" s="80"/>
      <c r="Z185" s="80"/>
      <c r="AA185" s="80"/>
      <c r="AB185" s="80"/>
      <c r="AC185" s="80"/>
      <c r="AD185" s="80"/>
      <c r="AE185" s="80"/>
      <c r="AF185" s="80"/>
      <c r="AG185" s="80"/>
      <c r="AH185" s="80"/>
      <c r="AI185" s="80"/>
      <c r="AJ185" s="80"/>
      <c r="AK185" s="80"/>
      <c r="AL185" s="80"/>
      <c r="AM185" s="80"/>
      <c r="AN185" s="27"/>
      <c r="AO185" s="27"/>
      <c r="AP185" s="27"/>
    </row>
    <row r="186" spans="1:42" x14ac:dyDescent="0.2">
      <c r="A186" s="75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80"/>
      <c r="Y186" s="80"/>
      <c r="Z186" s="80"/>
      <c r="AA186" s="80"/>
      <c r="AB186" s="80"/>
      <c r="AC186" s="80"/>
      <c r="AD186" s="80"/>
      <c r="AE186" s="80"/>
      <c r="AF186" s="80"/>
      <c r="AG186" s="80"/>
      <c r="AH186" s="80"/>
      <c r="AI186" s="80"/>
      <c r="AJ186" s="80"/>
      <c r="AK186" s="80"/>
      <c r="AL186" s="80"/>
      <c r="AM186" s="80"/>
      <c r="AN186" s="27"/>
      <c r="AO186" s="27"/>
      <c r="AP186" s="27"/>
    </row>
    <row r="187" spans="1:42" x14ac:dyDescent="0.2">
      <c r="A187" s="75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80"/>
      <c r="Y187" s="80"/>
      <c r="Z187" s="80"/>
      <c r="AA187" s="80"/>
      <c r="AB187" s="80"/>
      <c r="AC187" s="80"/>
      <c r="AD187" s="80"/>
      <c r="AE187" s="80"/>
      <c r="AF187" s="80"/>
      <c r="AG187" s="80"/>
      <c r="AH187" s="80"/>
      <c r="AI187" s="80"/>
      <c r="AJ187" s="80"/>
      <c r="AK187" s="80"/>
      <c r="AL187" s="80"/>
      <c r="AM187" s="80"/>
      <c r="AN187" s="27"/>
      <c r="AO187" s="27"/>
      <c r="AP187" s="27"/>
    </row>
    <row r="188" spans="1:42" x14ac:dyDescent="0.2">
      <c r="A188" s="75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80"/>
      <c r="Y188" s="80"/>
      <c r="Z188" s="80"/>
      <c r="AA188" s="80"/>
      <c r="AB188" s="80"/>
      <c r="AC188" s="80"/>
      <c r="AD188" s="80"/>
      <c r="AE188" s="80"/>
      <c r="AF188" s="80"/>
      <c r="AG188" s="80"/>
      <c r="AH188" s="80"/>
      <c r="AI188" s="80"/>
      <c r="AJ188" s="80"/>
      <c r="AK188" s="80"/>
      <c r="AL188" s="80"/>
      <c r="AM188" s="80"/>
      <c r="AN188" s="27"/>
      <c r="AO188" s="27"/>
      <c r="AP188" s="27"/>
    </row>
    <row r="189" spans="1:42" x14ac:dyDescent="0.2">
      <c r="A189" s="75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80"/>
      <c r="Y189" s="80"/>
      <c r="Z189" s="80"/>
      <c r="AA189" s="80"/>
      <c r="AB189" s="80"/>
      <c r="AC189" s="80"/>
      <c r="AD189" s="80"/>
      <c r="AE189" s="80"/>
      <c r="AF189" s="80"/>
      <c r="AG189" s="80"/>
      <c r="AH189" s="80"/>
      <c r="AI189" s="80"/>
      <c r="AJ189" s="80"/>
      <c r="AK189" s="80"/>
      <c r="AL189" s="80"/>
      <c r="AM189" s="80"/>
      <c r="AN189" s="27"/>
      <c r="AO189" s="27"/>
      <c r="AP189" s="27"/>
    </row>
    <row r="190" spans="1:42" x14ac:dyDescent="0.2">
      <c r="A190" s="75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80"/>
      <c r="Y190" s="80"/>
      <c r="Z190" s="80"/>
      <c r="AA190" s="80"/>
      <c r="AB190" s="80"/>
      <c r="AC190" s="80"/>
      <c r="AD190" s="80"/>
      <c r="AE190" s="80"/>
      <c r="AF190" s="80"/>
      <c r="AG190" s="80"/>
      <c r="AH190" s="80"/>
      <c r="AI190" s="80"/>
      <c r="AJ190" s="80"/>
      <c r="AK190" s="80"/>
      <c r="AL190" s="80"/>
      <c r="AM190" s="80"/>
      <c r="AN190" s="27"/>
      <c r="AO190" s="27"/>
      <c r="AP190" s="27"/>
    </row>
    <row r="191" spans="1:42" x14ac:dyDescent="0.2">
      <c r="A191" s="75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80"/>
      <c r="Y191" s="80"/>
      <c r="Z191" s="80"/>
      <c r="AA191" s="80"/>
      <c r="AB191" s="80"/>
      <c r="AC191" s="80"/>
      <c r="AD191" s="80"/>
      <c r="AE191" s="80"/>
      <c r="AF191" s="80"/>
      <c r="AG191" s="80"/>
      <c r="AH191" s="80"/>
      <c r="AI191" s="80"/>
      <c r="AJ191" s="80"/>
      <c r="AK191" s="80"/>
      <c r="AL191" s="80"/>
      <c r="AM191" s="80"/>
      <c r="AN191" s="27"/>
      <c r="AO191" s="27"/>
      <c r="AP191" s="27"/>
    </row>
    <row r="192" spans="1:42" x14ac:dyDescent="0.2">
      <c r="A192" s="75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80"/>
      <c r="Y192" s="80"/>
      <c r="Z192" s="80"/>
      <c r="AA192" s="80"/>
      <c r="AB192" s="80"/>
      <c r="AC192" s="80"/>
      <c r="AD192" s="80"/>
      <c r="AE192" s="80"/>
      <c r="AF192" s="80"/>
      <c r="AG192" s="80"/>
      <c r="AH192" s="80"/>
      <c r="AI192" s="80"/>
      <c r="AJ192" s="80"/>
      <c r="AK192" s="80"/>
      <c r="AL192" s="80"/>
      <c r="AM192" s="80"/>
      <c r="AN192" s="27"/>
      <c r="AO192" s="27"/>
      <c r="AP192" s="27"/>
    </row>
    <row r="193" spans="1:42" x14ac:dyDescent="0.2">
      <c r="A193" s="75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80"/>
      <c r="Y193" s="80"/>
      <c r="Z193" s="80"/>
      <c r="AA193" s="80"/>
      <c r="AB193" s="80"/>
      <c r="AC193" s="80"/>
      <c r="AD193" s="80"/>
      <c r="AE193" s="80"/>
      <c r="AF193" s="80"/>
      <c r="AG193" s="80"/>
      <c r="AH193" s="80"/>
      <c r="AI193" s="80"/>
      <c r="AJ193" s="80"/>
      <c r="AK193" s="80"/>
      <c r="AL193" s="80"/>
      <c r="AM193" s="80"/>
      <c r="AN193" s="27"/>
      <c r="AO193" s="27"/>
      <c r="AP193" s="27"/>
    </row>
    <row r="194" spans="1:42" x14ac:dyDescent="0.2">
      <c r="A194" s="75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80"/>
      <c r="Y194" s="80"/>
      <c r="Z194" s="80"/>
      <c r="AA194" s="80"/>
      <c r="AB194" s="80"/>
      <c r="AC194" s="80"/>
      <c r="AD194" s="80"/>
      <c r="AE194" s="80"/>
      <c r="AF194" s="80"/>
      <c r="AG194" s="80"/>
      <c r="AH194" s="80"/>
      <c r="AI194" s="80"/>
      <c r="AJ194" s="80"/>
      <c r="AK194" s="80"/>
      <c r="AL194" s="80"/>
      <c r="AM194" s="80"/>
      <c r="AN194" s="27"/>
      <c r="AO194" s="27"/>
      <c r="AP194" s="27"/>
    </row>
    <row r="195" spans="1:42" x14ac:dyDescent="0.2">
      <c r="A195" s="75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80"/>
      <c r="Y195" s="80"/>
      <c r="Z195" s="80"/>
      <c r="AA195" s="80"/>
      <c r="AB195" s="80"/>
      <c r="AC195" s="80"/>
      <c r="AD195" s="80"/>
      <c r="AE195" s="80"/>
      <c r="AF195" s="80"/>
      <c r="AG195" s="80"/>
      <c r="AH195" s="80"/>
      <c r="AI195" s="80"/>
      <c r="AJ195" s="80"/>
      <c r="AK195" s="80"/>
      <c r="AL195" s="80"/>
      <c r="AM195" s="80"/>
      <c r="AN195" s="27"/>
      <c r="AO195" s="27"/>
      <c r="AP195" s="27"/>
    </row>
    <row r="196" spans="1:42" x14ac:dyDescent="0.2">
      <c r="A196" s="75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80"/>
      <c r="Y196" s="80"/>
      <c r="Z196" s="80"/>
      <c r="AA196" s="80"/>
      <c r="AB196" s="80"/>
      <c r="AC196" s="80"/>
      <c r="AD196" s="80"/>
      <c r="AE196" s="80"/>
      <c r="AF196" s="80"/>
      <c r="AG196" s="80"/>
      <c r="AH196" s="80"/>
      <c r="AI196" s="80"/>
      <c r="AJ196" s="80"/>
      <c r="AK196" s="80"/>
      <c r="AL196" s="80"/>
      <c r="AM196" s="80"/>
      <c r="AN196" s="27"/>
      <c r="AO196" s="27"/>
      <c r="AP196" s="27"/>
    </row>
    <row r="197" spans="1:42" x14ac:dyDescent="0.2">
      <c r="A197" s="75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80"/>
      <c r="Y197" s="80"/>
      <c r="Z197" s="80"/>
      <c r="AA197" s="80"/>
      <c r="AB197" s="80"/>
      <c r="AC197" s="80"/>
      <c r="AD197" s="80"/>
      <c r="AE197" s="80"/>
      <c r="AF197" s="80"/>
      <c r="AG197" s="80"/>
      <c r="AH197" s="80"/>
      <c r="AI197" s="80"/>
      <c r="AJ197" s="80"/>
      <c r="AK197" s="80"/>
      <c r="AL197" s="80"/>
      <c r="AM197" s="80"/>
      <c r="AN197" s="27"/>
      <c r="AO197" s="27"/>
      <c r="AP197" s="27"/>
    </row>
    <row r="198" spans="1:42" x14ac:dyDescent="0.2">
      <c r="A198" s="75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80"/>
      <c r="Y198" s="80"/>
      <c r="Z198" s="80"/>
      <c r="AA198" s="80"/>
      <c r="AB198" s="80"/>
      <c r="AC198" s="80"/>
      <c r="AD198" s="80"/>
      <c r="AE198" s="80"/>
      <c r="AF198" s="80"/>
      <c r="AG198" s="80"/>
      <c r="AH198" s="80"/>
      <c r="AI198" s="80"/>
      <c r="AJ198" s="80"/>
      <c r="AK198" s="80"/>
      <c r="AL198" s="80"/>
      <c r="AM198" s="80"/>
      <c r="AN198" s="27"/>
      <c r="AO198" s="27"/>
      <c r="AP198" s="27"/>
    </row>
    <row r="199" spans="1:42" x14ac:dyDescent="0.2">
      <c r="A199" s="75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80"/>
      <c r="Y199" s="80"/>
      <c r="Z199" s="80"/>
      <c r="AA199" s="80"/>
      <c r="AB199" s="80"/>
      <c r="AC199" s="80"/>
      <c r="AD199" s="80"/>
      <c r="AE199" s="80"/>
      <c r="AF199" s="80"/>
      <c r="AG199" s="80"/>
      <c r="AH199" s="80"/>
      <c r="AI199" s="80"/>
      <c r="AJ199" s="80"/>
      <c r="AK199" s="80"/>
      <c r="AL199" s="80"/>
      <c r="AM199" s="80"/>
      <c r="AN199" s="27"/>
      <c r="AO199" s="27"/>
      <c r="AP199" s="27"/>
    </row>
    <row r="200" spans="1:42" x14ac:dyDescent="0.2">
      <c r="A200" s="75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80"/>
      <c r="Y200" s="80"/>
      <c r="Z200" s="80"/>
      <c r="AA200" s="80"/>
      <c r="AB200" s="80"/>
      <c r="AC200" s="80"/>
      <c r="AD200" s="80"/>
      <c r="AE200" s="80"/>
      <c r="AF200" s="80"/>
      <c r="AG200" s="80"/>
      <c r="AH200" s="80"/>
      <c r="AI200" s="80"/>
      <c r="AJ200" s="80"/>
      <c r="AK200" s="80"/>
      <c r="AL200" s="80"/>
      <c r="AM200" s="80"/>
      <c r="AN200" s="27"/>
      <c r="AO200" s="27"/>
      <c r="AP200" s="27"/>
    </row>
    <row r="201" spans="1:42" x14ac:dyDescent="0.2">
      <c r="A201" s="75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80"/>
      <c r="Y201" s="80"/>
      <c r="Z201" s="80"/>
      <c r="AA201" s="80"/>
      <c r="AB201" s="80"/>
      <c r="AC201" s="80"/>
      <c r="AD201" s="80"/>
      <c r="AE201" s="80"/>
      <c r="AF201" s="80"/>
      <c r="AG201" s="80"/>
      <c r="AH201" s="80"/>
      <c r="AI201" s="80"/>
      <c r="AJ201" s="80"/>
      <c r="AK201" s="80"/>
      <c r="AL201" s="80"/>
      <c r="AM201" s="80"/>
      <c r="AN201" s="27"/>
      <c r="AO201" s="27"/>
      <c r="AP201" s="27"/>
    </row>
    <row r="202" spans="1:42" x14ac:dyDescent="0.2">
      <c r="A202" s="75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80"/>
      <c r="Y202" s="80"/>
      <c r="Z202" s="80"/>
      <c r="AA202" s="80"/>
      <c r="AB202" s="80"/>
      <c r="AC202" s="80"/>
      <c r="AD202" s="80"/>
      <c r="AE202" s="80"/>
      <c r="AF202" s="80"/>
      <c r="AG202" s="80"/>
      <c r="AH202" s="80"/>
      <c r="AI202" s="80"/>
      <c r="AJ202" s="80"/>
      <c r="AK202" s="80"/>
      <c r="AL202" s="80"/>
      <c r="AM202" s="80"/>
      <c r="AN202" s="27"/>
      <c r="AO202" s="27"/>
      <c r="AP202" s="27"/>
    </row>
    <row r="203" spans="1:42" x14ac:dyDescent="0.2">
      <c r="A203" s="75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80"/>
      <c r="Y203" s="80"/>
      <c r="Z203" s="80"/>
      <c r="AA203" s="80"/>
      <c r="AB203" s="80"/>
      <c r="AC203" s="80"/>
      <c r="AD203" s="80"/>
      <c r="AE203" s="80"/>
      <c r="AF203" s="80"/>
      <c r="AG203" s="80"/>
      <c r="AH203" s="80"/>
      <c r="AI203" s="80"/>
      <c r="AJ203" s="80"/>
      <c r="AK203" s="80"/>
      <c r="AL203" s="80"/>
      <c r="AM203" s="80"/>
      <c r="AN203" s="27"/>
      <c r="AO203" s="27"/>
      <c r="AP203" s="27"/>
    </row>
    <row r="204" spans="1:42" x14ac:dyDescent="0.2">
      <c r="A204" s="75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80"/>
      <c r="Y204" s="80"/>
      <c r="Z204" s="80"/>
      <c r="AA204" s="80"/>
      <c r="AB204" s="80"/>
      <c r="AC204" s="80"/>
      <c r="AD204" s="80"/>
      <c r="AE204" s="80"/>
      <c r="AF204" s="80"/>
      <c r="AG204" s="80"/>
      <c r="AH204" s="80"/>
      <c r="AI204" s="80"/>
      <c r="AJ204" s="80"/>
      <c r="AK204" s="80"/>
      <c r="AL204" s="80"/>
      <c r="AM204" s="80"/>
      <c r="AN204" s="27"/>
      <c r="AO204" s="27"/>
      <c r="AP204" s="27"/>
    </row>
    <row r="205" spans="1:42" x14ac:dyDescent="0.2">
      <c r="A205" s="75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80"/>
      <c r="Y205" s="80"/>
      <c r="Z205" s="80"/>
      <c r="AA205" s="80"/>
      <c r="AB205" s="80"/>
      <c r="AC205" s="80"/>
      <c r="AD205" s="80"/>
      <c r="AE205" s="80"/>
      <c r="AF205" s="80"/>
      <c r="AG205" s="80"/>
      <c r="AH205" s="80"/>
      <c r="AI205" s="80"/>
      <c r="AJ205" s="80"/>
      <c r="AK205" s="80"/>
      <c r="AL205" s="80"/>
      <c r="AM205" s="80"/>
      <c r="AN205" s="27"/>
      <c r="AO205" s="27"/>
      <c r="AP205" s="27"/>
    </row>
    <row r="206" spans="1:42" x14ac:dyDescent="0.2">
      <c r="A206" s="75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80"/>
      <c r="Y206" s="80"/>
      <c r="Z206" s="80"/>
      <c r="AA206" s="80"/>
      <c r="AB206" s="80"/>
      <c r="AC206" s="80"/>
      <c r="AD206" s="80"/>
      <c r="AE206" s="80"/>
      <c r="AF206" s="80"/>
      <c r="AG206" s="80"/>
      <c r="AH206" s="80"/>
      <c r="AI206" s="80"/>
      <c r="AJ206" s="80"/>
      <c r="AK206" s="80"/>
      <c r="AL206" s="80"/>
      <c r="AM206" s="80"/>
      <c r="AN206" s="27"/>
      <c r="AO206" s="27"/>
      <c r="AP206" s="27"/>
    </row>
    <row r="207" spans="1:42" x14ac:dyDescent="0.2">
      <c r="A207" s="75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80"/>
      <c r="Y207" s="80"/>
      <c r="Z207" s="80"/>
      <c r="AA207" s="80"/>
      <c r="AB207" s="80"/>
      <c r="AC207" s="80"/>
      <c r="AD207" s="80"/>
      <c r="AE207" s="80"/>
      <c r="AF207" s="80"/>
      <c r="AG207" s="80"/>
      <c r="AH207" s="80"/>
      <c r="AI207" s="80"/>
      <c r="AJ207" s="80"/>
      <c r="AK207" s="80"/>
      <c r="AL207" s="80"/>
      <c r="AM207" s="80"/>
      <c r="AN207" s="27"/>
      <c r="AO207" s="27"/>
      <c r="AP207" s="27"/>
    </row>
    <row r="208" spans="1:42" x14ac:dyDescent="0.2">
      <c r="A208" s="75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80"/>
      <c r="Y208" s="80"/>
      <c r="Z208" s="80"/>
      <c r="AA208" s="80"/>
      <c r="AB208" s="80"/>
      <c r="AC208" s="80"/>
      <c r="AD208" s="80"/>
      <c r="AE208" s="80"/>
      <c r="AF208" s="80"/>
      <c r="AG208" s="80"/>
      <c r="AH208" s="80"/>
      <c r="AI208" s="80"/>
      <c r="AJ208" s="80"/>
      <c r="AK208" s="80"/>
      <c r="AL208" s="80"/>
      <c r="AM208" s="80"/>
      <c r="AN208" s="27"/>
      <c r="AO208" s="27"/>
      <c r="AP208" s="27"/>
    </row>
    <row r="209" spans="1:42" x14ac:dyDescent="0.2">
      <c r="A209" s="75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80"/>
      <c r="Y209" s="80"/>
      <c r="Z209" s="80"/>
      <c r="AA209" s="80"/>
      <c r="AB209" s="80"/>
      <c r="AC209" s="80"/>
      <c r="AD209" s="80"/>
      <c r="AE209" s="80"/>
      <c r="AF209" s="80"/>
      <c r="AG209" s="80"/>
      <c r="AH209" s="80"/>
      <c r="AI209" s="80"/>
      <c r="AJ209" s="80"/>
      <c r="AK209" s="80"/>
      <c r="AL209" s="80"/>
      <c r="AM209" s="80"/>
      <c r="AN209" s="27"/>
      <c r="AO209" s="27"/>
      <c r="AP209" s="27"/>
    </row>
    <row r="210" spans="1:42" x14ac:dyDescent="0.2">
      <c r="A210" s="75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80"/>
      <c r="Y210" s="80"/>
      <c r="Z210" s="80"/>
      <c r="AA210" s="80"/>
      <c r="AB210" s="80"/>
      <c r="AC210" s="80"/>
      <c r="AD210" s="80"/>
      <c r="AE210" s="80"/>
      <c r="AF210" s="80"/>
      <c r="AG210" s="80"/>
      <c r="AH210" s="80"/>
      <c r="AI210" s="80"/>
      <c r="AJ210" s="80"/>
      <c r="AK210" s="80"/>
      <c r="AL210" s="80"/>
      <c r="AM210" s="80"/>
      <c r="AN210" s="27"/>
      <c r="AO210" s="27"/>
      <c r="AP210" s="27"/>
    </row>
    <row r="211" spans="1:42" x14ac:dyDescent="0.2">
      <c r="A211" s="75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80"/>
      <c r="Y211" s="80"/>
      <c r="Z211" s="80"/>
      <c r="AA211" s="80"/>
      <c r="AB211" s="80"/>
      <c r="AC211" s="80"/>
      <c r="AD211" s="80"/>
      <c r="AE211" s="80"/>
      <c r="AF211" s="80"/>
      <c r="AG211" s="80"/>
      <c r="AH211" s="80"/>
      <c r="AI211" s="80"/>
      <c r="AJ211" s="80"/>
      <c r="AK211" s="80"/>
      <c r="AL211" s="80"/>
      <c r="AM211" s="80"/>
      <c r="AN211" s="27"/>
      <c r="AO211" s="27"/>
      <c r="AP211" s="27"/>
    </row>
    <row r="212" spans="1:42" x14ac:dyDescent="0.2">
      <c r="A212" s="75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80"/>
      <c r="Y212" s="80"/>
      <c r="Z212" s="80"/>
      <c r="AA212" s="80"/>
      <c r="AB212" s="80"/>
      <c r="AC212" s="80"/>
      <c r="AD212" s="80"/>
      <c r="AE212" s="80"/>
      <c r="AF212" s="80"/>
      <c r="AG212" s="80"/>
      <c r="AH212" s="80"/>
      <c r="AI212" s="80"/>
      <c r="AJ212" s="80"/>
      <c r="AK212" s="80"/>
      <c r="AL212" s="80"/>
      <c r="AM212" s="80"/>
      <c r="AN212" s="27"/>
      <c r="AO212" s="27"/>
      <c r="AP212" s="27"/>
    </row>
    <row r="213" spans="1:42" x14ac:dyDescent="0.2">
      <c r="A213" s="75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80"/>
      <c r="Y213" s="80"/>
      <c r="Z213" s="80"/>
      <c r="AA213" s="80"/>
      <c r="AB213" s="80"/>
      <c r="AC213" s="80"/>
      <c r="AD213" s="80"/>
      <c r="AE213" s="80"/>
      <c r="AF213" s="80"/>
      <c r="AG213" s="80"/>
      <c r="AH213" s="80"/>
      <c r="AI213" s="80"/>
      <c r="AJ213" s="80"/>
      <c r="AK213" s="80"/>
      <c r="AL213" s="80"/>
      <c r="AM213" s="80"/>
      <c r="AN213" s="27"/>
      <c r="AO213" s="27"/>
      <c r="AP213" s="27"/>
    </row>
    <row r="214" spans="1:42" x14ac:dyDescent="0.2">
      <c r="A214" s="75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80"/>
      <c r="Y214" s="80"/>
      <c r="Z214" s="80"/>
      <c r="AA214" s="80"/>
      <c r="AB214" s="80"/>
      <c r="AC214" s="80"/>
      <c r="AD214" s="80"/>
      <c r="AE214" s="80"/>
      <c r="AF214" s="80"/>
      <c r="AG214" s="80"/>
      <c r="AH214" s="80"/>
      <c r="AI214" s="80"/>
      <c r="AJ214" s="80"/>
      <c r="AK214" s="80"/>
      <c r="AL214" s="80"/>
      <c r="AM214" s="80"/>
      <c r="AN214" s="27"/>
      <c r="AO214" s="27"/>
      <c r="AP214" s="27"/>
    </row>
    <row r="215" spans="1:42" x14ac:dyDescent="0.2">
      <c r="A215" s="75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80"/>
      <c r="Y215" s="80"/>
      <c r="Z215" s="80"/>
      <c r="AA215" s="80"/>
      <c r="AB215" s="80"/>
      <c r="AC215" s="80"/>
      <c r="AD215" s="80"/>
      <c r="AE215" s="80"/>
      <c r="AF215" s="80"/>
      <c r="AG215" s="80"/>
      <c r="AH215" s="80"/>
      <c r="AI215" s="80"/>
      <c r="AJ215" s="80"/>
      <c r="AK215" s="80"/>
      <c r="AL215" s="80"/>
      <c r="AM215" s="80"/>
      <c r="AN215" s="27"/>
      <c r="AO215" s="27"/>
      <c r="AP215" s="27"/>
    </row>
    <row r="216" spans="1:42" x14ac:dyDescent="0.2">
      <c r="A216" s="75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80"/>
      <c r="Y216" s="80"/>
      <c r="Z216" s="80"/>
      <c r="AA216" s="80"/>
      <c r="AB216" s="80"/>
      <c r="AC216" s="80"/>
      <c r="AD216" s="80"/>
      <c r="AE216" s="80"/>
      <c r="AF216" s="80"/>
      <c r="AG216" s="80"/>
      <c r="AH216" s="80"/>
      <c r="AI216" s="80"/>
      <c r="AJ216" s="80"/>
      <c r="AK216" s="80"/>
      <c r="AL216" s="80"/>
      <c r="AM216" s="80"/>
      <c r="AN216" s="27"/>
      <c r="AO216" s="27"/>
      <c r="AP216" s="27"/>
    </row>
    <row r="217" spans="1:42" x14ac:dyDescent="0.2">
      <c r="A217" s="75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80"/>
      <c r="Y217" s="80"/>
      <c r="Z217" s="80"/>
      <c r="AA217" s="80"/>
      <c r="AB217" s="80"/>
      <c r="AC217" s="80"/>
      <c r="AD217" s="80"/>
      <c r="AE217" s="80"/>
      <c r="AF217" s="80"/>
      <c r="AG217" s="80"/>
      <c r="AH217" s="80"/>
      <c r="AI217" s="80"/>
      <c r="AJ217" s="80"/>
      <c r="AK217" s="80"/>
      <c r="AL217" s="80"/>
      <c r="AM217" s="80"/>
      <c r="AN217" s="27"/>
      <c r="AO217" s="27"/>
      <c r="AP217" s="27"/>
    </row>
    <row r="218" spans="1:42" x14ac:dyDescent="0.2">
      <c r="A218" s="75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80"/>
      <c r="Y218" s="80"/>
      <c r="Z218" s="80"/>
      <c r="AA218" s="80"/>
      <c r="AB218" s="80"/>
      <c r="AC218" s="80"/>
      <c r="AD218" s="80"/>
      <c r="AE218" s="80"/>
      <c r="AF218" s="80"/>
      <c r="AG218" s="80"/>
      <c r="AH218" s="80"/>
      <c r="AI218" s="80"/>
      <c r="AJ218" s="80"/>
      <c r="AK218" s="80"/>
      <c r="AL218" s="80"/>
      <c r="AM218" s="80"/>
      <c r="AN218" s="27"/>
      <c r="AO218" s="27"/>
      <c r="AP218" s="27"/>
    </row>
    <row r="219" spans="1:42" x14ac:dyDescent="0.2">
      <c r="A219" s="75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80"/>
      <c r="Y219" s="80"/>
      <c r="Z219" s="80"/>
      <c r="AA219" s="80"/>
      <c r="AB219" s="80"/>
      <c r="AC219" s="80"/>
      <c r="AD219" s="80"/>
      <c r="AE219" s="80"/>
      <c r="AF219" s="80"/>
      <c r="AG219" s="80"/>
      <c r="AH219" s="80"/>
      <c r="AI219" s="80"/>
      <c r="AJ219" s="80"/>
      <c r="AK219" s="80"/>
      <c r="AL219" s="80"/>
      <c r="AM219" s="80"/>
      <c r="AN219" s="27"/>
      <c r="AO219" s="27"/>
      <c r="AP219" s="27"/>
    </row>
    <row r="220" spans="1:42" x14ac:dyDescent="0.2">
      <c r="A220" s="75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80"/>
      <c r="Y220" s="80"/>
      <c r="Z220" s="80"/>
      <c r="AA220" s="80"/>
      <c r="AB220" s="80"/>
      <c r="AC220" s="80"/>
      <c r="AD220" s="80"/>
      <c r="AE220" s="80"/>
      <c r="AF220" s="80"/>
      <c r="AG220" s="80"/>
      <c r="AH220" s="80"/>
      <c r="AI220" s="80"/>
      <c r="AJ220" s="80"/>
      <c r="AK220" s="80"/>
      <c r="AL220" s="80"/>
      <c r="AM220" s="80"/>
      <c r="AN220" s="27"/>
      <c r="AO220" s="27"/>
      <c r="AP220" s="27"/>
    </row>
    <row r="221" spans="1:42" x14ac:dyDescent="0.2">
      <c r="A221" s="75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80"/>
      <c r="Y221" s="80"/>
      <c r="Z221" s="80"/>
      <c r="AA221" s="80"/>
      <c r="AB221" s="80"/>
      <c r="AC221" s="80"/>
      <c r="AD221" s="80"/>
      <c r="AE221" s="80"/>
      <c r="AF221" s="80"/>
      <c r="AG221" s="80"/>
      <c r="AH221" s="80"/>
      <c r="AI221" s="80"/>
      <c r="AJ221" s="80"/>
      <c r="AK221" s="80"/>
      <c r="AL221" s="80"/>
      <c r="AM221" s="80"/>
      <c r="AN221" s="27"/>
      <c r="AO221" s="27"/>
      <c r="AP221" s="27"/>
    </row>
    <row r="222" spans="1:42" x14ac:dyDescent="0.2">
      <c r="A222" s="75"/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80"/>
      <c r="Y222" s="80"/>
      <c r="Z222" s="80"/>
      <c r="AA222" s="80"/>
      <c r="AB222" s="80"/>
      <c r="AC222" s="80"/>
      <c r="AD222" s="80"/>
      <c r="AE222" s="80"/>
      <c r="AF222" s="80"/>
      <c r="AG222" s="80"/>
      <c r="AH222" s="80"/>
      <c r="AI222" s="80"/>
      <c r="AJ222" s="80"/>
      <c r="AK222" s="80"/>
      <c r="AL222" s="80"/>
      <c r="AM222" s="80"/>
      <c r="AN222" s="27"/>
      <c r="AO222" s="27"/>
      <c r="AP222" s="27"/>
    </row>
    <row r="223" spans="1:42" x14ac:dyDescent="0.2">
      <c r="A223" s="75"/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80"/>
      <c r="Y223" s="80"/>
      <c r="Z223" s="80"/>
      <c r="AA223" s="80"/>
      <c r="AB223" s="80"/>
      <c r="AC223" s="80"/>
      <c r="AD223" s="80"/>
      <c r="AE223" s="80"/>
      <c r="AF223" s="80"/>
      <c r="AG223" s="80"/>
      <c r="AH223" s="80"/>
      <c r="AI223" s="80"/>
      <c r="AJ223" s="80"/>
      <c r="AK223" s="80"/>
      <c r="AL223" s="80"/>
      <c r="AM223" s="80"/>
      <c r="AN223" s="27"/>
      <c r="AO223" s="27"/>
      <c r="AP223" s="27"/>
    </row>
    <row r="224" spans="1:42" x14ac:dyDescent="0.2">
      <c r="A224" s="75"/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80"/>
      <c r="Y224" s="80"/>
      <c r="Z224" s="80"/>
      <c r="AA224" s="80"/>
      <c r="AB224" s="80"/>
      <c r="AC224" s="80"/>
      <c r="AD224" s="80"/>
      <c r="AE224" s="80"/>
      <c r="AF224" s="80"/>
      <c r="AG224" s="80"/>
      <c r="AH224" s="80"/>
      <c r="AI224" s="80"/>
      <c r="AJ224" s="80"/>
      <c r="AK224" s="80"/>
      <c r="AL224" s="80"/>
      <c r="AM224" s="80"/>
      <c r="AN224" s="27"/>
      <c r="AO224" s="27"/>
      <c r="AP224" s="27"/>
    </row>
    <row r="225" spans="1:42" x14ac:dyDescent="0.2">
      <c r="A225" s="75"/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80"/>
      <c r="Y225" s="80"/>
      <c r="Z225" s="80"/>
      <c r="AA225" s="80"/>
      <c r="AB225" s="80"/>
      <c r="AC225" s="80"/>
      <c r="AD225" s="80"/>
      <c r="AE225" s="80"/>
      <c r="AF225" s="80"/>
      <c r="AG225" s="80"/>
      <c r="AH225" s="80"/>
      <c r="AI225" s="80"/>
      <c r="AJ225" s="80"/>
      <c r="AK225" s="80"/>
      <c r="AL225" s="80"/>
      <c r="AM225" s="80"/>
      <c r="AN225" s="27"/>
      <c r="AO225" s="27"/>
      <c r="AP225" s="27"/>
    </row>
    <row r="226" spans="1:42" x14ac:dyDescent="0.2">
      <c r="A226" s="75"/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80"/>
      <c r="Y226" s="80"/>
      <c r="Z226" s="80"/>
      <c r="AA226" s="80"/>
      <c r="AB226" s="80"/>
      <c r="AC226" s="80"/>
      <c r="AD226" s="80"/>
      <c r="AE226" s="80"/>
      <c r="AF226" s="80"/>
      <c r="AG226" s="80"/>
      <c r="AH226" s="80"/>
      <c r="AI226" s="80"/>
      <c r="AJ226" s="80"/>
      <c r="AK226" s="80"/>
      <c r="AL226" s="80"/>
      <c r="AM226" s="80"/>
      <c r="AN226" s="27"/>
      <c r="AO226" s="27"/>
      <c r="AP226" s="27"/>
    </row>
    <row r="227" spans="1:42" x14ac:dyDescent="0.2">
      <c r="A227" s="75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80"/>
      <c r="Y227" s="80"/>
      <c r="Z227" s="80"/>
      <c r="AA227" s="80"/>
      <c r="AB227" s="80"/>
      <c r="AC227" s="80"/>
      <c r="AD227" s="80"/>
      <c r="AE227" s="80"/>
      <c r="AF227" s="80"/>
      <c r="AG227" s="80"/>
      <c r="AH227" s="80"/>
      <c r="AI227" s="80"/>
      <c r="AJ227" s="80"/>
      <c r="AK227" s="80"/>
      <c r="AL227" s="80"/>
      <c r="AM227" s="80"/>
      <c r="AN227" s="27"/>
      <c r="AO227" s="27"/>
      <c r="AP227" s="27"/>
    </row>
    <row r="228" spans="1:42" x14ac:dyDescent="0.2">
      <c r="A228" s="75"/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80"/>
      <c r="Y228" s="80"/>
      <c r="Z228" s="80"/>
      <c r="AA228" s="80"/>
      <c r="AB228" s="80"/>
      <c r="AC228" s="80"/>
      <c r="AD228" s="80"/>
      <c r="AE228" s="80"/>
      <c r="AF228" s="80"/>
      <c r="AG228" s="80"/>
      <c r="AH228" s="80"/>
      <c r="AI228" s="80"/>
      <c r="AJ228" s="80"/>
      <c r="AK228" s="80"/>
      <c r="AL228" s="80"/>
      <c r="AM228" s="80"/>
      <c r="AN228" s="27"/>
      <c r="AO228" s="27"/>
      <c r="AP228" s="27"/>
    </row>
    <row r="229" spans="1:42" x14ac:dyDescent="0.2">
      <c r="A229" s="75"/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80"/>
      <c r="Y229" s="80"/>
      <c r="Z229" s="80"/>
      <c r="AA229" s="80"/>
      <c r="AB229" s="80"/>
      <c r="AC229" s="80"/>
      <c r="AD229" s="80"/>
      <c r="AE229" s="80"/>
      <c r="AF229" s="80"/>
      <c r="AG229" s="80"/>
      <c r="AH229" s="80"/>
      <c r="AI229" s="80"/>
      <c r="AJ229" s="80"/>
      <c r="AK229" s="80"/>
      <c r="AL229" s="80"/>
      <c r="AM229" s="80"/>
      <c r="AN229" s="27"/>
      <c r="AO229" s="27"/>
      <c r="AP229" s="27"/>
    </row>
    <row r="230" spans="1:42" x14ac:dyDescent="0.2">
      <c r="A230" s="75"/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80"/>
      <c r="Y230" s="80"/>
      <c r="Z230" s="80"/>
      <c r="AA230" s="80"/>
      <c r="AB230" s="80"/>
      <c r="AC230" s="80"/>
      <c r="AD230" s="80"/>
      <c r="AE230" s="80"/>
      <c r="AF230" s="80"/>
      <c r="AG230" s="80"/>
      <c r="AH230" s="80"/>
      <c r="AI230" s="80"/>
      <c r="AJ230" s="80"/>
      <c r="AK230" s="80"/>
      <c r="AL230" s="80"/>
      <c r="AM230" s="80"/>
      <c r="AN230" s="27"/>
      <c r="AO230" s="27"/>
      <c r="AP230" s="27"/>
    </row>
    <row r="231" spans="1:42" x14ac:dyDescent="0.2">
      <c r="A231" s="75"/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80"/>
      <c r="Y231" s="80"/>
      <c r="Z231" s="80"/>
      <c r="AA231" s="80"/>
      <c r="AB231" s="80"/>
      <c r="AC231" s="80"/>
      <c r="AD231" s="80"/>
      <c r="AE231" s="80"/>
      <c r="AF231" s="80"/>
      <c r="AG231" s="80"/>
      <c r="AH231" s="80"/>
      <c r="AI231" s="80"/>
      <c r="AJ231" s="80"/>
      <c r="AK231" s="80"/>
      <c r="AL231" s="80"/>
      <c r="AM231" s="80"/>
      <c r="AN231" s="27"/>
      <c r="AO231" s="27"/>
      <c r="AP231" s="27"/>
    </row>
    <row r="232" spans="1:42" x14ac:dyDescent="0.2">
      <c r="A232" s="75"/>
      <c r="B232" s="27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80"/>
      <c r="Y232" s="80"/>
      <c r="Z232" s="80"/>
      <c r="AA232" s="80"/>
      <c r="AB232" s="80"/>
      <c r="AC232" s="80"/>
      <c r="AD232" s="80"/>
      <c r="AE232" s="80"/>
      <c r="AF232" s="80"/>
      <c r="AG232" s="80"/>
      <c r="AH232" s="80"/>
      <c r="AI232" s="80"/>
      <c r="AJ232" s="80"/>
      <c r="AK232" s="80"/>
      <c r="AL232" s="80"/>
      <c r="AM232" s="80"/>
      <c r="AN232" s="27"/>
      <c r="AO232" s="27"/>
      <c r="AP232" s="27"/>
    </row>
    <row r="233" spans="1:42" x14ac:dyDescent="0.2">
      <c r="A233" s="75"/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80"/>
      <c r="Y233" s="80"/>
      <c r="Z233" s="80"/>
      <c r="AA233" s="80"/>
      <c r="AB233" s="80"/>
      <c r="AC233" s="80"/>
      <c r="AD233" s="80"/>
      <c r="AE233" s="80"/>
      <c r="AF233" s="80"/>
      <c r="AG233" s="80"/>
      <c r="AH233" s="80"/>
      <c r="AI233" s="80"/>
      <c r="AJ233" s="80"/>
      <c r="AK233" s="80"/>
      <c r="AL233" s="80"/>
      <c r="AM233" s="80"/>
      <c r="AN233" s="27"/>
      <c r="AO233" s="27"/>
      <c r="AP233" s="27"/>
    </row>
    <row r="234" spans="1:42" x14ac:dyDescent="0.2">
      <c r="A234" s="75"/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80"/>
      <c r="Y234" s="80"/>
      <c r="Z234" s="80"/>
      <c r="AA234" s="80"/>
      <c r="AB234" s="80"/>
      <c r="AC234" s="80"/>
      <c r="AD234" s="80"/>
      <c r="AE234" s="80"/>
      <c r="AF234" s="80"/>
      <c r="AG234" s="80"/>
      <c r="AH234" s="80"/>
      <c r="AI234" s="80"/>
      <c r="AJ234" s="80"/>
      <c r="AK234" s="80"/>
      <c r="AL234" s="80"/>
      <c r="AM234" s="80"/>
      <c r="AN234" s="27"/>
      <c r="AO234" s="27"/>
      <c r="AP234" s="27"/>
    </row>
    <row r="235" spans="1:42" x14ac:dyDescent="0.2">
      <c r="A235" s="75"/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80"/>
      <c r="Y235" s="80"/>
      <c r="Z235" s="80"/>
      <c r="AA235" s="80"/>
      <c r="AB235" s="80"/>
      <c r="AC235" s="80"/>
      <c r="AD235" s="80"/>
      <c r="AE235" s="80"/>
      <c r="AF235" s="80"/>
      <c r="AG235" s="80"/>
      <c r="AH235" s="80"/>
      <c r="AI235" s="80"/>
      <c r="AJ235" s="80"/>
      <c r="AK235" s="80"/>
      <c r="AL235" s="80"/>
      <c r="AM235" s="80"/>
      <c r="AN235" s="27"/>
      <c r="AO235" s="27"/>
      <c r="AP235" s="27"/>
    </row>
    <row r="236" spans="1:42" x14ac:dyDescent="0.2">
      <c r="A236" s="75"/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80"/>
      <c r="Y236" s="80"/>
      <c r="Z236" s="80"/>
      <c r="AA236" s="80"/>
      <c r="AB236" s="80"/>
      <c r="AC236" s="80"/>
      <c r="AD236" s="80"/>
      <c r="AE236" s="80"/>
      <c r="AF236" s="80"/>
      <c r="AG236" s="80"/>
      <c r="AH236" s="80"/>
      <c r="AI236" s="80"/>
      <c r="AJ236" s="80"/>
      <c r="AK236" s="80"/>
      <c r="AL236" s="80"/>
      <c r="AM236" s="80"/>
      <c r="AN236" s="27"/>
      <c r="AO236" s="27"/>
      <c r="AP236" s="27"/>
    </row>
    <row r="237" spans="1:42" x14ac:dyDescent="0.2">
      <c r="A237" s="75"/>
      <c r="B237" s="27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80"/>
      <c r="Y237" s="80"/>
      <c r="Z237" s="80"/>
      <c r="AA237" s="80"/>
      <c r="AB237" s="80"/>
      <c r="AC237" s="80"/>
      <c r="AD237" s="80"/>
      <c r="AE237" s="80"/>
      <c r="AF237" s="80"/>
      <c r="AG237" s="80"/>
      <c r="AH237" s="80"/>
      <c r="AI237" s="80"/>
      <c r="AJ237" s="80"/>
      <c r="AK237" s="80"/>
      <c r="AL237" s="80"/>
      <c r="AM237" s="80"/>
      <c r="AN237" s="27"/>
      <c r="AO237" s="27"/>
      <c r="AP237" s="27"/>
    </row>
    <row r="238" spans="1:42" x14ac:dyDescent="0.2">
      <c r="A238" s="75"/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80"/>
      <c r="Y238" s="80"/>
      <c r="Z238" s="80"/>
      <c r="AA238" s="80"/>
      <c r="AB238" s="80"/>
      <c r="AC238" s="80"/>
      <c r="AD238" s="80"/>
      <c r="AE238" s="80"/>
      <c r="AF238" s="80"/>
      <c r="AG238" s="80"/>
      <c r="AH238" s="80"/>
      <c r="AI238" s="80"/>
      <c r="AJ238" s="80"/>
      <c r="AK238" s="80"/>
      <c r="AL238" s="80"/>
      <c r="AM238" s="80"/>
      <c r="AN238" s="27"/>
      <c r="AO238" s="27"/>
      <c r="AP238" s="27"/>
    </row>
    <row r="239" spans="1:42" x14ac:dyDescent="0.2">
      <c r="A239" s="75"/>
      <c r="B239" s="27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80"/>
      <c r="Y239" s="80"/>
      <c r="Z239" s="80"/>
      <c r="AA239" s="80"/>
      <c r="AB239" s="80"/>
      <c r="AC239" s="80"/>
      <c r="AD239" s="80"/>
      <c r="AE239" s="80"/>
      <c r="AF239" s="80"/>
      <c r="AG239" s="80"/>
      <c r="AH239" s="80"/>
      <c r="AI239" s="80"/>
      <c r="AJ239" s="80"/>
      <c r="AK239" s="80"/>
      <c r="AL239" s="80"/>
      <c r="AM239" s="80"/>
      <c r="AN239" s="27"/>
      <c r="AO239" s="27"/>
      <c r="AP239" s="27"/>
    </row>
    <row r="240" spans="1:42" x14ac:dyDescent="0.2">
      <c r="A240" s="75"/>
      <c r="B240" s="27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80"/>
      <c r="Y240" s="80"/>
      <c r="Z240" s="80"/>
      <c r="AA240" s="80"/>
      <c r="AB240" s="80"/>
      <c r="AC240" s="80"/>
      <c r="AD240" s="80"/>
      <c r="AE240" s="80"/>
      <c r="AF240" s="80"/>
      <c r="AG240" s="80"/>
      <c r="AH240" s="80"/>
      <c r="AI240" s="80"/>
      <c r="AJ240" s="80"/>
      <c r="AK240" s="80"/>
      <c r="AL240" s="80"/>
      <c r="AM240" s="80"/>
      <c r="AN240" s="27"/>
      <c r="AO240" s="27"/>
      <c r="AP240" s="27"/>
    </row>
    <row r="241" spans="1:42" x14ac:dyDescent="0.2">
      <c r="A241" s="75"/>
      <c r="B241" s="27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80"/>
      <c r="Y241" s="80"/>
      <c r="Z241" s="80"/>
      <c r="AA241" s="80"/>
      <c r="AB241" s="80"/>
      <c r="AC241" s="80"/>
      <c r="AD241" s="80"/>
      <c r="AE241" s="80"/>
      <c r="AF241" s="80"/>
      <c r="AG241" s="80"/>
      <c r="AH241" s="80"/>
      <c r="AI241" s="80"/>
      <c r="AJ241" s="80"/>
      <c r="AK241" s="80"/>
      <c r="AL241" s="80"/>
      <c r="AM241" s="80"/>
      <c r="AN241" s="27"/>
      <c r="AO241" s="27"/>
      <c r="AP241" s="27"/>
    </row>
    <row r="242" spans="1:42" x14ac:dyDescent="0.2">
      <c r="A242" s="75"/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80"/>
      <c r="Y242" s="80"/>
      <c r="Z242" s="80"/>
      <c r="AA242" s="80"/>
      <c r="AB242" s="80"/>
      <c r="AC242" s="80"/>
      <c r="AD242" s="80"/>
      <c r="AE242" s="80"/>
      <c r="AF242" s="80"/>
      <c r="AG242" s="80"/>
      <c r="AH242" s="80"/>
      <c r="AI242" s="80"/>
      <c r="AJ242" s="80"/>
      <c r="AK242" s="80"/>
      <c r="AL242" s="80"/>
      <c r="AM242" s="80"/>
      <c r="AN242" s="27"/>
      <c r="AO242" s="27"/>
      <c r="AP242" s="27"/>
    </row>
    <row r="243" spans="1:42" x14ac:dyDescent="0.2">
      <c r="A243" s="75"/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80"/>
      <c r="Y243" s="80"/>
      <c r="Z243" s="80"/>
      <c r="AA243" s="80"/>
      <c r="AB243" s="80"/>
      <c r="AC243" s="80"/>
      <c r="AD243" s="80"/>
      <c r="AE243" s="80"/>
      <c r="AF243" s="80"/>
      <c r="AG243" s="80"/>
      <c r="AH243" s="80"/>
      <c r="AI243" s="80"/>
      <c r="AJ243" s="80"/>
      <c r="AK243" s="80"/>
      <c r="AL243" s="80"/>
      <c r="AM243" s="80"/>
      <c r="AN243" s="27"/>
      <c r="AO243" s="27"/>
      <c r="AP243" s="27"/>
    </row>
    <row r="244" spans="1:42" x14ac:dyDescent="0.2">
      <c r="A244" s="75"/>
      <c r="B244" s="27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80"/>
      <c r="Y244" s="80"/>
      <c r="Z244" s="80"/>
      <c r="AA244" s="80"/>
      <c r="AB244" s="80"/>
      <c r="AC244" s="80"/>
      <c r="AD244" s="80"/>
      <c r="AE244" s="80"/>
      <c r="AF244" s="80"/>
      <c r="AG244" s="80"/>
      <c r="AH244" s="80"/>
      <c r="AI244" s="80"/>
      <c r="AJ244" s="80"/>
      <c r="AK244" s="80"/>
      <c r="AL244" s="80"/>
      <c r="AM244" s="80"/>
      <c r="AN244" s="27"/>
      <c r="AO244" s="27"/>
      <c r="AP244" s="27"/>
    </row>
    <row r="245" spans="1:42" x14ac:dyDescent="0.2">
      <c r="A245" s="75"/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80"/>
      <c r="Y245" s="80"/>
      <c r="Z245" s="80"/>
      <c r="AA245" s="80"/>
      <c r="AB245" s="80"/>
      <c r="AC245" s="80"/>
      <c r="AD245" s="80"/>
      <c r="AE245" s="80"/>
      <c r="AF245" s="80"/>
      <c r="AG245" s="80"/>
      <c r="AH245" s="80"/>
      <c r="AI245" s="80"/>
      <c r="AJ245" s="80"/>
      <c r="AK245" s="80"/>
      <c r="AL245" s="80"/>
      <c r="AM245" s="80"/>
      <c r="AN245" s="27"/>
      <c r="AO245" s="27"/>
      <c r="AP245" s="27"/>
    </row>
    <row r="246" spans="1:42" x14ac:dyDescent="0.2">
      <c r="A246" s="75"/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80"/>
      <c r="Y246" s="80"/>
      <c r="Z246" s="80"/>
      <c r="AA246" s="80"/>
      <c r="AB246" s="80"/>
      <c r="AC246" s="80"/>
      <c r="AD246" s="80"/>
      <c r="AE246" s="80"/>
      <c r="AF246" s="80"/>
      <c r="AG246" s="80"/>
      <c r="AH246" s="80"/>
      <c r="AI246" s="80"/>
      <c r="AJ246" s="80"/>
      <c r="AK246" s="80"/>
      <c r="AL246" s="80"/>
      <c r="AM246" s="80"/>
      <c r="AN246" s="27"/>
      <c r="AO246" s="27"/>
      <c r="AP246" s="27"/>
    </row>
    <row r="247" spans="1:42" x14ac:dyDescent="0.2">
      <c r="A247" s="75"/>
      <c r="B247" s="27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80"/>
      <c r="Y247" s="80"/>
      <c r="Z247" s="80"/>
      <c r="AA247" s="80"/>
      <c r="AB247" s="80"/>
      <c r="AC247" s="80"/>
      <c r="AD247" s="80"/>
      <c r="AE247" s="80"/>
      <c r="AF247" s="80"/>
      <c r="AG247" s="80"/>
      <c r="AH247" s="80"/>
      <c r="AI247" s="80"/>
      <c r="AJ247" s="80"/>
      <c r="AK247" s="80"/>
      <c r="AL247" s="80"/>
      <c r="AM247" s="80"/>
      <c r="AN247" s="27"/>
      <c r="AO247" s="27"/>
      <c r="AP247" s="27"/>
    </row>
    <row r="248" spans="1:42" x14ac:dyDescent="0.2">
      <c r="A248" s="75"/>
      <c r="B248" s="27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80"/>
      <c r="Y248" s="80"/>
      <c r="Z248" s="80"/>
      <c r="AA248" s="80"/>
      <c r="AB248" s="80"/>
      <c r="AC248" s="80"/>
      <c r="AD248" s="80"/>
      <c r="AE248" s="80"/>
      <c r="AF248" s="80"/>
      <c r="AG248" s="80"/>
      <c r="AH248" s="80"/>
      <c r="AI248" s="80"/>
      <c r="AJ248" s="80"/>
      <c r="AK248" s="80"/>
      <c r="AL248" s="80"/>
      <c r="AM248" s="80"/>
      <c r="AN248" s="27"/>
      <c r="AO248" s="27"/>
      <c r="AP248" s="27"/>
    </row>
    <row r="249" spans="1:42" x14ac:dyDescent="0.2">
      <c r="A249" s="75"/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80"/>
      <c r="Y249" s="80"/>
      <c r="Z249" s="80"/>
      <c r="AA249" s="80"/>
      <c r="AB249" s="80"/>
      <c r="AC249" s="80"/>
      <c r="AD249" s="80"/>
      <c r="AE249" s="80"/>
      <c r="AF249" s="80"/>
      <c r="AG249" s="80"/>
      <c r="AH249" s="80"/>
      <c r="AI249" s="80"/>
      <c r="AJ249" s="80"/>
      <c r="AK249" s="80"/>
      <c r="AL249" s="80"/>
      <c r="AM249" s="80"/>
      <c r="AN249" s="27"/>
      <c r="AO249" s="27"/>
      <c r="AP249" s="27"/>
    </row>
    <row r="250" spans="1:42" x14ac:dyDescent="0.2">
      <c r="A250" s="75"/>
      <c r="B250" s="27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80"/>
      <c r="Y250" s="80"/>
      <c r="Z250" s="80"/>
      <c r="AA250" s="80"/>
      <c r="AB250" s="80"/>
      <c r="AC250" s="80"/>
      <c r="AD250" s="80"/>
      <c r="AE250" s="80"/>
      <c r="AF250" s="80"/>
      <c r="AG250" s="80"/>
      <c r="AH250" s="80"/>
      <c r="AI250" s="80"/>
      <c r="AJ250" s="80"/>
      <c r="AK250" s="80"/>
      <c r="AL250" s="80"/>
      <c r="AM250" s="80"/>
      <c r="AN250" s="27"/>
      <c r="AO250" s="27"/>
      <c r="AP250" s="27"/>
    </row>
    <row r="251" spans="1:42" x14ac:dyDescent="0.2">
      <c r="A251" s="75"/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80"/>
      <c r="Y251" s="80"/>
      <c r="Z251" s="80"/>
      <c r="AA251" s="80"/>
      <c r="AB251" s="80"/>
      <c r="AC251" s="80"/>
      <c r="AD251" s="80"/>
      <c r="AE251" s="80"/>
      <c r="AF251" s="80"/>
      <c r="AG251" s="80"/>
      <c r="AH251" s="80"/>
      <c r="AI251" s="80"/>
      <c r="AJ251" s="80"/>
      <c r="AK251" s="80"/>
      <c r="AL251" s="80"/>
      <c r="AM251" s="80"/>
      <c r="AN251" s="27"/>
      <c r="AO251" s="27"/>
      <c r="AP251" s="27"/>
    </row>
    <row r="252" spans="1:42" x14ac:dyDescent="0.2">
      <c r="A252" s="75"/>
      <c r="B252" s="27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80"/>
      <c r="Y252" s="80"/>
      <c r="Z252" s="80"/>
      <c r="AA252" s="80"/>
      <c r="AB252" s="80"/>
      <c r="AC252" s="80"/>
      <c r="AD252" s="80"/>
      <c r="AE252" s="80"/>
      <c r="AF252" s="80"/>
      <c r="AG252" s="80"/>
      <c r="AH252" s="80"/>
      <c r="AI252" s="80"/>
      <c r="AJ252" s="80"/>
      <c r="AK252" s="80"/>
      <c r="AL252" s="80"/>
      <c r="AM252" s="80"/>
      <c r="AN252" s="27"/>
      <c r="AO252" s="27"/>
      <c r="AP252" s="27"/>
    </row>
    <row r="253" spans="1:42" x14ac:dyDescent="0.2">
      <c r="A253" s="75"/>
      <c r="B253" s="27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80"/>
      <c r="Y253" s="80"/>
      <c r="Z253" s="80"/>
      <c r="AA253" s="80"/>
      <c r="AB253" s="80"/>
      <c r="AC253" s="80"/>
      <c r="AD253" s="80"/>
      <c r="AE253" s="80"/>
      <c r="AF253" s="80"/>
      <c r="AG253" s="80"/>
      <c r="AH253" s="80"/>
      <c r="AI253" s="80"/>
      <c r="AJ253" s="80"/>
      <c r="AK253" s="80"/>
      <c r="AL253" s="80"/>
      <c r="AM253" s="80"/>
      <c r="AN253" s="27"/>
      <c r="AO253" s="27"/>
      <c r="AP253" s="27"/>
    </row>
    <row r="254" spans="1:42" x14ac:dyDescent="0.2">
      <c r="A254" s="75"/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80"/>
      <c r="Y254" s="80"/>
      <c r="Z254" s="80"/>
      <c r="AA254" s="80"/>
      <c r="AB254" s="80"/>
      <c r="AC254" s="80"/>
      <c r="AD254" s="80"/>
      <c r="AE254" s="80"/>
      <c r="AF254" s="80"/>
      <c r="AG254" s="80"/>
      <c r="AH254" s="80"/>
      <c r="AI254" s="80"/>
      <c r="AJ254" s="80"/>
      <c r="AK254" s="80"/>
      <c r="AL254" s="80"/>
      <c r="AM254" s="80"/>
      <c r="AN254" s="27"/>
      <c r="AO254" s="27"/>
      <c r="AP254" s="27"/>
    </row>
    <row r="255" spans="1:42" x14ac:dyDescent="0.2">
      <c r="A255" s="75"/>
      <c r="B255" s="27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80"/>
      <c r="Y255" s="80"/>
      <c r="Z255" s="80"/>
      <c r="AA255" s="80"/>
      <c r="AB255" s="80"/>
      <c r="AC255" s="80"/>
      <c r="AD255" s="80"/>
      <c r="AE255" s="80"/>
      <c r="AF255" s="80"/>
      <c r="AG255" s="80"/>
      <c r="AH255" s="80"/>
      <c r="AI255" s="80"/>
      <c r="AJ255" s="80"/>
      <c r="AK255" s="80"/>
      <c r="AL255" s="80"/>
      <c r="AM255" s="80"/>
      <c r="AN255" s="27"/>
      <c r="AO255" s="27"/>
      <c r="AP255" s="27"/>
    </row>
    <row r="256" spans="1:42" x14ac:dyDescent="0.2">
      <c r="A256" s="75"/>
      <c r="B256" s="27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80"/>
      <c r="Y256" s="80"/>
      <c r="Z256" s="80"/>
      <c r="AA256" s="80"/>
      <c r="AB256" s="80"/>
      <c r="AC256" s="80"/>
      <c r="AD256" s="80"/>
      <c r="AE256" s="80"/>
      <c r="AF256" s="80"/>
      <c r="AG256" s="80"/>
      <c r="AH256" s="80"/>
      <c r="AI256" s="80"/>
      <c r="AJ256" s="80"/>
      <c r="AK256" s="80"/>
      <c r="AL256" s="80"/>
      <c r="AM256" s="80"/>
      <c r="AN256" s="27"/>
      <c r="AO256" s="27"/>
      <c r="AP256" s="27"/>
    </row>
    <row r="257" spans="1:42" x14ac:dyDescent="0.2">
      <c r="A257" s="75"/>
      <c r="B257" s="27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80"/>
      <c r="Y257" s="80"/>
      <c r="Z257" s="80"/>
      <c r="AA257" s="80"/>
      <c r="AB257" s="80"/>
      <c r="AC257" s="80"/>
      <c r="AD257" s="80"/>
      <c r="AE257" s="80"/>
      <c r="AF257" s="80"/>
      <c r="AG257" s="80"/>
      <c r="AH257" s="80"/>
      <c r="AI257" s="80"/>
      <c r="AJ257" s="80"/>
      <c r="AK257" s="80"/>
      <c r="AL257" s="80"/>
      <c r="AM257" s="80"/>
      <c r="AN257" s="27"/>
      <c r="AO257" s="27"/>
      <c r="AP257" s="27"/>
    </row>
    <row r="258" spans="1:42" x14ac:dyDescent="0.2">
      <c r="A258" s="75"/>
      <c r="B258" s="27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80"/>
      <c r="Y258" s="80"/>
      <c r="Z258" s="80"/>
      <c r="AA258" s="80"/>
      <c r="AB258" s="80"/>
      <c r="AC258" s="80"/>
      <c r="AD258" s="80"/>
      <c r="AE258" s="80"/>
      <c r="AF258" s="80"/>
      <c r="AG258" s="80"/>
      <c r="AH258" s="80"/>
      <c r="AI258" s="80"/>
      <c r="AJ258" s="80"/>
      <c r="AK258" s="80"/>
      <c r="AL258" s="80"/>
      <c r="AM258" s="80"/>
      <c r="AN258" s="27"/>
      <c r="AO258" s="27"/>
      <c r="AP258" s="27"/>
    </row>
    <row r="259" spans="1:42" x14ac:dyDescent="0.2">
      <c r="A259" s="75"/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80"/>
      <c r="Y259" s="80"/>
      <c r="Z259" s="80"/>
      <c r="AA259" s="80"/>
      <c r="AB259" s="80"/>
      <c r="AC259" s="80"/>
      <c r="AD259" s="80"/>
      <c r="AE259" s="80"/>
      <c r="AF259" s="80"/>
      <c r="AG259" s="80"/>
      <c r="AH259" s="80"/>
      <c r="AI259" s="80"/>
      <c r="AJ259" s="80"/>
      <c r="AK259" s="80"/>
      <c r="AL259" s="80"/>
      <c r="AM259" s="80"/>
      <c r="AN259" s="27"/>
      <c r="AO259" s="27"/>
      <c r="AP259" s="27"/>
    </row>
    <row r="260" spans="1:42" x14ac:dyDescent="0.2">
      <c r="A260" s="75"/>
      <c r="B260" s="27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80"/>
      <c r="Y260" s="80"/>
      <c r="Z260" s="80"/>
      <c r="AA260" s="80"/>
      <c r="AB260" s="80"/>
      <c r="AC260" s="80"/>
      <c r="AD260" s="80"/>
      <c r="AE260" s="80"/>
      <c r="AF260" s="80"/>
      <c r="AG260" s="80"/>
      <c r="AH260" s="80"/>
      <c r="AI260" s="80"/>
      <c r="AJ260" s="80"/>
      <c r="AK260" s="80"/>
      <c r="AL260" s="80"/>
      <c r="AM260" s="80"/>
      <c r="AN260" s="27"/>
      <c r="AO260" s="27"/>
      <c r="AP260" s="27"/>
    </row>
    <row r="261" spans="1:42" x14ac:dyDescent="0.2">
      <c r="A261" s="75"/>
      <c r="B261" s="27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80"/>
      <c r="Y261" s="80"/>
      <c r="Z261" s="80"/>
      <c r="AA261" s="80"/>
      <c r="AB261" s="80"/>
      <c r="AC261" s="80"/>
      <c r="AD261" s="80"/>
      <c r="AE261" s="80"/>
      <c r="AF261" s="80"/>
      <c r="AG261" s="80"/>
      <c r="AH261" s="80"/>
      <c r="AI261" s="80"/>
      <c r="AJ261" s="80"/>
      <c r="AK261" s="80"/>
      <c r="AL261" s="80"/>
      <c r="AM261" s="80"/>
      <c r="AN261" s="27"/>
      <c r="AO261" s="27"/>
      <c r="AP261" s="27"/>
    </row>
    <row r="262" spans="1:42" x14ac:dyDescent="0.2">
      <c r="A262" s="75"/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80"/>
      <c r="Y262" s="80"/>
      <c r="Z262" s="80"/>
      <c r="AA262" s="80"/>
      <c r="AB262" s="80"/>
      <c r="AC262" s="80"/>
      <c r="AD262" s="80"/>
      <c r="AE262" s="80"/>
      <c r="AF262" s="80"/>
      <c r="AG262" s="80"/>
      <c r="AH262" s="80"/>
      <c r="AI262" s="80"/>
      <c r="AJ262" s="80"/>
      <c r="AK262" s="80"/>
      <c r="AL262" s="80"/>
      <c r="AM262" s="80"/>
      <c r="AN262" s="27"/>
      <c r="AO262" s="27"/>
      <c r="AP262" s="27"/>
    </row>
    <row r="263" spans="1:42" x14ac:dyDescent="0.2">
      <c r="A263" s="75"/>
      <c r="B263" s="27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80"/>
      <c r="Y263" s="80"/>
      <c r="Z263" s="80"/>
      <c r="AA263" s="80"/>
      <c r="AB263" s="80"/>
      <c r="AC263" s="80"/>
      <c r="AD263" s="80"/>
      <c r="AE263" s="80"/>
      <c r="AF263" s="80"/>
      <c r="AG263" s="80"/>
      <c r="AH263" s="80"/>
      <c r="AI263" s="80"/>
      <c r="AJ263" s="80"/>
      <c r="AK263" s="80"/>
      <c r="AL263" s="80"/>
      <c r="AM263" s="80"/>
      <c r="AN263" s="27"/>
      <c r="AO263" s="27"/>
      <c r="AP263" s="27"/>
    </row>
    <row r="264" spans="1:42" x14ac:dyDescent="0.2">
      <c r="A264" s="75"/>
      <c r="B264" s="27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80"/>
      <c r="Y264" s="80"/>
      <c r="Z264" s="80"/>
      <c r="AA264" s="80"/>
      <c r="AB264" s="80"/>
      <c r="AC264" s="80"/>
      <c r="AD264" s="80"/>
      <c r="AE264" s="80"/>
      <c r="AF264" s="80"/>
      <c r="AG264" s="80"/>
      <c r="AH264" s="80"/>
      <c r="AI264" s="80"/>
      <c r="AJ264" s="80"/>
      <c r="AK264" s="80"/>
      <c r="AL264" s="80"/>
      <c r="AM264" s="80"/>
      <c r="AN264" s="27"/>
      <c r="AO264" s="27"/>
      <c r="AP264" s="27"/>
    </row>
    <row r="265" spans="1:42" x14ac:dyDescent="0.2">
      <c r="A265" s="75"/>
      <c r="B265" s="27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80"/>
      <c r="Y265" s="80"/>
      <c r="Z265" s="80"/>
      <c r="AA265" s="80"/>
      <c r="AB265" s="80"/>
      <c r="AC265" s="80"/>
      <c r="AD265" s="80"/>
      <c r="AE265" s="80"/>
      <c r="AF265" s="80"/>
      <c r="AG265" s="80"/>
      <c r="AH265" s="80"/>
      <c r="AI265" s="80"/>
      <c r="AJ265" s="80"/>
      <c r="AK265" s="80"/>
      <c r="AL265" s="80"/>
      <c r="AM265" s="80"/>
      <c r="AN265" s="27"/>
      <c r="AO265" s="27"/>
      <c r="AP265" s="27"/>
    </row>
    <row r="266" spans="1:42" x14ac:dyDescent="0.2">
      <c r="A266" s="75"/>
      <c r="B266" s="27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80"/>
      <c r="Y266" s="80"/>
      <c r="Z266" s="80"/>
      <c r="AA266" s="80"/>
      <c r="AB266" s="80"/>
      <c r="AC266" s="80"/>
      <c r="AD266" s="80"/>
      <c r="AE266" s="80"/>
      <c r="AF266" s="80"/>
      <c r="AG266" s="80"/>
      <c r="AH266" s="80"/>
      <c r="AI266" s="80"/>
      <c r="AJ266" s="80"/>
      <c r="AK266" s="80"/>
      <c r="AL266" s="80"/>
      <c r="AM266" s="80"/>
      <c r="AN266" s="27"/>
      <c r="AO266" s="27"/>
      <c r="AP266" s="27"/>
    </row>
    <row r="267" spans="1:42" x14ac:dyDescent="0.2">
      <c r="A267" s="75"/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80"/>
      <c r="Y267" s="80"/>
      <c r="Z267" s="80"/>
      <c r="AA267" s="80"/>
      <c r="AB267" s="80"/>
      <c r="AC267" s="80"/>
      <c r="AD267" s="80"/>
      <c r="AE267" s="80"/>
      <c r="AF267" s="80"/>
      <c r="AG267" s="80"/>
      <c r="AH267" s="80"/>
      <c r="AI267" s="80"/>
      <c r="AJ267" s="80"/>
      <c r="AK267" s="80"/>
      <c r="AL267" s="80"/>
      <c r="AM267" s="80"/>
      <c r="AN267" s="27"/>
      <c r="AO267" s="27"/>
      <c r="AP267" s="27"/>
    </row>
    <row r="268" spans="1:42" x14ac:dyDescent="0.2">
      <c r="A268" s="75"/>
      <c r="B268" s="27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80"/>
      <c r="Y268" s="80"/>
      <c r="Z268" s="80"/>
      <c r="AA268" s="80"/>
      <c r="AB268" s="80"/>
      <c r="AC268" s="80"/>
      <c r="AD268" s="80"/>
      <c r="AE268" s="80"/>
      <c r="AF268" s="80"/>
      <c r="AG268" s="80"/>
      <c r="AH268" s="80"/>
      <c r="AI268" s="80"/>
      <c r="AJ268" s="80"/>
      <c r="AK268" s="80"/>
      <c r="AL268" s="80"/>
      <c r="AM268" s="80"/>
      <c r="AN268" s="27"/>
      <c r="AO268" s="27"/>
      <c r="AP268" s="27"/>
    </row>
    <row r="269" spans="1:42" x14ac:dyDescent="0.2">
      <c r="A269" s="75"/>
      <c r="B269" s="27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80"/>
      <c r="Y269" s="80"/>
      <c r="Z269" s="80"/>
      <c r="AA269" s="80"/>
      <c r="AB269" s="80"/>
      <c r="AC269" s="80"/>
      <c r="AD269" s="80"/>
      <c r="AE269" s="80"/>
      <c r="AF269" s="80"/>
      <c r="AG269" s="80"/>
      <c r="AH269" s="80"/>
      <c r="AI269" s="80"/>
      <c r="AJ269" s="80"/>
      <c r="AK269" s="80"/>
      <c r="AL269" s="80"/>
      <c r="AM269" s="80"/>
      <c r="AN269" s="27"/>
      <c r="AO269" s="27"/>
      <c r="AP269" s="27"/>
    </row>
    <row r="270" spans="1:42" x14ac:dyDescent="0.2">
      <c r="A270" s="75"/>
      <c r="B270" s="27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80"/>
      <c r="Y270" s="80"/>
      <c r="Z270" s="80"/>
      <c r="AA270" s="80"/>
      <c r="AB270" s="80"/>
      <c r="AC270" s="80"/>
      <c r="AD270" s="80"/>
      <c r="AE270" s="80"/>
      <c r="AF270" s="80"/>
      <c r="AG270" s="80"/>
      <c r="AH270" s="80"/>
      <c r="AI270" s="80"/>
      <c r="AJ270" s="80"/>
      <c r="AK270" s="80"/>
      <c r="AL270" s="80"/>
      <c r="AM270" s="80"/>
      <c r="AN270" s="27"/>
      <c r="AO270" s="27"/>
      <c r="AP270" s="27"/>
    </row>
    <row r="271" spans="1:42" x14ac:dyDescent="0.2">
      <c r="A271" s="75"/>
      <c r="B271" s="27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80"/>
      <c r="Y271" s="80"/>
      <c r="Z271" s="80"/>
      <c r="AA271" s="80"/>
      <c r="AB271" s="80"/>
      <c r="AC271" s="80"/>
      <c r="AD271" s="80"/>
      <c r="AE271" s="80"/>
      <c r="AF271" s="80"/>
      <c r="AG271" s="80"/>
      <c r="AH271" s="80"/>
      <c r="AI271" s="80"/>
      <c r="AJ271" s="80"/>
      <c r="AK271" s="80"/>
      <c r="AL271" s="80"/>
      <c r="AM271" s="80"/>
      <c r="AN271" s="27"/>
      <c r="AO271" s="27"/>
      <c r="AP271" s="27"/>
    </row>
    <row r="272" spans="1:42" x14ac:dyDescent="0.2">
      <c r="A272" s="75"/>
      <c r="B272" s="27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80"/>
      <c r="Y272" s="80"/>
      <c r="Z272" s="80"/>
      <c r="AA272" s="80"/>
      <c r="AB272" s="80"/>
      <c r="AC272" s="80"/>
      <c r="AD272" s="80"/>
      <c r="AE272" s="80"/>
      <c r="AF272" s="80"/>
      <c r="AG272" s="80"/>
      <c r="AH272" s="80"/>
      <c r="AI272" s="80"/>
      <c r="AJ272" s="80"/>
      <c r="AK272" s="80"/>
      <c r="AL272" s="80"/>
      <c r="AM272" s="80"/>
      <c r="AN272" s="27"/>
      <c r="AO272" s="27"/>
      <c r="AP272" s="27"/>
    </row>
    <row r="273" spans="1:42" x14ac:dyDescent="0.2">
      <c r="A273" s="75"/>
      <c r="B273" s="27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80"/>
      <c r="Y273" s="80"/>
      <c r="Z273" s="80"/>
      <c r="AA273" s="80"/>
      <c r="AB273" s="80"/>
      <c r="AC273" s="80"/>
      <c r="AD273" s="80"/>
      <c r="AE273" s="80"/>
      <c r="AF273" s="80"/>
      <c r="AG273" s="80"/>
      <c r="AH273" s="80"/>
      <c r="AI273" s="80"/>
      <c r="AJ273" s="80"/>
      <c r="AK273" s="80"/>
      <c r="AL273" s="80"/>
      <c r="AM273" s="80"/>
      <c r="AN273" s="27"/>
      <c r="AO273" s="27"/>
      <c r="AP273" s="27"/>
    </row>
    <row r="274" spans="1:42" x14ac:dyDescent="0.2">
      <c r="A274" s="75"/>
      <c r="B274" s="27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80"/>
      <c r="Y274" s="80"/>
      <c r="Z274" s="80"/>
      <c r="AA274" s="80"/>
      <c r="AB274" s="80"/>
      <c r="AC274" s="80"/>
      <c r="AD274" s="80"/>
      <c r="AE274" s="80"/>
      <c r="AF274" s="80"/>
      <c r="AG274" s="80"/>
      <c r="AH274" s="80"/>
      <c r="AI274" s="80"/>
      <c r="AJ274" s="80"/>
      <c r="AK274" s="80"/>
      <c r="AL274" s="80"/>
      <c r="AM274" s="80"/>
      <c r="AN274" s="27"/>
      <c r="AO274" s="27"/>
      <c r="AP274" s="27"/>
    </row>
    <row r="275" spans="1:42" x14ac:dyDescent="0.2">
      <c r="A275" s="75"/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80"/>
      <c r="Y275" s="80"/>
      <c r="Z275" s="80"/>
      <c r="AA275" s="80"/>
      <c r="AB275" s="80"/>
      <c r="AC275" s="80"/>
      <c r="AD275" s="80"/>
      <c r="AE275" s="80"/>
      <c r="AF275" s="80"/>
      <c r="AG275" s="80"/>
      <c r="AH275" s="80"/>
      <c r="AI275" s="80"/>
      <c r="AJ275" s="80"/>
      <c r="AK275" s="80"/>
      <c r="AL275" s="80"/>
      <c r="AM275" s="80"/>
      <c r="AN275" s="27"/>
      <c r="AO275" s="27"/>
      <c r="AP275" s="27"/>
    </row>
    <row r="276" spans="1:42" x14ac:dyDescent="0.2">
      <c r="A276" s="75"/>
      <c r="B276" s="27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80"/>
      <c r="Y276" s="80"/>
      <c r="Z276" s="80"/>
      <c r="AA276" s="80"/>
      <c r="AB276" s="80"/>
      <c r="AC276" s="80"/>
      <c r="AD276" s="80"/>
      <c r="AE276" s="80"/>
      <c r="AF276" s="80"/>
      <c r="AG276" s="80"/>
      <c r="AH276" s="80"/>
      <c r="AI276" s="80"/>
      <c r="AJ276" s="80"/>
      <c r="AK276" s="80"/>
      <c r="AL276" s="80"/>
      <c r="AM276" s="80"/>
      <c r="AN276" s="27"/>
      <c r="AO276" s="27"/>
      <c r="AP276" s="27"/>
    </row>
    <row r="277" spans="1:42" x14ac:dyDescent="0.2">
      <c r="A277" s="75"/>
      <c r="B277" s="27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80"/>
      <c r="Y277" s="80"/>
      <c r="Z277" s="80"/>
      <c r="AA277" s="80"/>
      <c r="AB277" s="80"/>
      <c r="AC277" s="80"/>
      <c r="AD277" s="80"/>
      <c r="AE277" s="80"/>
      <c r="AF277" s="80"/>
      <c r="AG277" s="80"/>
      <c r="AH277" s="80"/>
      <c r="AI277" s="80"/>
      <c r="AJ277" s="80"/>
      <c r="AK277" s="80"/>
      <c r="AL277" s="80"/>
      <c r="AM277" s="80"/>
      <c r="AN277" s="27"/>
      <c r="AO277" s="27"/>
      <c r="AP277" s="27"/>
    </row>
    <row r="278" spans="1:42" x14ac:dyDescent="0.2">
      <c r="A278" s="75"/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80"/>
      <c r="Y278" s="80"/>
      <c r="Z278" s="80"/>
      <c r="AA278" s="80"/>
      <c r="AB278" s="80"/>
      <c r="AC278" s="80"/>
      <c r="AD278" s="80"/>
      <c r="AE278" s="80"/>
      <c r="AF278" s="80"/>
      <c r="AG278" s="80"/>
      <c r="AH278" s="80"/>
      <c r="AI278" s="80"/>
      <c r="AJ278" s="80"/>
      <c r="AK278" s="80"/>
      <c r="AL278" s="80"/>
      <c r="AM278" s="80"/>
      <c r="AN278" s="27"/>
      <c r="AO278" s="27"/>
      <c r="AP278" s="27"/>
    </row>
    <row r="279" spans="1:42" x14ac:dyDescent="0.2">
      <c r="A279" s="75"/>
      <c r="B279" s="27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80"/>
      <c r="Y279" s="80"/>
      <c r="Z279" s="80"/>
      <c r="AA279" s="80"/>
      <c r="AB279" s="80"/>
      <c r="AC279" s="80"/>
      <c r="AD279" s="80"/>
      <c r="AE279" s="80"/>
      <c r="AF279" s="80"/>
      <c r="AG279" s="80"/>
      <c r="AH279" s="80"/>
      <c r="AI279" s="80"/>
      <c r="AJ279" s="80"/>
      <c r="AK279" s="80"/>
      <c r="AL279" s="80"/>
      <c r="AM279" s="80"/>
      <c r="AN279" s="27"/>
      <c r="AO279" s="27"/>
      <c r="AP279" s="27"/>
    </row>
    <row r="280" spans="1:42" x14ac:dyDescent="0.2">
      <c r="A280" s="75"/>
      <c r="B280" s="27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80"/>
      <c r="Y280" s="80"/>
      <c r="Z280" s="80"/>
      <c r="AA280" s="80"/>
      <c r="AB280" s="80"/>
      <c r="AC280" s="80"/>
      <c r="AD280" s="80"/>
      <c r="AE280" s="80"/>
      <c r="AF280" s="80"/>
      <c r="AG280" s="80"/>
      <c r="AH280" s="80"/>
      <c r="AI280" s="80"/>
      <c r="AJ280" s="80"/>
      <c r="AK280" s="80"/>
      <c r="AL280" s="80"/>
      <c r="AM280" s="80"/>
      <c r="AN280" s="27"/>
      <c r="AO280" s="27"/>
      <c r="AP280" s="27"/>
    </row>
    <row r="281" spans="1:42" x14ac:dyDescent="0.2">
      <c r="A281" s="75"/>
      <c r="B281" s="27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80"/>
      <c r="Y281" s="80"/>
      <c r="Z281" s="80"/>
      <c r="AA281" s="80"/>
      <c r="AB281" s="80"/>
      <c r="AC281" s="80"/>
      <c r="AD281" s="80"/>
      <c r="AE281" s="80"/>
      <c r="AF281" s="80"/>
      <c r="AG281" s="80"/>
      <c r="AH281" s="80"/>
      <c r="AI281" s="80"/>
      <c r="AJ281" s="80"/>
      <c r="AK281" s="80"/>
      <c r="AL281" s="80"/>
      <c r="AM281" s="80"/>
      <c r="AN281" s="27"/>
      <c r="AO281" s="27"/>
      <c r="AP281" s="27"/>
    </row>
    <row r="282" spans="1:42" x14ac:dyDescent="0.2">
      <c r="A282" s="75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80"/>
      <c r="Y282" s="80"/>
      <c r="Z282" s="80"/>
      <c r="AA282" s="80"/>
      <c r="AB282" s="80"/>
      <c r="AC282" s="80"/>
      <c r="AD282" s="80"/>
      <c r="AE282" s="80"/>
      <c r="AF282" s="80"/>
      <c r="AG282" s="80"/>
      <c r="AH282" s="80"/>
      <c r="AI282" s="80"/>
      <c r="AJ282" s="80"/>
      <c r="AK282" s="80"/>
      <c r="AL282" s="80"/>
      <c r="AM282" s="80"/>
      <c r="AN282" s="27"/>
      <c r="AO282" s="27"/>
      <c r="AP282" s="27"/>
    </row>
    <row r="283" spans="1:42" x14ac:dyDescent="0.2">
      <c r="A283" s="75"/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80"/>
      <c r="Y283" s="80"/>
      <c r="Z283" s="80"/>
      <c r="AA283" s="80"/>
      <c r="AB283" s="80"/>
      <c r="AC283" s="80"/>
      <c r="AD283" s="80"/>
      <c r="AE283" s="80"/>
      <c r="AF283" s="80"/>
      <c r="AG283" s="80"/>
      <c r="AH283" s="80"/>
      <c r="AI283" s="80"/>
      <c r="AJ283" s="80"/>
      <c r="AK283" s="80"/>
      <c r="AL283" s="80"/>
      <c r="AM283" s="80"/>
      <c r="AN283" s="27"/>
      <c r="AO283" s="27"/>
      <c r="AP283" s="27"/>
    </row>
    <row r="284" spans="1:42" x14ac:dyDescent="0.2">
      <c r="A284" s="75"/>
      <c r="B284" s="27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80"/>
      <c r="Y284" s="80"/>
      <c r="Z284" s="80"/>
      <c r="AA284" s="80"/>
      <c r="AB284" s="80"/>
      <c r="AC284" s="80"/>
      <c r="AD284" s="80"/>
      <c r="AE284" s="80"/>
      <c r="AF284" s="80"/>
      <c r="AG284" s="80"/>
      <c r="AH284" s="80"/>
      <c r="AI284" s="80"/>
      <c r="AJ284" s="80"/>
      <c r="AK284" s="80"/>
      <c r="AL284" s="80"/>
      <c r="AM284" s="80"/>
      <c r="AN284" s="27"/>
      <c r="AO284" s="27"/>
      <c r="AP284" s="27"/>
    </row>
    <row r="285" spans="1:42" x14ac:dyDescent="0.2">
      <c r="A285" s="75"/>
      <c r="B285" s="27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80"/>
      <c r="Y285" s="80"/>
      <c r="Z285" s="80"/>
      <c r="AA285" s="80"/>
      <c r="AB285" s="80"/>
      <c r="AC285" s="80"/>
      <c r="AD285" s="80"/>
      <c r="AE285" s="80"/>
      <c r="AF285" s="80"/>
      <c r="AG285" s="80"/>
      <c r="AH285" s="80"/>
      <c r="AI285" s="80"/>
      <c r="AJ285" s="80"/>
      <c r="AK285" s="80"/>
      <c r="AL285" s="80"/>
      <c r="AM285" s="80"/>
      <c r="AN285" s="27"/>
      <c r="AO285" s="27"/>
      <c r="AP285" s="27"/>
    </row>
    <row r="286" spans="1:42" x14ac:dyDescent="0.2">
      <c r="A286" s="75"/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80"/>
      <c r="Y286" s="80"/>
      <c r="Z286" s="80"/>
      <c r="AA286" s="80"/>
      <c r="AB286" s="80"/>
      <c r="AC286" s="80"/>
      <c r="AD286" s="80"/>
      <c r="AE286" s="80"/>
      <c r="AF286" s="80"/>
      <c r="AG286" s="80"/>
      <c r="AH286" s="80"/>
      <c r="AI286" s="80"/>
      <c r="AJ286" s="80"/>
      <c r="AK286" s="80"/>
      <c r="AL286" s="80"/>
      <c r="AM286" s="80"/>
      <c r="AN286" s="27"/>
      <c r="AO286" s="27"/>
      <c r="AP286" s="27"/>
    </row>
    <row r="287" spans="1:42" x14ac:dyDescent="0.2">
      <c r="A287" s="75"/>
      <c r="B287" s="27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80"/>
      <c r="Y287" s="80"/>
      <c r="Z287" s="80"/>
      <c r="AA287" s="80"/>
      <c r="AB287" s="80"/>
      <c r="AC287" s="80"/>
      <c r="AD287" s="80"/>
      <c r="AE287" s="80"/>
      <c r="AF287" s="80"/>
      <c r="AG287" s="80"/>
      <c r="AH287" s="80"/>
      <c r="AI287" s="80"/>
      <c r="AJ287" s="80"/>
      <c r="AK287" s="80"/>
      <c r="AL287" s="80"/>
      <c r="AM287" s="80"/>
      <c r="AN287" s="27"/>
      <c r="AO287" s="27"/>
      <c r="AP287" s="27"/>
    </row>
    <row r="288" spans="1:42" x14ac:dyDescent="0.2">
      <c r="A288" s="75"/>
      <c r="B288" s="27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80"/>
      <c r="Y288" s="80"/>
      <c r="Z288" s="80"/>
      <c r="AA288" s="80"/>
      <c r="AB288" s="80"/>
      <c r="AC288" s="80"/>
      <c r="AD288" s="80"/>
      <c r="AE288" s="80"/>
      <c r="AF288" s="80"/>
      <c r="AG288" s="80"/>
      <c r="AH288" s="80"/>
      <c r="AI288" s="80"/>
      <c r="AJ288" s="80"/>
      <c r="AK288" s="80"/>
      <c r="AL288" s="80"/>
      <c r="AM288" s="80"/>
      <c r="AN288" s="27"/>
      <c r="AO288" s="27"/>
      <c r="AP288" s="27"/>
    </row>
    <row r="289" spans="1:42" x14ac:dyDescent="0.2">
      <c r="A289" s="75"/>
      <c r="B289" s="27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80"/>
      <c r="Y289" s="80"/>
      <c r="Z289" s="80"/>
      <c r="AA289" s="80"/>
      <c r="AB289" s="80"/>
      <c r="AC289" s="80"/>
      <c r="AD289" s="80"/>
      <c r="AE289" s="80"/>
      <c r="AF289" s="80"/>
      <c r="AG289" s="80"/>
      <c r="AH289" s="80"/>
      <c r="AI289" s="80"/>
      <c r="AJ289" s="80"/>
      <c r="AK289" s="80"/>
      <c r="AL289" s="80"/>
      <c r="AM289" s="80"/>
      <c r="AN289" s="27"/>
      <c r="AO289" s="27"/>
      <c r="AP289" s="27"/>
    </row>
    <row r="290" spans="1:42" x14ac:dyDescent="0.2">
      <c r="A290" s="75"/>
      <c r="B290" s="27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80"/>
      <c r="Y290" s="80"/>
      <c r="Z290" s="80"/>
      <c r="AA290" s="80"/>
      <c r="AB290" s="80"/>
      <c r="AC290" s="80"/>
      <c r="AD290" s="80"/>
      <c r="AE290" s="80"/>
      <c r="AF290" s="80"/>
      <c r="AG290" s="80"/>
      <c r="AH290" s="80"/>
      <c r="AI290" s="80"/>
      <c r="AJ290" s="80"/>
      <c r="AK290" s="80"/>
      <c r="AL290" s="80"/>
      <c r="AM290" s="80"/>
      <c r="AN290" s="27"/>
      <c r="AO290" s="27"/>
      <c r="AP290" s="27"/>
    </row>
    <row r="291" spans="1:42" x14ac:dyDescent="0.2">
      <c r="A291" s="75"/>
      <c r="B291" s="27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80"/>
      <c r="Y291" s="80"/>
      <c r="Z291" s="80"/>
      <c r="AA291" s="80"/>
      <c r="AB291" s="80"/>
      <c r="AC291" s="80"/>
      <c r="AD291" s="80"/>
      <c r="AE291" s="80"/>
      <c r="AF291" s="80"/>
      <c r="AG291" s="80"/>
      <c r="AH291" s="80"/>
      <c r="AI291" s="80"/>
      <c r="AJ291" s="80"/>
      <c r="AK291" s="80"/>
      <c r="AL291" s="80"/>
      <c r="AM291" s="80"/>
      <c r="AN291" s="27"/>
      <c r="AO291" s="27"/>
      <c r="AP291" s="27"/>
    </row>
    <row r="292" spans="1:42" x14ac:dyDescent="0.2">
      <c r="A292" s="75"/>
      <c r="B292" s="27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80"/>
      <c r="Y292" s="80"/>
      <c r="Z292" s="80"/>
      <c r="AA292" s="80"/>
      <c r="AB292" s="80"/>
      <c r="AC292" s="80"/>
      <c r="AD292" s="80"/>
      <c r="AE292" s="80"/>
      <c r="AF292" s="80"/>
      <c r="AG292" s="80"/>
      <c r="AH292" s="80"/>
      <c r="AI292" s="80"/>
      <c r="AJ292" s="80"/>
      <c r="AK292" s="80"/>
      <c r="AL292" s="80"/>
      <c r="AM292" s="80"/>
      <c r="AN292" s="27"/>
      <c r="AO292" s="27"/>
      <c r="AP292" s="27"/>
    </row>
    <row r="293" spans="1:42" x14ac:dyDescent="0.2">
      <c r="A293" s="75"/>
      <c r="B293" s="27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80"/>
      <c r="Y293" s="80"/>
      <c r="Z293" s="80"/>
      <c r="AA293" s="80"/>
      <c r="AB293" s="80"/>
      <c r="AC293" s="80"/>
      <c r="AD293" s="80"/>
      <c r="AE293" s="80"/>
      <c r="AF293" s="80"/>
      <c r="AG293" s="80"/>
      <c r="AH293" s="80"/>
      <c r="AI293" s="80"/>
      <c r="AJ293" s="80"/>
      <c r="AK293" s="80"/>
      <c r="AL293" s="80"/>
      <c r="AM293" s="80"/>
      <c r="AN293" s="27"/>
      <c r="AO293" s="27"/>
      <c r="AP293" s="27"/>
    </row>
    <row r="294" spans="1:42" x14ac:dyDescent="0.2">
      <c r="A294" s="75"/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80"/>
      <c r="Y294" s="80"/>
      <c r="Z294" s="80"/>
      <c r="AA294" s="80"/>
      <c r="AB294" s="80"/>
      <c r="AC294" s="80"/>
      <c r="AD294" s="80"/>
      <c r="AE294" s="80"/>
      <c r="AF294" s="80"/>
      <c r="AG294" s="80"/>
      <c r="AH294" s="80"/>
      <c r="AI294" s="80"/>
      <c r="AJ294" s="80"/>
      <c r="AK294" s="80"/>
      <c r="AL294" s="80"/>
      <c r="AM294" s="80"/>
      <c r="AN294" s="27"/>
      <c r="AO294" s="27"/>
      <c r="AP294" s="27"/>
    </row>
    <row r="295" spans="1:42" x14ac:dyDescent="0.2">
      <c r="A295" s="75"/>
      <c r="B295" s="27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80"/>
      <c r="Y295" s="80"/>
      <c r="Z295" s="80"/>
      <c r="AA295" s="80"/>
      <c r="AB295" s="80"/>
      <c r="AC295" s="80"/>
      <c r="AD295" s="80"/>
      <c r="AE295" s="80"/>
      <c r="AF295" s="80"/>
      <c r="AG295" s="80"/>
      <c r="AH295" s="80"/>
      <c r="AI295" s="80"/>
      <c r="AJ295" s="80"/>
      <c r="AK295" s="80"/>
      <c r="AL295" s="80"/>
      <c r="AM295" s="80"/>
      <c r="AN295" s="27"/>
      <c r="AO295" s="27"/>
      <c r="AP295" s="27"/>
    </row>
    <row r="296" spans="1:42" x14ac:dyDescent="0.2">
      <c r="A296" s="75"/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80"/>
      <c r="Y296" s="80"/>
      <c r="Z296" s="80"/>
      <c r="AA296" s="80"/>
      <c r="AB296" s="80"/>
      <c r="AC296" s="80"/>
      <c r="AD296" s="80"/>
      <c r="AE296" s="80"/>
      <c r="AF296" s="80"/>
      <c r="AG296" s="80"/>
      <c r="AH296" s="80"/>
      <c r="AI296" s="80"/>
      <c r="AJ296" s="80"/>
      <c r="AK296" s="80"/>
      <c r="AL296" s="80"/>
      <c r="AM296" s="80"/>
      <c r="AN296" s="27"/>
      <c r="AO296" s="27"/>
      <c r="AP296" s="27"/>
    </row>
    <row r="297" spans="1:42" x14ac:dyDescent="0.2">
      <c r="A297" s="75"/>
      <c r="B297" s="27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80"/>
      <c r="Y297" s="80"/>
      <c r="Z297" s="80"/>
      <c r="AA297" s="80"/>
      <c r="AB297" s="80"/>
      <c r="AC297" s="80"/>
      <c r="AD297" s="80"/>
      <c r="AE297" s="80"/>
      <c r="AF297" s="80"/>
      <c r="AG297" s="80"/>
      <c r="AH297" s="80"/>
      <c r="AI297" s="80"/>
      <c r="AJ297" s="80"/>
      <c r="AK297" s="80"/>
      <c r="AL297" s="80"/>
      <c r="AM297" s="80"/>
      <c r="AN297" s="27"/>
      <c r="AO297" s="27"/>
      <c r="AP297" s="27"/>
    </row>
    <row r="298" spans="1:42" x14ac:dyDescent="0.2">
      <c r="A298" s="75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80"/>
      <c r="Y298" s="80"/>
      <c r="Z298" s="80"/>
      <c r="AA298" s="80"/>
      <c r="AB298" s="80"/>
      <c r="AC298" s="80"/>
      <c r="AD298" s="80"/>
      <c r="AE298" s="80"/>
      <c r="AF298" s="80"/>
      <c r="AG298" s="80"/>
      <c r="AH298" s="80"/>
      <c r="AI298" s="80"/>
      <c r="AJ298" s="80"/>
      <c r="AK298" s="80"/>
      <c r="AL298" s="80"/>
      <c r="AM298" s="80"/>
      <c r="AN298" s="27"/>
      <c r="AO298" s="27"/>
      <c r="AP298" s="27"/>
    </row>
    <row r="299" spans="1:42" x14ac:dyDescent="0.2">
      <c r="A299" s="75"/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80"/>
      <c r="Y299" s="80"/>
      <c r="Z299" s="80"/>
      <c r="AA299" s="80"/>
      <c r="AB299" s="80"/>
      <c r="AC299" s="80"/>
      <c r="AD299" s="80"/>
      <c r="AE299" s="80"/>
      <c r="AF299" s="80"/>
      <c r="AG299" s="80"/>
      <c r="AH299" s="80"/>
      <c r="AI299" s="80"/>
      <c r="AJ299" s="80"/>
      <c r="AK299" s="80"/>
      <c r="AL299" s="80"/>
      <c r="AM299" s="80"/>
      <c r="AN299" s="27"/>
      <c r="AO299" s="27"/>
      <c r="AP299" s="27"/>
    </row>
    <row r="300" spans="1:42" x14ac:dyDescent="0.2">
      <c r="A300" s="75"/>
      <c r="B300" s="27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80"/>
      <c r="Y300" s="80"/>
      <c r="Z300" s="80"/>
      <c r="AA300" s="80"/>
      <c r="AB300" s="80"/>
      <c r="AC300" s="80"/>
      <c r="AD300" s="80"/>
      <c r="AE300" s="80"/>
      <c r="AF300" s="80"/>
      <c r="AG300" s="80"/>
      <c r="AH300" s="80"/>
      <c r="AI300" s="80"/>
      <c r="AJ300" s="80"/>
      <c r="AK300" s="80"/>
      <c r="AL300" s="80"/>
      <c r="AM300" s="80"/>
      <c r="AN300" s="27"/>
      <c r="AO300" s="27"/>
      <c r="AP300" s="27"/>
    </row>
    <row r="301" spans="1:42" x14ac:dyDescent="0.2">
      <c r="A301" s="75"/>
      <c r="B301" s="27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80"/>
      <c r="Y301" s="80"/>
      <c r="Z301" s="80"/>
      <c r="AA301" s="80"/>
      <c r="AB301" s="80"/>
      <c r="AC301" s="80"/>
      <c r="AD301" s="80"/>
      <c r="AE301" s="80"/>
      <c r="AF301" s="80"/>
      <c r="AG301" s="80"/>
      <c r="AH301" s="80"/>
      <c r="AI301" s="80"/>
      <c r="AJ301" s="80"/>
      <c r="AK301" s="80"/>
      <c r="AL301" s="80"/>
      <c r="AM301" s="80"/>
      <c r="AN301" s="27"/>
      <c r="AO301" s="27"/>
      <c r="AP301" s="27"/>
    </row>
    <row r="302" spans="1:42" x14ac:dyDescent="0.2">
      <c r="A302" s="75"/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80"/>
      <c r="Y302" s="80"/>
      <c r="Z302" s="80"/>
      <c r="AA302" s="80"/>
      <c r="AB302" s="80"/>
      <c r="AC302" s="80"/>
      <c r="AD302" s="80"/>
      <c r="AE302" s="80"/>
      <c r="AF302" s="80"/>
      <c r="AG302" s="80"/>
      <c r="AH302" s="80"/>
      <c r="AI302" s="80"/>
      <c r="AJ302" s="80"/>
      <c r="AK302" s="80"/>
      <c r="AL302" s="80"/>
      <c r="AM302" s="80"/>
      <c r="AN302" s="27"/>
      <c r="AO302" s="27"/>
      <c r="AP302" s="27"/>
    </row>
    <row r="303" spans="1:42" x14ac:dyDescent="0.2">
      <c r="A303" s="75"/>
      <c r="B303" s="27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80"/>
      <c r="Y303" s="80"/>
      <c r="Z303" s="80"/>
      <c r="AA303" s="80"/>
      <c r="AB303" s="80"/>
      <c r="AC303" s="80"/>
      <c r="AD303" s="80"/>
      <c r="AE303" s="80"/>
      <c r="AF303" s="80"/>
      <c r="AG303" s="80"/>
      <c r="AH303" s="80"/>
      <c r="AI303" s="80"/>
      <c r="AJ303" s="80"/>
      <c r="AK303" s="80"/>
      <c r="AL303" s="80"/>
      <c r="AM303" s="80"/>
      <c r="AN303" s="27"/>
      <c r="AO303" s="27"/>
      <c r="AP303" s="27"/>
    </row>
    <row r="304" spans="1:42" x14ac:dyDescent="0.2">
      <c r="A304" s="75"/>
      <c r="B304" s="27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80"/>
      <c r="Y304" s="80"/>
      <c r="Z304" s="80"/>
      <c r="AA304" s="80"/>
      <c r="AB304" s="80"/>
      <c r="AC304" s="80"/>
      <c r="AD304" s="80"/>
      <c r="AE304" s="80"/>
      <c r="AF304" s="80"/>
      <c r="AG304" s="80"/>
      <c r="AH304" s="80"/>
      <c r="AI304" s="80"/>
      <c r="AJ304" s="80"/>
      <c r="AK304" s="80"/>
      <c r="AL304" s="80"/>
      <c r="AM304" s="80"/>
      <c r="AN304" s="27"/>
      <c r="AO304" s="27"/>
      <c r="AP304" s="27"/>
    </row>
    <row r="305" spans="1:42" x14ac:dyDescent="0.2">
      <c r="A305" s="75"/>
      <c r="B305" s="27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80"/>
      <c r="Y305" s="80"/>
      <c r="Z305" s="80"/>
      <c r="AA305" s="80"/>
      <c r="AB305" s="80"/>
      <c r="AC305" s="80"/>
      <c r="AD305" s="80"/>
      <c r="AE305" s="80"/>
      <c r="AF305" s="80"/>
      <c r="AG305" s="80"/>
      <c r="AH305" s="80"/>
      <c r="AI305" s="80"/>
      <c r="AJ305" s="80"/>
      <c r="AK305" s="80"/>
      <c r="AL305" s="80"/>
      <c r="AM305" s="80"/>
      <c r="AN305" s="27"/>
      <c r="AO305" s="27"/>
      <c r="AP305" s="27"/>
    </row>
    <row r="306" spans="1:42" x14ac:dyDescent="0.2">
      <c r="A306" s="75"/>
      <c r="B306" s="27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80"/>
      <c r="Y306" s="80"/>
      <c r="Z306" s="80"/>
      <c r="AA306" s="80"/>
      <c r="AB306" s="80"/>
      <c r="AC306" s="80"/>
      <c r="AD306" s="80"/>
      <c r="AE306" s="80"/>
      <c r="AF306" s="80"/>
      <c r="AG306" s="80"/>
      <c r="AH306" s="80"/>
      <c r="AI306" s="80"/>
      <c r="AJ306" s="80"/>
      <c r="AK306" s="80"/>
      <c r="AL306" s="80"/>
      <c r="AM306" s="80"/>
      <c r="AN306" s="27"/>
      <c r="AO306" s="27"/>
      <c r="AP306" s="27"/>
    </row>
    <row r="307" spans="1:42" x14ac:dyDescent="0.2">
      <c r="A307" s="75"/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80"/>
      <c r="Y307" s="80"/>
      <c r="Z307" s="80"/>
      <c r="AA307" s="80"/>
      <c r="AB307" s="80"/>
      <c r="AC307" s="80"/>
      <c r="AD307" s="80"/>
      <c r="AE307" s="80"/>
      <c r="AF307" s="80"/>
      <c r="AG307" s="80"/>
      <c r="AH307" s="80"/>
      <c r="AI307" s="80"/>
      <c r="AJ307" s="80"/>
      <c r="AK307" s="80"/>
      <c r="AL307" s="80"/>
      <c r="AM307" s="80"/>
      <c r="AN307" s="27"/>
      <c r="AO307" s="27"/>
      <c r="AP307" s="27"/>
    </row>
    <row r="308" spans="1:42" x14ac:dyDescent="0.2">
      <c r="A308" s="75"/>
      <c r="B308" s="27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80"/>
      <c r="Y308" s="80"/>
      <c r="Z308" s="80"/>
      <c r="AA308" s="80"/>
      <c r="AB308" s="80"/>
      <c r="AC308" s="80"/>
      <c r="AD308" s="80"/>
      <c r="AE308" s="80"/>
      <c r="AF308" s="80"/>
      <c r="AG308" s="80"/>
      <c r="AH308" s="80"/>
      <c r="AI308" s="80"/>
      <c r="AJ308" s="80"/>
      <c r="AK308" s="80"/>
      <c r="AL308" s="80"/>
      <c r="AM308" s="80"/>
      <c r="AN308" s="27"/>
      <c r="AO308" s="27"/>
      <c r="AP308" s="27"/>
    </row>
    <row r="309" spans="1:42" x14ac:dyDescent="0.2">
      <c r="A309" s="75"/>
      <c r="B309" s="27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80"/>
      <c r="Y309" s="80"/>
      <c r="Z309" s="80"/>
      <c r="AA309" s="80"/>
      <c r="AB309" s="80"/>
      <c r="AC309" s="80"/>
      <c r="AD309" s="80"/>
      <c r="AE309" s="80"/>
      <c r="AF309" s="80"/>
      <c r="AG309" s="80"/>
      <c r="AH309" s="80"/>
      <c r="AI309" s="80"/>
      <c r="AJ309" s="80"/>
      <c r="AK309" s="80"/>
      <c r="AL309" s="80"/>
      <c r="AM309" s="80"/>
      <c r="AN309" s="27"/>
      <c r="AO309" s="27"/>
      <c r="AP309" s="27"/>
    </row>
    <row r="310" spans="1:42" x14ac:dyDescent="0.2">
      <c r="A310" s="75"/>
      <c r="B310" s="27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80"/>
      <c r="Y310" s="80"/>
      <c r="Z310" s="80"/>
      <c r="AA310" s="80"/>
      <c r="AB310" s="80"/>
      <c r="AC310" s="80"/>
      <c r="AD310" s="80"/>
      <c r="AE310" s="80"/>
      <c r="AF310" s="80"/>
      <c r="AG310" s="80"/>
      <c r="AH310" s="80"/>
      <c r="AI310" s="80"/>
      <c r="AJ310" s="80"/>
      <c r="AK310" s="80"/>
      <c r="AL310" s="80"/>
      <c r="AM310" s="80"/>
      <c r="AN310" s="27"/>
      <c r="AO310" s="27"/>
      <c r="AP310" s="27"/>
    </row>
    <row r="311" spans="1:42" x14ac:dyDescent="0.2">
      <c r="A311" s="75"/>
      <c r="B311" s="27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80"/>
      <c r="Y311" s="80"/>
      <c r="Z311" s="80"/>
      <c r="AA311" s="80"/>
      <c r="AB311" s="80"/>
      <c r="AC311" s="80"/>
      <c r="AD311" s="80"/>
      <c r="AE311" s="80"/>
      <c r="AF311" s="80"/>
      <c r="AG311" s="80"/>
      <c r="AH311" s="80"/>
      <c r="AI311" s="80"/>
      <c r="AJ311" s="80"/>
      <c r="AK311" s="80"/>
      <c r="AL311" s="80"/>
      <c r="AM311" s="80"/>
      <c r="AN311" s="27"/>
      <c r="AO311" s="27"/>
      <c r="AP311" s="27"/>
    </row>
    <row r="312" spans="1:42" x14ac:dyDescent="0.2">
      <c r="A312" s="75"/>
      <c r="B312" s="27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80"/>
      <c r="Y312" s="80"/>
      <c r="Z312" s="80"/>
      <c r="AA312" s="80"/>
      <c r="AB312" s="80"/>
      <c r="AC312" s="80"/>
      <c r="AD312" s="80"/>
      <c r="AE312" s="80"/>
      <c r="AF312" s="80"/>
      <c r="AG312" s="80"/>
      <c r="AH312" s="80"/>
      <c r="AI312" s="80"/>
      <c r="AJ312" s="80"/>
      <c r="AK312" s="80"/>
      <c r="AL312" s="80"/>
      <c r="AM312" s="80"/>
      <c r="AN312" s="27"/>
      <c r="AO312" s="27"/>
      <c r="AP312" s="27"/>
    </row>
    <row r="313" spans="1:42" x14ac:dyDescent="0.2">
      <c r="A313" s="75"/>
      <c r="B313" s="27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80"/>
      <c r="Y313" s="80"/>
      <c r="Z313" s="80"/>
      <c r="AA313" s="80"/>
      <c r="AB313" s="80"/>
      <c r="AC313" s="80"/>
      <c r="AD313" s="80"/>
      <c r="AE313" s="80"/>
      <c r="AF313" s="80"/>
      <c r="AG313" s="80"/>
      <c r="AH313" s="80"/>
      <c r="AI313" s="80"/>
      <c r="AJ313" s="80"/>
      <c r="AK313" s="80"/>
      <c r="AL313" s="80"/>
      <c r="AM313" s="80"/>
      <c r="AN313" s="27"/>
      <c r="AO313" s="27"/>
      <c r="AP313" s="27"/>
    </row>
    <row r="314" spans="1:42" x14ac:dyDescent="0.2">
      <c r="A314" s="75"/>
      <c r="B314" s="27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80"/>
      <c r="Y314" s="80"/>
      <c r="Z314" s="80"/>
      <c r="AA314" s="80"/>
      <c r="AB314" s="80"/>
      <c r="AC314" s="80"/>
      <c r="AD314" s="80"/>
      <c r="AE314" s="80"/>
      <c r="AF314" s="80"/>
      <c r="AG314" s="80"/>
      <c r="AH314" s="80"/>
      <c r="AI314" s="80"/>
      <c r="AJ314" s="80"/>
      <c r="AK314" s="80"/>
      <c r="AL314" s="80"/>
      <c r="AM314" s="80"/>
      <c r="AN314" s="27"/>
      <c r="AO314" s="27"/>
      <c r="AP314" s="27"/>
    </row>
    <row r="315" spans="1:42" x14ac:dyDescent="0.2">
      <c r="A315" s="75"/>
      <c r="B315" s="27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80"/>
      <c r="Y315" s="80"/>
      <c r="Z315" s="80"/>
      <c r="AA315" s="80"/>
      <c r="AB315" s="80"/>
      <c r="AC315" s="80"/>
      <c r="AD315" s="80"/>
      <c r="AE315" s="80"/>
      <c r="AF315" s="80"/>
      <c r="AG315" s="80"/>
      <c r="AH315" s="80"/>
      <c r="AI315" s="80"/>
      <c r="AJ315" s="80"/>
      <c r="AK315" s="80"/>
      <c r="AL315" s="80"/>
      <c r="AM315" s="80"/>
      <c r="AN315" s="27"/>
      <c r="AO315" s="27"/>
      <c r="AP315" s="27"/>
    </row>
    <row r="316" spans="1:42" x14ac:dyDescent="0.2">
      <c r="A316" s="75"/>
      <c r="B316" s="27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80"/>
      <c r="Y316" s="80"/>
      <c r="Z316" s="80"/>
      <c r="AA316" s="80"/>
      <c r="AB316" s="80"/>
      <c r="AC316" s="80"/>
      <c r="AD316" s="80"/>
      <c r="AE316" s="80"/>
      <c r="AF316" s="80"/>
      <c r="AG316" s="80"/>
      <c r="AH316" s="80"/>
      <c r="AI316" s="80"/>
      <c r="AJ316" s="80"/>
      <c r="AK316" s="80"/>
      <c r="AL316" s="80"/>
      <c r="AM316" s="80"/>
      <c r="AN316" s="27"/>
      <c r="AO316" s="27"/>
      <c r="AP316" s="27"/>
    </row>
    <row r="317" spans="1:42" x14ac:dyDescent="0.2">
      <c r="A317" s="75"/>
      <c r="B317" s="27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80"/>
      <c r="Y317" s="80"/>
      <c r="Z317" s="80"/>
      <c r="AA317" s="80"/>
      <c r="AB317" s="80"/>
      <c r="AC317" s="80"/>
      <c r="AD317" s="80"/>
      <c r="AE317" s="80"/>
      <c r="AF317" s="80"/>
      <c r="AG317" s="80"/>
      <c r="AH317" s="80"/>
      <c r="AI317" s="80"/>
      <c r="AJ317" s="80"/>
      <c r="AK317" s="80"/>
      <c r="AL317" s="80"/>
      <c r="AM317" s="80"/>
      <c r="AN317" s="27"/>
      <c r="AO317" s="27"/>
      <c r="AP317" s="27"/>
    </row>
    <row r="318" spans="1:42" x14ac:dyDescent="0.2">
      <c r="A318" s="75"/>
      <c r="B318" s="27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80"/>
      <c r="Y318" s="80"/>
      <c r="Z318" s="80"/>
      <c r="AA318" s="80"/>
      <c r="AB318" s="80"/>
      <c r="AC318" s="80"/>
      <c r="AD318" s="80"/>
      <c r="AE318" s="80"/>
      <c r="AF318" s="80"/>
      <c r="AG318" s="80"/>
      <c r="AH318" s="80"/>
      <c r="AI318" s="80"/>
      <c r="AJ318" s="80"/>
      <c r="AK318" s="80"/>
      <c r="AL318" s="80"/>
      <c r="AM318" s="80"/>
      <c r="AN318" s="27"/>
      <c r="AO318" s="27"/>
      <c r="AP318" s="27"/>
    </row>
    <row r="319" spans="1:42" x14ac:dyDescent="0.2">
      <c r="A319" s="75"/>
      <c r="B319" s="27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80"/>
      <c r="Y319" s="80"/>
      <c r="Z319" s="80"/>
      <c r="AA319" s="80"/>
      <c r="AB319" s="80"/>
      <c r="AC319" s="80"/>
      <c r="AD319" s="80"/>
      <c r="AE319" s="80"/>
      <c r="AF319" s="80"/>
      <c r="AG319" s="80"/>
      <c r="AH319" s="80"/>
      <c r="AI319" s="80"/>
      <c r="AJ319" s="80"/>
      <c r="AK319" s="80"/>
      <c r="AL319" s="80"/>
      <c r="AM319" s="80"/>
      <c r="AN319" s="27"/>
      <c r="AO319" s="27"/>
      <c r="AP319" s="27"/>
    </row>
    <row r="320" spans="1:42" x14ac:dyDescent="0.2">
      <c r="A320" s="75"/>
      <c r="B320" s="27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80"/>
      <c r="Y320" s="80"/>
      <c r="Z320" s="80"/>
      <c r="AA320" s="80"/>
      <c r="AB320" s="80"/>
      <c r="AC320" s="80"/>
      <c r="AD320" s="80"/>
      <c r="AE320" s="80"/>
      <c r="AF320" s="80"/>
      <c r="AG320" s="80"/>
      <c r="AH320" s="80"/>
      <c r="AI320" s="80"/>
      <c r="AJ320" s="80"/>
      <c r="AK320" s="80"/>
      <c r="AL320" s="80"/>
      <c r="AM320" s="80"/>
      <c r="AN320" s="27"/>
      <c r="AO320" s="27"/>
      <c r="AP320" s="27"/>
    </row>
    <row r="321" spans="1:42" x14ac:dyDescent="0.2">
      <c r="A321" s="75"/>
      <c r="B321" s="27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80"/>
      <c r="Y321" s="80"/>
      <c r="Z321" s="80"/>
      <c r="AA321" s="80"/>
      <c r="AB321" s="80"/>
      <c r="AC321" s="80"/>
      <c r="AD321" s="80"/>
      <c r="AE321" s="80"/>
      <c r="AF321" s="80"/>
      <c r="AG321" s="80"/>
      <c r="AH321" s="80"/>
      <c r="AI321" s="80"/>
      <c r="AJ321" s="80"/>
      <c r="AK321" s="80"/>
      <c r="AL321" s="80"/>
      <c r="AM321" s="80"/>
      <c r="AN321" s="27"/>
      <c r="AO321" s="27"/>
      <c r="AP321" s="27"/>
    </row>
    <row r="322" spans="1:42" x14ac:dyDescent="0.2">
      <c r="A322" s="75"/>
      <c r="B322" s="27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80"/>
      <c r="Y322" s="80"/>
      <c r="Z322" s="80"/>
      <c r="AA322" s="80"/>
      <c r="AB322" s="80"/>
      <c r="AC322" s="80"/>
      <c r="AD322" s="80"/>
      <c r="AE322" s="80"/>
      <c r="AF322" s="80"/>
      <c r="AG322" s="80"/>
      <c r="AH322" s="80"/>
      <c r="AI322" s="80"/>
      <c r="AJ322" s="80"/>
      <c r="AK322" s="80"/>
      <c r="AL322" s="80"/>
      <c r="AM322" s="80"/>
      <c r="AN322" s="27"/>
      <c r="AO322" s="27"/>
      <c r="AP322" s="27"/>
    </row>
    <row r="323" spans="1:42" x14ac:dyDescent="0.2">
      <c r="A323" s="75"/>
      <c r="B323" s="27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80"/>
      <c r="Y323" s="80"/>
      <c r="Z323" s="80"/>
      <c r="AA323" s="80"/>
      <c r="AB323" s="80"/>
      <c r="AC323" s="80"/>
      <c r="AD323" s="80"/>
      <c r="AE323" s="80"/>
      <c r="AF323" s="80"/>
      <c r="AG323" s="80"/>
      <c r="AH323" s="80"/>
      <c r="AI323" s="80"/>
      <c r="AJ323" s="80"/>
      <c r="AK323" s="80"/>
      <c r="AL323" s="80"/>
      <c r="AM323" s="80"/>
      <c r="AN323" s="27"/>
      <c r="AO323" s="27"/>
      <c r="AP323" s="27"/>
    </row>
    <row r="324" spans="1:42" x14ac:dyDescent="0.2">
      <c r="A324" s="75"/>
      <c r="B324" s="27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80"/>
      <c r="Y324" s="80"/>
      <c r="Z324" s="80"/>
      <c r="AA324" s="80"/>
      <c r="AB324" s="80"/>
      <c r="AC324" s="80"/>
      <c r="AD324" s="80"/>
      <c r="AE324" s="80"/>
      <c r="AF324" s="80"/>
      <c r="AG324" s="80"/>
      <c r="AH324" s="80"/>
      <c r="AI324" s="80"/>
      <c r="AJ324" s="80"/>
      <c r="AK324" s="80"/>
      <c r="AL324" s="80"/>
      <c r="AM324" s="80"/>
      <c r="AN324" s="27"/>
      <c r="AO324" s="27"/>
      <c r="AP324" s="27"/>
    </row>
    <row r="325" spans="1:42" x14ac:dyDescent="0.2">
      <c r="A325" s="75"/>
      <c r="B325" s="27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80"/>
      <c r="Y325" s="80"/>
      <c r="Z325" s="80"/>
      <c r="AA325" s="80"/>
      <c r="AB325" s="80"/>
      <c r="AC325" s="80"/>
      <c r="AD325" s="80"/>
      <c r="AE325" s="80"/>
      <c r="AF325" s="80"/>
      <c r="AG325" s="80"/>
      <c r="AH325" s="80"/>
      <c r="AI325" s="80"/>
      <c r="AJ325" s="80"/>
      <c r="AK325" s="80"/>
      <c r="AL325" s="80"/>
      <c r="AM325" s="80"/>
      <c r="AN325" s="27"/>
      <c r="AO325" s="27"/>
      <c r="AP325" s="27"/>
    </row>
    <row r="326" spans="1:42" x14ac:dyDescent="0.2">
      <c r="A326" s="75"/>
      <c r="B326" s="27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80"/>
      <c r="Y326" s="80"/>
      <c r="Z326" s="80"/>
      <c r="AA326" s="80"/>
      <c r="AB326" s="80"/>
      <c r="AC326" s="80"/>
      <c r="AD326" s="80"/>
      <c r="AE326" s="80"/>
      <c r="AF326" s="80"/>
      <c r="AG326" s="80"/>
      <c r="AH326" s="80"/>
      <c r="AI326" s="80"/>
      <c r="AJ326" s="80"/>
      <c r="AK326" s="80"/>
      <c r="AL326" s="80"/>
      <c r="AM326" s="80"/>
      <c r="AN326" s="27"/>
      <c r="AO326" s="27"/>
      <c r="AP326" s="27"/>
    </row>
    <row r="327" spans="1:42" x14ac:dyDescent="0.2">
      <c r="A327" s="75"/>
      <c r="B327" s="27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80"/>
      <c r="Y327" s="80"/>
      <c r="Z327" s="80"/>
      <c r="AA327" s="80"/>
      <c r="AB327" s="80"/>
      <c r="AC327" s="80"/>
      <c r="AD327" s="80"/>
      <c r="AE327" s="80"/>
      <c r="AF327" s="80"/>
      <c r="AG327" s="80"/>
      <c r="AH327" s="80"/>
      <c r="AI327" s="80"/>
      <c r="AJ327" s="80"/>
      <c r="AK327" s="80"/>
      <c r="AL327" s="80"/>
      <c r="AM327" s="80"/>
      <c r="AN327" s="27"/>
      <c r="AO327" s="27"/>
      <c r="AP327" s="27"/>
    </row>
    <row r="328" spans="1:42" x14ac:dyDescent="0.2">
      <c r="A328" s="75"/>
      <c r="B328" s="27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80"/>
      <c r="Y328" s="80"/>
      <c r="Z328" s="80"/>
      <c r="AA328" s="80"/>
      <c r="AB328" s="80"/>
      <c r="AC328" s="80"/>
      <c r="AD328" s="80"/>
      <c r="AE328" s="80"/>
      <c r="AF328" s="80"/>
      <c r="AG328" s="80"/>
      <c r="AH328" s="80"/>
      <c r="AI328" s="80"/>
      <c r="AJ328" s="80"/>
      <c r="AK328" s="80"/>
      <c r="AL328" s="80"/>
      <c r="AM328" s="80"/>
      <c r="AN328" s="27"/>
      <c r="AO328" s="27"/>
      <c r="AP328" s="27"/>
    </row>
    <row r="329" spans="1:42" x14ac:dyDescent="0.2">
      <c r="A329" s="75"/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80"/>
      <c r="Y329" s="80"/>
      <c r="Z329" s="80"/>
      <c r="AA329" s="80"/>
      <c r="AB329" s="80"/>
      <c r="AC329" s="80"/>
      <c r="AD329" s="80"/>
      <c r="AE329" s="80"/>
      <c r="AF329" s="80"/>
      <c r="AG329" s="80"/>
      <c r="AH329" s="80"/>
      <c r="AI329" s="80"/>
      <c r="AJ329" s="80"/>
      <c r="AK329" s="80"/>
      <c r="AL329" s="80"/>
      <c r="AM329" s="80"/>
      <c r="AN329" s="27"/>
      <c r="AO329" s="27"/>
      <c r="AP329" s="27"/>
    </row>
    <row r="330" spans="1:42" x14ac:dyDescent="0.2">
      <c r="A330" s="75"/>
      <c r="B330" s="27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80"/>
      <c r="Y330" s="80"/>
      <c r="Z330" s="80"/>
      <c r="AA330" s="80"/>
      <c r="AB330" s="80"/>
      <c r="AC330" s="80"/>
      <c r="AD330" s="80"/>
      <c r="AE330" s="80"/>
      <c r="AF330" s="80"/>
      <c r="AG330" s="80"/>
      <c r="AH330" s="80"/>
      <c r="AI330" s="80"/>
      <c r="AJ330" s="80"/>
      <c r="AK330" s="80"/>
      <c r="AL330" s="80"/>
      <c r="AM330" s="80"/>
      <c r="AN330" s="27"/>
      <c r="AO330" s="27"/>
      <c r="AP330" s="27"/>
    </row>
    <row r="331" spans="1:42" x14ac:dyDescent="0.2">
      <c r="A331" s="75"/>
      <c r="B331" s="27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80"/>
      <c r="Y331" s="80"/>
      <c r="Z331" s="80"/>
      <c r="AA331" s="80"/>
      <c r="AB331" s="80"/>
      <c r="AC331" s="80"/>
      <c r="AD331" s="80"/>
      <c r="AE331" s="80"/>
      <c r="AF331" s="80"/>
      <c r="AG331" s="80"/>
      <c r="AH331" s="80"/>
      <c r="AI331" s="80"/>
      <c r="AJ331" s="80"/>
      <c r="AK331" s="80"/>
      <c r="AL331" s="80"/>
      <c r="AM331" s="80"/>
      <c r="AN331" s="27"/>
      <c r="AO331" s="27"/>
      <c r="AP331" s="27"/>
    </row>
    <row r="332" spans="1:42" x14ac:dyDescent="0.2">
      <c r="A332" s="75"/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80"/>
      <c r="Y332" s="80"/>
      <c r="Z332" s="80"/>
      <c r="AA332" s="80"/>
      <c r="AB332" s="80"/>
      <c r="AC332" s="80"/>
      <c r="AD332" s="80"/>
      <c r="AE332" s="80"/>
      <c r="AF332" s="80"/>
      <c r="AG332" s="80"/>
      <c r="AH332" s="80"/>
      <c r="AI332" s="80"/>
      <c r="AJ332" s="80"/>
      <c r="AK332" s="80"/>
      <c r="AL332" s="80"/>
      <c r="AM332" s="80"/>
      <c r="AN332" s="27"/>
      <c r="AO332" s="27"/>
      <c r="AP332" s="27"/>
    </row>
    <row r="333" spans="1:42" x14ac:dyDescent="0.2">
      <c r="A333" s="75"/>
      <c r="B333" s="27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80"/>
      <c r="Y333" s="80"/>
      <c r="Z333" s="80"/>
      <c r="AA333" s="80"/>
      <c r="AB333" s="80"/>
      <c r="AC333" s="80"/>
      <c r="AD333" s="80"/>
      <c r="AE333" s="80"/>
      <c r="AF333" s="80"/>
      <c r="AG333" s="80"/>
      <c r="AH333" s="80"/>
      <c r="AI333" s="80"/>
      <c r="AJ333" s="80"/>
      <c r="AK333" s="80"/>
      <c r="AL333" s="80"/>
      <c r="AM333" s="80"/>
      <c r="AN333" s="27"/>
      <c r="AO333" s="27"/>
      <c r="AP333" s="27"/>
    </row>
    <row r="334" spans="1:42" x14ac:dyDescent="0.2">
      <c r="A334" s="75"/>
      <c r="B334" s="27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80"/>
      <c r="Y334" s="80"/>
      <c r="Z334" s="80"/>
      <c r="AA334" s="80"/>
      <c r="AB334" s="80"/>
      <c r="AC334" s="80"/>
      <c r="AD334" s="80"/>
      <c r="AE334" s="80"/>
      <c r="AF334" s="80"/>
      <c r="AG334" s="80"/>
      <c r="AH334" s="80"/>
      <c r="AI334" s="80"/>
      <c r="AJ334" s="80"/>
      <c r="AK334" s="80"/>
      <c r="AL334" s="80"/>
      <c r="AM334" s="80"/>
      <c r="AN334" s="27"/>
      <c r="AO334" s="27"/>
      <c r="AP334" s="27"/>
    </row>
    <row r="335" spans="1:42" x14ac:dyDescent="0.2">
      <c r="A335" s="75"/>
      <c r="B335" s="27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80"/>
      <c r="Y335" s="80"/>
      <c r="Z335" s="80"/>
      <c r="AA335" s="80"/>
      <c r="AB335" s="80"/>
      <c r="AC335" s="80"/>
      <c r="AD335" s="80"/>
      <c r="AE335" s="80"/>
      <c r="AF335" s="80"/>
      <c r="AG335" s="80"/>
      <c r="AH335" s="80"/>
      <c r="AI335" s="80"/>
      <c r="AJ335" s="80"/>
      <c r="AK335" s="80"/>
      <c r="AL335" s="80"/>
      <c r="AM335" s="80"/>
      <c r="AN335" s="27"/>
      <c r="AO335" s="27"/>
      <c r="AP335" s="27"/>
    </row>
    <row r="336" spans="1:42" x14ac:dyDescent="0.2">
      <c r="A336" s="75"/>
      <c r="B336" s="27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80"/>
      <c r="Y336" s="80"/>
      <c r="Z336" s="80"/>
      <c r="AA336" s="80"/>
      <c r="AB336" s="80"/>
      <c r="AC336" s="80"/>
      <c r="AD336" s="80"/>
      <c r="AE336" s="80"/>
      <c r="AF336" s="80"/>
      <c r="AG336" s="80"/>
      <c r="AH336" s="80"/>
      <c r="AI336" s="80"/>
      <c r="AJ336" s="80"/>
      <c r="AK336" s="80"/>
      <c r="AL336" s="80"/>
      <c r="AM336" s="80"/>
      <c r="AN336" s="27"/>
      <c r="AO336" s="27"/>
      <c r="AP336" s="27"/>
    </row>
    <row r="337" spans="1:42" x14ac:dyDescent="0.2">
      <c r="A337" s="75"/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80"/>
      <c r="Y337" s="80"/>
      <c r="Z337" s="80"/>
      <c r="AA337" s="80"/>
      <c r="AB337" s="80"/>
      <c r="AC337" s="80"/>
      <c r="AD337" s="80"/>
      <c r="AE337" s="80"/>
      <c r="AF337" s="80"/>
      <c r="AG337" s="80"/>
      <c r="AH337" s="80"/>
      <c r="AI337" s="80"/>
      <c r="AJ337" s="80"/>
      <c r="AK337" s="80"/>
      <c r="AL337" s="80"/>
      <c r="AM337" s="80"/>
      <c r="AN337" s="27"/>
      <c r="AO337" s="27"/>
      <c r="AP337" s="27"/>
    </row>
    <row r="338" spans="1:42" x14ac:dyDescent="0.2">
      <c r="A338" s="75"/>
      <c r="B338" s="27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80"/>
      <c r="Y338" s="80"/>
      <c r="Z338" s="80"/>
      <c r="AA338" s="80"/>
      <c r="AB338" s="80"/>
      <c r="AC338" s="80"/>
      <c r="AD338" s="80"/>
      <c r="AE338" s="80"/>
      <c r="AF338" s="80"/>
      <c r="AG338" s="80"/>
      <c r="AH338" s="80"/>
      <c r="AI338" s="80"/>
      <c r="AJ338" s="80"/>
      <c r="AK338" s="80"/>
      <c r="AL338" s="80"/>
      <c r="AM338" s="80"/>
      <c r="AN338" s="27"/>
      <c r="AO338" s="27"/>
      <c r="AP338" s="27"/>
    </row>
    <row r="339" spans="1:42" x14ac:dyDescent="0.2">
      <c r="A339" s="75"/>
      <c r="B339" s="27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80"/>
      <c r="Y339" s="80"/>
      <c r="Z339" s="80"/>
      <c r="AA339" s="80"/>
      <c r="AB339" s="80"/>
      <c r="AC339" s="80"/>
      <c r="AD339" s="80"/>
      <c r="AE339" s="80"/>
      <c r="AF339" s="80"/>
      <c r="AG339" s="80"/>
      <c r="AH339" s="80"/>
      <c r="AI339" s="80"/>
      <c r="AJ339" s="80"/>
      <c r="AK339" s="80"/>
      <c r="AL339" s="80"/>
      <c r="AM339" s="80"/>
      <c r="AN339" s="27"/>
      <c r="AO339" s="27"/>
      <c r="AP339" s="27"/>
    </row>
    <row r="340" spans="1:42" x14ac:dyDescent="0.2">
      <c r="A340" s="75"/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80"/>
      <c r="Y340" s="80"/>
      <c r="Z340" s="80"/>
      <c r="AA340" s="80"/>
      <c r="AB340" s="80"/>
      <c r="AC340" s="80"/>
      <c r="AD340" s="80"/>
      <c r="AE340" s="80"/>
      <c r="AF340" s="80"/>
      <c r="AG340" s="80"/>
      <c r="AH340" s="80"/>
      <c r="AI340" s="80"/>
      <c r="AJ340" s="80"/>
      <c r="AK340" s="80"/>
      <c r="AL340" s="80"/>
      <c r="AM340" s="80"/>
      <c r="AN340" s="27"/>
      <c r="AO340" s="27"/>
      <c r="AP340" s="27"/>
    </row>
    <row r="341" spans="1:42" x14ac:dyDescent="0.2">
      <c r="A341" s="75"/>
      <c r="B341" s="27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80"/>
      <c r="Y341" s="80"/>
      <c r="Z341" s="80"/>
      <c r="AA341" s="80"/>
      <c r="AB341" s="80"/>
      <c r="AC341" s="80"/>
      <c r="AD341" s="80"/>
      <c r="AE341" s="80"/>
      <c r="AF341" s="80"/>
      <c r="AG341" s="80"/>
      <c r="AH341" s="80"/>
      <c r="AI341" s="80"/>
      <c r="AJ341" s="80"/>
      <c r="AK341" s="80"/>
      <c r="AL341" s="80"/>
      <c r="AM341" s="80"/>
      <c r="AN341" s="27"/>
      <c r="AO341" s="27"/>
      <c r="AP341" s="27"/>
    </row>
    <row r="342" spans="1:42" x14ac:dyDescent="0.2">
      <c r="A342" s="75"/>
      <c r="B342" s="27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80"/>
      <c r="Y342" s="80"/>
      <c r="Z342" s="80"/>
      <c r="AA342" s="80"/>
      <c r="AB342" s="80"/>
      <c r="AC342" s="80"/>
      <c r="AD342" s="80"/>
      <c r="AE342" s="80"/>
      <c r="AF342" s="80"/>
      <c r="AG342" s="80"/>
      <c r="AH342" s="80"/>
      <c r="AI342" s="80"/>
      <c r="AJ342" s="80"/>
      <c r="AK342" s="80"/>
      <c r="AL342" s="80"/>
      <c r="AM342" s="80"/>
      <c r="AN342" s="27"/>
      <c r="AO342" s="27"/>
      <c r="AP342" s="27"/>
    </row>
    <row r="343" spans="1:42" x14ac:dyDescent="0.2">
      <c r="A343" s="75"/>
      <c r="B343" s="27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80"/>
      <c r="Y343" s="80"/>
      <c r="Z343" s="80"/>
      <c r="AA343" s="80"/>
      <c r="AB343" s="80"/>
      <c r="AC343" s="80"/>
      <c r="AD343" s="80"/>
      <c r="AE343" s="80"/>
      <c r="AF343" s="80"/>
      <c r="AG343" s="80"/>
      <c r="AH343" s="80"/>
      <c r="AI343" s="80"/>
      <c r="AJ343" s="80"/>
      <c r="AK343" s="80"/>
      <c r="AL343" s="80"/>
      <c r="AM343" s="80"/>
      <c r="AN343" s="27"/>
      <c r="AO343" s="27"/>
      <c r="AP343" s="27"/>
    </row>
    <row r="344" spans="1:42" x14ac:dyDescent="0.2">
      <c r="A344" s="75"/>
      <c r="B344" s="27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80"/>
      <c r="Y344" s="80"/>
      <c r="Z344" s="80"/>
      <c r="AA344" s="80"/>
      <c r="AB344" s="80"/>
      <c r="AC344" s="80"/>
      <c r="AD344" s="80"/>
      <c r="AE344" s="80"/>
      <c r="AF344" s="80"/>
      <c r="AG344" s="80"/>
      <c r="AH344" s="80"/>
      <c r="AI344" s="80"/>
      <c r="AJ344" s="80"/>
      <c r="AK344" s="80"/>
      <c r="AL344" s="80"/>
      <c r="AM344" s="80"/>
      <c r="AN344" s="27"/>
      <c r="AO344" s="27"/>
      <c r="AP344" s="27"/>
    </row>
    <row r="345" spans="1:42" x14ac:dyDescent="0.2">
      <c r="A345" s="75"/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80"/>
      <c r="Y345" s="80"/>
      <c r="Z345" s="80"/>
      <c r="AA345" s="80"/>
      <c r="AB345" s="80"/>
      <c r="AC345" s="80"/>
      <c r="AD345" s="80"/>
      <c r="AE345" s="80"/>
      <c r="AF345" s="80"/>
      <c r="AG345" s="80"/>
      <c r="AH345" s="80"/>
      <c r="AI345" s="80"/>
      <c r="AJ345" s="80"/>
      <c r="AK345" s="80"/>
      <c r="AL345" s="80"/>
      <c r="AM345" s="80"/>
      <c r="AN345" s="27"/>
      <c r="AO345" s="27"/>
      <c r="AP345" s="27"/>
    </row>
    <row r="346" spans="1:42" x14ac:dyDescent="0.2">
      <c r="A346" s="75"/>
      <c r="B346" s="27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80"/>
      <c r="Y346" s="80"/>
      <c r="Z346" s="80"/>
      <c r="AA346" s="80"/>
      <c r="AB346" s="80"/>
      <c r="AC346" s="80"/>
      <c r="AD346" s="80"/>
      <c r="AE346" s="80"/>
      <c r="AF346" s="80"/>
      <c r="AG346" s="80"/>
      <c r="AH346" s="80"/>
      <c r="AI346" s="80"/>
      <c r="AJ346" s="80"/>
      <c r="AK346" s="80"/>
      <c r="AL346" s="80"/>
      <c r="AM346" s="80"/>
      <c r="AN346" s="27"/>
      <c r="AO346" s="27"/>
      <c r="AP346" s="27"/>
    </row>
    <row r="347" spans="1:42" x14ac:dyDescent="0.2">
      <c r="A347" s="75"/>
      <c r="B347" s="27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80"/>
      <c r="Y347" s="80"/>
      <c r="Z347" s="80"/>
      <c r="AA347" s="80"/>
      <c r="AB347" s="80"/>
      <c r="AC347" s="80"/>
      <c r="AD347" s="80"/>
      <c r="AE347" s="80"/>
      <c r="AF347" s="80"/>
      <c r="AG347" s="80"/>
      <c r="AH347" s="80"/>
      <c r="AI347" s="80"/>
      <c r="AJ347" s="80"/>
      <c r="AK347" s="80"/>
      <c r="AL347" s="80"/>
      <c r="AM347" s="80"/>
      <c r="AN347" s="27"/>
      <c r="AO347" s="27"/>
      <c r="AP347" s="27"/>
    </row>
    <row r="348" spans="1:42" x14ac:dyDescent="0.2">
      <c r="A348" s="75"/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80"/>
      <c r="Y348" s="80"/>
      <c r="Z348" s="80"/>
      <c r="AA348" s="80"/>
      <c r="AB348" s="80"/>
      <c r="AC348" s="80"/>
      <c r="AD348" s="80"/>
      <c r="AE348" s="80"/>
      <c r="AF348" s="80"/>
      <c r="AG348" s="80"/>
      <c r="AH348" s="80"/>
      <c r="AI348" s="80"/>
      <c r="AJ348" s="80"/>
      <c r="AK348" s="80"/>
      <c r="AL348" s="80"/>
      <c r="AM348" s="80"/>
      <c r="AN348" s="27"/>
      <c r="AO348" s="27"/>
      <c r="AP348" s="27"/>
    </row>
    <row r="349" spans="1:42" x14ac:dyDescent="0.2">
      <c r="A349" s="75"/>
      <c r="B349" s="27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80"/>
      <c r="Y349" s="80"/>
      <c r="Z349" s="80"/>
      <c r="AA349" s="80"/>
      <c r="AB349" s="80"/>
      <c r="AC349" s="80"/>
      <c r="AD349" s="80"/>
      <c r="AE349" s="80"/>
      <c r="AF349" s="80"/>
      <c r="AG349" s="80"/>
      <c r="AH349" s="80"/>
      <c r="AI349" s="80"/>
      <c r="AJ349" s="80"/>
      <c r="AK349" s="80"/>
      <c r="AL349" s="80"/>
      <c r="AM349" s="80"/>
      <c r="AN349" s="27"/>
      <c r="AO349" s="27"/>
      <c r="AP349" s="27"/>
    </row>
    <row r="350" spans="1:42" x14ac:dyDescent="0.2">
      <c r="A350" s="75"/>
      <c r="B350" s="27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80"/>
      <c r="Y350" s="80"/>
      <c r="Z350" s="80"/>
      <c r="AA350" s="80"/>
      <c r="AB350" s="80"/>
      <c r="AC350" s="80"/>
      <c r="AD350" s="80"/>
      <c r="AE350" s="80"/>
      <c r="AF350" s="80"/>
      <c r="AG350" s="80"/>
      <c r="AH350" s="80"/>
      <c r="AI350" s="80"/>
      <c r="AJ350" s="80"/>
      <c r="AK350" s="80"/>
      <c r="AL350" s="80"/>
      <c r="AM350" s="80"/>
      <c r="AN350" s="27"/>
      <c r="AO350" s="27"/>
      <c r="AP350" s="27"/>
    </row>
    <row r="351" spans="1:42" x14ac:dyDescent="0.2">
      <c r="A351" s="75"/>
      <c r="B351" s="27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80"/>
      <c r="Y351" s="80"/>
      <c r="Z351" s="80"/>
      <c r="AA351" s="80"/>
      <c r="AB351" s="80"/>
      <c r="AC351" s="80"/>
      <c r="AD351" s="80"/>
      <c r="AE351" s="80"/>
      <c r="AF351" s="80"/>
      <c r="AG351" s="80"/>
      <c r="AH351" s="80"/>
      <c r="AI351" s="80"/>
      <c r="AJ351" s="80"/>
      <c r="AK351" s="80"/>
      <c r="AL351" s="80"/>
      <c r="AM351" s="80"/>
      <c r="AN351" s="27"/>
      <c r="AO351" s="27"/>
      <c r="AP351" s="27"/>
    </row>
    <row r="352" spans="1:42" x14ac:dyDescent="0.2">
      <c r="A352" s="75"/>
      <c r="B352" s="27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80"/>
      <c r="Y352" s="80"/>
      <c r="Z352" s="80"/>
      <c r="AA352" s="80"/>
      <c r="AB352" s="80"/>
      <c r="AC352" s="80"/>
      <c r="AD352" s="80"/>
      <c r="AE352" s="80"/>
      <c r="AF352" s="80"/>
      <c r="AG352" s="80"/>
      <c r="AH352" s="80"/>
      <c r="AI352" s="80"/>
      <c r="AJ352" s="80"/>
      <c r="AK352" s="80"/>
      <c r="AL352" s="80"/>
      <c r="AM352" s="80"/>
      <c r="AN352" s="27"/>
      <c r="AO352" s="27"/>
      <c r="AP352" s="27"/>
    </row>
    <row r="353" spans="1:42" x14ac:dyDescent="0.2">
      <c r="A353" s="75"/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80"/>
      <c r="Y353" s="80"/>
      <c r="Z353" s="80"/>
      <c r="AA353" s="80"/>
      <c r="AB353" s="80"/>
      <c r="AC353" s="80"/>
      <c r="AD353" s="80"/>
      <c r="AE353" s="80"/>
      <c r="AF353" s="80"/>
      <c r="AG353" s="80"/>
      <c r="AH353" s="80"/>
      <c r="AI353" s="80"/>
      <c r="AJ353" s="80"/>
      <c r="AK353" s="80"/>
      <c r="AL353" s="80"/>
      <c r="AM353" s="80"/>
      <c r="AN353" s="27"/>
      <c r="AO353" s="27"/>
      <c r="AP353" s="27"/>
    </row>
    <row r="354" spans="1:42" x14ac:dyDescent="0.2">
      <c r="A354" s="75"/>
      <c r="B354" s="27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80"/>
      <c r="Y354" s="80"/>
      <c r="Z354" s="80"/>
      <c r="AA354" s="80"/>
      <c r="AB354" s="80"/>
      <c r="AC354" s="80"/>
      <c r="AD354" s="80"/>
      <c r="AE354" s="80"/>
      <c r="AF354" s="80"/>
      <c r="AG354" s="80"/>
      <c r="AH354" s="80"/>
      <c r="AI354" s="80"/>
      <c r="AJ354" s="80"/>
      <c r="AK354" s="80"/>
      <c r="AL354" s="80"/>
      <c r="AM354" s="80"/>
      <c r="AN354" s="27"/>
      <c r="AO354" s="27"/>
      <c r="AP354" s="27"/>
    </row>
    <row r="355" spans="1:42" x14ac:dyDescent="0.2">
      <c r="A355" s="75"/>
      <c r="B355" s="27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80"/>
      <c r="Y355" s="80"/>
      <c r="Z355" s="80"/>
      <c r="AA355" s="80"/>
      <c r="AB355" s="80"/>
      <c r="AC355" s="80"/>
      <c r="AD355" s="80"/>
      <c r="AE355" s="80"/>
      <c r="AF355" s="80"/>
      <c r="AG355" s="80"/>
      <c r="AH355" s="80"/>
      <c r="AI355" s="80"/>
      <c r="AJ355" s="80"/>
      <c r="AK355" s="80"/>
      <c r="AL355" s="80"/>
      <c r="AM355" s="80"/>
      <c r="AN355" s="27"/>
      <c r="AO355" s="27"/>
      <c r="AP355" s="27"/>
    </row>
    <row r="356" spans="1:42" x14ac:dyDescent="0.2">
      <c r="A356" s="75"/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80"/>
      <c r="Y356" s="80"/>
      <c r="Z356" s="80"/>
      <c r="AA356" s="80"/>
      <c r="AB356" s="80"/>
      <c r="AC356" s="80"/>
      <c r="AD356" s="80"/>
      <c r="AE356" s="80"/>
      <c r="AF356" s="80"/>
      <c r="AG356" s="80"/>
      <c r="AH356" s="80"/>
      <c r="AI356" s="80"/>
      <c r="AJ356" s="80"/>
      <c r="AK356" s="80"/>
      <c r="AL356" s="80"/>
      <c r="AM356" s="80"/>
      <c r="AN356" s="27"/>
      <c r="AO356" s="27"/>
      <c r="AP356" s="27"/>
    </row>
    <row r="357" spans="1:42" x14ac:dyDescent="0.2">
      <c r="A357" s="75"/>
      <c r="B357" s="27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80"/>
      <c r="Y357" s="80"/>
      <c r="Z357" s="80"/>
      <c r="AA357" s="80"/>
      <c r="AB357" s="80"/>
      <c r="AC357" s="80"/>
      <c r="AD357" s="80"/>
      <c r="AE357" s="80"/>
      <c r="AF357" s="80"/>
      <c r="AG357" s="80"/>
      <c r="AH357" s="80"/>
      <c r="AI357" s="80"/>
      <c r="AJ357" s="80"/>
      <c r="AK357" s="80"/>
      <c r="AL357" s="80"/>
      <c r="AM357" s="80"/>
      <c r="AN357" s="27"/>
      <c r="AO357" s="27"/>
      <c r="AP357" s="27"/>
    </row>
    <row r="358" spans="1:42" x14ac:dyDescent="0.2">
      <c r="A358" s="75"/>
      <c r="B358" s="27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80"/>
      <c r="Y358" s="80"/>
      <c r="Z358" s="80"/>
      <c r="AA358" s="80"/>
      <c r="AB358" s="80"/>
      <c r="AC358" s="80"/>
      <c r="AD358" s="80"/>
      <c r="AE358" s="80"/>
      <c r="AF358" s="80"/>
      <c r="AG358" s="80"/>
      <c r="AH358" s="80"/>
      <c r="AI358" s="80"/>
      <c r="AJ358" s="80"/>
      <c r="AK358" s="80"/>
      <c r="AL358" s="80"/>
      <c r="AM358" s="80"/>
      <c r="AN358" s="27"/>
      <c r="AO358" s="27"/>
      <c r="AP358" s="27"/>
    </row>
    <row r="359" spans="1:42" x14ac:dyDescent="0.2">
      <c r="A359" s="75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80"/>
      <c r="Y359" s="80"/>
      <c r="Z359" s="80"/>
      <c r="AA359" s="80"/>
      <c r="AB359" s="80"/>
      <c r="AC359" s="80"/>
      <c r="AD359" s="80"/>
      <c r="AE359" s="80"/>
      <c r="AF359" s="80"/>
      <c r="AG359" s="80"/>
      <c r="AH359" s="80"/>
      <c r="AI359" s="80"/>
      <c r="AJ359" s="80"/>
      <c r="AK359" s="80"/>
      <c r="AL359" s="80"/>
      <c r="AM359" s="80"/>
      <c r="AN359" s="27"/>
      <c r="AO359" s="27"/>
      <c r="AP359" s="27"/>
    </row>
    <row r="360" spans="1:42" x14ac:dyDescent="0.2">
      <c r="A360" s="75"/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80"/>
      <c r="Y360" s="80"/>
      <c r="Z360" s="80"/>
      <c r="AA360" s="80"/>
      <c r="AB360" s="80"/>
      <c r="AC360" s="80"/>
      <c r="AD360" s="80"/>
      <c r="AE360" s="80"/>
      <c r="AF360" s="80"/>
      <c r="AG360" s="80"/>
      <c r="AH360" s="80"/>
      <c r="AI360" s="80"/>
      <c r="AJ360" s="80"/>
      <c r="AK360" s="80"/>
      <c r="AL360" s="80"/>
      <c r="AM360" s="80"/>
      <c r="AN360" s="27"/>
      <c r="AO360" s="27"/>
      <c r="AP360" s="27"/>
    </row>
    <row r="361" spans="1:42" x14ac:dyDescent="0.2">
      <c r="A361" s="75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80"/>
      <c r="Y361" s="80"/>
      <c r="Z361" s="80"/>
      <c r="AA361" s="80"/>
      <c r="AB361" s="80"/>
      <c r="AC361" s="80"/>
      <c r="AD361" s="80"/>
      <c r="AE361" s="80"/>
      <c r="AF361" s="80"/>
      <c r="AG361" s="80"/>
      <c r="AH361" s="80"/>
      <c r="AI361" s="80"/>
      <c r="AJ361" s="80"/>
      <c r="AK361" s="80"/>
      <c r="AL361" s="80"/>
      <c r="AM361" s="80"/>
      <c r="AN361" s="27"/>
      <c r="AO361" s="27"/>
      <c r="AP361" s="27"/>
    </row>
    <row r="362" spans="1:42" x14ac:dyDescent="0.2">
      <c r="A362" s="75"/>
      <c r="B362" s="27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80"/>
      <c r="Y362" s="80"/>
      <c r="Z362" s="80"/>
      <c r="AA362" s="80"/>
      <c r="AB362" s="80"/>
      <c r="AC362" s="80"/>
      <c r="AD362" s="80"/>
      <c r="AE362" s="80"/>
      <c r="AF362" s="80"/>
      <c r="AG362" s="80"/>
      <c r="AH362" s="80"/>
      <c r="AI362" s="80"/>
      <c r="AJ362" s="80"/>
      <c r="AK362" s="80"/>
      <c r="AL362" s="80"/>
      <c r="AM362" s="80"/>
      <c r="AN362" s="27"/>
      <c r="AO362" s="27"/>
      <c r="AP362" s="27"/>
    </row>
    <row r="363" spans="1:42" x14ac:dyDescent="0.2">
      <c r="A363" s="75"/>
      <c r="B363" s="27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80"/>
      <c r="Y363" s="80"/>
      <c r="Z363" s="80"/>
      <c r="AA363" s="80"/>
      <c r="AB363" s="80"/>
      <c r="AC363" s="80"/>
      <c r="AD363" s="80"/>
      <c r="AE363" s="80"/>
      <c r="AF363" s="80"/>
      <c r="AG363" s="80"/>
      <c r="AH363" s="80"/>
      <c r="AI363" s="80"/>
      <c r="AJ363" s="80"/>
      <c r="AK363" s="80"/>
      <c r="AL363" s="80"/>
      <c r="AM363" s="80"/>
      <c r="AN363" s="27"/>
      <c r="AO363" s="27"/>
      <c r="AP363" s="27"/>
    </row>
    <row r="364" spans="1:42" x14ac:dyDescent="0.2">
      <c r="A364" s="75"/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80"/>
      <c r="Y364" s="80"/>
      <c r="Z364" s="80"/>
      <c r="AA364" s="80"/>
      <c r="AB364" s="80"/>
      <c r="AC364" s="80"/>
      <c r="AD364" s="80"/>
      <c r="AE364" s="80"/>
      <c r="AF364" s="80"/>
      <c r="AG364" s="80"/>
      <c r="AH364" s="80"/>
      <c r="AI364" s="80"/>
      <c r="AJ364" s="80"/>
      <c r="AK364" s="80"/>
      <c r="AL364" s="80"/>
      <c r="AM364" s="80"/>
      <c r="AN364" s="27"/>
      <c r="AO364" s="27"/>
      <c r="AP364" s="27"/>
    </row>
    <row r="365" spans="1:42" x14ac:dyDescent="0.2">
      <c r="A365" s="75"/>
      <c r="B365" s="27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80"/>
      <c r="Y365" s="80"/>
      <c r="Z365" s="80"/>
      <c r="AA365" s="80"/>
      <c r="AB365" s="80"/>
      <c r="AC365" s="80"/>
      <c r="AD365" s="80"/>
      <c r="AE365" s="80"/>
      <c r="AF365" s="80"/>
      <c r="AG365" s="80"/>
      <c r="AH365" s="80"/>
      <c r="AI365" s="80"/>
      <c r="AJ365" s="80"/>
      <c r="AK365" s="80"/>
      <c r="AL365" s="80"/>
      <c r="AM365" s="80"/>
      <c r="AN365" s="27"/>
      <c r="AO365" s="27"/>
      <c r="AP365" s="27"/>
    </row>
    <row r="366" spans="1:42" x14ac:dyDescent="0.2">
      <c r="A366" s="75"/>
      <c r="B366" s="27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80"/>
      <c r="Y366" s="80"/>
      <c r="Z366" s="80"/>
      <c r="AA366" s="80"/>
      <c r="AB366" s="80"/>
      <c r="AC366" s="80"/>
      <c r="AD366" s="80"/>
      <c r="AE366" s="80"/>
      <c r="AF366" s="80"/>
      <c r="AG366" s="80"/>
      <c r="AH366" s="80"/>
      <c r="AI366" s="80"/>
      <c r="AJ366" s="80"/>
      <c r="AK366" s="80"/>
      <c r="AL366" s="80"/>
      <c r="AM366" s="80"/>
      <c r="AN366" s="27"/>
      <c r="AO366" s="27"/>
      <c r="AP366" s="27"/>
    </row>
    <row r="367" spans="1:42" x14ac:dyDescent="0.2">
      <c r="A367" s="75"/>
      <c r="B367" s="27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80"/>
      <c r="Y367" s="80"/>
      <c r="Z367" s="80"/>
      <c r="AA367" s="80"/>
      <c r="AB367" s="80"/>
      <c r="AC367" s="80"/>
      <c r="AD367" s="80"/>
      <c r="AE367" s="80"/>
      <c r="AF367" s="80"/>
      <c r="AG367" s="80"/>
      <c r="AH367" s="80"/>
      <c r="AI367" s="80"/>
      <c r="AJ367" s="80"/>
      <c r="AK367" s="80"/>
      <c r="AL367" s="80"/>
      <c r="AM367" s="80"/>
      <c r="AN367" s="27"/>
      <c r="AO367" s="27"/>
      <c r="AP367" s="27"/>
    </row>
    <row r="368" spans="1:42" x14ac:dyDescent="0.2">
      <c r="A368" s="75"/>
      <c r="B368" s="27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80"/>
      <c r="Y368" s="80"/>
      <c r="Z368" s="80"/>
      <c r="AA368" s="80"/>
      <c r="AB368" s="80"/>
      <c r="AC368" s="80"/>
      <c r="AD368" s="80"/>
      <c r="AE368" s="80"/>
      <c r="AF368" s="80"/>
      <c r="AG368" s="80"/>
      <c r="AH368" s="80"/>
      <c r="AI368" s="80"/>
      <c r="AJ368" s="80"/>
      <c r="AK368" s="80"/>
      <c r="AL368" s="80"/>
      <c r="AM368" s="80"/>
      <c r="AN368" s="27"/>
      <c r="AO368" s="27"/>
      <c r="AP368" s="27"/>
    </row>
    <row r="369" spans="1:42" x14ac:dyDescent="0.2">
      <c r="A369" s="75"/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80"/>
      <c r="Y369" s="80"/>
      <c r="Z369" s="80"/>
      <c r="AA369" s="80"/>
      <c r="AB369" s="80"/>
      <c r="AC369" s="80"/>
      <c r="AD369" s="80"/>
      <c r="AE369" s="80"/>
      <c r="AF369" s="80"/>
      <c r="AG369" s="80"/>
      <c r="AH369" s="80"/>
      <c r="AI369" s="80"/>
      <c r="AJ369" s="80"/>
      <c r="AK369" s="80"/>
      <c r="AL369" s="80"/>
      <c r="AM369" s="80"/>
      <c r="AN369" s="27"/>
      <c r="AO369" s="27"/>
      <c r="AP369" s="27"/>
    </row>
    <row r="370" spans="1:42" x14ac:dyDescent="0.2">
      <c r="A370" s="75"/>
      <c r="B370" s="27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80"/>
      <c r="Y370" s="80"/>
      <c r="Z370" s="80"/>
      <c r="AA370" s="80"/>
      <c r="AB370" s="80"/>
      <c r="AC370" s="80"/>
      <c r="AD370" s="80"/>
      <c r="AE370" s="80"/>
      <c r="AF370" s="80"/>
      <c r="AG370" s="80"/>
      <c r="AH370" s="80"/>
      <c r="AI370" s="80"/>
      <c r="AJ370" s="80"/>
      <c r="AK370" s="80"/>
      <c r="AL370" s="80"/>
      <c r="AM370" s="80"/>
      <c r="AN370" s="27"/>
      <c r="AO370" s="27"/>
      <c r="AP370" s="27"/>
    </row>
    <row r="371" spans="1:42" x14ac:dyDescent="0.2">
      <c r="A371" s="75"/>
      <c r="B371" s="27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80"/>
      <c r="Y371" s="80"/>
      <c r="Z371" s="80"/>
      <c r="AA371" s="80"/>
      <c r="AB371" s="80"/>
      <c r="AC371" s="80"/>
      <c r="AD371" s="80"/>
      <c r="AE371" s="80"/>
      <c r="AF371" s="80"/>
      <c r="AG371" s="80"/>
      <c r="AH371" s="80"/>
      <c r="AI371" s="80"/>
      <c r="AJ371" s="80"/>
      <c r="AK371" s="80"/>
      <c r="AL371" s="80"/>
      <c r="AM371" s="80"/>
      <c r="AN371" s="27"/>
      <c r="AO371" s="27"/>
      <c r="AP371" s="27"/>
    </row>
    <row r="372" spans="1:42" x14ac:dyDescent="0.2">
      <c r="A372" s="75"/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80"/>
      <c r="Y372" s="80"/>
      <c r="Z372" s="80"/>
      <c r="AA372" s="80"/>
      <c r="AB372" s="80"/>
      <c r="AC372" s="80"/>
      <c r="AD372" s="80"/>
      <c r="AE372" s="80"/>
      <c r="AF372" s="80"/>
      <c r="AG372" s="80"/>
      <c r="AH372" s="80"/>
      <c r="AI372" s="80"/>
      <c r="AJ372" s="80"/>
      <c r="AK372" s="80"/>
      <c r="AL372" s="80"/>
      <c r="AM372" s="80"/>
      <c r="AN372" s="27"/>
      <c r="AO372" s="27"/>
      <c r="AP372" s="27"/>
    </row>
    <row r="373" spans="1:42" x14ac:dyDescent="0.2">
      <c r="A373" s="75"/>
      <c r="B373" s="27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80"/>
      <c r="Y373" s="80"/>
      <c r="Z373" s="80"/>
      <c r="AA373" s="80"/>
      <c r="AB373" s="80"/>
      <c r="AC373" s="80"/>
      <c r="AD373" s="80"/>
      <c r="AE373" s="80"/>
      <c r="AF373" s="80"/>
      <c r="AG373" s="80"/>
      <c r="AH373" s="80"/>
      <c r="AI373" s="80"/>
      <c r="AJ373" s="80"/>
      <c r="AK373" s="80"/>
      <c r="AL373" s="80"/>
      <c r="AM373" s="80"/>
      <c r="AN373" s="27"/>
      <c r="AO373" s="27"/>
      <c r="AP373" s="27"/>
    </row>
    <row r="374" spans="1:42" x14ac:dyDescent="0.2">
      <c r="A374" s="75"/>
      <c r="B374" s="27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80"/>
      <c r="Y374" s="80"/>
      <c r="Z374" s="80"/>
      <c r="AA374" s="80"/>
      <c r="AB374" s="80"/>
      <c r="AC374" s="80"/>
      <c r="AD374" s="80"/>
      <c r="AE374" s="80"/>
      <c r="AF374" s="80"/>
      <c r="AG374" s="80"/>
      <c r="AH374" s="80"/>
      <c r="AI374" s="80"/>
      <c r="AJ374" s="80"/>
      <c r="AK374" s="80"/>
      <c r="AL374" s="80"/>
      <c r="AM374" s="80"/>
      <c r="AN374" s="27"/>
      <c r="AO374" s="27"/>
      <c r="AP374" s="27"/>
    </row>
    <row r="375" spans="1:42" x14ac:dyDescent="0.2">
      <c r="A375" s="75"/>
      <c r="B375" s="27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80"/>
      <c r="Y375" s="80"/>
      <c r="Z375" s="80"/>
      <c r="AA375" s="80"/>
      <c r="AB375" s="80"/>
      <c r="AC375" s="80"/>
      <c r="AD375" s="80"/>
      <c r="AE375" s="80"/>
      <c r="AF375" s="80"/>
      <c r="AG375" s="80"/>
      <c r="AH375" s="80"/>
      <c r="AI375" s="80"/>
      <c r="AJ375" s="80"/>
      <c r="AK375" s="80"/>
      <c r="AL375" s="80"/>
      <c r="AM375" s="80"/>
      <c r="AN375" s="27"/>
      <c r="AO375" s="27"/>
      <c r="AP375" s="27"/>
    </row>
    <row r="376" spans="1:42" x14ac:dyDescent="0.2">
      <c r="A376" s="75"/>
      <c r="B376" s="27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80"/>
      <c r="Y376" s="80"/>
      <c r="Z376" s="80"/>
      <c r="AA376" s="80"/>
      <c r="AB376" s="80"/>
      <c r="AC376" s="80"/>
      <c r="AD376" s="80"/>
      <c r="AE376" s="80"/>
      <c r="AF376" s="80"/>
      <c r="AG376" s="80"/>
      <c r="AH376" s="80"/>
      <c r="AI376" s="80"/>
      <c r="AJ376" s="80"/>
      <c r="AK376" s="80"/>
      <c r="AL376" s="80"/>
      <c r="AM376" s="80"/>
      <c r="AN376" s="27"/>
      <c r="AO376" s="27"/>
      <c r="AP376" s="27"/>
    </row>
    <row r="377" spans="1:42" x14ac:dyDescent="0.2">
      <c r="A377" s="75"/>
      <c r="B377" s="27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80"/>
      <c r="Y377" s="80"/>
      <c r="Z377" s="80"/>
      <c r="AA377" s="80"/>
      <c r="AB377" s="80"/>
      <c r="AC377" s="80"/>
      <c r="AD377" s="80"/>
      <c r="AE377" s="80"/>
      <c r="AF377" s="80"/>
      <c r="AG377" s="80"/>
      <c r="AH377" s="80"/>
      <c r="AI377" s="80"/>
      <c r="AJ377" s="80"/>
      <c r="AK377" s="80"/>
      <c r="AL377" s="80"/>
      <c r="AM377" s="80"/>
      <c r="AN377" s="27"/>
      <c r="AO377" s="27"/>
      <c r="AP377" s="27"/>
    </row>
    <row r="378" spans="1:42" x14ac:dyDescent="0.2">
      <c r="A378" s="75"/>
      <c r="B378" s="27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80"/>
      <c r="Y378" s="80"/>
      <c r="Z378" s="80"/>
      <c r="AA378" s="80"/>
      <c r="AB378" s="80"/>
      <c r="AC378" s="80"/>
      <c r="AD378" s="80"/>
      <c r="AE378" s="80"/>
      <c r="AF378" s="80"/>
      <c r="AG378" s="80"/>
      <c r="AH378" s="80"/>
      <c r="AI378" s="80"/>
      <c r="AJ378" s="80"/>
      <c r="AK378" s="80"/>
      <c r="AL378" s="80"/>
      <c r="AM378" s="80"/>
      <c r="AN378" s="27"/>
      <c r="AO378" s="27"/>
      <c r="AP378" s="27"/>
    </row>
    <row r="379" spans="1:42" x14ac:dyDescent="0.2">
      <c r="A379" s="75"/>
      <c r="B379" s="27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80"/>
      <c r="Y379" s="80"/>
      <c r="Z379" s="80"/>
      <c r="AA379" s="80"/>
      <c r="AB379" s="80"/>
      <c r="AC379" s="80"/>
      <c r="AD379" s="80"/>
      <c r="AE379" s="80"/>
      <c r="AF379" s="80"/>
      <c r="AG379" s="80"/>
      <c r="AH379" s="80"/>
      <c r="AI379" s="80"/>
      <c r="AJ379" s="80"/>
      <c r="AK379" s="80"/>
      <c r="AL379" s="80"/>
      <c r="AM379" s="80"/>
      <c r="AN379" s="27"/>
      <c r="AO379" s="27"/>
      <c r="AP379" s="27"/>
    </row>
    <row r="380" spans="1:42" x14ac:dyDescent="0.2">
      <c r="A380" s="75"/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80"/>
      <c r="Y380" s="80"/>
      <c r="Z380" s="80"/>
      <c r="AA380" s="80"/>
      <c r="AB380" s="80"/>
      <c r="AC380" s="80"/>
      <c r="AD380" s="80"/>
      <c r="AE380" s="80"/>
      <c r="AF380" s="80"/>
      <c r="AG380" s="80"/>
      <c r="AH380" s="80"/>
      <c r="AI380" s="80"/>
      <c r="AJ380" s="80"/>
      <c r="AK380" s="80"/>
      <c r="AL380" s="80"/>
      <c r="AM380" s="80"/>
      <c r="AN380" s="27"/>
      <c r="AO380" s="27"/>
      <c r="AP380" s="27"/>
    </row>
    <row r="381" spans="1:42" x14ac:dyDescent="0.2">
      <c r="A381" s="75"/>
      <c r="B381" s="27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80"/>
      <c r="Y381" s="80"/>
      <c r="Z381" s="80"/>
      <c r="AA381" s="80"/>
      <c r="AB381" s="80"/>
      <c r="AC381" s="80"/>
      <c r="AD381" s="80"/>
      <c r="AE381" s="80"/>
      <c r="AF381" s="80"/>
      <c r="AG381" s="80"/>
      <c r="AH381" s="80"/>
      <c r="AI381" s="80"/>
      <c r="AJ381" s="80"/>
      <c r="AK381" s="80"/>
      <c r="AL381" s="80"/>
      <c r="AM381" s="80"/>
      <c r="AN381" s="27"/>
      <c r="AO381" s="27"/>
      <c r="AP381" s="27"/>
    </row>
    <row r="382" spans="1:42" x14ac:dyDescent="0.2">
      <c r="A382" s="75"/>
      <c r="B382" s="27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80"/>
      <c r="Y382" s="80"/>
      <c r="Z382" s="80"/>
      <c r="AA382" s="80"/>
      <c r="AB382" s="80"/>
      <c r="AC382" s="80"/>
      <c r="AD382" s="80"/>
      <c r="AE382" s="80"/>
      <c r="AF382" s="80"/>
      <c r="AG382" s="80"/>
      <c r="AH382" s="80"/>
      <c r="AI382" s="80"/>
      <c r="AJ382" s="80"/>
      <c r="AK382" s="80"/>
      <c r="AL382" s="80"/>
      <c r="AM382" s="80"/>
      <c r="AN382" s="27"/>
      <c r="AO382" s="27"/>
      <c r="AP382" s="27"/>
    </row>
    <row r="383" spans="1:42" x14ac:dyDescent="0.2">
      <c r="A383" s="75"/>
      <c r="B383" s="27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80"/>
      <c r="Y383" s="80"/>
      <c r="Z383" s="80"/>
      <c r="AA383" s="80"/>
      <c r="AB383" s="80"/>
      <c r="AC383" s="80"/>
      <c r="AD383" s="80"/>
      <c r="AE383" s="80"/>
      <c r="AF383" s="80"/>
      <c r="AG383" s="80"/>
      <c r="AH383" s="80"/>
      <c r="AI383" s="80"/>
      <c r="AJ383" s="80"/>
      <c r="AK383" s="80"/>
      <c r="AL383" s="80"/>
      <c r="AM383" s="80"/>
      <c r="AN383" s="27"/>
      <c r="AO383" s="27"/>
      <c r="AP383" s="27"/>
    </row>
    <row r="384" spans="1:42" x14ac:dyDescent="0.2">
      <c r="A384" s="75"/>
      <c r="B384" s="27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80"/>
      <c r="Y384" s="80"/>
      <c r="Z384" s="80"/>
      <c r="AA384" s="80"/>
      <c r="AB384" s="80"/>
      <c r="AC384" s="80"/>
      <c r="AD384" s="80"/>
      <c r="AE384" s="80"/>
      <c r="AF384" s="80"/>
      <c r="AG384" s="80"/>
      <c r="AH384" s="80"/>
      <c r="AI384" s="80"/>
      <c r="AJ384" s="80"/>
      <c r="AK384" s="80"/>
      <c r="AL384" s="80"/>
      <c r="AM384" s="80"/>
      <c r="AN384" s="27"/>
      <c r="AO384" s="27"/>
      <c r="AP384" s="27"/>
    </row>
    <row r="385" spans="1:42" x14ac:dyDescent="0.2">
      <c r="A385" s="75"/>
      <c r="B385" s="27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80"/>
      <c r="Y385" s="80"/>
      <c r="Z385" s="80"/>
      <c r="AA385" s="80"/>
      <c r="AB385" s="80"/>
      <c r="AC385" s="80"/>
      <c r="AD385" s="80"/>
      <c r="AE385" s="80"/>
      <c r="AF385" s="80"/>
      <c r="AG385" s="80"/>
      <c r="AH385" s="80"/>
      <c r="AI385" s="80"/>
      <c r="AJ385" s="80"/>
      <c r="AK385" s="80"/>
      <c r="AL385" s="80"/>
      <c r="AM385" s="80"/>
      <c r="AN385" s="27"/>
      <c r="AO385" s="27"/>
      <c r="AP385" s="27"/>
    </row>
    <row r="386" spans="1:42" x14ac:dyDescent="0.2">
      <c r="A386" s="75"/>
      <c r="B386" s="27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80"/>
      <c r="Y386" s="80"/>
      <c r="Z386" s="80"/>
      <c r="AA386" s="80"/>
      <c r="AB386" s="80"/>
      <c r="AC386" s="80"/>
      <c r="AD386" s="80"/>
      <c r="AE386" s="80"/>
      <c r="AF386" s="80"/>
      <c r="AG386" s="80"/>
      <c r="AH386" s="80"/>
      <c r="AI386" s="80"/>
      <c r="AJ386" s="80"/>
      <c r="AK386" s="80"/>
      <c r="AL386" s="80"/>
      <c r="AM386" s="80"/>
      <c r="AN386" s="27"/>
      <c r="AO386" s="27"/>
      <c r="AP386" s="27"/>
    </row>
    <row r="387" spans="1:42" x14ac:dyDescent="0.2">
      <c r="A387" s="75"/>
      <c r="B387" s="27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80"/>
      <c r="Y387" s="80"/>
      <c r="Z387" s="80"/>
      <c r="AA387" s="80"/>
      <c r="AB387" s="80"/>
      <c r="AC387" s="80"/>
      <c r="AD387" s="80"/>
      <c r="AE387" s="80"/>
      <c r="AF387" s="80"/>
      <c r="AG387" s="80"/>
      <c r="AH387" s="80"/>
      <c r="AI387" s="80"/>
      <c r="AJ387" s="80"/>
      <c r="AK387" s="80"/>
      <c r="AL387" s="80"/>
      <c r="AM387" s="80"/>
      <c r="AN387" s="27"/>
      <c r="AO387" s="27"/>
      <c r="AP387" s="27"/>
    </row>
    <row r="388" spans="1:42" x14ac:dyDescent="0.2">
      <c r="A388" s="75"/>
      <c r="B388" s="27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80"/>
      <c r="Y388" s="80"/>
      <c r="Z388" s="80"/>
      <c r="AA388" s="80"/>
      <c r="AB388" s="80"/>
      <c r="AC388" s="80"/>
      <c r="AD388" s="80"/>
      <c r="AE388" s="80"/>
      <c r="AF388" s="80"/>
      <c r="AG388" s="80"/>
      <c r="AH388" s="80"/>
      <c r="AI388" s="80"/>
      <c r="AJ388" s="80"/>
      <c r="AK388" s="80"/>
      <c r="AL388" s="80"/>
      <c r="AM388" s="80"/>
      <c r="AN388" s="27"/>
      <c r="AO388" s="27"/>
      <c r="AP388" s="27"/>
    </row>
    <row r="389" spans="1:42" x14ac:dyDescent="0.2">
      <c r="A389" s="75"/>
      <c r="B389" s="27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80"/>
      <c r="Y389" s="80"/>
      <c r="Z389" s="80"/>
      <c r="AA389" s="80"/>
      <c r="AB389" s="80"/>
      <c r="AC389" s="80"/>
      <c r="AD389" s="80"/>
      <c r="AE389" s="80"/>
      <c r="AF389" s="80"/>
      <c r="AG389" s="80"/>
      <c r="AH389" s="80"/>
      <c r="AI389" s="80"/>
      <c r="AJ389" s="80"/>
      <c r="AK389" s="80"/>
      <c r="AL389" s="80"/>
      <c r="AM389" s="80"/>
      <c r="AN389" s="27"/>
      <c r="AO389" s="27"/>
      <c r="AP389" s="27"/>
    </row>
    <row r="390" spans="1:42" x14ac:dyDescent="0.2">
      <c r="A390" s="75"/>
      <c r="B390" s="27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80"/>
      <c r="Y390" s="80"/>
      <c r="Z390" s="80"/>
      <c r="AA390" s="80"/>
      <c r="AB390" s="80"/>
      <c r="AC390" s="80"/>
      <c r="AD390" s="80"/>
      <c r="AE390" s="80"/>
      <c r="AF390" s="80"/>
      <c r="AG390" s="80"/>
      <c r="AH390" s="80"/>
      <c r="AI390" s="80"/>
      <c r="AJ390" s="80"/>
      <c r="AK390" s="80"/>
      <c r="AL390" s="80"/>
      <c r="AM390" s="80"/>
      <c r="AN390" s="27"/>
      <c r="AO390" s="27"/>
      <c r="AP390" s="27"/>
    </row>
    <row r="391" spans="1:42" x14ac:dyDescent="0.2">
      <c r="A391" s="75"/>
      <c r="B391" s="27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80"/>
      <c r="Y391" s="80"/>
      <c r="Z391" s="80"/>
      <c r="AA391" s="80"/>
      <c r="AB391" s="80"/>
      <c r="AC391" s="80"/>
      <c r="AD391" s="80"/>
      <c r="AE391" s="80"/>
      <c r="AF391" s="80"/>
      <c r="AG391" s="80"/>
      <c r="AH391" s="80"/>
      <c r="AI391" s="80"/>
      <c r="AJ391" s="80"/>
      <c r="AK391" s="80"/>
      <c r="AL391" s="80"/>
      <c r="AM391" s="80"/>
      <c r="AN391" s="27"/>
      <c r="AO391" s="27"/>
      <c r="AP391" s="27"/>
    </row>
    <row r="392" spans="1:42" x14ac:dyDescent="0.2">
      <c r="A392" s="75"/>
      <c r="B392" s="27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80"/>
      <c r="Y392" s="80"/>
      <c r="Z392" s="80"/>
      <c r="AA392" s="80"/>
      <c r="AB392" s="80"/>
      <c r="AC392" s="80"/>
      <c r="AD392" s="80"/>
      <c r="AE392" s="80"/>
      <c r="AF392" s="80"/>
      <c r="AG392" s="80"/>
      <c r="AH392" s="80"/>
      <c r="AI392" s="80"/>
      <c r="AJ392" s="80"/>
      <c r="AK392" s="80"/>
      <c r="AL392" s="80"/>
      <c r="AM392" s="80"/>
      <c r="AN392" s="27"/>
      <c r="AO392" s="27"/>
      <c r="AP392" s="27"/>
    </row>
    <row r="393" spans="1:42" x14ac:dyDescent="0.2">
      <c r="A393" s="75"/>
      <c r="B393" s="27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80"/>
      <c r="Y393" s="80"/>
      <c r="Z393" s="80"/>
      <c r="AA393" s="80"/>
      <c r="AB393" s="80"/>
      <c r="AC393" s="80"/>
      <c r="AD393" s="80"/>
      <c r="AE393" s="80"/>
      <c r="AF393" s="80"/>
      <c r="AG393" s="80"/>
      <c r="AH393" s="80"/>
      <c r="AI393" s="80"/>
      <c r="AJ393" s="80"/>
      <c r="AK393" s="80"/>
      <c r="AL393" s="80"/>
      <c r="AM393" s="80"/>
      <c r="AN393" s="27"/>
      <c r="AO393" s="27"/>
      <c r="AP393" s="27"/>
    </row>
    <row r="394" spans="1:42" x14ac:dyDescent="0.2">
      <c r="A394" s="75"/>
      <c r="B394" s="27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80"/>
      <c r="Y394" s="80"/>
      <c r="Z394" s="80"/>
      <c r="AA394" s="80"/>
      <c r="AB394" s="80"/>
      <c r="AC394" s="80"/>
      <c r="AD394" s="80"/>
      <c r="AE394" s="80"/>
      <c r="AF394" s="80"/>
      <c r="AG394" s="80"/>
      <c r="AH394" s="80"/>
      <c r="AI394" s="80"/>
      <c r="AJ394" s="80"/>
      <c r="AK394" s="80"/>
      <c r="AL394" s="80"/>
      <c r="AM394" s="80"/>
      <c r="AN394" s="27"/>
      <c r="AO394" s="27"/>
      <c r="AP394" s="27"/>
    </row>
    <row r="395" spans="1:42" x14ac:dyDescent="0.2">
      <c r="A395" s="75"/>
      <c r="B395" s="27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80"/>
      <c r="Y395" s="80"/>
      <c r="Z395" s="80"/>
      <c r="AA395" s="80"/>
      <c r="AB395" s="80"/>
      <c r="AC395" s="80"/>
      <c r="AD395" s="80"/>
      <c r="AE395" s="80"/>
      <c r="AF395" s="80"/>
      <c r="AG395" s="80"/>
      <c r="AH395" s="80"/>
      <c r="AI395" s="80"/>
      <c r="AJ395" s="80"/>
      <c r="AK395" s="80"/>
      <c r="AL395" s="80"/>
      <c r="AM395" s="80"/>
      <c r="AN395" s="27"/>
      <c r="AO395" s="27"/>
      <c r="AP395" s="27"/>
    </row>
    <row r="396" spans="1:42" x14ac:dyDescent="0.2">
      <c r="A396" s="75"/>
      <c r="B396" s="27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80"/>
      <c r="Y396" s="80"/>
      <c r="Z396" s="80"/>
      <c r="AA396" s="80"/>
      <c r="AB396" s="80"/>
      <c r="AC396" s="80"/>
      <c r="AD396" s="80"/>
      <c r="AE396" s="80"/>
      <c r="AF396" s="80"/>
      <c r="AG396" s="80"/>
      <c r="AH396" s="80"/>
      <c r="AI396" s="80"/>
      <c r="AJ396" s="80"/>
      <c r="AK396" s="80"/>
      <c r="AL396" s="80"/>
      <c r="AM396" s="80"/>
      <c r="AN396" s="27"/>
      <c r="AO396" s="27"/>
      <c r="AP396" s="27"/>
    </row>
    <row r="397" spans="1:42" x14ac:dyDescent="0.2">
      <c r="A397" s="75"/>
      <c r="B397" s="27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80"/>
      <c r="Y397" s="80"/>
      <c r="Z397" s="80"/>
      <c r="AA397" s="80"/>
      <c r="AB397" s="80"/>
      <c r="AC397" s="80"/>
      <c r="AD397" s="80"/>
      <c r="AE397" s="80"/>
      <c r="AF397" s="80"/>
      <c r="AG397" s="80"/>
      <c r="AH397" s="80"/>
      <c r="AI397" s="80"/>
      <c r="AJ397" s="80"/>
      <c r="AK397" s="80"/>
      <c r="AL397" s="80"/>
      <c r="AM397" s="80"/>
      <c r="AN397" s="27"/>
      <c r="AO397" s="27"/>
      <c r="AP397" s="27"/>
    </row>
    <row r="398" spans="1:42" x14ac:dyDescent="0.2">
      <c r="A398" s="75"/>
      <c r="B398" s="27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80"/>
      <c r="Y398" s="80"/>
      <c r="Z398" s="80"/>
      <c r="AA398" s="80"/>
      <c r="AB398" s="80"/>
      <c r="AC398" s="80"/>
      <c r="AD398" s="80"/>
      <c r="AE398" s="80"/>
      <c r="AF398" s="80"/>
      <c r="AG398" s="80"/>
      <c r="AH398" s="80"/>
      <c r="AI398" s="80"/>
      <c r="AJ398" s="80"/>
      <c r="AK398" s="80"/>
      <c r="AL398" s="80"/>
      <c r="AM398" s="80"/>
      <c r="AN398" s="27"/>
      <c r="AO398" s="27"/>
      <c r="AP398" s="27"/>
    </row>
    <row r="399" spans="1:42" x14ac:dyDescent="0.2">
      <c r="A399" s="75"/>
      <c r="B399" s="27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80"/>
      <c r="Y399" s="80"/>
      <c r="Z399" s="80"/>
      <c r="AA399" s="80"/>
      <c r="AB399" s="80"/>
      <c r="AC399" s="80"/>
      <c r="AD399" s="80"/>
      <c r="AE399" s="80"/>
      <c r="AF399" s="80"/>
      <c r="AG399" s="80"/>
      <c r="AH399" s="80"/>
      <c r="AI399" s="80"/>
      <c r="AJ399" s="80"/>
      <c r="AK399" s="80"/>
      <c r="AL399" s="80"/>
      <c r="AM399" s="80"/>
      <c r="AN399" s="27"/>
      <c r="AO399" s="27"/>
      <c r="AP399" s="27"/>
    </row>
    <row r="400" spans="1:42" x14ac:dyDescent="0.2">
      <c r="A400" s="75"/>
      <c r="B400" s="27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80"/>
      <c r="Y400" s="80"/>
      <c r="Z400" s="80"/>
      <c r="AA400" s="80"/>
      <c r="AB400" s="80"/>
      <c r="AC400" s="80"/>
      <c r="AD400" s="80"/>
      <c r="AE400" s="80"/>
      <c r="AF400" s="80"/>
      <c r="AG400" s="80"/>
      <c r="AH400" s="80"/>
      <c r="AI400" s="80"/>
      <c r="AJ400" s="80"/>
      <c r="AK400" s="80"/>
      <c r="AL400" s="80"/>
      <c r="AM400" s="80"/>
      <c r="AN400" s="27"/>
      <c r="AO400" s="27"/>
      <c r="AP400" s="27"/>
    </row>
    <row r="401" spans="1:42" x14ac:dyDescent="0.2">
      <c r="A401" s="75"/>
      <c r="B401" s="27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80"/>
      <c r="Y401" s="80"/>
      <c r="Z401" s="80"/>
      <c r="AA401" s="80"/>
      <c r="AB401" s="80"/>
      <c r="AC401" s="80"/>
      <c r="AD401" s="80"/>
      <c r="AE401" s="80"/>
      <c r="AF401" s="80"/>
      <c r="AG401" s="80"/>
      <c r="AH401" s="80"/>
      <c r="AI401" s="80"/>
      <c r="AJ401" s="80"/>
      <c r="AK401" s="80"/>
      <c r="AL401" s="80"/>
      <c r="AM401" s="80"/>
      <c r="AN401" s="27"/>
      <c r="AO401" s="27"/>
      <c r="AP401" s="27"/>
    </row>
    <row r="402" spans="1:42" x14ac:dyDescent="0.2">
      <c r="A402" s="75"/>
      <c r="B402" s="27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80"/>
      <c r="Y402" s="80"/>
      <c r="Z402" s="80"/>
      <c r="AA402" s="80"/>
      <c r="AB402" s="80"/>
      <c r="AC402" s="80"/>
      <c r="AD402" s="80"/>
      <c r="AE402" s="80"/>
      <c r="AF402" s="80"/>
      <c r="AG402" s="80"/>
      <c r="AH402" s="80"/>
      <c r="AI402" s="80"/>
      <c r="AJ402" s="80"/>
      <c r="AK402" s="80"/>
      <c r="AL402" s="80"/>
      <c r="AM402" s="80"/>
      <c r="AN402" s="27"/>
      <c r="AO402" s="27"/>
      <c r="AP402" s="27"/>
    </row>
    <row r="403" spans="1:42" x14ac:dyDescent="0.2">
      <c r="A403" s="75"/>
      <c r="B403" s="27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80"/>
      <c r="Y403" s="80"/>
      <c r="Z403" s="80"/>
      <c r="AA403" s="80"/>
      <c r="AB403" s="80"/>
      <c r="AC403" s="80"/>
      <c r="AD403" s="80"/>
      <c r="AE403" s="80"/>
      <c r="AF403" s="80"/>
      <c r="AG403" s="80"/>
      <c r="AH403" s="80"/>
      <c r="AI403" s="80"/>
      <c r="AJ403" s="80"/>
      <c r="AK403" s="80"/>
      <c r="AL403" s="80"/>
      <c r="AM403" s="80"/>
      <c r="AN403" s="27"/>
      <c r="AO403" s="27"/>
      <c r="AP403" s="27"/>
    </row>
    <row r="404" spans="1:42" x14ac:dyDescent="0.2">
      <c r="A404" s="75"/>
      <c r="B404" s="27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80"/>
      <c r="Y404" s="80"/>
      <c r="Z404" s="80"/>
      <c r="AA404" s="80"/>
      <c r="AB404" s="80"/>
      <c r="AC404" s="80"/>
      <c r="AD404" s="80"/>
      <c r="AE404" s="80"/>
      <c r="AF404" s="80"/>
      <c r="AG404" s="80"/>
      <c r="AH404" s="80"/>
      <c r="AI404" s="80"/>
      <c r="AJ404" s="80"/>
      <c r="AK404" s="80"/>
      <c r="AL404" s="80"/>
      <c r="AM404" s="80"/>
      <c r="AN404" s="27"/>
      <c r="AO404" s="27"/>
      <c r="AP404" s="27"/>
    </row>
    <row r="405" spans="1:42" x14ac:dyDescent="0.2">
      <c r="A405" s="75"/>
      <c r="B405" s="27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80"/>
      <c r="Y405" s="80"/>
      <c r="Z405" s="80"/>
      <c r="AA405" s="80"/>
      <c r="AB405" s="80"/>
      <c r="AC405" s="80"/>
      <c r="AD405" s="80"/>
      <c r="AE405" s="80"/>
      <c r="AF405" s="80"/>
      <c r="AG405" s="80"/>
      <c r="AH405" s="80"/>
      <c r="AI405" s="80"/>
      <c r="AJ405" s="80"/>
      <c r="AK405" s="80"/>
      <c r="AL405" s="80"/>
      <c r="AM405" s="80"/>
      <c r="AN405" s="27"/>
      <c r="AO405" s="27"/>
      <c r="AP405" s="27"/>
    </row>
    <row r="406" spans="1:42" x14ac:dyDescent="0.2">
      <c r="A406" s="75"/>
      <c r="B406" s="27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80"/>
      <c r="Y406" s="80"/>
      <c r="Z406" s="80"/>
      <c r="AA406" s="80"/>
      <c r="AB406" s="80"/>
      <c r="AC406" s="80"/>
      <c r="AD406" s="80"/>
      <c r="AE406" s="80"/>
      <c r="AF406" s="80"/>
      <c r="AG406" s="80"/>
      <c r="AH406" s="80"/>
      <c r="AI406" s="80"/>
      <c r="AJ406" s="80"/>
      <c r="AK406" s="80"/>
      <c r="AL406" s="80"/>
      <c r="AM406" s="80"/>
      <c r="AN406" s="27"/>
      <c r="AO406" s="27"/>
      <c r="AP406" s="27"/>
    </row>
    <row r="407" spans="1:42" x14ac:dyDescent="0.2">
      <c r="A407" s="75"/>
      <c r="B407" s="27"/>
      <c r="C407" s="27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80"/>
      <c r="Y407" s="80"/>
      <c r="Z407" s="80"/>
      <c r="AA407" s="80"/>
      <c r="AB407" s="80"/>
      <c r="AC407" s="80"/>
      <c r="AD407" s="80"/>
      <c r="AE407" s="80"/>
      <c r="AF407" s="80"/>
      <c r="AG407" s="80"/>
      <c r="AH407" s="80"/>
      <c r="AI407" s="80"/>
      <c r="AJ407" s="80"/>
      <c r="AK407" s="80"/>
      <c r="AL407" s="80"/>
      <c r="AM407" s="80"/>
      <c r="AN407" s="27"/>
      <c r="AO407" s="27"/>
      <c r="AP407" s="27"/>
    </row>
    <row r="408" spans="1:42" x14ac:dyDescent="0.2">
      <c r="A408" s="75"/>
      <c r="B408" s="27"/>
      <c r="C408" s="27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80"/>
      <c r="Y408" s="80"/>
      <c r="Z408" s="80"/>
      <c r="AA408" s="80"/>
      <c r="AB408" s="80"/>
      <c r="AC408" s="80"/>
      <c r="AD408" s="80"/>
      <c r="AE408" s="80"/>
      <c r="AF408" s="80"/>
      <c r="AG408" s="80"/>
      <c r="AH408" s="80"/>
      <c r="AI408" s="80"/>
      <c r="AJ408" s="80"/>
      <c r="AK408" s="80"/>
      <c r="AL408" s="80"/>
      <c r="AM408" s="80"/>
      <c r="AN408" s="27"/>
      <c r="AO408" s="27"/>
      <c r="AP408" s="27"/>
    </row>
    <row r="409" spans="1:42" x14ac:dyDescent="0.2">
      <c r="A409" s="75"/>
      <c r="B409" s="27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80"/>
      <c r="Y409" s="80"/>
      <c r="Z409" s="80"/>
      <c r="AA409" s="80"/>
      <c r="AB409" s="80"/>
      <c r="AC409" s="80"/>
      <c r="AD409" s="80"/>
      <c r="AE409" s="80"/>
      <c r="AF409" s="80"/>
      <c r="AG409" s="80"/>
      <c r="AH409" s="80"/>
      <c r="AI409" s="80"/>
      <c r="AJ409" s="80"/>
      <c r="AK409" s="80"/>
      <c r="AL409" s="80"/>
      <c r="AM409" s="80"/>
      <c r="AN409" s="27"/>
      <c r="AO409" s="27"/>
      <c r="AP409" s="27"/>
    </row>
    <row r="410" spans="1:42" x14ac:dyDescent="0.2">
      <c r="A410" s="75"/>
      <c r="B410" s="27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80"/>
      <c r="Y410" s="80"/>
      <c r="Z410" s="80"/>
      <c r="AA410" s="80"/>
      <c r="AB410" s="80"/>
      <c r="AC410" s="80"/>
      <c r="AD410" s="80"/>
      <c r="AE410" s="80"/>
      <c r="AF410" s="80"/>
      <c r="AG410" s="80"/>
      <c r="AH410" s="80"/>
      <c r="AI410" s="80"/>
      <c r="AJ410" s="80"/>
      <c r="AK410" s="80"/>
      <c r="AL410" s="80"/>
      <c r="AM410" s="80"/>
      <c r="AN410" s="27"/>
      <c r="AO410" s="27"/>
      <c r="AP410" s="27"/>
    </row>
    <row r="411" spans="1:42" x14ac:dyDescent="0.2">
      <c r="A411" s="75"/>
      <c r="B411" s="27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80"/>
      <c r="Y411" s="80"/>
      <c r="Z411" s="80"/>
      <c r="AA411" s="80"/>
      <c r="AB411" s="80"/>
      <c r="AC411" s="80"/>
      <c r="AD411" s="80"/>
      <c r="AE411" s="80"/>
      <c r="AF411" s="80"/>
      <c r="AG411" s="80"/>
      <c r="AH411" s="80"/>
      <c r="AI411" s="80"/>
      <c r="AJ411" s="80"/>
      <c r="AK411" s="80"/>
      <c r="AL411" s="80"/>
      <c r="AM411" s="80"/>
      <c r="AN411" s="27"/>
      <c r="AO411" s="27"/>
      <c r="AP411" s="27"/>
    </row>
    <row r="412" spans="1:42" x14ac:dyDescent="0.2">
      <c r="A412" s="75"/>
      <c r="B412" s="27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80"/>
      <c r="Y412" s="80"/>
      <c r="Z412" s="80"/>
      <c r="AA412" s="80"/>
      <c r="AB412" s="80"/>
      <c r="AC412" s="80"/>
      <c r="AD412" s="80"/>
      <c r="AE412" s="80"/>
      <c r="AF412" s="80"/>
      <c r="AG412" s="80"/>
      <c r="AH412" s="80"/>
      <c r="AI412" s="80"/>
      <c r="AJ412" s="80"/>
      <c r="AK412" s="80"/>
      <c r="AL412" s="80"/>
      <c r="AM412" s="80"/>
      <c r="AN412" s="27"/>
      <c r="AO412" s="27"/>
      <c r="AP412" s="27"/>
    </row>
    <row r="413" spans="1:42" x14ac:dyDescent="0.2">
      <c r="A413" s="75"/>
      <c r="B413" s="27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80"/>
      <c r="Y413" s="80"/>
      <c r="Z413" s="80"/>
      <c r="AA413" s="80"/>
      <c r="AB413" s="80"/>
      <c r="AC413" s="80"/>
      <c r="AD413" s="80"/>
      <c r="AE413" s="80"/>
      <c r="AF413" s="80"/>
      <c r="AG413" s="80"/>
      <c r="AH413" s="80"/>
      <c r="AI413" s="80"/>
      <c r="AJ413" s="80"/>
      <c r="AK413" s="80"/>
      <c r="AL413" s="80"/>
      <c r="AM413" s="80"/>
      <c r="AN413" s="27"/>
      <c r="AO413" s="27"/>
      <c r="AP413" s="27"/>
    </row>
    <row r="414" spans="1:42" x14ac:dyDescent="0.2">
      <c r="A414" s="75"/>
      <c r="B414" s="27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80"/>
      <c r="Y414" s="80"/>
      <c r="Z414" s="80"/>
      <c r="AA414" s="80"/>
      <c r="AB414" s="80"/>
      <c r="AC414" s="80"/>
      <c r="AD414" s="80"/>
      <c r="AE414" s="80"/>
      <c r="AF414" s="80"/>
      <c r="AG414" s="80"/>
      <c r="AH414" s="80"/>
      <c r="AI414" s="80"/>
      <c r="AJ414" s="80"/>
      <c r="AK414" s="80"/>
      <c r="AL414" s="80"/>
      <c r="AM414" s="80"/>
      <c r="AN414" s="27"/>
      <c r="AO414" s="27"/>
      <c r="AP414" s="27"/>
    </row>
    <row r="415" spans="1:42" x14ac:dyDescent="0.2">
      <c r="A415" s="75"/>
      <c r="B415" s="27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80"/>
      <c r="Y415" s="80"/>
      <c r="Z415" s="80"/>
      <c r="AA415" s="80"/>
      <c r="AB415" s="80"/>
      <c r="AC415" s="80"/>
      <c r="AD415" s="80"/>
      <c r="AE415" s="80"/>
      <c r="AF415" s="80"/>
      <c r="AG415" s="80"/>
      <c r="AH415" s="80"/>
      <c r="AI415" s="80"/>
      <c r="AJ415" s="80"/>
      <c r="AK415" s="80"/>
      <c r="AL415" s="80"/>
      <c r="AM415" s="80"/>
      <c r="AN415" s="27"/>
      <c r="AO415" s="27"/>
      <c r="AP415" s="27"/>
    </row>
    <row r="416" spans="1:42" x14ac:dyDescent="0.2">
      <c r="A416" s="75"/>
      <c r="B416" s="27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80"/>
      <c r="Y416" s="80"/>
      <c r="Z416" s="80"/>
      <c r="AA416" s="80"/>
      <c r="AB416" s="80"/>
      <c r="AC416" s="80"/>
      <c r="AD416" s="80"/>
      <c r="AE416" s="80"/>
      <c r="AF416" s="80"/>
      <c r="AG416" s="80"/>
      <c r="AH416" s="80"/>
      <c r="AI416" s="80"/>
      <c r="AJ416" s="80"/>
      <c r="AK416" s="80"/>
      <c r="AL416" s="80"/>
      <c r="AM416" s="80"/>
      <c r="AN416" s="27"/>
      <c r="AO416" s="27"/>
      <c r="AP416" s="27"/>
    </row>
    <row r="417" spans="1:42" x14ac:dyDescent="0.2">
      <c r="A417" s="75"/>
      <c r="B417" s="27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80"/>
      <c r="Y417" s="80"/>
      <c r="Z417" s="80"/>
      <c r="AA417" s="80"/>
      <c r="AB417" s="80"/>
      <c r="AC417" s="80"/>
      <c r="AD417" s="80"/>
      <c r="AE417" s="80"/>
      <c r="AF417" s="80"/>
      <c r="AG417" s="80"/>
      <c r="AH417" s="80"/>
      <c r="AI417" s="80"/>
      <c r="AJ417" s="80"/>
      <c r="AK417" s="80"/>
      <c r="AL417" s="80"/>
      <c r="AM417" s="80"/>
      <c r="AN417" s="27"/>
      <c r="AO417" s="27"/>
      <c r="AP417" s="27"/>
    </row>
    <row r="418" spans="1:42" x14ac:dyDescent="0.2">
      <c r="A418" s="75"/>
      <c r="B418" s="27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80"/>
      <c r="Y418" s="80"/>
      <c r="Z418" s="80"/>
      <c r="AA418" s="80"/>
      <c r="AB418" s="80"/>
      <c r="AC418" s="80"/>
      <c r="AD418" s="80"/>
      <c r="AE418" s="80"/>
      <c r="AF418" s="80"/>
      <c r="AG418" s="80"/>
      <c r="AH418" s="80"/>
      <c r="AI418" s="80"/>
      <c r="AJ418" s="80"/>
      <c r="AK418" s="80"/>
      <c r="AL418" s="80"/>
      <c r="AM418" s="80"/>
      <c r="AN418" s="27"/>
      <c r="AO418" s="27"/>
      <c r="AP418" s="27"/>
    </row>
    <row r="419" spans="1:42" x14ac:dyDescent="0.2">
      <c r="A419" s="75"/>
      <c r="B419" s="27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80"/>
      <c r="Y419" s="80"/>
      <c r="Z419" s="80"/>
      <c r="AA419" s="80"/>
      <c r="AB419" s="80"/>
      <c r="AC419" s="80"/>
      <c r="AD419" s="80"/>
      <c r="AE419" s="80"/>
      <c r="AF419" s="80"/>
      <c r="AG419" s="80"/>
      <c r="AH419" s="80"/>
      <c r="AI419" s="80"/>
      <c r="AJ419" s="80"/>
      <c r="AK419" s="80"/>
      <c r="AL419" s="80"/>
      <c r="AM419" s="80"/>
      <c r="AN419" s="27"/>
      <c r="AO419" s="27"/>
      <c r="AP419" s="27"/>
    </row>
    <row r="420" spans="1:42" x14ac:dyDescent="0.2">
      <c r="A420" s="75"/>
      <c r="B420" s="27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80"/>
      <c r="Y420" s="80"/>
      <c r="Z420" s="80"/>
      <c r="AA420" s="80"/>
      <c r="AB420" s="80"/>
      <c r="AC420" s="80"/>
      <c r="AD420" s="80"/>
      <c r="AE420" s="80"/>
      <c r="AF420" s="80"/>
      <c r="AG420" s="80"/>
      <c r="AH420" s="80"/>
      <c r="AI420" s="80"/>
      <c r="AJ420" s="80"/>
      <c r="AK420" s="80"/>
      <c r="AL420" s="80"/>
      <c r="AM420" s="80"/>
      <c r="AN420" s="27"/>
      <c r="AO420" s="27"/>
      <c r="AP420" s="27"/>
    </row>
    <row r="421" spans="1:42" x14ac:dyDescent="0.2">
      <c r="A421" s="75"/>
      <c r="B421" s="27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80"/>
      <c r="Y421" s="80"/>
      <c r="Z421" s="80"/>
      <c r="AA421" s="80"/>
      <c r="AB421" s="80"/>
      <c r="AC421" s="80"/>
      <c r="AD421" s="80"/>
      <c r="AE421" s="80"/>
      <c r="AF421" s="80"/>
      <c r="AG421" s="80"/>
      <c r="AH421" s="80"/>
      <c r="AI421" s="80"/>
      <c r="AJ421" s="80"/>
      <c r="AK421" s="80"/>
      <c r="AL421" s="80"/>
      <c r="AM421" s="80"/>
      <c r="AN421" s="27"/>
      <c r="AO421" s="27"/>
      <c r="AP421" s="27"/>
    </row>
    <row r="422" spans="1:42" x14ac:dyDescent="0.2">
      <c r="A422" s="75"/>
      <c r="B422" s="27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80"/>
      <c r="Y422" s="80"/>
      <c r="Z422" s="80"/>
      <c r="AA422" s="80"/>
      <c r="AB422" s="80"/>
      <c r="AC422" s="80"/>
      <c r="AD422" s="80"/>
      <c r="AE422" s="80"/>
      <c r="AF422" s="80"/>
      <c r="AG422" s="80"/>
      <c r="AH422" s="80"/>
      <c r="AI422" s="80"/>
      <c r="AJ422" s="80"/>
      <c r="AK422" s="80"/>
      <c r="AL422" s="80"/>
      <c r="AM422" s="80"/>
      <c r="AN422" s="27"/>
      <c r="AO422" s="27"/>
      <c r="AP422" s="27"/>
    </row>
    <row r="423" spans="1:42" x14ac:dyDescent="0.2">
      <c r="A423" s="75"/>
      <c r="B423" s="27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80"/>
      <c r="Y423" s="80"/>
      <c r="Z423" s="80"/>
      <c r="AA423" s="80"/>
      <c r="AB423" s="80"/>
      <c r="AC423" s="80"/>
      <c r="AD423" s="80"/>
      <c r="AE423" s="80"/>
      <c r="AF423" s="80"/>
      <c r="AG423" s="80"/>
      <c r="AH423" s="80"/>
      <c r="AI423" s="80"/>
      <c r="AJ423" s="80"/>
      <c r="AK423" s="80"/>
      <c r="AL423" s="80"/>
      <c r="AM423" s="80"/>
      <c r="AN423" s="27"/>
      <c r="AO423" s="27"/>
      <c r="AP423" s="27"/>
    </row>
    <row r="424" spans="1:42" x14ac:dyDescent="0.2">
      <c r="A424" s="75"/>
      <c r="B424" s="27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80"/>
      <c r="Y424" s="80"/>
      <c r="Z424" s="80"/>
      <c r="AA424" s="80"/>
      <c r="AB424" s="80"/>
      <c r="AC424" s="80"/>
      <c r="AD424" s="80"/>
      <c r="AE424" s="80"/>
      <c r="AF424" s="80"/>
      <c r="AG424" s="80"/>
      <c r="AH424" s="80"/>
      <c r="AI424" s="80"/>
      <c r="AJ424" s="80"/>
      <c r="AK424" s="80"/>
      <c r="AL424" s="80"/>
      <c r="AM424" s="80"/>
      <c r="AN424" s="27"/>
      <c r="AO424" s="27"/>
      <c r="AP424" s="27"/>
    </row>
    <row r="425" spans="1:42" x14ac:dyDescent="0.2">
      <c r="A425" s="75"/>
      <c r="B425" s="27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80"/>
      <c r="Y425" s="80"/>
      <c r="Z425" s="80"/>
      <c r="AA425" s="80"/>
      <c r="AB425" s="80"/>
      <c r="AC425" s="80"/>
      <c r="AD425" s="80"/>
      <c r="AE425" s="80"/>
      <c r="AF425" s="80"/>
      <c r="AG425" s="80"/>
      <c r="AH425" s="80"/>
      <c r="AI425" s="80"/>
      <c r="AJ425" s="80"/>
      <c r="AK425" s="80"/>
      <c r="AL425" s="80"/>
      <c r="AM425" s="80"/>
      <c r="AN425" s="27"/>
      <c r="AO425" s="27"/>
      <c r="AP425" s="27"/>
    </row>
    <row r="426" spans="1:42" x14ac:dyDescent="0.2">
      <c r="A426" s="75"/>
      <c r="B426" s="27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80"/>
      <c r="Y426" s="80"/>
      <c r="Z426" s="80"/>
      <c r="AA426" s="80"/>
      <c r="AB426" s="80"/>
      <c r="AC426" s="80"/>
      <c r="AD426" s="80"/>
      <c r="AE426" s="80"/>
      <c r="AF426" s="80"/>
      <c r="AG426" s="80"/>
      <c r="AH426" s="80"/>
      <c r="AI426" s="80"/>
      <c r="AJ426" s="80"/>
      <c r="AK426" s="80"/>
      <c r="AL426" s="80"/>
      <c r="AM426" s="80"/>
      <c r="AN426" s="27"/>
      <c r="AO426" s="27"/>
      <c r="AP426" s="27"/>
    </row>
    <row r="427" spans="1:42" x14ac:dyDescent="0.2">
      <c r="A427" s="75"/>
      <c r="B427" s="27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80"/>
      <c r="Y427" s="80"/>
      <c r="Z427" s="80"/>
      <c r="AA427" s="80"/>
      <c r="AB427" s="80"/>
      <c r="AC427" s="80"/>
      <c r="AD427" s="80"/>
      <c r="AE427" s="80"/>
      <c r="AF427" s="80"/>
      <c r="AG427" s="80"/>
      <c r="AH427" s="80"/>
      <c r="AI427" s="80"/>
      <c r="AJ427" s="80"/>
      <c r="AK427" s="80"/>
      <c r="AL427" s="80"/>
      <c r="AM427" s="80"/>
      <c r="AN427" s="27"/>
      <c r="AO427" s="27"/>
      <c r="AP427" s="27"/>
    </row>
    <row r="428" spans="1:42" x14ac:dyDescent="0.2">
      <c r="A428" s="75"/>
      <c r="B428" s="27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80"/>
      <c r="Y428" s="80"/>
      <c r="Z428" s="80"/>
      <c r="AA428" s="80"/>
      <c r="AB428" s="80"/>
      <c r="AC428" s="80"/>
      <c r="AD428" s="80"/>
      <c r="AE428" s="80"/>
      <c r="AF428" s="80"/>
      <c r="AG428" s="80"/>
      <c r="AH428" s="80"/>
      <c r="AI428" s="80"/>
      <c r="AJ428" s="80"/>
      <c r="AK428" s="80"/>
      <c r="AL428" s="80"/>
      <c r="AM428" s="80"/>
      <c r="AN428" s="27"/>
      <c r="AO428" s="27"/>
      <c r="AP428" s="27"/>
    </row>
    <row r="429" spans="1:42" x14ac:dyDescent="0.2">
      <c r="A429" s="75"/>
      <c r="B429" s="27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80"/>
      <c r="Y429" s="80"/>
      <c r="Z429" s="80"/>
      <c r="AA429" s="80"/>
      <c r="AB429" s="80"/>
      <c r="AC429" s="80"/>
      <c r="AD429" s="80"/>
      <c r="AE429" s="80"/>
      <c r="AF429" s="80"/>
      <c r="AG429" s="80"/>
      <c r="AH429" s="80"/>
      <c r="AI429" s="80"/>
      <c r="AJ429" s="80"/>
      <c r="AK429" s="80"/>
      <c r="AL429" s="80"/>
      <c r="AM429" s="80"/>
      <c r="AN429" s="27"/>
      <c r="AO429" s="27"/>
      <c r="AP429" s="27"/>
    </row>
    <row r="430" spans="1:42" x14ac:dyDescent="0.2">
      <c r="A430" s="75"/>
      <c r="B430" s="27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80"/>
      <c r="Y430" s="80"/>
      <c r="Z430" s="80"/>
      <c r="AA430" s="80"/>
      <c r="AB430" s="80"/>
      <c r="AC430" s="80"/>
      <c r="AD430" s="80"/>
      <c r="AE430" s="80"/>
      <c r="AF430" s="80"/>
      <c r="AG430" s="80"/>
      <c r="AH430" s="80"/>
      <c r="AI430" s="80"/>
      <c r="AJ430" s="80"/>
      <c r="AK430" s="80"/>
      <c r="AL430" s="80"/>
      <c r="AM430" s="80"/>
      <c r="AN430" s="27"/>
      <c r="AO430" s="27"/>
      <c r="AP430" s="27"/>
    </row>
    <row r="431" spans="1:42" x14ac:dyDescent="0.2">
      <c r="A431" s="75"/>
      <c r="B431" s="27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80"/>
      <c r="Y431" s="80"/>
      <c r="Z431" s="80"/>
      <c r="AA431" s="80"/>
      <c r="AB431" s="80"/>
      <c r="AC431" s="80"/>
      <c r="AD431" s="80"/>
      <c r="AE431" s="80"/>
      <c r="AF431" s="80"/>
      <c r="AG431" s="80"/>
      <c r="AH431" s="80"/>
      <c r="AI431" s="80"/>
      <c r="AJ431" s="80"/>
      <c r="AK431" s="80"/>
      <c r="AL431" s="80"/>
      <c r="AM431" s="80"/>
      <c r="AN431" s="27"/>
      <c r="AO431" s="27"/>
      <c r="AP431" s="27"/>
    </row>
    <row r="432" spans="1:42" x14ac:dyDescent="0.2">
      <c r="A432" s="75"/>
      <c r="B432" s="27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80"/>
      <c r="Y432" s="80"/>
      <c r="Z432" s="80"/>
      <c r="AA432" s="80"/>
      <c r="AB432" s="80"/>
      <c r="AC432" s="80"/>
      <c r="AD432" s="80"/>
      <c r="AE432" s="80"/>
      <c r="AF432" s="80"/>
      <c r="AG432" s="80"/>
      <c r="AH432" s="80"/>
      <c r="AI432" s="80"/>
      <c r="AJ432" s="80"/>
      <c r="AK432" s="80"/>
      <c r="AL432" s="80"/>
      <c r="AM432" s="80"/>
      <c r="AN432" s="27"/>
      <c r="AO432" s="27"/>
      <c r="AP432" s="27"/>
    </row>
    <row r="433" spans="1:42" x14ac:dyDescent="0.2">
      <c r="A433" s="75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80"/>
      <c r="Y433" s="80"/>
      <c r="Z433" s="80"/>
      <c r="AA433" s="80"/>
      <c r="AB433" s="80"/>
      <c r="AC433" s="80"/>
      <c r="AD433" s="80"/>
      <c r="AE433" s="80"/>
      <c r="AF433" s="80"/>
      <c r="AG433" s="80"/>
      <c r="AH433" s="80"/>
      <c r="AI433" s="80"/>
      <c r="AJ433" s="80"/>
      <c r="AK433" s="80"/>
      <c r="AL433" s="80"/>
      <c r="AM433" s="80"/>
      <c r="AN433" s="27"/>
      <c r="AO433" s="27"/>
      <c r="AP433" s="27"/>
    </row>
    <row r="434" spans="1:42" x14ac:dyDescent="0.2">
      <c r="A434" s="75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80"/>
      <c r="Y434" s="80"/>
      <c r="Z434" s="80"/>
      <c r="AA434" s="80"/>
      <c r="AB434" s="80"/>
      <c r="AC434" s="80"/>
      <c r="AD434" s="80"/>
      <c r="AE434" s="80"/>
      <c r="AF434" s="80"/>
      <c r="AG434" s="80"/>
      <c r="AH434" s="80"/>
      <c r="AI434" s="80"/>
      <c r="AJ434" s="80"/>
      <c r="AK434" s="80"/>
      <c r="AL434" s="80"/>
      <c r="AM434" s="80"/>
      <c r="AN434" s="27"/>
      <c r="AO434" s="27"/>
      <c r="AP434" s="27"/>
    </row>
    <row r="435" spans="1:42" x14ac:dyDescent="0.2">
      <c r="A435" s="75"/>
      <c r="B435" s="27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80"/>
      <c r="Y435" s="80"/>
      <c r="Z435" s="80"/>
      <c r="AA435" s="80"/>
      <c r="AB435" s="80"/>
      <c r="AC435" s="80"/>
      <c r="AD435" s="80"/>
      <c r="AE435" s="80"/>
      <c r="AF435" s="80"/>
      <c r="AG435" s="80"/>
      <c r="AH435" s="80"/>
      <c r="AI435" s="80"/>
      <c r="AJ435" s="80"/>
      <c r="AK435" s="80"/>
      <c r="AL435" s="80"/>
      <c r="AM435" s="80"/>
      <c r="AN435" s="27"/>
      <c r="AO435" s="27"/>
      <c r="AP435" s="27"/>
    </row>
    <row r="436" spans="1:42" x14ac:dyDescent="0.2">
      <c r="A436" s="75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80"/>
      <c r="Y436" s="80"/>
      <c r="Z436" s="80"/>
      <c r="AA436" s="80"/>
      <c r="AB436" s="80"/>
      <c r="AC436" s="80"/>
      <c r="AD436" s="80"/>
      <c r="AE436" s="80"/>
      <c r="AF436" s="80"/>
      <c r="AG436" s="80"/>
      <c r="AH436" s="80"/>
      <c r="AI436" s="80"/>
      <c r="AJ436" s="80"/>
      <c r="AK436" s="80"/>
      <c r="AL436" s="80"/>
      <c r="AM436" s="80"/>
      <c r="AN436" s="27"/>
      <c r="AO436" s="27"/>
      <c r="AP436" s="27"/>
    </row>
    <row r="437" spans="1:42" x14ac:dyDescent="0.2">
      <c r="A437" s="75"/>
      <c r="B437" s="27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80"/>
      <c r="Y437" s="80"/>
      <c r="Z437" s="80"/>
      <c r="AA437" s="80"/>
      <c r="AB437" s="80"/>
      <c r="AC437" s="80"/>
      <c r="AD437" s="80"/>
      <c r="AE437" s="80"/>
      <c r="AF437" s="80"/>
      <c r="AG437" s="80"/>
      <c r="AH437" s="80"/>
      <c r="AI437" s="80"/>
      <c r="AJ437" s="80"/>
      <c r="AK437" s="80"/>
      <c r="AL437" s="80"/>
      <c r="AM437" s="80"/>
      <c r="AN437" s="27"/>
      <c r="AO437" s="27"/>
      <c r="AP437" s="27"/>
    </row>
    <row r="438" spans="1:42" x14ac:dyDescent="0.2">
      <c r="A438" s="75"/>
      <c r="B438" s="27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80"/>
      <c r="Y438" s="80"/>
      <c r="Z438" s="80"/>
      <c r="AA438" s="80"/>
      <c r="AB438" s="80"/>
      <c r="AC438" s="80"/>
      <c r="AD438" s="80"/>
      <c r="AE438" s="80"/>
      <c r="AF438" s="80"/>
      <c r="AG438" s="80"/>
      <c r="AH438" s="80"/>
      <c r="AI438" s="80"/>
      <c r="AJ438" s="80"/>
      <c r="AK438" s="80"/>
      <c r="AL438" s="80"/>
      <c r="AM438" s="80"/>
      <c r="AN438" s="27"/>
      <c r="AO438" s="27"/>
      <c r="AP438" s="27"/>
    </row>
    <row r="439" spans="1:42" x14ac:dyDescent="0.2">
      <c r="A439" s="75"/>
      <c r="B439" s="27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80"/>
      <c r="Y439" s="80"/>
      <c r="Z439" s="80"/>
      <c r="AA439" s="80"/>
      <c r="AB439" s="80"/>
      <c r="AC439" s="80"/>
      <c r="AD439" s="80"/>
      <c r="AE439" s="80"/>
      <c r="AF439" s="80"/>
      <c r="AG439" s="80"/>
      <c r="AH439" s="80"/>
      <c r="AI439" s="80"/>
      <c r="AJ439" s="80"/>
      <c r="AK439" s="80"/>
      <c r="AL439" s="80"/>
      <c r="AM439" s="80"/>
      <c r="AN439" s="27"/>
      <c r="AO439" s="27"/>
      <c r="AP439" s="27"/>
    </row>
    <row r="440" spans="1:42" x14ac:dyDescent="0.2">
      <c r="A440" s="75"/>
      <c r="B440" s="27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80"/>
      <c r="Y440" s="80"/>
      <c r="Z440" s="80"/>
      <c r="AA440" s="80"/>
      <c r="AB440" s="80"/>
      <c r="AC440" s="80"/>
      <c r="AD440" s="80"/>
      <c r="AE440" s="80"/>
      <c r="AF440" s="80"/>
      <c r="AG440" s="80"/>
      <c r="AH440" s="80"/>
      <c r="AI440" s="80"/>
      <c r="AJ440" s="80"/>
      <c r="AK440" s="80"/>
      <c r="AL440" s="80"/>
      <c r="AM440" s="80"/>
      <c r="AN440" s="27"/>
      <c r="AO440" s="27"/>
      <c r="AP440" s="27"/>
    </row>
    <row r="441" spans="1:42" x14ac:dyDescent="0.2">
      <c r="A441" s="75"/>
      <c r="B441" s="27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80"/>
      <c r="Y441" s="80"/>
      <c r="Z441" s="80"/>
      <c r="AA441" s="80"/>
      <c r="AB441" s="80"/>
      <c r="AC441" s="80"/>
      <c r="AD441" s="80"/>
      <c r="AE441" s="80"/>
      <c r="AF441" s="80"/>
      <c r="AG441" s="80"/>
      <c r="AH441" s="80"/>
      <c r="AI441" s="80"/>
      <c r="AJ441" s="80"/>
      <c r="AK441" s="80"/>
      <c r="AL441" s="80"/>
      <c r="AM441" s="80"/>
      <c r="AN441" s="27"/>
      <c r="AO441" s="27"/>
      <c r="AP441" s="27"/>
    </row>
    <row r="442" spans="1:42" x14ac:dyDescent="0.2">
      <c r="A442" s="75"/>
      <c r="B442" s="27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80"/>
      <c r="Y442" s="80"/>
      <c r="Z442" s="80"/>
      <c r="AA442" s="80"/>
      <c r="AB442" s="80"/>
      <c r="AC442" s="80"/>
      <c r="AD442" s="80"/>
      <c r="AE442" s="80"/>
      <c r="AF442" s="80"/>
      <c r="AG442" s="80"/>
      <c r="AH442" s="80"/>
      <c r="AI442" s="80"/>
      <c r="AJ442" s="80"/>
      <c r="AK442" s="80"/>
      <c r="AL442" s="80"/>
      <c r="AM442" s="80"/>
      <c r="AN442" s="27"/>
      <c r="AO442" s="27"/>
      <c r="AP442" s="27"/>
    </row>
    <row r="443" spans="1:42" x14ac:dyDescent="0.2">
      <c r="A443" s="75"/>
      <c r="B443" s="27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80"/>
      <c r="Y443" s="80"/>
      <c r="Z443" s="80"/>
      <c r="AA443" s="80"/>
      <c r="AB443" s="80"/>
      <c r="AC443" s="80"/>
      <c r="AD443" s="80"/>
      <c r="AE443" s="80"/>
      <c r="AF443" s="80"/>
      <c r="AG443" s="80"/>
      <c r="AH443" s="80"/>
      <c r="AI443" s="80"/>
      <c r="AJ443" s="80"/>
      <c r="AK443" s="80"/>
      <c r="AL443" s="80"/>
      <c r="AM443" s="80"/>
      <c r="AN443" s="27"/>
      <c r="AO443" s="27"/>
      <c r="AP443" s="27"/>
    </row>
    <row r="444" spans="1:42" x14ac:dyDescent="0.2">
      <c r="A444" s="75"/>
      <c r="B444" s="27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80"/>
      <c r="Y444" s="80"/>
      <c r="Z444" s="80"/>
      <c r="AA444" s="80"/>
      <c r="AB444" s="80"/>
      <c r="AC444" s="80"/>
      <c r="AD444" s="80"/>
      <c r="AE444" s="80"/>
      <c r="AF444" s="80"/>
      <c r="AG444" s="80"/>
      <c r="AH444" s="80"/>
      <c r="AI444" s="80"/>
      <c r="AJ444" s="80"/>
      <c r="AK444" s="80"/>
      <c r="AL444" s="80"/>
      <c r="AM444" s="80"/>
      <c r="AN444" s="27"/>
      <c r="AO444" s="27"/>
      <c r="AP444" s="27"/>
    </row>
    <row r="445" spans="1:42" x14ac:dyDescent="0.2">
      <c r="A445" s="75"/>
      <c r="B445" s="27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80"/>
      <c r="Y445" s="80"/>
      <c r="Z445" s="80"/>
      <c r="AA445" s="80"/>
      <c r="AB445" s="80"/>
      <c r="AC445" s="80"/>
      <c r="AD445" s="80"/>
      <c r="AE445" s="80"/>
      <c r="AF445" s="80"/>
      <c r="AG445" s="80"/>
      <c r="AH445" s="80"/>
      <c r="AI445" s="80"/>
      <c r="AJ445" s="80"/>
      <c r="AK445" s="80"/>
      <c r="AL445" s="80"/>
      <c r="AM445" s="80"/>
      <c r="AN445" s="27"/>
      <c r="AO445" s="27"/>
      <c r="AP445" s="27"/>
    </row>
    <row r="446" spans="1:42" x14ac:dyDescent="0.2">
      <c r="A446" s="75"/>
      <c r="B446" s="27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80"/>
      <c r="Y446" s="80"/>
      <c r="Z446" s="80"/>
      <c r="AA446" s="80"/>
      <c r="AB446" s="80"/>
      <c r="AC446" s="80"/>
      <c r="AD446" s="80"/>
      <c r="AE446" s="80"/>
      <c r="AF446" s="80"/>
      <c r="AG446" s="80"/>
      <c r="AH446" s="80"/>
      <c r="AI446" s="80"/>
      <c r="AJ446" s="80"/>
      <c r="AK446" s="80"/>
      <c r="AL446" s="80"/>
      <c r="AM446" s="80"/>
      <c r="AN446" s="27"/>
      <c r="AO446" s="27"/>
      <c r="AP446" s="27"/>
    </row>
    <row r="447" spans="1:42" x14ac:dyDescent="0.2">
      <c r="A447" s="75"/>
      <c r="B447" s="27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80"/>
      <c r="Y447" s="80"/>
      <c r="Z447" s="80"/>
      <c r="AA447" s="80"/>
      <c r="AB447" s="80"/>
      <c r="AC447" s="80"/>
      <c r="AD447" s="80"/>
      <c r="AE447" s="80"/>
      <c r="AF447" s="80"/>
      <c r="AG447" s="80"/>
      <c r="AH447" s="80"/>
      <c r="AI447" s="80"/>
      <c r="AJ447" s="80"/>
      <c r="AK447" s="80"/>
      <c r="AL447" s="80"/>
      <c r="AM447" s="80"/>
      <c r="AN447" s="27"/>
      <c r="AO447" s="27"/>
      <c r="AP447" s="27"/>
    </row>
    <row r="448" spans="1:42" x14ac:dyDescent="0.2">
      <c r="A448" s="75"/>
      <c r="B448" s="27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80"/>
      <c r="Y448" s="80"/>
      <c r="Z448" s="80"/>
      <c r="AA448" s="80"/>
      <c r="AB448" s="80"/>
      <c r="AC448" s="80"/>
      <c r="AD448" s="80"/>
      <c r="AE448" s="80"/>
      <c r="AF448" s="80"/>
      <c r="AG448" s="80"/>
      <c r="AH448" s="80"/>
      <c r="AI448" s="80"/>
      <c r="AJ448" s="80"/>
      <c r="AK448" s="80"/>
      <c r="AL448" s="80"/>
      <c r="AM448" s="80"/>
      <c r="AN448" s="27"/>
      <c r="AO448" s="27"/>
      <c r="AP448" s="27"/>
    </row>
    <row r="449" spans="1:42" x14ac:dyDescent="0.2">
      <c r="A449" s="75"/>
      <c r="B449" s="27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80"/>
      <c r="Y449" s="80"/>
      <c r="Z449" s="80"/>
      <c r="AA449" s="80"/>
      <c r="AB449" s="80"/>
      <c r="AC449" s="80"/>
      <c r="AD449" s="80"/>
      <c r="AE449" s="80"/>
      <c r="AF449" s="80"/>
      <c r="AG449" s="80"/>
      <c r="AH449" s="80"/>
      <c r="AI449" s="80"/>
      <c r="AJ449" s="80"/>
      <c r="AK449" s="80"/>
      <c r="AL449" s="80"/>
      <c r="AM449" s="80"/>
      <c r="AN449" s="27"/>
      <c r="AO449" s="27"/>
      <c r="AP449" s="27"/>
    </row>
    <row r="450" spans="1:42" x14ac:dyDescent="0.2">
      <c r="A450" s="75"/>
      <c r="B450" s="27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80"/>
      <c r="Y450" s="80"/>
      <c r="Z450" s="80"/>
      <c r="AA450" s="80"/>
      <c r="AB450" s="80"/>
      <c r="AC450" s="80"/>
      <c r="AD450" s="80"/>
      <c r="AE450" s="80"/>
      <c r="AF450" s="80"/>
      <c r="AG450" s="80"/>
      <c r="AH450" s="80"/>
      <c r="AI450" s="80"/>
      <c r="AJ450" s="80"/>
      <c r="AK450" s="80"/>
      <c r="AL450" s="80"/>
      <c r="AM450" s="80"/>
      <c r="AN450" s="27"/>
      <c r="AO450" s="27"/>
      <c r="AP450" s="27"/>
    </row>
    <row r="451" spans="1:42" x14ac:dyDescent="0.2">
      <c r="A451" s="75"/>
      <c r="B451" s="27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80"/>
      <c r="Y451" s="80"/>
      <c r="Z451" s="80"/>
      <c r="AA451" s="80"/>
      <c r="AB451" s="80"/>
      <c r="AC451" s="80"/>
      <c r="AD451" s="80"/>
      <c r="AE451" s="80"/>
      <c r="AF451" s="80"/>
      <c r="AG451" s="80"/>
      <c r="AH451" s="80"/>
      <c r="AI451" s="80"/>
      <c r="AJ451" s="80"/>
      <c r="AK451" s="80"/>
      <c r="AL451" s="80"/>
      <c r="AM451" s="80"/>
      <c r="AN451" s="27"/>
      <c r="AO451" s="27"/>
      <c r="AP451" s="27"/>
    </row>
    <row r="452" spans="1:42" x14ac:dyDescent="0.2">
      <c r="A452" s="75"/>
      <c r="B452" s="27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80"/>
      <c r="Y452" s="80"/>
      <c r="Z452" s="80"/>
      <c r="AA452" s="80"/>
      <c r="AB452" s="80"/>
      <c r="AC452" s="80"/>
      <c r="AD452" s="80"/>
      <c r="AE452" s="80"/>
      <c r="AF452" s="80"/>
      <c r="AG452" s="80"/>
      <c r="AH452" s="80"/>
      <c r="AI452" s="80"/>
      <c r="AJ452" s="80"/>
      <c r="AK452" s="80"/>
      <c r="AL452" s="80"/>
      <c r="AM452" s="80"/>
      <c r="AN452" s="27"/>
      <c r="AO452" s="27"/>
      <c r="AP452" s="27"/>
    </row>
    <row r="453" spans="1:42" x14ac:dyDescent="0.2">
      <c r="A453" s="75"/>
      <c r="B453" s="27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80"/>
      <c r="Y453" s="80"/>
      <c r="Z453" s="80"/>
      <c r="AA453" s="80"/>
      <c r="AB453" s="80"/>
      <c r="AC453" s="80"/>
      <c r="AD453" s="80"/>
      <c r="AE453" s="80"/>
      <c r="AF453" s="80"/>
      <c r="AG453" s="80"/>
      <c r="AH453" s="80"/>
      <c r="AI453" s="80"/>
      <c r="AJ453" s="80"/>
      <c r="AK453" s="80"/>
      <c r="AL453" s="80"/>
      <c r="AM453" s="80"/>
      <c r="AN453" s="27"/>
      <c r="AO453" s="27"/>
      <c r="AP453" s="27"/>
    </row>
    <row r="454" spans="1:42" x14ac:dyDescent="0.2">
      <c r="A454" s="75"/>
      <c r="B454" s="27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80"/>
      <c r="Y454" s="80"/>
      <c r="Z454" s="80"/>
      <c r="AA454" s="80"/>
      <c r="AB454" s="80"/>
      <c r="AC454" s="80"/>
      <c r="AD454" s="80"/>
      <c r="AE454" s="80"/>
      <c r="AF454" s="80"/>
      <c r="AG454" s="80"/>
      <c r="AH454" s="80"/>
      <c r="AI454" s="80"/>
      <c r="AJ454" s="80"/>
      <c r="AK454" s="80"/>
      <c r="AL454" s="80"/>
      <c r="AM454" s="80"/>
      <c r="AN454" s="27"/>
      <c r="AO454" s="27"/>
      <c r="AP454" s="27"/>
    </row>
    <row r="455" spans="1:42" x14ac:dyDescent="0.2">
      <c r="A455" s="75"/>
      <c r="B455" s="27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80"/>
      <c r="Y455" s="80"/>
      <c r="Z455" s="80"/>
      <c r="AA455" s="80"/>
      <c r="AB455" s="80"/>
      <c r="AC455" s="80"/>
      <c r="AD455" s="80"/>
      <c r="AE455" s="80"/>
      <c r="AF455" s="80"/>
      <c r="AG455" s="80"/>
      <c r="AH455" s="80"/>
      <c r="AI455" s="80"/>
      <c r="AJ455" s="80"/>
      <c r="AK455" s="80"/>
      <c r="AL455" s="80"/>
      <c r="AM455" s="80"/>
      <c r="AN455" s="27"/>
      <c r="AO455" s="27"/>
      <c r="AP455" s="27"/>
    </row>
    <row r="456" spans="1:42" x14ac:dyDescent="0.2">
      <c r="A456" s="75"/>
      <c r="B456" s="27"/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80"/>
      <c r="Y456" s="80"/>
      <c r="Z456" s="80"/>
      <c r="AA456" s="80"/>
      <c r="AB456" s="80"/>
      <c r="AC456" s="80"/>
      <c r="AD456" s="80"/>
      <c r="AE456" s="80"/>
      <c r="AF456" s="80"/>
      <c r="AG456" s="80"/>
      <c r="AH456" s="80"/>
      <c r="AI456" s="80"/>
      <c r="AJ456" s="80"/>
      <c r="AK456" s="80"/>
      <c r="AL456" s="80"/>
      <c r="AM456" s="80"/>
      <c r="AN456" s="27"/>
      <c r="AO456" s="27"/>
      <c r="AP456" s="27"/>
    </row>
    <row r="457" spans="1:42" x14ac:dyDescent="0.2">
      <c r="A457" s="75"/>
      <c r="B457" s="27"/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80"/>
      <c r="Y457" s="80"/>
      <c r="Z457" s="80"/>
      <c r="AA457" s="80"/>
      <c r="AB457" s="80"/>
      <c r="AC457" s="80"/>
      <c r="AD457" s="80"/>
      <c r="AE457" s="80"/>
      <c r="AF457" s="80"/>
      <c r="AG457" s="80"/>
      <c r="AH457" s="80"/>
      <c r="AI457" s="80"/>
      <c r="AJ457" s="80"/>
      <c r="AK457" s="80"/>
      <c r="AL457" s="80"/>
      <c r="AM457" s="80"/>
      <c r="AN457" s="27"/>
      <c r="AO457" s="27"/>
      <c r="AP457" s="27"/>
    </row>
    <row r="458" spans="1:42" x14ac:dyDescent="0.2">
      <c r="A458" s="75"/>
      <c r="B458" s="27"/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80"/>
      <c r="Y458" s="80"/>
      <c r="Z458" s="80"/>
      <c r="AA458" s="80"/>
      <c r="AB458" s="80"/>
      <c r="AC458" s="80"/>
      <c r="AD458" s="80"/>
      <c r="AE458" s="80"/>
      <c r="AF458" s="80"/>
      <c r="AG458" s="80"/>
      <c r="AH458" s="80"/>
      <c r="AI458" s="80"/>
      <c r="AJ458" s="80"/>
      <c r="AK458" s="80"/>
      <c r="AL458" s="80"/>
      <c r="AM458" s="80"/>
      <c r="AN458" s="27"/>
      <c r="AO458" s="27"/>
      <c r="AP458" s="27"/>
    </row>
    <row r="459" spans="1:42" x14ac:dyDescent="0.2">
      <c r="A459" s="75"/>
      <c r="B459" s="27"/>
      <c r="C459" s="27"/>
      <c r="D459" s="27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80"/>
      <c r="Y459" s="80"/>
      <c r="Z459" s="80"/>
      <c r="AA459" s="80"/>
      <c r="AB459" s="80"/>
      <c r="AC459" s="80"/>
      <c r="AD459" s="80"/>
      <c r="AE459" s="80"/>
      <c r="AF459" s="80"/>
      <c r="AG459" s="80"/>
      <c r="AH459" s="80"/>
      <c r="AI459" s="80"/>
      <c r="AJ459" s="80"/>
      <c r="AK459" s="80"/>
      <c r="AL459" s="80"/>
      <c r="AM459" s="80"/>
      <c r="AN459" s="27"/>
      <c r="AO459" s="27"/>
      <c r="AP459" s="27"/>
    </row>
    <row r="460" spans="1:42" x14ac:dyDescent="0.2">
      <c r="A460" s="75"/>
      <c r="B460" s="27"/>
      <c r="C460" s="27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80"/>
      <c r="Y460" s="80"/>
      <c r="Z460" s="80"/>
      <c r="AA460" s="80"/>
      <c r="AB460" s="80"/>
      <c r="AC460" s="80"/>
      <c r="AD460" s="80"/>
      <c r="AE460" s="80"/>
      <c r="AF460" s="80"/>
      <c r="AG460" s="80"/>
      <c r="AH460" s="80"/>
      <c r="AI460" s="80"/>
      <c r="AJ460" s="80"/>
      <c r="AK460" s="80"/>
      <c r="AL460" s="80"/>
      <c r="AM460" s="80"/>
      <c r="AN460" s="27"/>
      <c r="AO460" s="27"/>
      <c r="AP460" s="27"/>
    </row>
    <row r="461" spans="1:42" x14ac:dyDescent="0.2">
      <c r="A461" s="75"/>
      <c r="B461" s="27"/>
      <c r="C461" s="27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80"/>
      <c r="Y461" s="80"/>
      <c r="Z461" s="80"/>
      <c r="AA461" s="80"/>
      <c r="AB461" s="80"/>
      <c r="AC461" s="80"/>
      <c r="AD461" s="80"/>
      <c r="AE461" s="80"/>
      <c r="AF461" s="80"/>
      <c r="AG461" s="80"/>
      <c r="AH461" s="80"/>
      <c r="AI461" s="80"/>
      <c r="AJ461" s="80"/>
      <c r="AK461" s="80"/>
      <c r="AL461" s="80"/>
      <c r="AM461" s="80"/>
      <c r="AN461" s="27"/>
      <c r="AO461" s="27"/>
      <c r="AP461" s="27"/>
    </row>
    <row r="462" spans="1:42" x14ac:dyDescent="0.2">
      <c r="A462" s="75"/>
      <c r="B462" s="27"/>
      <c r="C462" s="27"/>
      <c r="D462" s="27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80"/>
      <c r="Y462" s="80"/>
      <c r="Z462" s="80"/>
      <c r="AA462" s="80"/>
      <c r="AB462" s="80"/>
      <c r="AC462" s="80"/>
      <c r="AD462" s="80"/>
      <c r="AE462" s="80"/>
      <c r="AF462" s="80"/>
      <c r="AG462" s="80"/>
      <c r="AH462" s="80"/>
      <c r="AI462" s="80"/>
      <c r="AJ462" s="80"/>
      <c r="AK462" s="80"/>
      <c r="AL462" s="80"/>
      <c r="AM462" s="80"/>
      <c r="AN462" s="27"/>
      <c r="AO462" s="27"/>
      <c r="AP462" s="27"/>
    </row>
    <row r="463" spans="1:42" x14ac:dyDescent="0.2">
      <c r="A463" s="75"/>
      <c r="B463" s="27"/>
      <c r="C463" s="27"/>
      <c r="D463" s="27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80"/>
      <c r="Y463" s="80"/>
      <c r="Z463" s="80"/>
      <c r="AA463" s="80"/>
      <c r="AB463" s="80"/>
      <c r="AC463" s="80"/>
      <c r="AD463" s="80"/>
      <c r="AE463" s="80"/>
      <c r="AF463" s="80"/>
      <c r="AG463" s="80"/>
      <c r="AH463" s="80"/>
      <c r="AI463" s="80"/>
      <c r="AJ463" s="80"/>
      <c r="AK463" s="80"/>
      <c r="AL463" s="80"/>
      <c r="AM463" s="80"/>
      <c r="AN463" s="27"/>
      <c r="AO463" s="27"/>
      <c r="AP463" s="27"/>
    </row>
    <row r="464" spans="1:42" x14ac:dyDescent="0.2">
      <c r="A464" s="75"/>
      <c r="B464" s="27"/>
      <c r="C464" s="27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80"/>
      <c r="Y464" s="80"/>
      <c r="Z464" s="80"/>
      <c r="AA464" s="80"/>
      <c r="AB464" s="80"/>
      <c r="AC464" s="80"/>
      <c r="AD464" s="80"/>
      <c r="AE464" s="80"/>
      <c r="AF464" s="80"/>
      <c r="AG464" s="80"/>
      <c r="AH464" s="80"/>
      <c r="AI464" s="80"/>
      <c r="AJ464" s="80"/>
      <c r="AK464" s="80"/>
      <c r="AL464" s="80"/>
      <c r="AM464" s="80"/>
      <c r="AN464" s="27"/>
      <c r="AO464" s="27"/>
      <c r="AP464" s="27"/>
    </row>
    <row r="465" spans="1:42" x14ac:dyDescent="0.2">
      <c r="A465" s="75"/>
      <c r="B465" s="27"/>
      <c r="C465" s="27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80"/>
      <c r="Y465" s="80"/>
      <c r="Z465" s="80"/>
      <c r="AA465" s="80"/>
      <c r="AB465" s="80"/>
      <c r="AC465" s="80"/>
      <c r="AD465" s="80"/>
      <c r="AE465" s="80"/>
      <c r="AF465" s="80"/>
      <c r="AG465" s="80"/>
      <c r="AH465" s="80"/>
      <c r="AI465" s="80"/>
      <c r="AJ465" s="80"/>
      <c r="AK465" s="80"/>
      <c r="AL465" s="80"/>
      <c r="AM465" s="80"/>
      <c r="AN465" s="27"/>
      <c r="AO465" s="27"/>
      <c r="AP465" s="27"/>
    </row>
    <row r="466" spans="1:42" x14ac:dyDescent="0.2">
      <c r="A466" s="75"/>
      <c r="B466" s="27"/>
      <c r="C466" s="27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80"/>
      <c r="Y466" s="80"/>
      <c r="Z466" s="80"/>
      <c r="AA466" s="80"/>
      <c r="AB466" s="80"/>
      <c r="AC466" s="80"/>
      <c r="AD466" s="80"/>
      <c r="AE466" s="80"/>
      <c r="AF466" s="80"/>
      <c r="AG466" s="80"/>
      <c r="AH466" s="80"/>
      <c r="AI466" s="80"/>
      <c r="AJ466" s="80"/>
      <c r="AK466" s="80"/>
      <c r="AL466" s="80"/>
      <c r="AM466" s="80"/>
      <c r="AN466" s="27"/>
      <c r="AO466" s="27"/>
      <c r="AP466" s="27"/>
    </row>
    <row r="467" spans="1:42" x14ac:dyDescent="0.2">
      <c r="A467" s="75"/>
      <c r="B467" s="27"/>
      <c r="C467" s="27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80"/>
      <c r="Y467" s="80"/>
      <c r="Z467" s="80"/>
      <c r="AA467" s="80"/>
      <c r="AB467" s="80"/>
      <c r="AC467" s="80"/>
      <c r="AD467" s="80"/>
      <c r="AE467" s="80"/>
      <c r="AF467" s="80"/>
      <c r="AG467" s="80"/>
      <c r="AH467" s="80"/>
      <c r="AI467" s="80"/>
      <c r="AJ467" s="80"/>
      <c r="AK467" s="80"/>
      <c r="AL467" s="80"/>
      <c r="AM467" s="80"/>
      <c r="AN467" s="27"/>
      <c r="AO467" s="27"/>
      <c r="AP467" s="27"/>
    </row>
    <row r="468" spans="1:42" x14ac:dyDescent="0.2">
      <c r="A468" s="75"/>
      <c r="B468" s="27"/>
      <c r="C468" s="27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80"/>
      <c r="Y468" s="80"/>
      <c r="Z468" s="80"/>
      <c r="AA468" s="80"/>
      <c r="AB468" s="80"/>
      <c r="AC468" s="80"/>
      <c r="AD468" s="80"/>
      <c r="AE468" s="80"/>
      <c r="AF468" s="80"/>
      <c r="AG468" s="80"/>
      <c r="AH468" s="80"/>
      <c r="AI468" s="80"/>
      <c r="AJ468" s="80"/>
      <c r="AK468" s="80"/>
      <c r="AL468" s="80"/>
      <c r="AM468" s="80"/>
      <c r="AN468" s="27"/>
      <c r="AO468" s="27"/>
      <c r="AP468" s="27"/>
    </row>
    <row r="469" spans="1:42" x14ac:dyDescent="0.2">
      <c r="A469" s="75"/>
      <c r="B469" s="27"/>
      <c r="C469" s="27"/>
      <c r="D469" s="27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80"/>
      <c r="Y469" s="80"/>
      <c r="Z469" s="80"/>
      <c r="AA469" s="80"/>
      <c r="AB469" s="80"/>
      <c r="AC469" s="80"/>
      <c r="AD469" s="80"/>
      <c r="AE469" s="80"/>
      <c r="AF469" s="80"/>
      <c r="AG469" s="80"/>
      <c r="AH469" s="80"/>
      <c r="AI469" s="80"/>
      <c r="AJ469" s="80"/>
      <c r="AK469" s="80"/>
      <c r="AL469" s="80"/>
      <c r="AM469" s="80"/>
      <c r="AN469" s="27"/>
      <c r="AO469" s="27"/>
      <c r="AP469" s="27"/>
    </row>
    <row r="470" spans="1:42" x14ac:dyDescent="0.2">
      <c r="A470" s="75"/>
      <c r="B470" s="27"/>
      <c r="C470" s="27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80"/>
      <c r="Y470" s="80"/>
      <c r="Z470" s="80"/>
      <c r="AA470" s="80"/>
      <c r="AB470" s="80"/>
      <c r="AC470" s="80"/>
      <c r="AD470" s="80"/>
      <c r="AE470" s="80"/>
      <c r="AF470" s="80"/>
      <c r="AG470" s="80"/>
      <c r="AH470" s="80"/>
      <c r="AI470" s="80"/>
      <c r="AJ470" s="80"/>
      <c r="AK470" s="80"/>
      <c r="AL470" s="80"/>
      <c r="AM470" s="80"/>
      <c r="AN470" s="27"/>
      <c r="AO470" s="27"/>
      <c r="AP470" s="27"/>
    </row>
    <row r="471" spans="1:42" x14ac:dyDescent="0.2">
      <c r="A471" s="75"/>
      <c r="B471" s="27"/>
      <c r="C471" s="27"/>
      <c r="D471" s="27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80"/>
      <c r="Y471" s="80"/>
      <c r="Z471" s="80"/>
      <c r="AA471" s="80"/>
      <c r="AB471" s="80"/>
      <c r="AC471" s="80"/>
      <c r="AD471" s="80"/>
      <c r="AE471" s="80"/>
      <c r="AF471" s="80"/>
      <c r="AG471" s="80"/>
      <c r="AH471" s="80"/>
      <c r="AI471" s="80"/>
      <c r="AJ471" s="80"/>
      <c r="AK471" s="80"/>
      <c r="AL471" s="80"/>
      <c r="AM471" s="80"/>
      <c r="AN471" s="27"/>
      <c r="AO471" s="27"/>
      <c r="AP471" s="27"/>
    </row>
    <row r="472" spans="1:42" x14ac:dyDescent="0.2">
      <c r="A472" s="75"/>
      <c r="B472" s="27"/>
      <c r="C472" s="27"/>
      <c r="D472" s="27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80"/>
      <c r="Y472" s="80"/>
      <c r="Z472" s="80"/>
      <c r="AA472" s="80"/>
      <c r="AB472" s="80"/>
      <c r="AC472" s="80"/>
      <c r="AD472" s="80"/>
      <c r="AE472" s="80"/>
      <c r="AF472" s="80"/>
      <c r="AG472" s="80"/>
      <c r="AH472" s="80"/>
      <c r="AI472" s="80"/>
      <c r="AJ472" s="80"/>
      <c r="AK472" s="80"/>
      <c r="AL472" s="80"/>
      <c r="AM472" s="80"/>
      <c r="AN472" s="27"/>
      <c r="AO472" s="27"/>
      <c r="AP472" s="27"/>
    </row>
    <row r="473" spans="1:42" x14ac:dyDescent="0.2">
      <c r="A473" s="75"/>
      <c r="B473" s="27"/>
      <c r="C473" s="27"/>
      <c r="D473" s="27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80"/>
      <c r="Y473" s="80"/>
      <c r="Z473" s="80"/>
      <c r="AA473" s="80"/>
      <c r="AB473" s="80"/>
      <c r="AC473" s="80"/>
      <c r="AD473" s="80"/>
      <c r="AE473" s="80"/>
      <c r="AF473" s="80"/>
      <c r="AG473" s="80"/>
      <c r="AH473" s="80"/>
      <c r="AI473" s="80"/>
      <c r="AJ473" s="80"/>
      <c r="AK473" s="80"/>
      <c r="AL473" s="80"/>
      <c r="AM473" s="80"/>
      <c r="AN473" s="27"/>
      <c r="AO473" s="27"/>
      <c r="AP473" s="27"/>
    </row>
    <row r="474" spans="1:42" x14ac:dyDescent="0.2">
      <c r="A474" s="75"/>
      <c r="B474" s="27"/>
      <c r="C474" s="27"/>
      <c r="D474" s="27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80"/>
      <c r="Y474" s="80"/>
      <c r="Z474" s="80"/>
      <c r="AA474" s="80"/>
      <c r="AB474" s="80"/>
      <c r="AC474" s="80"/>
      <c r="AD474" s="80"/>
      <c r="AE474" s="80"/>
      <c r="AF474" s="80"/>
      <c r="AG474" s="80"/>
      <c r="AH474" s="80"/>
      <c r="AI474" s="80"/>
      <c r="AJ474" s="80"/>
      <c r="AK474" s="80"/>
      <c r="AL474" s="80"/>
      <c r="AM474" s="80"/>
      <c r="AN474" s="27"/>
      <c r="AO474" s="27"/>
      <c r="AP474" s="27"/>
    </row>
    <row r="475" spans="1:42" x14ac:dyDescent="0.2">
      <c r="A475" s="75"/>
      <c r="B475" s="27"/>
      <c r="C475" s="27"/>
      <c r="D475" s="27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80"/>
      <c r="Y475" s="80"/>
      <c r="Z475" s="80"/>
      <c r="AA475" s="80"/>
      <c r="AB475" s="80"/>
      <c r="AC475" s="80"/>
      <c r="AD475" s="80"/>
      <c r="AE475" s="80"/>
      <c r="AF475" s="80"/>
      <c r="AG475" s="80"/>
      <c r="AH475" s="80"/>
      <c r="AI475" s="80"/>
      <c r="AJ475" s="80"/>
      <c r="AK475" s="80"/>
      <c r="AL475" s="80"/>
      <c r="AM475" s="80"/>
      <c r="AN475" s="27"/>
      <c r="AO475" s="27"/>
      <c r="AP475" s="27"/>
    </row>
    <row r="476" spans="1:42" x14ac:dyDescent="0.2">
      <c r="A476" s="75"/>
      <c r="B476" s="27"/>
      <c r="C476" s="27"/>
      <c r="D476" s="27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80"/>
      <c r="Y476" s="80"/>
      <c r="Z476" s="80"/>
      <c r="AA476" s="80"/>
      <c r="AB476" s="80"/>
      <c r="AC476" s="80"/>
      <c r="AD476" s="80"/>
      <c r="AE476" s="80"/>
      <c r="AF476" s="80"/>
      <c r="AG476" s="80"/>
      <c r="AH476" s="80"/>
      <c r="AI476" s="80"/>
      <c r="AJ476" s="80"/>
      <c r="AK476" s="80"/>
      <c r="AL476" s="80"/>
      <c r="AM476" s="80"/>
      <c r="AN476" s="27"/>
      <c r="AO476" s="27"/>
      <c r="AP476" s="27"/>
    </row>
    <row r="477" spans="1:42" x14ac:dyDescent="0.2">
      <c r="A477" s="75"/>
      <c r="B477" s="27"/>
      <c r="C477" s="27"/>
      <c r="D477" s="27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80"/>
      <c r="Y477" s="80"/>
      <c r="Z477" s="80"/>
      <c r="AA477" s="80"/>
      <c r="AB477" s="80"/>
      <c r="AC477" s="80"/>
      <c r="AD477" s="80"/>
      <c r="AE477" s="80"/>
      <c r="AF477" s="80"/>
      <c r="AG477" s="80"/>
      <c r="AH477" s="80"/>
      <c r="AI477" s="80"/>
      <c r="AJ477" s="80"/>
      <c r="AK477" s="80"/>
      <c r="AL477" s="80"/>
      <c r="AM477" s="80"/>
      <c r="AN477" s="27"/>
      <c r="AO477" s="27"/>
      <c r="AP477" s="27"/>
    </row>
    <row r="478" spans="1:42" x14ac:dyDescent="0.2">
      <c r="A478" s="75"/>
      <c r="B478" s="27"/>
      <c r="C478" s="27"/>
      <c r="D478" s="27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80"/>
      <c r="Y478" s="80"/>
      <c r="Z478" s="80"/>
      <c r="AA478" s="80"/>
      <c r="AB478" s="80"/>
      <c r="AC478" s="80"/>
      <c r="AD478" s="80"/>
      <c r="AE478" s="80"/>
      <c r="AF478" s="80"/>
      <c r="AG478" s="80"/>
      <c r="AH478" s="80"/>
      <c r="AI478" s="80"/>
      <c r="AJ478" s="80"/>
      <c r="AK478" s="80"/>
      <c r="AL478" s="80"/>
      <c r="AM478" s="80"/>
      <c r="AN478" s="27"/>
      <c r="AO478" s="27"/>
      <c r="AP478" s="27"/>
    </row>
    <row r="479" spans="1:42" x14ac:dyDescent="0.2">
      <c r="A479" s="75"/>
      <c r="B479" s="27"/>
      <c r="C479" s="27"/>
      <c r="D479" s="27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80"/>
      <c r="Y479" s="80"/>
      <c r="Z479" s="80"/>
      <c r="AA479" s="80"/>
      <c r="AB479" s="80"/>
      <c r="AC479" s="80"/>
      <c r="AD479" s="80"/>
      <c r="AE479" s="80"/>
      <c r="AF479" s="80"/>
      <c r="AG479" s="80"/>
      <c r="AH479" s="80"/>
      <c r="AI479" s="80"/>
      <c r="AJ479" s="80"/>
      <c r="AK479" s="80"/>
      <c r="AL479" s="80"/>
      <c r="AM479" s="80"/>
      <c r="AN479" s="27"/>
      <c r="AO479" s="27"/>
      <c r="AP479" s="27"/>
    </row>
    <row r="480" spans="1:42" x14ac:dyDescent="0.2">
      <c r="A480" s="75"/>
      <c r="B480" s="27"/>
      <c r="C480" s="27"/>
      <c r="D480" s="27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80"/>
      <c r="Y480" s="80"/>
      <c r="Z480" s="80"/>
      <c r="AA480" s="80"/>
      <c r="AB480" s="80"/>
      <c r="AC480" s="80"/>
      <c r="AD480" s="80"/>
      <c r="AE480" s="80"/>
      <c r="AF480" s="80"/>
      <c r="AG480" s="80"/>
      <c r="AH480" s="80"/>
      <c r="AI480" s="80"/>
      <c r="AJ480" s="80"/>
      <c r="AK480" s="80"/>
      <c r="AL480" s="80"/>
      <c r="AM480" s="80"/>
      <c r="AN480" s="27"/>
      <c r="AO480" s="27"/>
      <c r="AP480" s="27"/>
    </row>
    <row r="481" spans="1:42" x14ac:dyDescent="0.2">
      <c r="A481" s="75"/>
      <c r="B481" s="27"/>
      <c r="C481" s="27"/>
      <c r="D481" s="27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80"/>
      <c r="Y481" s="80"/>
      <c r="Z481" s="80"/>
      <c r="AA481" s="80"/>
      <c r="AB481" s="80"/>
      <c r="AC481" s="80"/>
      <c r="AD481" s="80"/>
      <c r="AE481" s="80"/>
      <c r="AF481" s="80"/>
      <c r="AG481" s="80"/>
      <c r="AH481" s="80"/>
      <c r="AI481" s="80"/>
      <c r="AJ481" s="80"/>
      <c r="AK481" s="80"/>
      <c r="AL481" s="80"/>
      <c r="AM481" s="80"/>
      <c r="AN481" s="27"/>
      <c r="AO481" s="27"/>
      <c r="AP481" s="27"/>
    </row>
    <row r="482" spans="1:42" x14ac:dyDescent="0.2">
      <c r="A482" s="75"/>
      <c r="B482" s="27"/>
      <c r="C482" s="27"/>
      <c r="D482" s="27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80"/>
      <c r="Y482" s="80"/>
      <c r="Z482" s="80"/>
      <c r="AA482" s="80"/>
      <c r="AB482" s="80"/>
      <c r="AC482" s="80"/>
      <c r="AD482" s="80"/>
      <c r="AE482" s="80"/>
      <c r="AF482" s="80"/>
      <c r="AG482" s="80"/>
      <c r="AH482" s="80"/>
      <c r="AI482" s="80"/>
      <c r="AJ482" s="80"/>
      <c r="AK482" s="80"/>
      <c r="AL482" s="80"/>
      <c r="AM482" s="80"/>
      <c r="AN482" s="27"/>
      <c r="AO482" s="27"/>
      <c r="AP482" s="27"/>
    </row>
    <row r="483" spans="1:42" x14ac:dyDescent="0.2">
      <c r="A483" s="75"/>
      <c r="B483" s="27"/>
      <c r="C483" s="27"/>
      <c r="D483" s="27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80"/>
      <c r="Y483" s="80"/>
      <c r="Z483" s="80"/>
      <c r="AA483" s="80"/>
      <c r="AB483" s="80"/>
      <c r="AC483" s="80"/>
      <c r="AD483" s="80"/>
      <c r="AE483" s="80"/>
      <c r="AF483" s="80"/>
      <c r="AG483" s="80"/>
      <c r="AH483" s="80"/>
      <c r="AI483" s="80"/>
      <c r="AJ483" s="80"/>
      <c r="AK483" s="80"/>
      <c r="AL483" s="80"/>
      <c r="AM483" s="80"/>
      <c r="AN483" s="27"/>
      <c r="AO483" s="27"/>
      <c r="AP483" s="27"/>
    </row>
    <row r="484" spans="1:42" x14ac:dyDescent="0.2">
      <c r="A484" s="75"/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80"/>
      <c r="Y484" s="80"/>
      <c r="Z484" s="80"/>
      <c r="AA484" s="80"/>
      <c r="AB484" s="80"/>
      <c r="AC484" s="80"/>
      <c r="AD484" s="80"/>
      <c r="AE484" s="80"/>
      <c r="AF484" s="80"/>
      <c r="AG484" s="80"/>
      <c r="AH484" s="80"/>
      <c r="AI484" s="80"/>
      <c r="AJ484" s="80"/>
      <c r="AK484" s="80"/>
      <c r="AL484" s="80"/>
      <c r="AM484" s="80"/>
      <c r="AN484" s="27"/>
      <c r="AO484" s="27"/>
      <c r="AP484" s="27"/>
    </row>
    <row r="485" spans="1:42" x14ac:dyDescent="0.2">
      <c r="A485" s="75"/>
      <c r="B485" s="27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80"/>
      <c r="Y485" s="80"/>
      <c r="Z485" s="80"/>
      <c r="AA485" s="80"/>
      <c r="AB485" s="80"/>
      <c r="AC485" s="80"/>
      <c r="AD485" s="80"/>
      <c r="AE485" s="80"/>
      <c r="AF485" s="80"/>
      <c r="AG485" s="80"/>
      <c r="AH485" s="80"/>
      <c r="AI485" s="80"/>
      <c r="AJ485" s="80"/>
      <c r="AK485" s="80"/>
      <c r="AL485" s="80"/>
      <c r="AM485" s="80"/>
      <c r="AN485" s="27"/>
      <c r="AO485" s="27"/>
      <c r="AP485" s="27"/>
    </row>
    <row r="486" spans="1:42" x14ac:dyDescent="0.2">
      <c r="A486" s="75"/>
      <c r="B486" s="27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80"/>
      <c r="Y486" s="80"/>
      <c r="Z486" s="80"/>
      <c r="AA486" s="80"/>
      <c r="AB486" s="80"/>
      <c r="AC486" s="80"/>
      <c r="AD486" s="80"/>
      <c r="AE486" s="80"/>
      <c r="AF486" s="80"/>
      <c r="AG486" s="80"/>
      <c r="AH486" s="80"/>
      <c r="AI486" s="80"/>
      <c r="AJ486" s="80"/>
      <c r="AK486" s="80"/>
      <c r="AL486" s="80"/>
      <c r="AM486" s="80"/>
      <c r="AN486" s="27"/>
      <c r="AO486" s="27"/>
      <c r="AP486" s="27"/>
    </row>
    <row r="487" spans="1:42" x14ac:dyDescent="0.2">
      <c r="A487" s="75"/>
      <c r="B487" s="27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80"/>
      <c r="Y487" s="80"/>
      <c r="Z487" s="80"/>
      <c r="AA487" s="80"/>
      <c r="AB487" s="80"/>
      <c r="AC487" s="80"/>
      <c r="AD487" s="80"/>
      <c r="AE487" s="80"/>
      <c r="AF487" s="80"/>
      <c r="AG487" s="80"/>
      <c r="AH487" s="80"/>
      <c r="AI487" s="80"/>
      <c r="AJ487" s="80"/>
      <c r="AK487" s="80"/>
      <c r="AL487" s="80"/>
      <c r="AM487" s="80"/>
      <c r="AN487" s="27"/>
      <c r="AO487" s="27"/>
      <c r="AP487" s="27"/>
    </row>
    <row r="488" spans="1:42" x14ac:dyDescent="0.2">
      <c r="A488" s="75"/>
      <c r="B488" s="27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80"/>
      <c r="Y488" s="80"/>
      <c r="Z488" s="80"/>
      <c r="AA488" s="80"/>
      <c r="AB488" s="80"/>
      <c r="AC488" s="80"/>
      <c r="AD488" s="80"/>
      <c r="AE488" s="80"/>
      <c r="AF488" s="80"/>
      <c r="AG488" s="80"/>
      <c r="AH488" s="80"/>
      <c r="AI488" s="80"/>
      <c r="AJ488" s="80"/>
      <c r="AK488" s="80"/>
      <c r="AL488" s="80"/>
      <c r="AM488" s="80"/>
      <c r="AN488" s="27"/>
      <c r="AO488" s="27"/>
      <c r="AP488" s="27"/>
    </row>
    <row r="489" spans="1:42" x14ac:dyDescent="0.2">
      <c r="A489" s="75"/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80"/>
      <c r="Y489" s="80"/>
      <c r="Z489" s="80"/>
      <c r="AA489" s="80"/>
      <c r="AB489" s="80"/>
      <c r="AC489" s="80"/>
      <c r="AD489" s="80"/>
      <c r="AE489" s="80"/>
      <c r="AF489" s="80"/>
      <c r="AG489" s="80"/>
      <c r="AH489" s="80"/>
      <c r="AI489" s="80"/>
      <c r="AJ489" s="80"/>
      <c r="AK489" s="80"/>
      <c r="AL489" s="80"/>
      <c r="AM489" s="80"/>
      <c r="AN489" s="27"/>
      <c r="AO489" s="27"/>
      <c r="AP489" s="27"/>
    </row>
    <row r="490" spans="1:42" x14ac:dyDescent="0.2">
      <c r="A490" s="75"/>
      <c r="B490" s="27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80"/>
      <c r="Y490" s="80"/>
      <c r="Z490" s="80"/>
      <c r="AA490" s="80"/>
      <c r="AB490" s="80"/>
      <c r="AC490" s="80"/>
      <c r="AD490" s="80"/>
      <c r="AE490" s="80"/>
      <c r="AF490" s="80"/>
      <c r="AG490" s="80"/>
      <c r="AH490" s="80"/>
      <c r="AI490" s="80"/>
      <c r="AJ490" s="80"/>
      <c r="AK490" s="80"/>
      <c r="AL490" s="80"/>
      <c r="AM490" s="80"/>
      <c r="AN490" s="27"/>
      <c r="AO490" s="27"/>
      <c r="AP490" s="27"/>
    </row>
    <row r="491" spans="1:42" x14ac:dyDescent="0.2">
      <c r="A491" s="75"/>
      <c r="B491" s="27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80"/>
      <c r="Y491" s="80"/>
      <c r="Z491" s="80"/>
      <c r="AA491" s="80"/>
      <c r="AB491" s="80"/>
      <c r="AC491" s="80"/>
      <c r="AD491" s="80"/>
      <c r="AE491" s="80"/>
      <c r="AF491" s="80"/>
      <c r="AG491" s="80"/>
      <c r="AH491" s="80"/>
      <c r="AI491" s="80"/>
      <c r="AJ491" s="80"/>
      <c r="AK491" s="80"/>
      <c r="AL491" s="80"/>
      <c r="AM491" s="80"/>
      <c r="AN491" s="27"/>
      <c r="AO491" s="27"/>
      <c r="AP491" s="27"/>
    </row>
    <row r="492" spans="1:42" x14ac:dyDescent="0.2">
      <c r="A492" s="75"/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80"/>
      <c r="Y492" s="80"/>
      <c r="Z492" s="80"/>
      <c r="AA492" s="80"/>
      <c r="AB492" s="80"/>
      <c r="AC492" s="80"/>
      <c r="AD492" s="80"/>
      <c r="AE492" s="80"/>
      <c r="AF492" s="80"/>
      <c r="AG492" s="80"/>
      <c r="AH492" s="80"/>
      <c r="AI492" s="80"/>
      <c r="AJ492" s="80"/>
      <c r="AK492" s="80"/>
      <c r="AL492" s="80"/>
      <c r="AM492" s="80"/>
      <c r="AN492" s="27"/>
      <c r="AO492" s="27"/>
      <c r="AP492" s="27"/>
    </row>
    <row r="493" spans="1:42" x14ac:dyDescent="0.2">
      <c r="A493" s="75"/>
      <c r="B493" s="27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80"/>
      <c r="Y493" s="80"/>
      <c r="Z493" s="80"/>
      <c r="AA493" s="80"/>
      <c r="AB493" s="80"/>
      <c r="AC493" s="80"/>
      <c r="AD493" s="80"/>
      <c r="AE493" s="80"/>
      <c r="AF493" s="80"/>
      <c r="AG493" s="80"/>
      <c r="AH493" s="80"/>
      <c r="AI493" s="80"/>
      <c r="AJ493" s="80"/>
      <c r="AK493" s="80"/>
      <c r="AL493" s="80"/>
      <c r="AM493" s="80"/>
      <c r="AN493" s="27"/>
      <c r="AO493" s="27"/>
      <c r="AP493" s="27"/>
    </row>
    <row r="494" spans="1:42" x14ac:dyDescent="0.2">
      <c r="A494" s="75"/>
      <c r="B494" s="27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80"/>
      <c r="Y494" s="80"/>
      <c r="Z494" s="80"/>
      <c r="AA494" s="80"/>
      <c r="AB494" s="80"/>
      <c r="AC494" s="80"/>
      <c r="AD494" s="80"/>
      <c r="AE494" s="80"/>
      <c r="AF494" s="80"/>
      <c r="AG494" s="80"/>
      <c r="AH494" s="80"/>
      <c r="AI494" s="80"/>
      <c r="AJ494" s="80"/>
      <c r="AK494" s="80"/>
      <c r="AL494" s="80"/>
      <c r="AM494" s="80"/>
      <c r="AN494" s="27"/>
      <c r="AO494" s="27"/>
      <c r="AP494" s="27"/>
    </row>
    <row r="495" spans="1:42" x14ac:dyDescent="0.2">
      <c r="A495" s="75"/>
      <c r="B495" s="27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80"/>
      <c r="Y495" s="80"/>
      <c r="Z495" s="80"/>
      <c r="AA495" s="80"/>
      <c r="AB495" s="80"/>
      <c r="AC495" s="80"/>
      <c r="AD495" s="80"/>
      <c r="AE495" s="80"/>
      <c r="AF495" s="80"/>
      <c r="AG495" s="80"/>
      <c r="AH495" s="80"/>
      <c r="AI495" s="80"/>
      <c r="AJ495" s="80"/>
      <c r="AK495" s="80"/>
      <c r="AL495" s="80"/>
      <c r="AM495" s="80"/>
      <c r="AN495" s="27"/>
      <c r="AO495" s="27"/>
      <c r="AP495" s="27"/>
    </row>
    <row r="496" spans="1:42" x14ac:dyDescent="0.2">
      <c r="A496" s="75"/>
      <c r="B496" s="27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80"/>
      <c r="Y496" s="80"/>
      <c r="Z496" s="80"/>
      <c r="AA496" s="80"/>
      <c r="AB496" s="80"/>
      <c r="AC496" s="80"/>
      <c r="AD496" s="80"/>
      <c r="AE496" s="80"/>
      <c r="AF496" s="80"/>
      <c r="AG496" s="80"/>
      <c r="AH496" s="80"/>
      <c r="AI496" s="80"/>
      <c r="AJ496" s="80"/>
      <c r="AK496" s="80"/>
      <c r="AL496" s="80"/>
      <c r="AM496" s="80"/>
      <c r="AN496" s="27"/>
      <c r="AO496" s="27"/>
      <c r="AP496" s="27"/>
    </row>
    <row r="497" spans="1:42" x14ac:dyDescent="0.2">
      <c r="A497" s="75"/>
      <c r="B497" s="27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80"/>
      <c r="Y497" s="80"/>
      <c r="Z497" s="80"/>
      <c r="AA497" s="80"/>
      <c r="AB497" s="80"/>
      <c r="AC497" s="80"/>
      <c r="AD497" s="80"/>
      <c r="AE497" s="80"/>
      <c r="AF497" s="80"/>
      <c r="AG497" s="80"/>
      <c r="AH497" s="80"/>
      <c r="AI497" s="80"/>
      <c r="AJ497" s="80"/>
      <c r="AK497" s="80"/>
      <c r="AL497" s="80"/>
      <c r="AM497" s="80"/>
      <c r="AN497" s="27"/>
      <c r="AO497" s="27"/>
      <c r="AP497" s="27"/>
    </row>
    <row r="498" spans="1:42" x14ac:dyDescent="0.2">
      <c r="A498" s="75"/>
      <c r="B498" s="27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80"/>
      <c r="Y498" s="80"/>
      <c r="Z498" s="80"/>
      <c r="AA498" s="80"/>
      <c r="AB498" s="80"/>
      <c r="AC498" s="80"/>
      <c r="AD498" s="80"/>
      <c r="AE498" s="80"/>
      <c r="AF498" s="80"/>
      <c r="AG498" s="80"/>
      <c r="AH498" s="80"/>
      <c r="AI498" s="80"/>
      <c r="AJ498" s="80"/>
      <c r="AK498" s="80"/>
      <c r="AL498" s="80"/>
      <c r="AM498" s="80"/>
      <c r="AN498" s="27"/>
      <c r="AO498" s="27"/>
      <c r="AP498" s="27"/>
    </row>
    <row r="499" spans="1:42" x14ac:dyDescent="0.2">
      <c r="A499" s="75"/>
      <c r="B499" s="27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80"/>
      <c r="Y499" s="80"/>
      <c r="Z499" s="80"/>
      <c r="AA499" s="80"/>
      <c r="AB499" s="80"/>
      <c r="AC499" s="80"/>
      <c r="AD499" s="80"/>
      <c r="AE499" s="80"/>
      <c r="AF499" s="80"/>
      <c r="AG499" s="80"/>
      <c r="AH499" s="80"/>
      <c r="AI499" s="80"/>
      <c r="AJ499" s="80"/>
      <c r="AK499" s="80"/>
      <c r="AL499" s="80"/>
      <c r="AM499" s="80"/>
      <c r="AN499" s="27"/>
      <c r="AO499" s="27"/>
      <c r="AP499" s="27"/>
    </row>
    <row r="500" spans="1:42" x14ac:dyDescent="0.2">
      <c r="A500" s="75"/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80"/>
      <c r="Y500" s="80"/>
      <c r="Z500" s="80"/>
      <c r="AA500" s="80"/>
      <c r="AB500" s="80"/>
      <c r="AC500" s="80"/>
      <c r="AD500" s="80"/>
      <c r="AE500" s="80"/>
      <c r="AF500" s="80"/>
      <c r="AG500" s="80"/>
      <c r="AH500" s="80"/>
      <c r="AI500" s="80"/>
      <c r="AJ500" s="80"/>
      <c r="AK500" s="80"/>
      <c r="AL500" s="80"/>
      <c r="AM500" s="80"/>
      <c r="AN500" s="27"/>
      <c r="AO500" s="27"/>
      <c r="AP500" s="27"/>
    </row>
    <row r="501" spans="1:42" x14ac:dyDescent="0.2">
      <c r="A501" s="75"/>
      <c r="B501" s="27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80"/>
      <c r="Y501" s="80"/>
      <c r="Z501" s="80"/>
      <c r="AA501" s="80"/>
      <c r="AB501" s="80"/>
      <c r="AC501" s="80"/>
      <c r="AD501" s="80"/>
      <c r="AE501" s="80"/>
      <c r="AF501" s="80"/>
      <c r="AG501" s="80"/>
      <c r="AH501" s="80"/>
      <c r="AI501" s="80"/>
      <c r="AJ501" s="80"/>
      <c r="AK501" s="80"/>
      <c r="AL501" s="80"/>
      <c r="AM501" s="80"/>
      <c r="AN501" s="27"/>
      <c r="AO501" s="27"/>
      <c r="AP501" s="27"/>
    </row>
    <row r="502" spans="1:42" x14ac:dyDescent="0.2">
      <c r="A502" s="75"/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80"/>
      <c r="Y502" s="80"/>
      <c r="Z502" s="80"/>
      <c r="AA502" s="80"/>
      <c r="AB502" s="80"/>
      <c r="AC502" s="80"/>
      <c r="AD502" s="80"/>
      <c r="AE502" s="80"/>
      <c r="AF502" s="80"/>
      <c r="AG502" s="80"/>
      <c r="AH502" s="80"/>
      <c r="AI502" s="80"/>
      <c r="AJ502" s="80"/>
      <c r="AK502" s="80"/>
      <c r="AL502" s="80"/>
      <c r="AM502" s="80"/>
      <c r="AN502" s="27"/>
      <c r="AO502" s="27"/>
      <c r="AP502" s="27"/>
    </row>
    <row r="503" spans="1:42" x14ac:dyDescent="0.2">
      <c r="A503" s="75"/>
      <c r="B503" s="27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80"/>
      <c r="Y503" s="80"/>
      <c r="Z503" s="80"/>
      <c r="AA503" s="80"/>
      <c r="AB503" s="80"/>
      <c r="AC503" s="80"/>
      <c r="AD503" s="80"/>
      <c r="AE503" s="80"/>
      <c r="AF503" s="80"/>
      <c r="AG503" s="80"/>
      <c r="AH503" s="80"/>
      <c r="AI503" s="80"/>
      <c r="AJ503" s="80"/>
      <c r="AK503" s="80"/>
      <c r="AL503" s="80"/>
      <c r="AM503" s="80"/>
      <c r="AN503" s="27"/>
      <c r="AO503" s="27"/>
      <c r="AP503" s="27"/>
    </row>
    <row r="504" spans="1:42" x14ac:dyDescent="0.2">
      <c r="A504" s="75"/>
      <c r="B504" s="27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80"/>
      <c r="Y504" s="80"/>
      <c r="Z504" s="80"/>
      <c r="AA504" s="80"/>
      <c r="AB504" s="80"/>
      <c r="AC504" s="80"/>
      <c r="AD504" s="80"/>
      <c r="AE504" s="80"/>
      <c r="AF504" s="80"/>
      <c r="AG504" s="80"/>
      <c r="AH504" s="80"/>
      <c r="AI504" s="80"/>
      <c r="AJ504" s="80"/>
      <c r="AK504" s="80"/>
      <c r="AL504" s="80"/>
      <c r="AM504" s="80"/>
      <c r="AN504" s="27"/>
      <c r="AO504" s="27"/>
      <c r="AP504" s="27"/>
    </row>
    <row r="505" spans="1:42" x14ac:dyDescent="0.2">
      <c r="A505" s="75"/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80"/>
      <c r="Y505" s="80"/>
      <c r="Z505" s="80"/>
      <c r="AA505" s="80"/>
      <c r="AB505" s="80"/>
      <c r="AC505" s="80"/>
      <c r="AD505" s="80"/>
      <c r="AE505" s="80"/>
      <c r="AF505" s="80"/>
      <c r="AG505" s="80"/>
      <c r="AH505" s="80"/>
      <c r="AI505" s="80"/>
      <c r="AJ505" s="80"/>
      <c r="AK505" s="80"/>
      <c r="AL505" s="80"/>
      <c r="AM505" s="80"/>
      <c r="AN505" s="27"/>
      <c r="AO505" s="27"/>
      <c r="AP505" s="27"/>
    </row>
    <row r="506" spans="1:42" x14ac:dyDescent="0.2">
      <c r="A506" s="75"/>
      <c r="B506" s="27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80"/>
      <c r="Y506" s="80"/>
      <c r="Z506" s="80"/>
      <c r="AA506" s="80"/>
      <c r="AB506" s="80"/>
      <c r="AC506" s="80"/>
      <c r="AD506" s="80"/>
      <c r="AE506" s="80"/>
      <c r="AF506" s="80"/>
      <c r="AG506" s="80"/>
      <c r="AH506" s="80"/>
      <c r="AI506" s="80"/>
      <c r="AJ506" s="80"/>
      <c r="AK506" s="80"/>
      <c r="AL506" s="80"/>
      <c r="AM506" s="80"/>
      <c r="AN506" s="27"/>
      <c r="AO506" s="27"/>
      <c r="AP506" s="27"/>
    </row>
    <row r="507" spans="1:42" x14ac:dyDescent="0.2">
      <c r="A507" s="75"/>
      <c r="B507" s="27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80"/>
      <c r="Y507" s="80"/>
      <c r="Z507" s="80"/>
      <c r="AA507" s="80"/>
      <c r="AB507" s="80"/>
      <c r="AC507" s="80"/>
      <c r="AD507" s="80"/>
      <c r="AE507" s="80"/>
      <c r="AF507" s="80"/>
      <c r="AG507" s="80"/>
      <c r="AH507" s="80"/>
      <c r="AI507" s="80"/>
      <c r="AJ507" s="80"/>
      <c r="AK507" s="80"/>
      <c r="AL507" s="80"/>
      <c r="AM507" s="80"/>
      <c r="AN507" s="27"/>
      <c r="AO507" s="27"/>
      <c r="AP507" s="27"/>
    </row>
    <row r="508" spans="1:42" x14ac:dyDescent="0.2">
      <c r="A508" s="75"/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80"/>
      <c r="Y508" s="80"/>
      <c r="Z508" s="80"/>
      <c r="AA508" s="80"/>
      <c r="AB508" s="80"/>
      <c r="AC508" s="80"/>
      <c r="AD508" s="80"/>
      <c r="AE508" s="80"/>
      <c r="AF508" s="80"/>
      <c r="AG508" s="80"/>
      <c r="AH508" s="80"/>
      <c r="AI508" s="80"/>
      <c r="AJ508" s="80"/>
      <c r="AK508" s="80"/>
      <c r="AL508" s="80"/>
      <c r="AM508" s="80"/>
      <c r="AN508" s="27"/>
      <c r="AO508" s="27"/>
      <c r="AP508" s="27"/>
    </row>
    <row r="509" spans="1:42" x14ac:dyDescent="0.2">
      <c r="A509" s="75"/>
      <c r="B509" s="27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80"/>
      <c r="Y509" s="80"/>
      <c r="Z509" s="80"/>
      <c r="AA509" s="80"/>
      <c r="AB509" s="80"/>
      <c r="AC509" s="80"/>
      <c r="AD509" s="80"/>
      <c r="AE509" s="80"/>
      <c r="AF509" s="80"/>
      <c r="AG509" s="80"/>
      <c r="AH509" s="80"/>
      <c r="AI509" s="80"/>
      <c r="AJ509" s="80"/>
      <c r="AK509" s="80"/>
      <c r="AL509" s="80"/>
      <c r="AM509" s="80"/>
      <c r="AN509" s="27"/>
      <c r="AO509" s="27"/>
      <c r="AP509" s="27"/>
    </row>
    <row r="510" spans="1:42" x14ac:dyDescent="0.2">
      <c r="A510" s="75"/>
      <c r="B510" s="27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80"/>
      <c r="Y510" s="80"/>
      <c r="Z510" s="80"/>
      <c r="AA510" s="80"/>
      <c r="AB510" s="80"/>
      <c r="AC510" s="80"/>
      <c r="AD510" s="80"/>
      <c r="AE510" s="80"/>
      <c r="AF510" s="80"/>
      <c r="AG510" s="80"/>
      <c r="AH510" s="80"/>
      <c r="AI510" s="80"/>
      <c r="AJ510" s="80"/>
      <c r="AK510" s="80"/>
      <c r="AL510" s="80"/>
      <c r="AM510" s="80"/>
      <c r="AN510" s="27"/>
      <c r="AO510" s="27"/>
      <c r="AP510" s="27"/>
    </row>
    <row r="511" spans="1:42" x14ac:dyDescent="0.2">
      <c r="A511" s="75"/>
      <c r="B511" s="27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80"/>
      <c r="Y511" s="80"/>
      <c r="Z511" s="80"/>
      <c r="AA511" s="80"/>
      <c r="AB511" s="80"/>
      <c r="AC511" s="80"/>
      <c r="AD511" s="80"/>
      <c r="AE511" s="80"/>
      <c r="AF511" s="80"/>
      <c r="AG511" s="80"/>
      <c r="AH511" s="80"/>
      <c r="AI511" s="80"/>
      <c r="AJ511" s="80"/>
      <c r="AK511" s="80"/>
      <c r="AL511" s="80"/>
      <c r="AM511" s="80"/>
      <c r="AN511" s="27"/>
      <c r="AO511" s="27"/>
      <c r="AP511" s="27"/>
    </row>
    <row r="512" spans="1:42" x14ac:dyDescent="0.2">
      <c r="A512" s="75"/>
      <c r="B512" s="27"/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80"/>
      <c r="Y512" s="80"/>
      <c r="Z512" s="80"/>
      <c r="AA512" s="80"/>
      <c r="AB512" s="80"/>
      <c r="AC512" s="80"/>
      <c r="AD512" s="80"/>
      <c r="AE512" s="80"/>
      <c r="AF512" s="80"/>
      <c r="AG512" s="80"/>
      <c r="AH512" s="80"/>
      <c r="AI512" s="80"/>
      <c r="AJ512" s="80"/>
      <c r="AK512" s="80"/>
      <c r="AL512" s="80"/>
      <c r="AM512" s="80"/>
      <c r="AN512" s="27"/>
      <c r="AO512" s="27"/>
      <c r="AP512" s="27"/>
    </row>
    <row r="513" spans="1:42" x14ac:dyDescent="0.2">
      <c r="A513" s="75"/>
      <c r="B513" s="27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80"/>
      <c r="Y513" s="80"/>
      <c r="Z513" s="80"/>
      <c r="AA513" s="80"/>
      <c r="AB513" s="80"/>
      <c r="AC513" s="80"/>
      <c r="AD513" s="80"/>
      <c r="AE513" s="80"/>
      <c r="AF513" s="80"/>
      <c r="AG513" s="80"/>
      <c r="AH513" s="80"/>
      <c r="AI513" s="80"/>
      <c r="AJ513" s="80"/>
      <c r="AK513" s="80"/>
      <c r="AL513" s="80"/>
      <c r="AM513" s="80"/>
      <c r="AN513" s="27"/>
      <c r="AO513" s="27"/>
      <c r="AP513" s="27"/>
    </row>
    <row r="514" spans="1:42" x14ac:dyDescent="0.2">
      <c r="A514" s="75"/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80"/>
      <c r="Y514" s="80"/>
      <c r="Z514" s="80"/>
      <c r="AA514" s="80"/>
      <c r="AB514" s="80"/>
      <c r="AC514" s="80"/>
      <c r="AD514" s="80"/>
      <c r="AE514" s="80"/>
      <c r="AF514" s="80"/>
      <c r="AG514" s="80"/>
      <c r="AH514" s="80"/>
      <c r="AI514" s="80"/>
      <c r="AJ514" s="80"/>
      <c r="AK514" s="80"/>
      <c r="AL514" s="80"/>
      <c r="AM514" s="80"/>
      <c r="AN514" s="27"/>
      <c r="AO514" s="27"/>
      <c r="AP514" s="27"/>
    </row>
    <row r="515" spans="1:42" x14ac:dyDescent="0.2">
      <c r="A515" s="75"/>
      <c r="B515" s="27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80"/>
      <c r="Y515" s="80"/>
      <c r="Z515" s="80"/>
      <c r="AA515" s="80"/>
      <c r="AB515" s="80"/>
      <c r="AC515" s="80"/>
      <c r="AD515" s="80"/>
      <c r="AE515" s="80"/>
      <c r="AF515" s="80"/>
      <c r="AG515" s="80"/>
      <c r="AH515" s="80"/>
      <c r="AI515" s="80"/>
      <c r="AJ515" s="80"/>
      <c r="AK515" s="80"/>
      <c r="AL515" s="80"/>
      <c r="AM515" s="80"/>
      <c r="AN515" s="27"/>
      <c r="AO515" s="27"/>
      <c r="AP515" s="27"/>
    </row>
    <row r="516" spans="1:42" x14ac:dyDescent="0.2">
      <c r="A516" s="75"/>
      <c r="B516" s="27"/>
      <c r="C516" s="27"/>
      <c r="D516" s="27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80"/>
      <c r="Y516" s="80"/>
      <c r="Z516" s="80"/>
      <c r="AA516" s="80"/>
      <c r="AB516" s="80"/>
      <c r="AC516" s="80"/>
      <c r="AD516" s="80"/>
      <c r="AE516" s="80"/>
      <c r="AF516" s="80"/>
      <c r="AG516" s="80"/>
      <c r="AH516" s="80"/>
      <c r="AI516" s="80"/>
      <c r="AJ516" s="80"/>
      <c r="AK516" s="80"/>
      <c r="AL516" s="80"/>
      <c r="AM516" s="80"/>
      <c r="AN516" s="27"/>
      <c r="AO516" s="27"/>
      <c r="AP516" s="27"/>
    </row>
    <row r="517" spans="1:42" x14ac:dyDescent="0.2">
      <c r="A517" s="75"/>
      <c r="B517" s="27"/>
      <c r="C517" s="27"/>
      <c r="D517" s="27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80"/>
      <c r="Y517" s="80"/>
      <c r="Z517" s="80"/>
      <c r="AA517" s="80"/>
      <c r="AB517" s="80"/>
      <c r="AC517" s="80"/>
      <c r="AD517" s="80"/>
      <c r="AE517" s="80"/>
      <c r="AF517" s="80"/>
      <c r="AG517" s="80"/>
      <c r="AH517" s="80"/>
      <c r="AI517" s="80"/>
      <c r="AJ517" s="80"/>
      <c r="AK517" s="80"/>
      <c r="AL517" s="80"/>
      <c r="AM517" s="80"/>
      <c r="AN517" s="27"/>
      <c r="AO517" s="27"/>
      <c r="AP517" s="27"/>
    </row>
    <row r="518" spans="1:42" x14ac:dyDescent="0.2">
      <c r="A518" s="75"/>
      <c r="B518" s="27"/>
      <c r="C518" s="27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80"/>
      <c r="Y518" s="80"/>
      <c r="Z518" s="80"/>
      <c r="AA518" s="80"/>
      <c r="AB518" s="80"/>
      <c r="AC518" s="80"/>
      <c r="AD518" s="80"/>
      <c r="AE518" s="80"/>
      <c r="AF518" s="80"/>
      <c r="AG518" s="80"/>
      <c r="AH518" s="80"/>
      <c r="AI518" s="80"/>
      <c r="AJ518" s="80"/>
      <c r="AK518" s="80"/>
      <c r="AL518" s="80"/>
      <c r="AM518" s="80"/>
      <c r="AN518" s="27"/>
      <c r="AO518" s="27"/>
      <c r="AP518" s="27"/>
    </row>
    <row r="519" spans="1:42" x14ac:dyDescent="0.2">
      <c r="A519" s="75"/>
      <c r="B519" s="27"/>
      <c r="C519" s="27"/>
      <c r="D519" s="27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80"/>
      <c r="Y519" s="80"/>
      <c r="Z519" s="80"/>
      <c r="AA519" s="80"/>
      <c r="AB519" s="80"/>
      <c r="AC519" s="80"/>
      <c r="AD519" s="80"/>
      <c r="AE519" s="80"/>
      <c r="AF519" s="80"/>
      <c r="AG519" s="80"/>
      <c r="AH519" s="80"/>
      <c r="AI519" s="80"/>
      <c r="AJ519" s="80"/>
      <c r="AK519" s="80"/>
      <c r="AL519" s="80"/>
      <c r="AM519" s="80"/>
      <c r="AN519" s="27"/>
      <c r="AO519" s="27"/>
      <c r="AP519" s="27"/>
    </row>
    <row r="520" spans="1:42" x14ac:dyDescent="0.2">
      <c r="A520" s="75"/>
      <c r="B520" s="27"/>
      <c r="C520" s="27"/>
      <c r="D520" s="27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80"/>
      <c r="Y520" s="80"/>
      <c r="Z520" s="80"/>
      <c r="AA520" s="80"/>
      <c r="AB520" s="80"/>
      <c r="AC520" s="80"/>
      <c r="AD520" s="80"/>
      <c r="AE520" s="80"/>
      <c r="AF520" s="80"/>
      <c r="AG520" s="80"/>
      <c r="AH520" s="80"/>
      <c r="AI520" s="80"/>
      <c r="AJ520" s="80"/>
      <c r="AK520" s="80"/>
      <c r="AL520" s="80"/>
      <c r="AM520" s="80"/>
      <c r="AN520" s="27"/>
      <c r="AO520" s="27"/>
      <c r="AP520" s="27"/>
    </row>
    <row r="521" spans="1:42" x14ac:dyDescent="0.2">
      <c r="A521" s="75"/>
      <c r="B521" s="27"/>
      <c r="C521" s="27"/>
      <c r="D521" s="27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80"/>
      <c r="Y521" s="80"/>
      <c r="Z521" s="80"/>
      <c r="AA521" s="80"/>
      <c r="AB521" s="80"/>
      <c r="AC521" s="80"/>
      <c r="AD521" s="80"/>
      <c r="AE521" s="80"/>
      <c r="AF521" s="80"/>
      <c r="AG521" s="80"/>
      <c r="AH521" s="80"/>
      <c r="AI521" s="80"/>
      <c r="AJ521" s="80"/>
      <c r="AK521" s="80"/>
      <c r="AL521" s="80"/>
      <c r="AM521" s="80"/>
      <c r="AN521" s="27"/>
      <c r="AO521" s="27"/>
      <c r="AP521" s="27"/>
    </row>
    <row r="522" spans="1:42" x14ac:dyDescent="0.2">
      <c r="A522" s="75"/>
      <c r="B522" s="27"/>
      <c r="C522" s="27"/>
      <c r="D522" s="27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80"/>
      <c r="Y522" s="80"/>
      <c r="Z522" s="80"/>
      <c r="AA522" s="80"/>
      <c r="AB522" s="80"/>
      <c r="AC522" s="80"/>
      <c r="AD522" s="80"/>
      <c r="AE522" s="80"/>
      <c r="AF522" s="80"/>
      <c r="AG522" s="80"/>
      <c r="AH522" s="80"/>
      <c r="AI522" s="80"/>
      <c r="AJ522" s="80"/>
      <c r="AK522" s="80"/>
      <c r="AL522" s="80"/>
      <c r="AM522" s="80"/>
      <c r="AN522" s="27"/>
      <c r="AO522" s="27"/>
      <c r="AP522" s="27"/>
    </row>
    <row r="523" spans="1:42" x14ac:dyDescent="0.2">
      <c r="A523" s="75"/>
      <c r="B523" s="27"/>
      <c r="C523" s="27"/>
      <c r="D523" s="27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80"/>
      <c r="Y523" s="80"/>
      <c r="Z523" s="80"/>
      <c r="AA523" s="80"/>
      <c r="AB523" s="80"/>
      <c r="AC523" s="80"/>
      <c r="AD523" s="80"/>
      <c r="AE523" s="80"/>
      <c r="AF523" s="80"/>
      <c r="AG523" s="80"/>
      <c r="AH523" s="80"/>
      <c r="AI523" s="80"/>
      <c r="AJ523" s="80"/>
      <c r="AK523" s="80"/>
      <c r="AL523" s="80"/>
      <c r="AM523" s="80"/>
      <c r="AN523" s="27"/>
      <c r="AO523" s="27"/>
      <c r="AP523" s="27"/>
    </row>
    <row r="524" spans="1:42" x14ac:dyDescent="0.2">
      <c r="A524" s="75"/>
      <c r="B524" s="27"/>
      <c r="C524" s="27"/>
      <c r="D524" s="27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80"/>
      <c r="Y524" s="80"/>
      <c r="Z524" s="80"/>
      <c r="AA524" s="80"/>
      <c r="AB524" s="80"/>
      <c r="AC524" s="80"/>
      <c r="AD524" s="80"/>
      <c r="AE524" s="80"/>
      <c r="AF524" s="80"/>
      <c r="AG524" s="80"/>
      <c r="AH524" s="80"/>
      <c r="AI524" s="80"/>
      <c r="AJ524" s="80"/>
      <c r="AK524" s="80"/>
      <c r="AL524" s="80"/>
      <c r="AM524" s="80"/>
      <c r="AN524" s="27"/>
      <c r="AO524" s="27"/>
      <c r="AP524" s="27"/>
    </row>
    <row r="525" spans="1:42" x14ac:dyDescent="0.2">
      <c r="A525" s="75"/>
      <c r="B525" s="27"/>
      <c r="C525" s="27"/>
      <c r="D525" s="27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80"/>
      <c r="Y525" s="80"/>
      <c r="Z525" s="80"/>
      <c r="AA525" s="80"/>
      <c r="AB525" s="80"/>
      <c r="AC525" s="80"/>
      <c r="AD525" s="80"/>
      <c r="AE525" s="80"/>
      <c r="AF525" s="80"/>
      <c r="AG525" s="80"/>
      <c r="AH525" s="80"/>
      <c r="AI525" s="80"/>
      <c r="AJ525" s="80"/>
      <c r="AK525" s="80"/>
      <c r="AL525" s="80"/>
      <c r="AM525" s="80"/>
      <c r="AN525" s="27"/>
      <c r="AO525" s="27"/>
      <c r="AP525" s="27"/>
    </row>
    <row r="526" spans="1:42" x14ac:dyDescent="0.2">
      <c r="A526" s="75"/>
      <c r="B526" s="27"/>
      <c r="C526" s="27"/>
      <c r="D526" s="27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80"/>
      <c r="Y526" s="80"/>
      <c r="Z526" s="80"/>
      <c r="AA526" s="80"/>
      <c r="AB526" s="80"/>
      <c r="AC526" s="80"/>
      <c r="AD526" s="80"/>
      <c r="AE526" s="80"/>
      <c r="AF526" s="80"/>
      <c r="AG526" s="80"/>
      <c r="AH526" s="80"/>
      <c r="AI526" s="80"/>
      <c r="AJ526" s="80"/>
      <c r="AK526" s="80"/>
      <c r="AL526" s="80"/>
      <c r="AM526" s="80"/>
      <c r="AN526" s="27"/>
      <c r="AO526" s="27"/>
      <c r="AP526" s="27"/>
    </row>
    <row r="527" spans="1:42" x14ac:dyDescent="0.2">
      <c r="A527" s="75"/>
      <c r="B527" s="27"/>
      <c r="C527" s="27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80"/>
      <c r="Y527" s="80"/>
      <c r="Z527" s="80"/>
      <c r="AA527" s="80"/>
      <c r="AB527" s="80"/>
      <c r="AC527" s="80"/>
      <c r="AD527" s="80"/>
      <c r="AE527" s="80"/>
      <c r="AF527" s="80"/>
      <c r="AG527" s="80"/>
      <c r="AH527" s="80"/>
      <c r="AI527" s="80"/>
      <c r="AJ527" s="80"/>
      <c r="AK527" s="80"/>
      <c r="AL527" s="80"/>
      <c r="AM527" s="80"/>
      <c r="AN527" s="27"/>
      <c r="AO527" s="27"/>
      <c r="AP527" s="27"/>
    </row>
    <row r="528" spans="1:42" x14ac:dyDescent="0.2">
      <c r="A528" s="75"/>
      <c r="B528" s="27"/>
      <c r="C528" s="27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80"/>
      <c r="Y528" s="80"/>
      <c r="Z528" s="80"/>
      <c r="AA528" s="80"/>
      <c r="AB528" s="80"/>
      <c r="AC528" s="80"/>
      <c r="AD528" s="80"/>
      <c r="AE528" s="80"/>
      <c r="AF528" s="80"/>
      <c r="AG528" s="80"/>
      <c r="AH528" s="80"/>
      <c r="AI528" s="80"/>
      <c r="AJ528" s="80"/>
      <c r="AK528" s="80"/>
      <c r="AL528" s="80"/>
      <c r="AM528" s="80"/>
      <c r="AN528" s="27"/>
      <c r="AO528" s="27"/>
      <c r="AP528" s="27"/>
    </row>
    <row r="529" spans="1:42" x14ac:dyDescent="0.2">
      <c r="A529" s="75"/>
      <c r="B529" s="27"/>
      <c r="C529" s="27"/>
      <c r="D529" s="27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80"/>
      <c r="Y529" s="80"/>
      <c r="Z529" s="80"/>
      <c r="AA529" s="80"/>
      <c r="AB529" s="80"/>
      <c r="AC529" s="80"/>
      <c r="AD529" s="80"/>
      <c r="AE529" s="80"/>
      <c r="AF529" s="80"/>
      <c r="AG529" s="80"/>
      <c r="AH529" s="80"/>
      <c r="AI529" s="80"/>
      <c r="AJ529" s="80"/>
      <c r="AK529" s="80"/>
      <c r="AL529" s="80"/>
      <c r="AM529" s="80"/>
      <c r="AN529" s="27"/>
      <c r="AO529" s="27"/>
      <c r="AP529" s="27"/>
    </row>
    <row r="530" spans="1:42" x14ac:dyDescent="0.2">
      <c r="A530" s="75"/>
      <c r="B530" s="27"/>
      <c r="C530" s="27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80"/>
      <c r="Y530" s="80"/>
      <c r="Z530" s="80"/>
      <c r="AA530" s="80"/>
      <c r="AB530" s="80"/>
      <c r="AC530" s="80"/>
      <c r="AD530" s="80"/>
      <c r="AE530" s="80"/>
      <c r="AF530" s="80"/>
      <c r="AG530" s="80"/>
      <c r="AH530" s="80"/>
      <c r="AI530" s="80"/>
      <c r="AJ530" s="80"/>
      <c r="AK530" s="80"/>
      <c r="AL530" s="80"/>
      <c r="AM530" s="80"/>
      <c r="AN530" s="27"/>
      <c r="AO530" s="27"/>
      <c r="AP530" s="27"/>
    </row>
    <row r="531" spans="1:42" x14ac:dyDescent="0.2">
      <c r="A531" s="75"/>
      <c r="B531" s="27"/>
      <c r="C531" s="27"/>
      <c r="D531" s="27"/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80"/>
      <c r="Y531" s="80"/>
      <c r="Z531" s="80"/>
      <c r="AA531" s="80"/>
      <c r="AB531" s="80"/>
      <c r="AC531" s="80"/>
      <c r="AD531" s="80"/>
      <c r="AE531" s="80"/>
      <c r="AF531" s="80"/>
      <c r="AG531" s="80"/>
      <c r="AH531" s="80"/>
      <c r="AI531" s="80"/>
      <c r="AJ531" s="80"/>
      <c r="AK531" s="80"/>
      <c r="AL531" s="80"/>
      <c r="AM531" s="80"/>
      <c r="AN531" s="27"/>
      <c r="AO531" s="27"/>
      <c r="AP531" s="27"/>
    </row>
    <row r="532" spans="1:42" x14ac:dyDescent="0.2">
      <c r="A532" s="75"/>
      <c r="B532" s="27"/>
      <c r="C532" s="27"/>
      <c r="D532" s="27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80"/>
      <c r="Y532" s="80"/>
      <c r="Z532" s="80"/>
      <c r="AA532" s="80"/>
      <c r="AB532" s="80"/>
      <c r="AC532" s="80"/>
      <c r="AD532" s="80"/>
      <c r="AE532" s="80"/>
      <c r="AF532" s="80"/>
      <c r="AG532" s="80"/>
      <c r="AH532" s="80"/>
      <c r="AI532" s="80"/>
      <c r="AJ532" s="80"/>
      <c r="AK532" s="80"/>
      <c r="AL532" s="80"/>
      <c r="AM532" s="80"/>
      <c r="AN532" s="27"/>
      <c r="AO532" s="27"/>
      <c r="AP532" s="27"/>
    </row>
    <row r="533" spans="1:42" x14ac:dyDescent="0.2">
      <c r="A533" s="75"/>
      <c r="B533" s="27"/>
      <c r="C533" s="27"/>
      <c r="D533" s="27"/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80"/>
      <c r="Y533" s="80"/>
      <c r="Z533" s="80"/>
      <c r="AA533" s="80"/>
      <c r="AB533" s="80"/>
      <c r="AC533" s="80"/>
      <c r="AD533" s="80"/>
      <c r="AE533" s="80"/>
      <c r="AF533" s="80"/>
      <c r="AG533" s="80"/>
      <c r="AH533" s="80"/>
      <c r="AI533" s="80"/>
      <c r="AJ533" s="80"/>
      <c r="AK533" s="80"/>
      <c r="AL533" s="80"/>
      <c r="AM533" s="80"/>
      <c r="AN533" s="27"/>
      <c r="AO533" s="27"/>
      <c r="AP533" s="27"/>
    </row>
    <row r="534" spans="1:42" x14ac:dyDescent="0.2">
      <c r="A534" s="75"/>
      <c r="B534" s="27"/>
      <c r="C534" s="27"/>
      <c r="D534" s="27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80"/>
      <c r="Y534" s="80"/>
      <c r="Z534" s="80"/>
      <c r="AA534" s="80"/>
      <c r="AB534" s="80"/>
      <c r="AC534" s="80"/>
      <c r="AD534" s="80"/>
      <c r="AE534" s="80"/>
      <c r="AF534" s="80"/>
      <c r="AG534" s="80"/>
      <c r="AH534" s="80"/>
      <c r="AI534" s="80"/>
      <c r="AJ534" s="80"/>
      <c r="AK534" s="80"/>
      <c r="AL534" s="80"/>
      <c r="AM534" s="80"/>
      <c r="AN534" s="27"/>
      <c r="AO534" s="27"/>
      <c r="AP534" s="27"/>
    </row>
    <row r="535" spans="1:42" x14ac:dyDescent="0.2">
      <c r="A535" s="75"/>
      <c r="B535" s="27"/>
      <c r="C535" s="27"/>
      <c r="D535" s="27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80"/>
      <c r="Y535" s="80"/>
      <c r="Z535" s="80"/>
      <c r="AA535" s="80"/>
      <c r="AB535" s="80"/>
      <c r="AC535" s="80"/>
      <c r="AD535" s="80"/>
      <c r="AE535" s="80"/>
      <c r="AF535" s="80"/>
      <c r="AG535" s="80"/>
      <c r="AH535" s="80"/>
      <c r="AI535" s="80"/>
      <c r="AJ535" s="80"/>
      <c r="AK535" s="80"/>
      <c r="AL535" s="80"/>
      <c r="AM535" s="80"/>
      <c r="AN535" s="27"/>
      <c r="AO535" s="27"/>
      <c r="AP535" s="27"/>
    </row>
  </sheetData>
  <sheetProtection algorithmName="SHA-512" hashValue="TWFU7arDZrHZ/z9HDbmINqQPji16tdSsPsG3PcAvMyPKAGQctk8vSRNji57I76i1P7PmdL4krX1XPffAiDWc/A==" saltValue="BRLw0ykV6uRI5ZX+pzIfpw==" spinCount="100000" sheet="1" objects="1" scenarios="1" selectLockedCells="1" selectUnlockedCells="1"/>
  <mergeCells count="56">
    <mergeCell ref="J57:K57"/>
    <mergeCell ref="C124:D124"/>
    <mergeCell ref="B119:C119"/>
    <mergeCell ref="B120:C120"/>
    <mergeCell ref="K91:K93"/>
    <mergeCell ref="B89:C89"/>
    <mergeCell ref="B113:C113"/>
    <mergeCell ref="B112:C112"/>
    <mergeCell ref="B111:C111"/>
    <mergeCell ref="B110:C110"/>
    <mergeCell ref="B109:C109"/>
    <mergeCell ref="B106:I107"/>
    <mergeCell ref="B118:C118"/>
    <mergeCell ref="B117:C117"/>
    <mergeCell ref="B116:C116"/>
    <mergeCell ref="B115:C115"/>
    <mergeCell ref="B114:C114"/>
    <mergeCell ref="B3:D3"/>
    <mergeCell ref="E3:G3"/>
    <mergeCell ref="B9:B10"/>
    <mergeCell ref="B25:C25"/>
    <mergeCell ref="B41:C41"/>
    <mergeCell ref="B11:C11"/>
    <mergeCell ref="B26:I27"/>
    <mergeCell ref="U122:V122"/>
    <mergeCell ref="S3:U3"/>
    <mergeCell ref="R122:S122"/>
    <mergeCell ref="I122:K122"/>
    <mergeCell ref="K107:K109"/>
    <mergeCell ref="K13:K15"/>
    <mergeCell ref="H3:K3"/>
    <mergeCell ref="L3:N3"/>
    <mergeCell ref="P122:Q122"/>
    <mergeCell ref="N122:O122"/>
    <mergeCell ref="O3:R3"/>
    <mergeCell ref="K4:L5"/>
    <mergeCell ref="B74:I75"/>
    <mergeCell ref="B73:C73"/>
    <mergeCell ref="K75:K77"/>
    <mergeCell ref="B90:I91"/>
    <mergeCell ref="R57:S57"/>
    <mergeCell ref="AA57:AB57"/>
    <mergeCell ref="E57:H57"/>
    <mergeCell ref="AB4:AD5"/>
    <mergeCell ref="M4:AA5"/>
    <mergeCell ref="I9:J10"/>
    <mergeCell ref="B4:J5"/>
    <mergeCell ref="G7:J8"/>
    <mergeCell ref="G9:H10"/>
    <mergeCell ref="E7:F8"/>
    <mergeCell ref="E9:F10"/>
    <mergeCell ref="C7:D8"/>
    <mergeCell ref="C9:D10"/>
    <mergeCell ref="B7:B8"/>
    <mergeCell ref="B42:I43"/>
    <mergeCell ref="B57:C57"/>
  </mergeCells>
  <conditionalFormatting sqref="D123">
    <cfRule type="expression" dxfId="0" priority="120">
      <formula>#REF!&lt;0</formula>
    </cfRule>
  </conditionalFormatting>
  <conditionalFormatting sqref="D123">
    <cfRule type="dataBar" priority="1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{4BE5F449-0EA5-45F9-B0DD-BAC4BB0C19A2}</x14:id>
        </ext>
      </extLst>
    </cfRule>
  </conditionalFormatting>
  <conditionalFormatting sqref="G13:G24">
    <cfRule type="colorScale" priority="54">
      <colorScale>
        <cfvo type="min"/>
        <cfvo type="num" val="0"/>
        <cfvo type="max"/>
        <color rgb="FFFF0000"/>
        <color rgb="FF00B0F0"/>
        <color rgb="FF00B050"/>
      </colorScale>
    </cfRule>
  </conditionalFormatting>
  <conditionalFormatting sqref="H13:H24">
    <cfRule type="dataBar" priority="5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{99DD79A5-9E1A-4D97-9A2B-088CA9CF6FBF}</x14:id>
        </ext>
      </extLst>
    </cfRule>
  </conditionalFormatting>
  <conditionalFormatting sqref="G29:G40">
    <cfRule type="colorScale" priority="31">
      <colorScale>
        <cfvo type="min"/>
        <cfvo type="num" val="0"/>
        <cfvo type="max"/>
        <color rgb="FFFF0000"/>
        <color rgb="FF00B0F0"/>
        <color rgb="FF00B050"/>
      </colorScale>
    </cfRule>
  </conditionalFormatting>
  <conditionalFormatting sqref="H29:H40">
    <cfRule type="dataBar" priority="3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{C27FF9D1-13A4-4BE2-8E63-0A5565B77B3A}</x14:id>
        </ext>
      </extLst>
    </cfRule>
  </conditionalFormatting>
  <conditionalFormatting sqref="G45:G56">
    <cfRule type="colorScale" priority="26">
      <colorScale>
        <cfvo type="min"/>
        <cfvo type="num" val="0"/>
        <cfvo type="max"/>
        <color rgb="FFFF0000"/>
        <color rgb="FF00B0F0"/>
        <color rgb="FF00B050"/>
      </colorScale>
    </cfRule>
  </conditionalFormatting>
  <conditionalFormatting sqref="H45:H56">
    <cfRule type="dataBar" priority="2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{C63AFAC2-DD4F-4CA1-A31A-AF7FAFD34538}</x14:id>
        </ext>
      </extLst>
    </cfRule>
  </conditionalFormatting>
  <conditionalFormatting sqref="G61:G72">
    <cfRule type="colorScale" priority="24">
      <colorScale>
        <cfvo type="min"/>
        <cfvo type="num" val="0"/>
        <cfvo type="max"/>
        <color rgb="FFFF0000"/>
        <color rgb="FF00B0F0"/>
        <color rgb="FF00B050"/>
      </colorScale>
    </cfRule>
  </conditionalFormatting>
  <conditionalFormatting sqref="H61:H72">
    <cfRule type="dataBar" priority="2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{720F7BB4-C23A-49AB-B89A-C11DD09D9862}</x14:id>
        </ext>
      </extLst>
    </cfRule>
  </conditionalFormatting>
  <conditionalFormatting sqref="G77:G88">
    <cfRule type="colorScale" priority="22">
      <colorScale>
        <cfvo type="min"/>
        <cfvo type="num" val="0"/>
        <cfvo type="max"/>
        <color rgb="FFFF0000"/>
        <color rgb="FF00B0F0"/>
        <color rgb="FF00B050"/>
      </colorScale>
    </cfRule>
  </conditionalFormatting>
  <conditionalFormatting sqref="H77:H88">
    <cfRule type="dataBar" priority="2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{BBBE189C-C8DE-49AB-97E4-080C86FB9BE5}</x14:id>
        </ext>
      </extLst>
    </cfRule>
  </conditionalFormatting>
  <conditionalFormatting sqref="G93:G104">
    <cfRule type="colorScale" priority="20">
      <colorScale>
        <cfvo type="min"/>
        <cfvo type="num" val="0"/>
        <cfvo type="max"/>
        <color rgb="FFFF0000"/>
        <color rgb="FF00B0F0"/>
        <color rgb="FF00B050"/>
      </colorScale>
    </cfRule>
  </conditionalFormatting>
  <conditionalFormatting sqref="H93:H104">
    <cfRule type="dataBar" priority="1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{E7BB656D-7733-4E7D-954D-75D96AF60F24}</x14:id>
        </ext>
      </extLst>
    </cfRule>
  </conditionalFormatting>
  <conditionalFormatting sqref="H109:H120">
    <cfRule type="colorScale" priority="18">
      <colorScale>
        <cfvo type="min"/>
        <cfvo type="num" val="0"/>
        <cfvo type="max"/>
        <color rgb="FFFF0000"/>
        <color rgb="FF00B0F0"/>
        <color rgb="FF00B050"/>
      </colorScale>
    </cfRule>
  </conditionalFormatting>
  <conditionalFormatting sqref="I13:J24">
    <cfRule type="colorScale" priority="15">
      <colorScale>
        <cfvo type="min"/>
        <cfvo type="percentile" val="50"/>
        <cfvo type="max"/>
        <color theme="1"/>
        <color rgb="FF00B0F0"/>
        <color rgb="FF00B050"/>
      </colorScale>
    </cfRule>
  </conditionalFormatting>
  <conditionalFormatting sqref="I32:J40 I29:I31">
    <cfRule type="colorScale" priority="13">
      <colorScale>
        <cfvo type="min"/>
        <cfvo type="percentile" val="50"/>
        <cfvo type="max"/>
        <color theme="1"/>
        <color rgb="FF00B0F0"/>
        <color rgb="FF00B050"/>
      </colorScale>
    </cfRule>
  </conditionalFormatting>
  <conditionalFormatting sqref="I45:J56">
    <cfRule type="colorScale" priority="12">
      <colorScale>
        <cfvo type="min"/>
        <cfvo type="percentile" val="50"/>
        <cfvo type="max"/>
        <color theme="1"/>
        <color rgb="FF00B0F0"/>
        <color rgb="FF00B050"/>
      </colorScale>
    </cfRule>
  </conditionalFormatting>
  <conditionalFormatting sqref="I61:J72">
    <cfRule type="colorScale" priority="11">
      <colorScale>
        <cfvo type="min"/>
        <cfvo type="percentile" val="50"/>
        <cfvo type="max"/>
        <color theme="1"/>
        <color rgb="FF00B0F0"/>
        <color rgb="FF00B050"/>
      </colorScale>
    </cfRule>
  </conditionalFormatting>
  <conditionalFormatting sqref="I77:J88">
    <cfRule type="colorScale" priority="10">
      <colorScale>
        <cfvo type="min"/>
        <cfvo type="percentile" val="50"/>
        <cfvo type="max"/>
        <color theme="1"/>
        <color rgb="FF00B0F0"/>
        <color rgb="FF00B050"/>
      </colorScale>
    </cfRule>
  </conditionalFormatting>
  <conditionalFormatting sqref="I93:J104">
    <cfRule type="colorScale" priority="9">
      <colorScale>
        <cfvo type="min"/>
        <cfvo type="percentile" val="50"/>
        <cfvo type="max"/>
        <color theme="1"/>
        <color rgb="FF00B0F0"/>
        <color rgb="FF00B050"/>
      </colorScale>
    </cfRule>
  </conditionalFormatting>
  <conditionalFormatting sqref="I109:J120">
    <cfRule type="colorScale" priority="8">
      <colorScale>
        <cfvo type="min"/>
        <cfvo type="percentile" val="50"/>
        <cfvo type="max"/>
        <color theme="1"/>
        <color rgb="FF00B0F0"/>
        <color rgb="FF00B050"/>
      </colorScale>
    </cfRule>
  </conditionalFormatting>
  <conditionalFormatting sqref="J12">
    <cfRule type="colorScale" priority="4">
      <colorScale>
        <cfvo type="min"/>
        <cfvo type="percentile" val="50"/>
        <cfvo type="max"/>
        <color theme="1"/>
        <color rgb="FF00B0F0"/>
        <color rgb="FF00B050"/>
      </colorScale>
    </cfRule>
  </conditionalFormatting>
  <conditionalFormatting sqref="J30:J31">
    <cfRule type="colorScale" priority="3">
      <colorScale>
        <cfvo type="min"/>
        <cfvo type="percentile" val="50"/>
        <cfvo type="max"/>
        <color theme="1"/>
        <color rgb="FF00B0F0"/>
        <color rgb="FF00B050"/>
      </colorScale>
    </cfRule>
  </conditionalFormatting>
  <conditionalFormatting sqref="J26:J29">
    <cfRule type="colorScale" priority="2">
      <colorScale>
        <cfvo type="min"/>
        <cfvo type="percentile" val="50"/>
        <cfvo type="max"/>
        <color theme="1"/>
        <color rgb="FF00B0F0"/>
        <color rgb="FF00B050"/>
      </colorScale>
    </cfRule>
  </conditionalFormatting>
  <conditionalFormatting sqref="J41:J44">
    <cfRule type="colorScale" priority="1">
      <colorScale>
        <cfvo type="min"/>
        <cfvo type="percentile" val="50"/>
        <cfvo type="max"/>
        <color theme="1"/>
        <color rgb="FF00B0F0"/>
        <color rgb="FF00B050"/>
      </colorScale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BE5F449-0EA5-45F9-B0DD-BAC4BB0C19A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D123</xm:sqref>
        </x14:conditionalFormatting>
        <x14:conditionalFormatting xmlns:xm="http://schemas.microsoft.com/office/excel/2006/main">
          <x14:cfRule type="dataBar" id="{99DD79A5-9E1A-4D97-9A2B-088CA9CF6FB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H13:H24</xm:sqref>
        </x14:conditionalFormatting>
        <x14:conditionalFormatting xmlns:xm="http://schemas.microsoft.com/office/excel/2006/main">
          <x14:cfRule type="dataBar" id="{C27FF9D1-13A4-4BE2-8E63-0A5565B77B3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H29:H40</xm:sqref>
        </x14:conditionalFormatting>
        <x14:conditionalFormatting xmlns:xm="http://schemas.microsoft.com/office/excel/2006/main">
          <x14:cfRule type="dataBar" id="{C63AFAC2-DD4F-4CA1-A31A-AF7FAFD3453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H45:H56</xm:sqref>
        </x14:conditionalFormatting>
        <x14:conditionalFormatting xmlns:xm="http://schemas.microsoft.com/office/excel/2006/main">
          <x14:cfRule type="dataBar" id="{720F7BB4-C23A-49AB-B89A-C11DD09D986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H61:H72</xm:sqref>
        </x14:conditionalFormatting>
        <x14:conditionalFormatting xmlns:xm="http://schemas.microsoft.com/office/excel/2006/main">
          <x14:cfRule type="dataBar" id="{BBBE189C-C8DE-49AB-97E4-080C86FB9BE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H77:H88</xm:sqref>
        </x14:conditionalFormatting>
        <x14:conditionalFormatting xmlns:xm="http://schemas.microsoft.com/office/excel/2006/main">
          <x14:cfRule type="dataBar" id="{E7BB656D-7733-4E7D-954D-75D96AF60F2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H93:H104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N59"/>
  <sheetViews>
    <sheetView topLeftCell="U16" workbookViewId="0">
      <selection activeCell="Y19" sqref="Y19"/>
    </sheetView>
  </sheetViews>
  <sheetFormatPr defaultColWidth="9" defaultRowHeight="14.25" x14ac:dyDescent="0.2"/>
  <cols>
    <col min="1" max="17" width="9" style="125"/>
    <col min="18" max="18" width="14.375" style="125" customWidth="1"/>
    <col min="19" max="19" width="9" style="125"/>
    <col min="20" max="20" width="15.25" style="125" customWidth="1"/>
    <col min="21" max="21" width="17.75" style="125" customWidth="1"/>
    <col min="22" max="22" width="11.25" style="125" customWidth="1"/>
    <col min="23" max="23" width="40" style="125" customWidth="1"/>
    <col min="24" max="24" width="12.875" style="125" customWidth="1"/>
    <col min="25" max="16384" width="9" style="125"/>
  </cols>
  <sheetData>
    <row r="1" spans="1:30" x14ac:dyDescent="0.2">
      <c r="A1" s="124"/>
      <c r="B1" s="124"/>
      <c r="C1" s="124" t="s">
        <v>2</v>
      </c>
      <c r="D1" s="125">
        <v>1</v>
      </c>
      <c r="E1" s="125">
        <v>2</v>
      </c>
      <c r="F1" s="125">
        <v>3</v>
      </c>
      <c r="G1" s="125">
        <v>4</v>
      </c>
      <c r="H1" s="125">
        <v>5</v>
      </c>
      <c r="I1" s="125">
        <v>6</v>
      </c>
      <c r="J1" s="125">
        <v>7</v>
      </c>
      <c r="K1" s="125">
        <v>8</v>
      </c>
      <c r="L1" s="125">
        <v>9</v>
      </c>
      <c r="M1" s="125">
        <v>10</v>
      </c>
      <c r="N1" s="125">
        <v>11</v>
      </c>
      <c r="O1" s="125">
        <v>12</v>
      </c>
      <c r="P1" s="126"/>
      <c r="Q1" s="127" t="s">
        <v>21</v>
      </c>
      <c r="R1" s="128" t="s">
        <v>3</v>
      </c>
      <c r="S1" s="128" t="s">
        <v>0</v>
      </c>
      <c r="T1" s="128" t="s">
        <v>1</v>
      </c>
      <c r="U1" s="126" t="s">
        <v>4</v>
      </c>
      <c r="V1" s="126"/>
      <c r="W1" s="128"/>
      <c r="X1" s="126"/>
      <c r="Y1" s="128"/>
      <c r="Z1" s="128"/>
      <c r="AA1" s="126"/>
      <c r="AB1" s="126"/>
      <c r="AC1" s="129"/>
      <c r="AD1" s="126"/>
    </row>
    <row r="2" spans="1:30" x14ac:dyDescent="0.2">
      <c r="A2" s="124" t="str">
        <f>Q2</f>
        <v>QSAU19</v>
      </c>
      <c r="B2" s="124" t="str">
        <f>RTD("cqg.rtd", ,"ContractData",A2, "ContractMonth")</f>
        <v>SEP</v>
      </c>
      <c r="C2" s="130" t="str">
        <f>IF(B2="Jan","F",IF(B2="Feb","G",IF(B2="Mar","H",IF(B2="Apr","J",IF(B2="May","K",IF(B2="JUN","M",IF(B2="Jul","N",IF(B2="Aug","Q",IF(B2="Sep","U",IF(B2="Oct","V",IF(B2="Nov","X",IF(B2="Dec","Z"))))))))))))</f>
        <v>U</v>
      </c>
      <c r="D2" s="125" t="str">
        <f>$Q$1&amp;$C$1&amp;$D$1&amp;$C2</f>
        <v>QSAS1U</v>
      </c>
      <c r="E2" s="125" t="str">
        <f>$Q$1&amp;$C$1&amp;$D$1&amp;$C3</f>
        <v>QSAS1Z</v>
      </c>
      <c r="F2" s="125" t="str">
        <f>$Q$1&amp;$C$1&amp;$D$1&amp;$C4</f>
        <v>QSAS1H</v>
      </c>
      <c r="G2" s="125" t="str">
        <f>$Q$1&amp;$C$1&amp;$D$1&amp;$C5</f>
        <v>QSAS1M</v>
      </c>
      <c r="H2" s="125" t="str">
        <f>$Q$1&amp;$C$1&amp;$D$1&amp;$C6</f>
        <v>QSAS1U</v>
      </c>
      <c r="I2" s="125" t="str">
        <f>$Q$1&amp;$C$1&amp;$D$1&amp;$C7</f>
        <v>QSAS1Z</v>
      </c>
      <c r="J2" s="125" t="str">
        <f>$Q$1&amp;$C$1&amp;$D$1&amp;$C8</f>
        <v>QSAS1H</v>
      </c>
      <c r="K2" s="125" t="str">
        <f>$Q$1&amp;$C$1&amp;$D$1&amp;$C9</f>
        <v>QSAS1M</v>
      </c>
      <c r="L2" s="125" t="str">
        <f>$Q$1&amp;$C$1&amp;$D$1&amp;$C10</f>
        <v>QSAS1U</v>
      </c>
      <c r="M2" s="125" t="str">
        <f>$Q$1&amp;$C$1&amp;$D$1&amp;$C11</f>
        <v>QSAS1Z</v>
      </c>
      <c r="N2" s="125" t="str">
        <f>$Q$1&amp;$C$1&amp;$D$1&amp;$C12</f>
        <v>QSAS1H</v>
      </c>
      <c r="O2" s="125" t="str">
        <f>$Q$1&amp;$C$1&amp;$D$1&amp;$C13</f>
        <v>QSAS1M</v>
      </c>
      <c r="P2" s="126" t="str">
        <f t="shared" ref="P2:P23" si="0">LEFT(RIGHT(Q2,3),1)</f>
        <v>U</v>
      </c>
      <c r="Q2" s="131" t="str">
        <f>RTD("cqg.rtd", ,"ContractData", $Q$1&amp;"?"&amp;R35, "Symbol")</f>
        <v>QSAU19</v>
      </c>
      <c r="R2" s="132">
        <f>RTD("cqg.rtd", ,"ContractData", Q2, $R$1,,"T")</f>
        <v>99.215000000000003</v>
      </c>
      <c r="S2" s="133">
        <f>RTD("cqg.rtd", ,"ContractData", Q2,$S$1,,"T")</f>
        <v>99.210000000000008</v>
      </c>
      <c r="T2" s="133">
        <f>RTD("cqg.rtd", ,"ContractData", Q2,$T$1,,"T")</f>
        <v>99.215000000000003</v>
      </c>
      <c r="U2" s="129">
        <f>RTD("cqg.rtd", ,"ContractData", "F."&amp;$Q$1&amp;"?1", $U$1,,"T")</f>
        <v>1.5000000000000568E-2</v>
      </c>
      <c r="V2" s="126"/>
      <c r="W2" s="129"/>
      <c r="X2" s="129"/>
      <c r="Y2" s="129"/>
      <c r="Z2" s="129"/>
      <c r="AA2" s="129"/>
      <c r="AB2" s="129"/>
      <c r="AC2" s="129"/>
      <c r="AD2" s="129"/>
    </row>
    <row r="3" spans="1:30" x14ac:dyDescent="0.2">
      <c r="A3" s="124" t="str">
        <f t="shared" ref="A3:A13" si="1">Q3</f>
        <v>QSAZ19</v>
      </c>
      <c r="B3" s="124" t="str">
        <f>RTD("cqg.rtd", ,"ContractData",A3, "ContractMonth")</f>
        <v>DEC</v>
      </c>
      <c r="C3" s="130" t="str">
        <f t="shared" ref="C3:C13" si="2">IF(B3="Jan","F",IF(B3="Feb","G",IF(B3="Mar","H",IF(B3="Apr","J",IF(B3="May","K",IF(B3="JUN","M",IF(B3="Jul","N",IF(B3="Aug","Q",IF(B3="Sep","U",IF(B3="Oct","V",IF(B3="Nov","X",IF(B3="Dec","Z"))))))))))))</f>
        <v>Z</v>
      </c>
      <c r="D3" s="125" t="str">
        <f t="shared" ref="D3:D13" si="3">$Q$1&amp;$C$1&amp;$D$1&amp;$C3</f>
        <v>QSAS1Z</v>
      </c>
      <c r="P3" s="126" t="str">
        <f t="shared" si="0"/>
        <v>Z</v>
      </c>
      <c r="Q3" s="131" t="str">
        <f>RTD("cqg.rtd", ,"ContractData", $Q$1&amp;"?"&amp;R36, "Symbol")</f>
        <v>QSAZ19</v>
      </c>
      <c r="R3" s="132">
        <f>RTD("cqg.rtd", ,"ContractData", Q3, $R$1,,"T")</f>
        <v>99.19</v>
      </c>
      <c r="S3" s="133">
        <f>RTD("cqg.rtd", ,"ContractData", Q3,$S$1,,"T")</f>
        <v>99.185000000000002</v>
      </c>
      <c r="T3" s="133">
        <f>RTD("cqg.rtd", ,"ContractData", Q3,$T$1,,"T")</f>
        <v>99.19</v>
      </c>
      <c r="U3" s="129">
        <f>RTD("cqg.rtd", ,"ContractData", "F."&amp;$Q$1&amp;"?2",  $U$1,,"T")</f>
        <v>1.9999999999996021E-2</v>
      </c>
      <c r="V3" s="126"/>
      <c r="W3" s="129"/>
      <c r="X3" s="129"/>
      <c r="Y3" s="129"/>
      <c r="Z3" s="129"/>
      <c r="AA3" s="129"/>
      <c r="AB3" s="129"/>
      <c r="AC3" s="129"/>
      <c r="AD3" s="129"/>
    </row>
    <row r="4" spans="1:30" x14ac:dyDescent="0.2">
      <c r="A4" s="124" t="str">
        <f t="shared" si="1"/>
        <v>QSAH20</v>
      </c>
      <c r="B4" s="124" t="str">
        <f>RTD("cqg.rtd", ,"ContractData",A4, "ContractMonth")</f>
        <v>MAR</v>
      </c>
      <c r="C4" s="130" t="str">
        <f t="shared" si="2"/>
        <v>H</v>
      </c>
      <c r="D4" s="125" t="str">
        <f t="shared" si="3"/>
        <v>QSAS1H</v>
      </c>
      <c r="P4" s="126" t="str">
        <f t="shared" si="0"/>
        <v>H</v>
      </c>
      <c r="Q4" s="131" t="str">
        <f>RTD("cqg.rtd", ,"ContractData", $Q$1&amp;"?"&amp;R37, "Symbol")</f>
        <v>QSAH20</v>
      </c>
      <c r="R4" s="132">
        <f>RTD("cqg.rtd", ,"ContractData", Q4, $R$1,,"T")</f>
        <v>99.23</v>
      </c>
      <c r="S4" s="133">
        <f>RTD("cqg.rtd", ,"ContractData", Q4,$S$1,,"T")</f>
        <v>99.225000000000009</v>
      </c>
      <c r="T4" s="133">
        <f>RTD("cqg.rtd", ,"ContractData", Q4,$T$1,,"T")</f>
        <v>99.23</v>
      </c>
      <c r="U4" s="129">
        <f>RTD("cqg.rtd", ,"ContractData", "F."&amp;$Q$1&amp;"?3",  $U$1,,"T")</f>
        <v>1.9999999999996021E-2</v>
      </c>
      <c r="V4" s="126"/>
      <c r="W4" s="129"/>
      <c r="X4" s="129"/>
      <c r="Y4" s="129"/>
      <c r="Z4" s="129"/>
      <c r="AA4" s="129"/>
      <c r="AB4" s="129"/>
      <c r="AC4" s="129"/>
      <c r="AD4" s="129"/>
    </row>
    <row r="5" spans="1:30" x14ac:dyDescent="0.2">
      <c r="A5" s="124" t="str">
        <f t="shared" si="1"/>
        <v>QSAM20</v>
      </c>
      <c r="B5" s="124" t="str">
        <f>RTD("cqg.rtd", ,"ContractData",A5, "ContractMonth")</f>
        <v>JUN</v>
      </c>
      <c r="C5" s="130" t="str">
        <f t="shared" si="2"/>
        <v>M</v>
      </c>
      <c r="D5" s="125" t="str">
        <f t="shared" si="3"/>
        <v>QSAS1M</v>
      </c>
      <c r="P5" s="126" t="str">
        <f t="shared" si="0"/>
        <v>M</v>
      </c>
      <c r="Q5" s="131" t="str">
        <f>RTD("cqg.rtd", ,"ContractData", $Q$1&amp;"?"&amp;R38, "Symbol")</f>
        <v>QSAM20</v>
      </c>
      <c r="R5" s="132">
        <f>RTD("cqg.rtd", ,"ContractData", Q5, $R$1,,"T")</f>
        <v>99.25</v>
      </c>
      <c r="S5" s="133">
        <f>RTD("cqg.rtd", ,"ContractData", Q5,$S$1,,"T")</f>
        <v>99.245000000000005</v>
      </c>
      <c r="T5" s="133">
        <f>RTD("cqg.rtd", ,"ContractData", Q5,$T$1,,"T")</f>
        <v>99.254999999999995</v>
      </c>
      <c r="U5" s="129">
        <f>RTD("cqg.rtd", ,"ContractData", "F."&amp;$Q$1&amp;"?4",  $U$1,,"T")</f>
        <v>2.4999999999991473E-2</v>
      </c>
      <c r="V5" s="126"/>
      <c r="W5" s="129"/>
      <c r="X5" s="129"/>
      <c r="Y5" s="129"/>
      <c r="Z5" s="129"/>
      <c r="AA5" s="129"/>
      <c r="AB5" s="129"/>
      <c r="AC5" s="129"/>
      <c r="AD5" s="129"/>
    </row>
    <row r="6" spans="1:30" x14ac:dyDescent="0.2">
      <c r="A6" s="124" t="str">
        <f t="shared" si="1"/>
        <v>QSAU20</v>
      </c>
      <c r="B6" s="124" t="str">
        <f>RTD("cqg.rtd", ,"ContractData",A6, "ContractMonth")</f>
        <v>SEP</v>
      </c>
      <c r="C6" s="130" t="str">
        <f t="shared" si="2"/>
        <v>U</v>
      </c>
      <c r="D6" s="125" t="str">
        <f t="shared" si="3"/>
        <v>QSAS1U</v>
      </c>
      <c r="P6" s="126" t="str">
        <f t="shared" si="0"/>
        <v>U</v>
      </c>
      <c r="Q6" s="131" t="str">
        <f>RTD("cqg.rtd", ,"ContractData", $Q$1&amp;"?"&amp;R39, "Symbol")</f>
        <v>QSAU20</v>
      </c>
      <c r="R6" s="132">
        <f>RTD("cqg.rtd", ,"ContractData", Q6, $R$1,,"T")</f>
        <v>99.26</v>
      </c>
      <c r="S6" s="133">
        <f>RTD("cqg.rtd", ,"ContractData", Q6,$S$1,,"T")</f>
        <v>99.254999999999995</v>
      </c>
      <c r="T6" s="133">
        <f>RTD("cqg.rtd", ,"ContractData", Q6,$T$1,,"T")</f>
        <v>99.26</v>
      </c>
      <c r="U6" s="129">
        <f>RTD("cqg.rtd", ,"ContractData", "F."&amp;$Q$1&amp;"?5",  $U$1,,"T")</f>
        <v>1.9999999999996021E-2</v>
      </c>
      <c r="V6" s="126"/>
      <c r="W6" s="129"/>
      <c r="X6" s="129"/>
      <c r="Y6" s="129"/>
      <c r="Z6" s="129"/>
      <c r="AA6" s="129"/>
      <c r="AB6" s="129"/>
      <c r="AC6" s="129"/>
      <c r="AD6" s="129"/>
    </row>
    <row r="7" spans="1:30" x14ac:dyDescent="0.2">
      <c r="A7" s="124" t="str">
        <f t="shared" si="1"/>
        <v>QSAZ20</v>
      </c>
      <c r="B7" s="124" t="str">
        <f>RTD("cqg.rtd", ,"ContractData",A7, "ContractMonth")</f>
        <v>DEC</v>
      </c>
      <c r="C7" s="130" t="str">
        <f t="shared" si="2"/>
        <v>Z</v>
      </c>
      <c r="D7" s="125" t="str">
        <f t="shared" si="3"/>
        <v>QSAS1Z</v>
      </c>
      <c r="P7" s="126" t="str">
        <f t="shared" si="0"/>
        <v>Z</v>
      </c>
      <c r="Q7" s="131" t="str">
        <f>RTD("cqg.rtd", ,"ContractData", $Q$1&amp;"?"&amp;R40, "Symbol")</f>
        <v>QSAZ20</v>
      </c>
      <c r="R7" s="132">
        <f>RTD("cqg.rtd", ,"ContractData", Q7, $R$1,,"T")</f>
        <v>99.240000000000009</v>
      </c>
      <c r="S7" s="133">
        <f>RTD("cqg.rtd", ,"ContractData", Q7,$S$1,,"T")</f>
        <v>99.234999999999999</v>
      </c>
      <c r="T7" s="133">
        <f>RTD("cqg.rtd", ,"ContractData", Q7,$T$1,,"T")</f>
        <v>99.240000000000009</v>
      </c>
      <c r="U7" s="129">
        <f>RTD("cqg.rtd", ,"ContractData", "F."&amp;$Q$1&amp;"?6", $U$1,,"T")</f>
        <v>2.0000000000010232E-2</v>
      </c>
      <c r="V7" s="126"/>
      <c r="W7" s="129"/>
      <c r="X7" s="129"/>
      <c r="Y7" s="129"/>
      <c r="Z7" s="129"/>
      <c r="AA7" s="129"/>
      <c r="AB7" s="129"/>
      <c r="AC7" s="129"/>
      <c r="AD7" s="129"/>
    </row>
    <row r="8" spans="1:30" x14ac:dyDescent="0.2">
      <c r="A8" s="124" t="str">
        <f t="shared" si="1"/>
        <v>QSAH21</v>
      </c>
      <c r="B8" s="124" t="str">
        <f>RTD("cqg.rtd", ,"ContractData",A8, "ContractMonth")</f>
        <v>MAR</v>
      </c>
      <c r="C8" s="130" t="str">
        <f t="shared" si="2"/>
        <v>H</v>
      </c>
      <c r="D8" s="125" t="str">
        <f t="shared" si="3"/>
        <v>QSAS1H</v>
      </c>
      <c r="P8" s="126" t="str">
        <f t="shared" si="0"/>
        <v>H</v>
      </c>
      <c r="Q8" s="131" t="str">
        <f>RTD("cqg.rtd", ,"ContractData", $Q$1&amp;"?"&amp;R41, "Symbol")</f>
        <v>QSAH21</v>
      </c>
      <c r="R8" s="132">
        <f>RTD("cqg.rtd", ,"ContractData", Q8, $R$1,,"T")</f>
        <v>99.25</v>
      </c>
      <c r="S8" s="133">
        <f>RTD("cqg.rtd", ,"ContractData", Q8,$S$1,,"T")</f>
        <v>99.245000000000005</v>
      </c>
      <c r="T8" s="133">
        <f>RTD("cqg.rtd", ,"ContractData", Q8,$T$1,,"T")</f>
        <v>99.25</v>
      </c>
      <c r="U8" s="129">
        <f>RTD("cqg.rtd", ,"ContractData", "F."&amp;$Q$1&amp;"?7", $U$1,,"T")</f>
        <v>1.9999999999996021E-2</v>
      </c>
      <c r="V8" s="126"/>
      <c r="W8" s="129"/>
      <c r="X8" s="129"/>
      <c r="Y8" s="129"/>
      <c r="Z8" s="129"/>
      <c r="AA8" s="129"/>
      <c r="AB8" s="129"/>
      <c r="AC8" s="129"/>
      <c r="AD8" s="129"/>
    </row>
    <row r="9" spans="1:30" x14ac:dyDescent="0.2">
      <c r="A9" s="124" t="str">
        <f t="shared" si="1"/>
        <v>QSAM21</v>
      </c>
      <c r="B9" s="124" t="str">
        <f>RTD("cqg.rtd", ,"ContractData",A9, "ContractMonth")</f>
        <v>JUN</v>
      </c>
      <c r="C9" s="130" t="str">
        <f t="shared" si="2"/>
        <v>M</v>
      </c>
      <c r="D9" s="125" t="str">
        <f t="shared" si="3"/>
        <v>QSAS1M</v>
      </c>
      <c r="P9" s="126" t="str">
        <f t="shared" si="0"/>
        <v>M</v>
      </c>
      <c r="Q9" s="131" t="str">
        <f>RTD("cqg.rtd", ,"ContractData", $Q$1&amp;"?"&amp;R42, "Symbol")</f>
        <v>QSAM21</v>
      </c>
      <c r="R9" s="132">
        <f>RTD("cqg.rtd", ,"ContractData", Q9, $R$1,,"T")</f>
        <v>99.234999999999999</v>
      </c>
      <c r="S9" s="133">
        <f>RTD("cqg.rtd", ,"ContractData", Q9,$S$1,,"T")</f>
        <v>99.23</v>
      </c>
      <c r="T9" s="133">
        <f>RTD("cqg.rtd", ,"ContractData", Q9,$T$1,,"T")</f>
        <v>99.234999999999999</v>
      </c>
      <c r="U9" s="129">
        <f>RTD("cqg.rtd", ,"ContractData", "F."&amp;$Q$1&amp;"?8", $U$1,,"T")</f>
        <v>1.5000000000000568E-2</v>
      </c>
      <c r="V9" s="126"/>
      <c r="W9" s="129"/>
      <c r="X9" s="129"/>
      <c r="Y9" s="129"/>
      <c r="Z9" s="129"/>
      <c r="AA9" s="129"/>
      <c r="AB9" s="129"/>
      <c r="AC9" s="129"/>
      <c r="AD9" s="129"/>
    </row>
    <row r="10" spans="1:30" x14ac:dyDescent="0.2">
      <c r="A10" s="124" t="str">
        <f t="shared" si="1"/>
        <v>QSAU21</v>
      </c>
      <c r="B10" s="124" t="str">
        <f>RTD("cqg.rtd", ,"ContractData",A10, "ContractMonth")</f>
        <v>SEP</v>
      </c>
      <c r="C10" s="130" t="str">
        <f t="shared" si="2"/>
        <v>U</v>
      </c>
      <c r="D10" s="125" t="str">
        <f t="shared" si="3"/>
        <v>QSAS1U</v>
      </c>
      <c r="P10" s="126" t="str">
        <f t="shared" si="0"/>
        <v>U</v>
      </c>
      <c r="Q10" s="131" t="str">
        <f>RTD("cqg.rtd", ,"ContractData", $Q$1&amp;"?"&amp;R43, "Symbol")</f>
        <v>QSAU21</v>
      </c>
      <c r="R10" s="132">
        <f>RTD("cqg.rtd", ,"ContractData", Q10, $R$1,,"T")</f>
        <v>99.215000000000003</v>
      </c>
      <c r="S10" s="133">
        <f>RTD("cqg.rtd", ,"ContractData", Q10,$S$1,,"T")</f>
        <v>99.215000000000003</v>
      </c>
      <c r="T10" s="133">
        <f>RTD("cqg.rtd", ,"ContractData", Q10,$T$1,,"T")</f>
        <v>99.22</v>
      </c>
      <c r="U10" s="129">
        <f>RTD("cqg.rtd", ,"ContractData", "F."&amp;$Q$1&amp;"?9", $U$1,,"T")</f>
        <v>1.0000000000005116E-2</v>
      </c>
      <c r="V10" s="126"/>
      <c r="W10" s="129"/>
      <c r="X10" s="129"/>
      <c r="Y10" s="129"/>
      <c r="Z10" s="129"/>
      <c r="AA10" s="129"/>
      <c r="AB10" s="129"/>
      <c r="AC10" s="129"/>
      <c r="AD10" s="129"/>
    </row>
    <row r="11" spans="1:30" x14ac:dyDescent="0.2">
      <c r="A11" s="124" t="str">
        <f t="shared" si="1"/>
        <v>QSAZ21</v>
      </c>
      <c r="B11" s="124" t="str">
        <f>RTD("cqg.rtd", ,"ContractData",A11, "ContractMonth")</f>
        <v>DEC</v>
      </c>
      <c r="C11" s="130" t="str">
        <f t="shared" si="2"/>
        <v>Z</v>
      </c>
      <c r="D11" s="125" t="str">
        <f t="shared" si="3"/>
        <v>QSAS1Z</v>
      </c>
      <c r="P11" s="126" t="str">
        <f t="shared" si="0"/>
        <v>Z</v>
      </c>
      <c r="Q11" s="131" t="str">
        <f>RTD("cqg.rtd", ,"ContractData", $Q$1&amp;"?"&amp;R44, "Symbol")</f>
        <v>QSAZ21</v>
      </c>
      <c r="R11" s="132">
        <f>RTD("cqg.rtd", ,"ContractData", Q11, $R$1,,"T")</f>
        <v>99.19</v>
      </c>
      <c r="S11" s="133">
        <f>RTD("cqg.rtd", ,"ContractData", Q11,$S$1,,"T")</f>
        <v>99.19</v>
      </c>
      <c r="T11" s="133">
        <f>RTD("cqg.rtd", ,"ContractData", Q11,$T$1,,"T")</f>
        <v>99.195000000000007</v>
      </c>
      <c r="U11" s="129">
        <f>RTD("cqg.rtd", ,"ContractData", "F."&amp;$Q$1&amp;"?10", $U$1,,"T")</f>
        <v>9.9999999999909051E-3</v>
      </c>
      <c r="V11" s="126"/>
      <c r="W11" s="129"/>
      <c r="X11" s="129"/>
      <c r="Y11" s="129"/>
      <c r="Z11" s="129"/>
      <c r="AA11" s="129"/>
      <c r="AB11" s="129"/>
      <c r="AC11" s="129"/>
      <c r="AD11" s="129"/>
    </row>
    <row r="12" spans="1:30" x14ac:dyDescent="0.2">
      <c r="A12" s="124" t="str">
        <f t="shared" si="1"/>
        <v>QSAH22</v>
      </c>
      <c r="B12" s="124" t="str">
        <f>RTD("cqg.rtd", ,"ContractData",A12, "ContractMonth")</f>
        <v>MAR</v>
      </c>
      <c r="C12" s="130" t="str">
        <f t="shared" si="2"/>
        <v>H</v>
      </c>
      <c r="D12" s="125" t="str">
        <f t="shared" si="3"/>
        <v>QSAS1H</v>
      </c>
      <c r="P12" s="126" t="str">
        <f t="shared" si="0"/>
        <v>H</v>
      </c>
      <c r="Q12" s="131" t="str">
        <f>RTD("cqg.rtd", ,"ContractData", $Q$1&amp;"?"&amp;R45, "Symbol")</f>
        <v>QSAH22</v>
      </c>
      <c r="R12" s="132">
        <f>RTD("cqg.rtd", ,"ContractData", Q12, $R$1,,"T")</f>
        <v>99.18</v>
      </c>
      <c r="S12" s="133">
        <f>RTD("cqg.rtd", ,"ContractData", Q12,$S$1,,"T")</f>
        <v>99.174999999999997</v>
      </c>
      <c r="T12" s="133">
        <f>RTD("cqg.rtd", ,"ContractData", Q12,$T$1,,"T")</f>
        <v>99.185000000000002</v>
      </c>
      <c r="U12" s="129">
        <f>RTD("cqg.rtd", ,"ContractData", "F."&amp;$Q$1&amp;"?11",$U$1,,"T")</f>
        <v>1.5000000000000568E-2</v>
      </c>
      <c r="V12" s="126"/>
      <c r="W12" s="129"/>
      <c r="X12" s="129"/>
      <c r="Y12" s="129"/>
      <c r="Z12" s="129"/>
      <c r="AA12" s="129"/>
      <c r="AB12" s="129"/>
      <c r="AC12" s="129"/>
      <c r="AD12" s="129"/>
    </row>
    <row r="13" spans="1:30" x14ac:dyDescent="0.2">
      <c r="A13" s="124" t="str">
        <f t="shared" si="1"/>
        <v>QSAM22</v>
      </c>
      <c r="B13" s="124" t="str">
        <f>RTD("cqg.rtd", ,"ContractData",A13, "ContractMonth")</f>
        <v>JUN</v>
      </c>
      <c r="C13" s="130" t="str">
        <f t="shared" si="2"/>
        <v>M</v>
      </c>
      <c r="D13" s="125" t="str">
        <f t="shared" si="3"/>
        <v>QSAS1M</v>
      </c>
      <c r="P13" s="126" t="str">
        <f t="shared" si="0"/>
        <v>M</v>
      </c>
      <c r="Q13" s="131" t="str">
        <f>RTD("cqg.rtd", ,"ContractData", $Q$1&amp;"?"&amp;R46, "Symbol")</f>
        <v>QSAM22</v>
      </c>
      <c r="R13" s="132">
        <f>RTD("cqg.rtd", ,"ContractData", Q13, $R$1,,"T")</f>
        <v>99.16</v>
      </c>
      <c r="S13" s="133">
        <f>RTD("cqg.rtd", ,"ContractData", Q13,$S$1,,"T")</f>
        <v>99.155000000000001</v>
      </c>
      <c r="T13" s="133">
        <f>RTD("cqg.rtd", ,"ContractData", Q13,$T$1,,"T")</f>
        <v>99.16</v>
      </c>
      <c r="U13" s="129">
        <f>RTD("cqg.rtd", ,"ContractData", "F."&amp;$Q$1&amp;"?12",$U$1,,"T")</f>
        <v>1.5000000000000568E-2</v>
      </c>
      <c r="V13" s="126"/>
      <c r="W13" s="129"/>
      <c r="X13" s="129"/>
      <c r="Y13" s="129"/>
      <c r="Z13" s="129"/>
      <c r="AA13" s="129"/>
      <c r="AB13" s="129"/>
      <c r="AC13" s="129"/>
      <c r="AD13" s="129"/>
    </row>
    <row r="14" spans="1:30" x14ac:dyDescent="0.2">
      <c r="P14" s="126" t="str">
        <f t="shared" si="0"/>
        <v>U</v>
      </c>
      <c r="Q14" s="131" t="str">
        <f>RTD("cqg.rtd", ,"ContractData", $Q$1&amp;"?"&amp;R47, "Symbol")</f>
        <v>QSAU22</v>
      </c>
      <c r="R14" s="132">
        <f>RTD("cqg.rtd", ,"ContractData", Q14, $R$1,,"T")</f>
        <v>99.135000000000005</v>
      </c>
      <c r="S14" s="133">
        <f>RTD("cqg.rtd", ,"ContractData", Q14,$S$1,,"T")</f>
        <v>99.135000000000005</v>
      </c>
      <c r="T14" s="133">
        <f>RTD("cqg.rtd", ,"ContractData", Q14,$T$1,,"T")</f>
        <v>99.14</v>
      </c>
      <c r="U14" s="129">
        <f>RTD("cqg.rtd", ,"ContractData", "F."&amp;$Q$1&amp;"?12",$U$1,,"T")</f>
        <v>1.5000000000000568E-2</v>
      </c>
      <c r="V14" s="126"/>
      <c r="W14" s="129"/>
      <c r="X14" s="129"/>
      <c r="Y14" s="129"/>
      <c r="Z14" s="129"/>
      <c r="AA14" s="129"/>
      <c r="AB14" s="129"/>
      <c r="AC14" s="129"/>
      <c r="AD14" s="129"/>
    </row>
    <row r="15" spans="1:30" x14ac:dyDescent="0.2">
      <c r="P15" s="126" t="str">
        <f t="shared" si="0"/>
        <v>Z</v>
      </c>
      <c r="Q15" s="131" t="str">
        <f>RTD("cqg.rtd", ,"ContractData", $Q$1&amp;"?"&amp;R48, "Symbol")</f>
        <v>QSAZ22</v>
      </c>
      <c r="R15" s="132">
        <f>RTD("cqg.rtd", ,"ContractData", Q15, $R$1,,"T")</f>
        <v>99.115000000000009</v>
      </c>
      <c r="S15" s="133">
        <f>RTD("cqg.rtd", ,"ContractData", Q15,$S$1,,"T")</f>
        <v>99.11</v>
      </c>
      <c r="T15" s="133">
        <f>RTD("cqg.rtd", ,"ContractData", Q15,$T$1,,"T")</f>
        <v>99.115000000000009</v>
      </c>
      <c r="U15" s="129">
        <f>RTD("cqg.rtd", ,"ContractData", "F."&amp;$Q$1&amp;"?12",$U$1,,"T")</f>
        <v>1.5000000000000568E-2</v>
      </c>
      <c r="V15" s="126"/>
      <c r="W15" s="129"/>
      <c r="X15" s="129"/>
      <c r="Y15" s="129"/>
      <c r="Z15" s="129"/>
      <c r="AA15" s="129"/>
      <c r="AB15" s="129"/>
      <c r="AC15" s="129"/>
      <c r="AD15" s="129"/>
    </row>
    <row r="16" spans="1:30" x14ac:dyDescent="0.2">
      <c r="P16" s="126" t="str">
        <f t="shared" si="0"/>
        <v>H</v>
      </c>
      <c r="Q16" s="131" t="str">
        <f>RTD("cqg.rtd", ,"ContractData", $Q$1&amp;"?"&amp;R49, "Symbol")</f>
        <v>QSAH23</v>
      </c>
      <c r="R16" s="132">
        <f>RTD("cqg.rtd", ,"ContractData", Q16, $R$1,,"T")</f>
        <v>99.094999999999999</v>
      </c>
      <c r="S16" s="133">
        <f>RTD("cqg.rtd", ,"ContractData", Q16,$S$1,,"T")</f>
        <v>99.094999999999999</v>
      </c>
      <c r="T16" s="133">
        <f>RTD("cqg.rtd", ,"ContractData", Q16,$T$1,,"T")</f>
        <v>99.100000000000009</v>
      </c>
      <c r="U16" s="129">
        <f>RTD("cqg.rtd", ,"ContractData", "F."&amp;$Q$1&amp;"?12",$U$1,,"T")</f>
        <v>1.5000000000000568E-2</v>
      </c>
      <c r="V16" s="126"/>
      <c r="W16" s="129"/>
      <c r="X16" s="129"/>
      <c r="Y16" s="129"/>
      <c r="Z16" s="129"/>
      <c r="AA16" s="129"/>
      <c r="AB16" s="129"/>
      <c r="AC16" s="129"/>
      <c r="AD16" s="129"/>
    </row>
    <row r="17" spans="2:30" x14ac:dyDescent="0.2">
      <c r="P17" s="126" t="str">
        <f t="shared" si="0"/>
        <v>M</v>
      </c>
      <c r="Q17" s="131" t="str">
        <f>RTD("cqg.rtd", ,"ContractData", $Q$1&amp;"?"&amp;R50, "Symbol")</f>
        <v>QSAM23</v>
      </c>
      <c r="R17" s="132">
        <f>RTD("cqg.rtd", ,"ContractData", Q17, $R$1,,"T")</f>
        <v>99.070000000000007</v>
      </c>
      <c r="S17" s="133">
        <f>RTD("cqg.rtd", ,"ContractData", Q17,$S$1,,"T")</f>
        <v>99.070000000000007</v>
      </c>
      <c r="T17" s="133">
        <f>RTD("cqg.rtd", ,"ContractData", Q17,$T$1,,"T")</f>
        <v>99.075000000000003</v>
      </c>
      <c r="U17" s="129">
        <f>RTD("cqg.rtd", ,"ContractData", "F."&amp;$Q$1&amp;"?12",$U$1,,"T")</f>
        <v>1.5000000000000568E-2</v>
      </c>
      <c r="V17" s="126"/>
      <c r="W17" s="129"/>
      <c r="X17" s="129"/>
      <c r="Y17" s="129"/>
      <c r="Z17" s="129"/>
      <c r="AA17" s="129"/>
      <c r="AB17" s="129"/>
      <c r="AC17" s="129"/>
      <c r="AD17" s="129"/>
    </row>
    <row r="18" spans="2:30" x14ac:dyDescent="0.2">
      <c r="P18" s="126" t="str">
        <f t="shared" si="0"/>
        <v>U</v>
      </c>
      <c r="Q18" s="131" t="str">
        <f>RTD("cqg.rtd", ,"ContractData", $Q$1&amp;"?"&amp;R51, "Symbol")</f>
        <v>QSAU23</v>
      </c>
      <c r="R18" s="132">
        <f>RTD("cqg.rtd", ,"ContractData", Q18, $R$1,,"T")</f>
        <v>99.045000000000002</v>
      </c>
      <c r="S18" s="133">
        <f>RTD("cqg.rtd", ,"ContractData", Q18,$S$1,,"T")</f>
        <v>99.04</v>
      </c>
      <c r="T18" s="133">
        <f>RTD("cqg.rtd", ,"ContractData", Q18,$T$1,,"T")</f>
        <v>99.05</v>
      </c>
      <c r="U18" s="129">
        <f>RTD("cqg.rtd", ,"ContractData", "F."&amp;$Q$1&amp;"?12",$U$1,,"T")</f>
        <v>1.5000000000000568E-2</v>
      </c>
      <c r="V18" s="126"/>
      <c r="W18" s="129"/>
      <c r="X18" s="129"/>
      <c r="Y18" s="129"/>
      <c r="Z18" s="129"/>
      <c r="AA18" s="129"/>
      <c r="AB18" s="129"/>
      <c r="AC18" s="129"/>
      <c r="AD18" s="129"/>
    </row>
    <row r="19" spans="2:30" x14ac:dyDescent="0.2">
      <c r="P19" s="126" t="str">
        <f t="shared" si="0"/>
        <v>Z</v>
      </c>
      <c r="Q19" s="131" t="str">
        <f>RTD("cqg.rtd", ,"ContractData", $Q$1&amp;"?"&amp;R52, "Symbol")</f>
        <v>QSAZ23</v>
      </c>
      <c r="R19" s="132">
        <f>RTD("cqg.rtd", ,"ContractData", Q19, $R$1,,"T")</f>
        <v>99.02</v>
      </c>
      <c r="S19" s="133">
        <f>RTD("cqg.rtd", ,"ContractData", Q19,$S$1,,"T")</f>
        <v>99.01</v>
      </c>
      <c r="T19" s="133">
        <f>RTD("cqg.rtd", ,"ContractData", Q19,$T$1,,"T")</f>
        <v>99.015000000000001</v>
      </c>
      <c r="U19" s="129">
        <f>RTD("cqg.rtd", ,"ContractData", "F."&amp;$Q$1&amp;"?12",$U$1,,"T")</f>
        <v>1.5000000000000568E-2</v>
      </c>
      <c r="V19" s="126"/>
      <c r="W19" s="129"/>
      <c r="X19" s="129"/>
      <c r="Y19" s="129"/>
      <c r="Z19" s="129"/>
      <c r="AA19" s="129"/>
      <c r="AB19" s="129"/>
      <c r="AC19" s="129"/>
      <c r="AD19" s="129"/>
    </row>
    <row r="20" spans="2:30" x14ac:dyDescent="0.2">
      <c r="P20" s="126" t="str">
        <f t="shared" si="0"/>
        <v>H</v>
      </c>
      <c r="Q20" s="131" t="str">
        <f>RTD("cqg.rtd", ,"ContractData", $Q$1&amp;"?"&amp;R53, "Symbol")</f>
        <v>QSAH24</v>
      </c>
      <c r="R20" s="132">
        <f>RTD("cqg.rtd", ,"ContractData", Q20, $R$1,,"T")</f>
        <v>98.995000000000005</v>
      </c>
      <c r="S20" s="133">
        <f>RTD("cqg.rtd", ,"ContractData", Q20,$S$1,,"T")</f>
        <v>98.990000000000009</v>
      </c>
      <c r="T20" s="133">
        <f>RTD("cqg.rtd", ,"ContractData", Q20,$T$1,,"T")</f>
        <v>99</v>
      </c>
      <c r="U20" s="129">
        <f>RTD("cqg.rtd", ,"ContractData", "F."&amp;$Q$1&amp;"?12",$U$1,,"T")</f>
        <v>1.5000000000000568E-2</v>
      </c>
      <c r="V20" s="126"/>
      <c r="W20" s="129"/>
      <c r="X20" s="129"/>
      <c r="Y20" s="129"/>
      <c r="Z20" s="129"/>
      <c r="AA20" s="129"/>
      <c r="AB20" s="129"/>
      <c r="AC20" s="129"/>
      <c r="AD20" s="129"/>
    </row>
    <row r="21" spans="2:30" x14ac:dyDescent="0.2">
      <c r="P21" s="126" t="str">
        <f t="shared" si="0"/>
        <v>M</v>
      </c>
      <c r="Q21" s="131" t="str">
        <f>RTD("cqg.rtd", ,"ContractData", $Q$1&amp;"?"&amp;R54, "Symbol")</f>
        <v>QSAM24</v>
      </c>
      <c r="R21" s="132">
        <f>RTD("cqg.rtd", ,"ContractData", Q21, $R$1,,"T")</f>
        <v>98.965000000000003</v>
      </c>
      <c r="S21" s="133">
        <f>RTD("cqg.rtd", ,"ContractData", Q21,$S$1,,"T")</f>
        <v>98.965000000000003</v>
      </c>
      <c r="T21" s="133">
        <f>RTD("cqg.rtd", ,"ContractData", Q21,$T$1,,"T")</f>
        <v>98.975000000000009</v>
      </c>
      <c r="U21" s="129">
        <f>RTD("cqg.rtd", ,"ContractData", "F."&amp;$Q$1&amp;"?12",$U$1,,"T")</f>
        <v>1.5000000000000568E-2</v>
      </c>
      <c r="V21" s="126"/>
      <c r="W21" s="129"/>
      <c r="X21" s="129"/>
      <c r="Y21" s="129"/>
      <c r="Z21" s="129"/>
      <c r="AA21" s="129"/>
      <c r="AB21" s="129"/>
      <c r="AC21" s="129"/>
      <c r="AD21" s="129"/>
    </row>
    <row r="22" spans="2:30" x14ac:dyDescent="0.2">
      <c r="P22" s="126" t="str">
        <f t="shared" si="0"/>
        <v>U</v>
      </c>
      <c r="Q22" s="131" t="str">
        <f>RTD("cqg.rtd", ,"ContractData", $Q$1&amp;"?"&amp;R55, "Symbol")</f>
        <v>QSAU24</v>
      </c>
      <c r="R22" s="132">
        <f>RTD("cqg.rtd", ,"ContractData", Q22, $R$1,,"T")</f>
        <v>98.97</v>
      </c>
      <c r="S22" s="133">
        <f>RTD("cqg.rtd", ,"ContractData", Q22,$S$1,,"T")</f>
        <v>98.935000000000002</v>
      </c>
      <c r="T22" s="133">
        <f>RTD("cqg.rtd", ,"ContractData", Q22,$T$1,,"T")</f>
        <v>98.95</v>
      </c>
      <c r="U22" s="129">
        <f>RTD("cqg.rtd", ,"ContractData", "F."&amp;$Q$1&amp;"?12",$U$1,,"T")</f>
        <v>1.5000000000000568E-2</v>
      </c>
      <c r="V22" s="126"/>
      <c r="W22" s="129"/>
      <c r="X22" s="129"/>
      <c r="Y22" s="129"/>
      <c r="Z22" s="129"/>
      <c r="AA22" s="129"/>
      <c r="AB22" s="129"/>
      <c r="AC22" s="129"/>
      <c r="AD22" s="129"/>
    </row>
    <row r="23" spans="2:30" x14ac:dyDescent="0.2">
      <c r="P23" s="126" t="str">
        <f t="shared" si="0"/>
        <v>Z</v>
      </c>
      <c r="Q23" s="131" t="str">
        <f>RTD("cqg.rtd", ,"ContractData", $Q$1&amp;"?"&amp;R56, "Symbol")</f>
        <v>QSAZ24</v>
      </c>
      <c r="R23" s="132" t="str">
        <f>RTD("cqg.rtd", ,"ContractData", Q23, $R$1,,"T")</f>
        <v/>
      </c>
      <c r="S23" s="133">
        <f>RTD("cqg.rtd", ,"ContractData", Q23,$S$1,,"T")</f>
        <v>98.9</v>
      </c>
      <c r="T23" s="133">
        <f>RTD("cqg.rtd", ,"ContractData", Q23,$T$1,,"T")</f>
        <v>98.924999999999997</v>
      </c>
      <c r="U23" s="129">
        <f>RTD("cqg.rtd", ,"ContractData", "F."&amp;$Q$1&amp;"?12",$U$1,,"T")</f>
        <v>1.5000000000000568E-2</v>
      </c>
      <c r="V23" s="126"/>
      <c r="W23" s="129"/>
      <c r="X23" s="129"/>
      <c r="Y23" s="129"/>
      <c r="Z23" s="129"/>
      <c r="AA23" s="129"/>
      <c r="AB23" s="129"/>
      <c r="AC23" s="129"/>
      <c r="AD23" s="129"/>
    </row>
    <row r="24" spans="2:30" x14ac:dyDescent="0.2">
      <c r="T24" s="134"/>
      <c r="U24" s="134"/>
      <c r="V24" s="134"/>
      <c r="X24" s="134"/>
      <c r="Y24" s="134"/>
      <c r="Z24" s="134"/>
      <c r="AB24" s="134"/>
      <c r="AC24" s="134"/>
    </row>
    <row r="25" spans="2:30" x14ac:dyDescent="0.2">
      <c r="B25" s="125" t="s">
        <v>14</v>
      </c>
      <c r="C25" s="125" t="s">
        <v>15</v>
      </c>
      <c r="D25" s="125" t="s">
        <v>16</v>
      </c>
      <c r="E25" s="125" t="s">
        <v>14</v>
      </c>
      <c r="F25" s="125" t="s">
        <v>15</v>
      </c>
      <c r="G25" s="125" t="s">
        <v>16</v>
      </c>
      <c r="T25" s="134"/>
      <c r="U25" s="134"/>
      <c r="V25" s="134"/>
      <c r="X25" s="134"/>
      <c r="Y25" s="134"/>
      <c r="Z25" s="134"/>
    </row>
    <row r="26" spans="2:30" x14ac:dyDescent="0.2">
      <c r="B26" s="135">
        <f>IF(RTD("cqg.rtd",,"StudyData",Q2,  "Bar",, "Close","D","-1","All",,,,"T")="",NA(),RTD("cqg.rtd",,"StudyData",Q2,  "Bar",, "Close","D","-1","All",,,,"T"))</f>
        <v>99.2</v>
      </c>
      <c r="C26" s="135">
        <f xml:space="preserve"> IF(RTD("cqg.rtd",,"StudyData",Q2,  "Bar",, "Close","D","-5","All",,,,"T")="",NA(),RTD("cqg.rtd",,"StudyData",Q2,  "Bar",, "Close","D","-5","All",,,,"T"))</f>
        <v>99.174999999999997</v>
      </c>
      <c r="D26" s="135">
        <f xml:space="preserve"> IF(RTD("cqg.rtd",,"StudyData",Q2,  "Bar",, "Close","D","-20","All",,,,"T")="",NA(),RTD("cqg.rtd",,"StudyData",Q2,  "Bar",, "Close","D","-20","All",,,,"T"))</f>
        <v>99.19</v>
      </c>
      <c r="E26" s="135">
        <f>IFERROR(R2-B26,NA())</f>
        <v>1.5000000000000568E-2</v>
      </c>
      <c r="F26" s="135">
        <f>IFERROR(R2-C26,NA())</f>
        <v>4.0000000000006253E-2</v>
      </c>
      <c r="G26" s="135">
        <f>IFERROR(R2-D26,NA())</f>
        <v>2.5000000000005684E-2</v>
      </c>
      <c r="T26" s="134"/>
      <c r="U26" s="134"/>
      <c r="V26" s="134"/>
      <c r="X26" s="134"/>
      <c r="Y26" s="134"/>
      <c r="Z26" s="134"/>
    </row>
    <row r="27" spans="2:30" x14ac:dyDescent="0.2">
      <c r="B27" s="135">
        <f>IF(RTD("cqg.rtd",,"StudyData",Q3,  "Bar",, "Close","D","-1","All",,,,"T")="",NA(),RTD("cqg.rtd",,"StudyData",Q3,  "Bar",, "Close","D","-1","All",,,,"T"))</f>
        <v>99.17</v>
      </c>
      <c r="C27" s="135">
        <f xml:space="preserve"> IF(RTD("cqg.rtd",,"StudyData",Q3,  "Bar",, "Close","D","-5","All",,,,"T")="",NA(),RTD("cqg.rtd",,"StudyData",Q3,  "Bar",, "Close","D","-5","All",,,,"T"))</f>
        <v>99.15</v>
      </c>
      <c r="D27" s="135">
        <f xml:space="preserve"> IF(RTD("cqg.rtd",,"StudyData",Q3,  "Bar",, "Close","D","-20","All",,,,"T")="",NA(),RTD("cqg.rtd",,"StudyData",Q3,  "Bar",, "Close","D","-20","All",,,,"T"))</f>
        <v>99.15</v>
      </c>
      <c r="E27" s="135">
        <f t="shared" ref="E27:E45" si="4">IFERROR(R3-B27,NA())</f>
        <v>1.9999999999996021E-2</v>
      </c>
      <c r="F27" s="135">
        <f t="shared" ref="F27:F45" si="5">IFERROR(R3-C27,NA())</f>
        <v>3.9999999999992042E-2</v>
      </c>
      <c r="G27" s="135">
        <f t="shared" ref="G27:G45" si="6">IFERROR(R3-D27,NA())</f>
        <v>3.9999999999992042E-2</v>
      </c>
      <c r="T27" s="134"/>
      <c r="U27" s="134"/>
      <c r="V27" s="134"/>
      <c r="X27" s="134"/>
      <c r="Y27" s="134"/>
      <c r="Z27" s="134"/>
    </row>
    <row r="28" spans="2:30" x14ac:dyDescent="0.2">
      <c r="B28" s="135">
        <f>IF(RTD("cqg.rtd",,"StudyData",Q4,  "Bar",, "Close","D","-1","All",,,,"T")="",NA(),RTD("cqg.rtd",,"StudyData",Q4,  "Bar",, "Close","D","-1","All",,,,"T"))</f>
        <v>99.21</v>
      </c>
      <c r="C28" s="135">
        <f xml:space="preserve"> IF(RTD("cqg.rtd",,"StudyData",Q4,  "Bar",, "Close","D","-5","All",,,,"T")="",NA(),RTD("cqg.rtd",,"StudyData",Q4,  "Bar",, "Close","D","-5","All",,,,"T"))</f>
        <v>99.194999999999993</v>
      </c>
      <c r="D28" s="135">
        <f xml:space="preserve"> IF(RTD("cqg.rtd",,"StudyData",Q4,  "Bar",, "Close","D","-20","All",,,,"T")="",NA(),RTD("cqg.rtd",,"StudyData",Q4,  "Bar",, "Close","D","-20","All",,,,"T"))</f>
        <v>99.185000000000002</v>
      </c>
      <c r="E28" s="135">
        <f t="shared" si="4"/>
        <v>2.0000000000010232E-2</v>
      </c>
      <c r="F28" s="135">
        <f t="shared" si="5"/>
        <v>3.50000000000108E-2</v>
      </c>
      <c r="G28" s="135">
        <f t="shared" si="6"/>
        <v>4.5000000000001705E-2</v>
      </c>
      <c r="T28" s="134"/>
      <c r="U28" s="134"/>
      <c r="V28" s="134"/>
      <c r="X28" s="134"/>
      <c r="Y28" s="134"/>
      <c r="Z28" s="134"/>
    </row>
    <row r="29" spans="2:30" x14ac:dyDescent="0.2">
      <c r="B29" s="135">
        <f>IF(RTD("cqg.rtd",,"StudyData",Q5,  "Bar",, "Close","D","-1","All",,,,"T")="",NA(),RTD("cqg.rtd",,"StudyData",Q5,  "Bar",, "Close","D","-1","All",,,,"T"))</f>
        <v>99.224999999999994</v>
      </c>
      <c r="C29" s="135">
        <f xml:space="preserve"> IF(RTD("cqg.rtd",,"StudyData",Q5,  "Bar",, "Close","D","-5","All",,,,"T")="",NA(),RTD("cqg.rtd",,"StudyData",Q5,  "Bar",, "Close","D","-5","All",,,,"T"))</f>
        <v>99.215000000000003</v>
      </c>
      <c r="D29" s="135">
        <f xml:space="preserve"> IF(RTD("cqg.rtd",,"StudyData",Q5,  "Bar",, "Close","D","-20","All",,,,"T")="",NA(),RTD("cqg.rtd",,"StudyData",Q5,  "Bar",, "Close","D","-20","All",,,,"T"))</f>
        <v>99.18</v>
      </c>
      <c r="E29" s="135">
        <f t="shared" si="4"/>
        <v>2.5000000000005684E-2</v>
      </c>
      <c r="F29" s="135">
        <f t="shared" si="5"/>
        <v>3.4999999999996589E-2</v>
      </c>
      <c r="G29" s="135">
        <f t="shared" si="6"/>
        <v>6.9999999999993179E-2</v>
      </c>
      <c r="T29" s="134"/>
      <c r="U29" s="134"/>
      <c r="V29" s="134"/>
      <c r="X29" s="134"/>
      <c r="Y29" s="134"/>
      <c r="Z29" s="134"/>
    </row>
    <row r="30" spans="2:30" x14ac:dyDescent="0.2">
      <c r="B30" s="135">
        <f>IF(RTD("cqg.rtd",,"StudyData",Q6,  "Bar",, "Close","D","-1","All",,,,"T")="",NA(),RTD("cqg.rtd",,"StudyData",Q6,  "Bar",, "Close","D","-1","All",,,,"T"))</f>
        <v>99.24</v>
      </c>
      <c r="C30" s="135">
        <f xml:space="preserve"> IF(RTD("cqg.rtd",,"StudyData",Q6,  "Bar",, "Close","D","-5","All",,,,"T")="",NA(),RTD("cqg.rtd",,"StudyData",Q6,  "Bar",, "Close","D","-5","All",,,,"T"))</f>
        <v>99.23</v>
      </c>
      <c r="D30" s="135">
        <f xml:space="preserve"> IF(RTD("cqg.rtd",,"StudyData",Q6,  "Bar",, "Close","D","-20","All",,,,"T")="",NA(),RTD("cqg.rtd",,"StudyData",Q6,  "Bar",, "Close","D","-20","All",,,,"T"))</f>
        <v>99.155000000000001</v>
      </c>
      <c r="E30" s="135">
        <f t="shared" si="4"/>
        <v>2.0000000000010232E-2</v>
      </c>
      <c r="F30" s="135">
        <f t="shared" si="5"/>
        <v>3.0000000000001137E-2</v>
      </c>
      <c r="G30" s="135">
        <f t="shared" si="6"/>
        <v>0.10500000000000398</v>
      </c>
      <c r="T30" s="134"/>
      <c r="U30" s="134"/>
      <c r="V30" s="134"/>
      <c r="X30" s="134"/>
      <c r="Y30" s="134"/>
      <c r="Z30" s="134"/>
    </row>
    <row r="31" spans="2:30" x14ac:dyDescent="0.2">
      <c r="B31" s="135">
        <f>IF(RTD("cqg.rtd",,"StudyData",Q7,  "Bar",, "Close","D","-1","All",,,,"T")="",NA(),RTD("cqg.rtd",,"StudyData",Q7,  "Bar",, "Close","D","-1","All",,,,"T"))</f>
        <v>99.22</v>
      </c>
      <c r="C31" s="135">
        <f xml:space="preserve"> IF(RTD("cqg.rtd",,"StudyData",Q7,  "Bar",, "Close","D","-5","All",,,,"T")="",NA(),RTD("cqg.rtd",,"StudyData",Q7,  "Bar",, "Close","D","-5","All",,,,"T"))</f>
        <v>99.22</v>
      </c>
      <c r="D31" s="135">
        <f xml:space="preserve"> IF(RTD("cqg.rtd",,"StudyData",Q7,  "Bar",, "Close","D","-20","All",,,,"T")="",NA(),RTD("cqg.rtd",,"StudyData",Q7,  "Bar",, "Close","D","-20","All",,,,"T"))</f>
        <v>99.12</v>
      </c>
      <c r="E31" s="135">
        <f t="shared" si="4"/>
        <v>2.0000000000010232E-2</v>
      </c>
      <c r="F31" s="135">
        <f t="shared" si="5"/>
        <v>2.0000000000010232E-2</v>
      </c>
      <c r="G31" s="135">
        <f t="shared" si="6"/>
        <v>0.12000000000000455</v>
      </c>
      <c r="T31" s="134"/>
      <c r="U31" s="134"/>
      <c r="V31" s="134"/>
      <c r="W31" s="125" t="str">
        <f>RTD("cqg.rtd",,"ContractData",U35,"LongDescription",, "T")</f>
        <v>Short Sterling Calendar Spread 12, Sep 19, Sep 20</v>
      </c>
      <c r="X31" s="134"/>
      <c r="Y31" s="134"/>
      <c r="Z31" s="134"/>
    </row>
    <row r="32" spans="2:30" x14ac:dyDescent="0.2">
      <c r="B32" s="135">
        <f>IF(RTD("cqg.rtd",,"StudyData",Q8,  "Bar",, "Close","D","-1","All",,,,"T")="",NA(),RTD("cqg.rtd",,"StudyData",Q8,  "Bar",, "Close","D","-1","All",,,,"T"))</f>
        <v>99.23</v>
      </c>
      <c r="C32" s="135">
        <f xml:space="preserve"> IF(RTD("cqg.rtd",,"StudyData",Q8,  "Bar",, "Close","D","-5","All",,,,"T")="",NA(),RTD("cqg.rtd",,"StudyData",Q8,  "Bar",, "Close","D","-5","All",,,,"T"))</f>
        <v>99.22</v>
      </c>
      <c r="D32" s="135">
        <f xml:space="preserve"> IF(RTD("cqg.rtd",,"StudyData",Q8,  "Bar",, "Close","D","-20","All",,,,"T")="",NA(),RTD("cqg.rtd",,"StudyData",Q8,  "Bar",, "Close","D","-20","All",,,,"T"))</f>
        <v>99.11</v>
      </c>
      <c r="E32" s="135">
        <f t="shared" si="4"/>
        <v>1.9999999999996021E-2</v>
      </c>
      <c r="F32" s="135">
        <f t="shared" si="5"/>
        <v>3.0000000000001137E-2</v>
      </c>
      <c r="G32" s="135">
        <f t="shared" si="6"/>
        <v>0.14000000000000057</v>
      </c>
      <c r="T32" s="134"/>
      <c r="U32" s="134"/>
      <c r="V32" s="134"/>
      <c r="X32" s="134"/>
      <c r="Y32" s="134"/>
      <c r="Z32" s="134"/>
    </row>
    <row r="33" spans="2:40" x14ac:dyDescent="0.2">
      <c r="B33" s="135">
        <f>IF(RTD("cqg.rtd",,"StudyData",Q9,  "Bar",, "Close","D","-1","All",,,,"T")="",NA(),RTD("cqg.rtd",,"StudyData",Q9,  "Bar",, "Close","D","-1","All",,,,"T"))</f>
        <v>99.22</v>
      </c>
      <c r="C33" s="135">
        <f xml:space="preserve"> IF(RTD("cqg.rtd",,"StudyData",Q9,  "Bar",, "Close","D","-5","All",,,,"T")="",NA(),RTD("cqg.rtd",,"StudyData",Q9,  "Bar",, "Close","D","-5","All",,,,"T"))</f>
        <v>99.204999999999998</v>
      </c>
      <c r="D33" s="135">
        <f xml:space="preserve"> IF(RTD("cqg.rtd",,"StudyData",Q9,  "Bar",, "Close","D","-20","All",,,,"T")="",NA(),RTD("cqg.rtd",,"StudyData",Q9,  "Bar",, "Close","D","-20","All",,,,"T"))</f>
        <v>99.09</v>
      </c>
      <c r="E33" s="135">
        <f t="shared" si="4"/>
        <v>1.5000000000000568E-2</v>
      </c>
      <c r="F33" s="135">
        <f t="shared" si="5"/>
        <v>3.0000000000001137E-2</v>
      </c>
      <c r="G33" s="135">
        <f t="shared" si="6"/>
        <v>0.14499999999999602</v>
      </c>
      <c r="T33" s="134"/>
      <c r="U33" s="134"/>
      <c r="V33" s="134"/>
    </row>
    <row r="34" spans="2:40" x14ac:dyDescent="0.2">
      <c r="B34" s="135">
        <f>IF(RTD("cqg.rtd",,"StudyData",Q10,  "Bar",, "Close","D","-1","All",,,,"T")="",NA(),RTD("cqg.rtd",,"StudyData",Q10,  "Bar",, "Close","D","-1","All",,,,"T"))</f>
        <v>99.204999999999998</v>
      </c>
      <c r="C34" s="135">
        <f xml:space="preserve"> IF(RTD("cqg.rtd",,"StudyData",Q10,  "Bar",, "Close","D","-5","All",,,,"T")="",NA(),RTD("cqg.rtd",,"StudyData",Q10,  "Bar",, "Close","D","-5","All",,,,"T"))</f>
        <v>99.19</v>
      </c>
      <c r="D34" s="135">
        <f xml:space="preserve"> IF(RTD("cqg.rtd",,"StudyData",Q10,  "Bar",, "Close","D","-20","All",,,,"T")="",NA(),RTD("cqg.rtd",,"StudyData",Q10,  "Bar",, "Close","D","-20","All",,,,"T"))</f>
        <v>99.064999999999998</v>
      </c>
      <c r="E34" s="135">
        <f t="shared" si="4"/>
        <v>1.0000000000005116E-2</v>
      </c>
      <c r="F34" s="135">
        <f t="shared" si="5"/>
        <v>2.5000000000005684E-2</v>
      </c>
      <c r="G34" s="135">
        <f t="shared" si="6"/>
        <v>0.15000000000000568</v>
      </c>
      <c r="R34" s="125" t="s">
        <v>5</v>
      </c>
      <c r="T34" s="134"/>
      <c r="U34" s="134"/>
      <c r="V34" s="134"/>
      <c r="X34" s="125" t="s">
        <v>14</v>
      </c>
      <c r="Y34" s="125" t="s">
        <v>15</v>
      </c>
      <c r="Z34" s="125" t="s">
        <v>16</v>
      </c>
      <c r="AA34" s="125" t="s">
        <v>14</v>
      </c>
      <c r="AB34" s="125" t="s">
        <v>15</v>
      </c>
      <c r="AC34" s="125" t="s">
        <v>16</v>
      </c>
      <c r="AE34" s="134"/>
      <c r="AF34" s="134"/>
      <c r="AG34" s="134"/>
      <c r="AI34" s="125" t="s">
        <v>14</v>
      </c>
      <c r="AJ34" s="125" t="s">
        <v>15</v>
      </c>
      <c r="AK34" s="125" t="s">
        <v>16</v>
      </c>
      <c r="AL34" s="125" t="s">
        <v>14</v>
      </c>
      <c r="AM34" s="125" t="s">
        <v>15</v>
      </c>
      <c r="AN34" s="125" t="s">
        <v>16</v>
      </c>
    </row>
    <row r="35" spans="2:40" x14ac:dyDescent="0.2">
      <c r="B35" s="135">
        <f>IF(RTD("cqg.rtd",,"StudyData",Q11,  "Bar",, "Close","D","-1","All",,,,"T")="",NA(),RTD("cqg.rtd",,"StudyData",Q11,  "Bar",, "Close","D","-1","All",,,,"T"))</f>
        <v>99.18</v>
      </c>
      <c r="C35" s="135">
        <f xml:space="preserve"> IF(RTD("cqg.rtd",,"StudyData",Q11,  "Bar",, "Close","D","-5","All",,,,"T")="",NA(),RTD("cqg.rtd",,"StudyData",Q11,  "Bar",, "Close","D","-5","All",,,,"T"))</f>
        <v>99.165000000000006</v>
      </c>
      <c r="D35" s="135">
        <f xml:space="preserve"> IF(RTD("cqg.rtd",,"StudyData",Q11,  "Bar",, "Close","D","-20","All",,,,"T")="",NA(),RTD("cqg.rtd",,"StudyData",Q11,  "Bar",, "Close","D","-20","All",,,,"T"))</f>
        <v>99.034999999999997</v>
      </c>
      <c r="E35" s="135">
        <f t="shared" si="4"/>
        <v>9.9999999999909051E-3</v>
      </c>
      <c r="F35" s="135">
        <f t="shared" si="5"/>
        <v>2.4999999999991473E-2</v>
      </c>
      <c r="G35" s="135">
        <f t="shared" si="6"/>
        <v>0.15500000000000114</v>
      </c>
      <c r="R35" s="125">
        <v>1</v>
      </c>
      <c r="S35" s="125" t="str">
        <f>RTD("cqg.rtd",,"ContractData",Q1&amp;"?1", "Symbol")</f>
        <v>QSAU19</v>
      </c>
      <c r="T35" s="136">
        <v>1</v>
      </c>
      <c r="U35" s="134" t="str">
        <f t="shared" ref="U35:U54" si="7">"QSAS12?"&amp;""&amp;T35</f>
        <v>QSAS12?1</v>
      </c>
      <c r="V35" s="137">
        <f>IF(RTD("cqg.rtd", ,"ContractData", U35,"LastTradeorSettle",,"T")="",NA(),RTD("cqg.rtd", ,"ContractData", U35,"LastTradeorSettle",,"T"))</f>
        <v>-4.4999999999999998E-2</v>
      </c>
      <c r="X35" s="137">
        <f xml:space="preserve"> IF(RTD("cqg.rtd",,"StudyData",U35,  "Bar",, "Close","D","-1","All",,,,"T")="",NA(),RTD("cqg.rtd",,"StudyData",U35,  "Bar",, "Close","D","-1","All",,,,"T"))</f>
        <v>-3.5000000000000003E-2</v>
      </c>
      <c r="Y35" s="137">
        <f>IF( RTD("cqg.rtd",,"StudyData",U35,  "Bar",, "Close","D","-5","All",,,,"T")="",NA(), RTD("cqg.rtd",,"StudyData",U35,  "Bar",, "Close","D","-5","All",,,,"T"))</f>
        <v>-0.05</v>
      </c>
      <c r="Z35" s="137">
        <f>IF(RTD("cqg.rtd",,"StudyData",U35,  "Bar",, "Close","D","-20","All",,,,"T")="",NA(),RTD("cqg.rtd",,"StudyData",U35,  "Bar",, "Close","D","-20","All",,,,"T"))</f>
        <v>0.03</v>
      </c>
      <c r="AA35" s="137">
        <f>IFERROR($V35-X35,NA())</f>
        <v>-9.999999999999995E-3</v>
      </c>
      <c r="AB35" s="137">
        <f>IFERROR($V35-Y35,NA())</f>
        <v>5.0000000000000044E-3</v>
      </c>
      <c r="AC35" s="137">
        <f>IFERROR($V35-Z35,NA())</f>
        <v>-7.4999999999999997E-2</v>
      </c>
      <c r="AE35" s="136">
        <v>1</v>
      </c>
      <c r="AF35" s="134" t="str">
        <f t="shared" ref="AF35:AF54" si="8">"QSAS3?"&amp;""&amp;AE35</f>
        <v>QSAS3?1</v>
      </c>
      <c r="AG35" s="137">
        <f>IF(RTD("cqg.rtd", ,"ContractData", AF35,"LastTradeorSettle",,"T")="",NA(),RTD("cqg.rtd", ,"ContractData", AF35,"LastTradeorSettle",,"T"))</f>
        <v>2.5000000000000001E-2</v>
      </c>
      <c r="AH35" s="137"/>
      <c r="AI35" s="137">
        <f xml:space="preserve"> RTD("cqg.rtd",,"StudyData",AF35,  "Bar",, "Close","D","-1","All",,,,"T")</f>
        <v>0.03</v>
      </c>
      <c r="AJ35" s="137">
        <f xml:space="preserve"> RTD("cqg.rtd",,"StudyData",AF35,  "Bar",, "Close","D","-5","All",,,,"T")</f>
        <v>0.03</v>
      </c>
      <c r="AK35" s="137">
        <f xml:space="preserve"> RTD("cqg.rtd",,"StudyData",AF35,  "Bar",, "Close","D","-20","All",,,,"T")</f>
        <v>3.5000000000000003E-2</v>
      </c>
      <c r="AL35" s="137">
        <f>$AG35-$AI35</f>
        <v>-4.9999999999999975E-3</v>
      </c>
      <c r="AM35" s="137">
        <f>$AG35-$AJ35</f>
        <v>-4.9999999999999975E-3</v>
      </c>
      <c r="AN35" s="137">
        <f>$AG35-$AK35</f>
        <v>-1.0000000000000002E-2</v>
      </c>
    </row>
    <row r="36" spans="2:40" x14ac:dyDescent="0.2">
      <c r="B36" s="135">
        <f>IF(RTD("cqg.rtd",,"StudyData",Q12,  "Bar",, "Close","D","-1","All",,,,"T")="",NA(),RTD("cqg.rtd",,"StudyData",Q12,  "Bar",, "Close","D","-1","All",,,,"T"))</f>
        <v>99.17</v>
      </c>
      <c r="C36" s="135">
        <f xml:space="preserve"> IF(RTD("cqg.rtd",,"StudyData",Q12,  "Bar",, "Close","D","-5","All",,,,"T")="",NA(),RTD("cqg.rtd",,"StudyData",Q12,  "Bar",, "Close","D","-5","All",,,,"T"))</f>
        <v>99.15</v>
      </c>
      <c r="D36" s="135">
        <f xml:space="preserve"> IF(RTD("cqg.rtd",,"StudyData",Q12,  "Bar",, "Close","D","-20","All",,,,"T")="",NA(),RTD("cqg.rtd",,"StudyData",Q12,  "Bar",, "Close","D","-20","All",,,,"T"))</f>
        <v>99.015000000000001</v>
      </c>
      <c r="E36" s="135">
        <f t="shared" si="4"/>
        <v>1.0000000000005116E-2</v>
      </c>
      <c r="F36" s="135">
        <f t="shared" si="5"/>
        <v>3.0000000000001137E-2</v>
      </c>
      <c r="G36" s="135">
        <f t="shared" si="6"/>
        <v>0.16500000000000625</v>
      </c>
      <c r="R36" s="125">
        <f>R35+1</f>
        <v>2</v>
      </c>
      <c r="S36" s="125" t="str">
        <f>RTD("cqg.rtd",,"ContractData",Q1&amp;"?2", "Symbol")</f>
        <v>QSAZ19</v>
      </c>
      <c r="T36" s="136">
        <f>T35+1</f>
        <v>2</v>
      </c>
      <c r="U36" s="134" t="str">
        <f t="shared" si="7"/>
        <v>QSAS12?2</v>
      </c>
      <c r="V36" s="137">
        <f>IF(RTD("cqg.rtd", ,"ContractData", U36,"LastTradeorSettle",,"T")="",NA(),RTD("cqg.rtd", ,"ContractData", U36,"LastTradeorSettle",,"T"))</f>
        <v>-0.05</v>
      </c>
      <c r="X36" s="137">
        <f xml:space="preserve"> RTD("cqg.rtd",,"StudyData",U36,  "Bar",, "Close","D","-1","All",,,,"T")</f>
        <v>-4.4999999999999998E-2</v>
      </c>
      <c r="Y36" s="137">
        <f>IF( RTD("cqg.rtd",,"StudyData",U36,  "Bar",, "Close","D","-5","All",,,,"T")="",NA(), RTD("cqg.rtd",,"StudyData",U36,  "Bar",, "Close","D","-5","All",,,,"T"))</f>
        <v>-6.5000000000000002E-2</v>
      </c>
      <c r="Z36" s="137">
        <f>IF(RTD("cqg.rtd",,"StudyData",U36,  "Bar",, "Close","D","-20","All",,,,"T")="",NA(),RTD("cqg.rtd",,"StudyData",U36,  "Bar",, "Close","D","-20","All",,,,"T"))</f>
        <v>0.03</v>
      </c>
      <c r="AA36" s="137">
        <f t="shared" ref="AA36:AA54" si="9">IFERROR($V36-X36,NA())</f>
        <v>-5.0000000000000044E-3</v>
      </c>
      <c r="AB36" s="137">
        <f t="shared" ref="AB36:AB54" si="10">IFERROR($V36-Y36,NA())</f>
        <v>1.4999999999999999E-2</v>
      </c>
      <c r="AC36" s="137">
        <f t="shared" ref="AC36:AC54" si="11">IFERROR($V36-Z36,NA())</f>
        <v>-0.08</v>
      </c>
      <c r="AE36" s="136">
        <f>AE35+1</f>
        <v>2</v>
      </c>
      <c r="AF36" s="134" t="str">
        <f t="shared" si="8"/>
        <v>QSAS3?2</v>
      </c>
      <c r="AG36" s="137">
        <f>IF(RTD("cqg.rtd", ,"ContractData", AF36,"LastTradeorSettle",,"T")="",NA(),RTD("cqg.rtd", ,"ContractData", AF36,"LastTradeorSettle",,"T"))</f>
        <v>-0.04</v>
      </c>
      <c r="AH36" s="137"/>
      <c r="AI36" s="137">
        <f xml:space="preserve"> RTD("cqg.rtd",,"StudyData",AF36,  "Bar",, "Close","D","-1","All",,,,"T")</f>
        <v>-0.04</v>
      </c>
      <c r="AJ36" s="137">
        <f xml:space="preserve"> RTD("cqg.rtd",,"StudyData",AF36,  "Bar",, "Close","D","-5","All",,,,"T")</f>
        <v>-4.4999999999999998E-2</v>
      </c>
      <c r="AK36" s="137">
        <f xml:space="preserve"> RTD("cqg.rtd",,"StudyData",AF36,  "Bar",, "Close","D","-20","All",,,,"T")</f>
        <v>-3.5000000000000003E-2</v>
      </c>
      <c r="AL36" s="137">
        <f t="shared" ref="AL36:AL54" si="12">$AG36-$AI36</f>
        <v>0</v>
      </c>
      <c r="AM36" s="137">
        <f t="shared" ref="AM36:AM54" si="13">$AG36-$AJ36</f>
        <v>4.9999999999999975E-3</v>
      </c>
      <c r="AN36" s="137">
        <f t="shared" ref="AN36:AN54" si="14">$AG36-$AK36</f>
        <v>-4.9999999999999975E-3</v>
      </c>
    </row>
    <row r="37" spans="2:40" x14ac:dyDescent="0.2">
      <c r="B37" s="135">
        <f>IF(RTD("cqg.rtd",,"StudyData",Q13,  "Bar",, "Close","D","-1","All",,,,"T")="",NA(),RTD("cqg.rtd",,"StudyData",Q13,  "Bar",, "Close","D","-1","All",,,,"T"))</f>
        <v>99.144999999999996</v>
      </c>
      <c r="C37" s="135">
        <f xml:space="preserve"> IF(RTD("cqg.rtd",,"StudyData",Q13,  "Bar",, "Close","D","-5","All",,,,"T")="",NA(),RTD("cqg.rtd",,"StudyData",Q13,  "Bar",, "Close","D","-5","All",,,,"T"))</f>
        <v>99.125</v>
      </c>
      <c r="D37" s="135">
        <f xml:space="preserve"> IF(RTD("cqg.rtd",,"StudyData",Q13,  "Bar",, "Close","D","-20","All",,,,"T")="",NA(),RTD("cqg.rtd",,"StudyData",Q13,  "Bar",, "Close","D","-20","All",,,,"T"))</f>
        <v>98.99</v>
      </c>
      <c r="E37" s="135">
        <f t="shared" si="4"/>
        <v>1.5000000000000568E-2</v>
      </c>
      <c r="F37" s="135">
        <f t="shared" si="5"/>
        <v>3.4999999999996589E-2</v>
      </c>
      <c r="G37" s="135">
        <f t="shared" si="6"/>
        <v>0.17000000000000171</v>
      </c>
      <c r="R37" s="125">
        <f t="shared" ref="R37:R59" si="15">R36+1</f>
        <v>3</v>
      </c>
      <c r="T37" s="136">
        <f t="shared" ref="T37:T54" si="16">T36+1</f>
        <v>3</v>
      </c>
      <c r="U37" s="134" t="str">
        <f t="shared" si="7"/>
        <v>QSAS12?3</v>
      </c>
      <c r="V37" s="137">
        <f>IF(RTD("cqg.rtd", ,"ContractData", U37,"LastTradeorSettle",,"T")="",NA(),RTD("cqg.rtd", ,"ContractData", U37,"LastTradeorSettle",,"T"))</f>
        <v>-0.02</v>
      </c>
      <c r="X37" s="137">
        <f xml:space="preserve"> RTD("cqg.rtd",,"StudyData",U37,  "Bar",, "Close","D","-1","All",,,,"T")</f>
        <v>-1.4999999999999999E-2</v>
      </c>
      <c r="Y37" s="137">
        <f>IF( RTD("cqg.rtd",,"StudyData",U37,  "Bar",, "Close","D","-5","All",,,,"T")="",NA(), RTD("cqg.rtd",,"StudyData",U37,  "Bar",, "Close","D","-5","All",,,,"T"))</f>
        <v>-2.5000000000000001E-2</v>
      </c>
      <c r="Z37" s="137">
        <f>IF(RTD("cqg.rtd",,"StudyData",U37,  "Bar",, "Close","D","-20","All",,,,"T")="",NA(),RTD("cqg.rtd",,"StudyData",U37,  "Bar",, "Close","D","-20","All",,,,"T"))</f>
        <v>7.4999999999999997E-2</v>
      </c>
      <c r="AA37" s="137">
        <f t="shared" si="9"/>
        <v>-5.000000000000001E-3</v>
      </c>
      <c r="AB37" s="137">
        <f t="shared" si="10"/>
        <v>5.000000000000001E-3</v>
      </c>
      <c r="AC37" s="137">
        <f t="shared" si="11"/>
        <v>-9.5000000000000001E-2</v>
      </c>
      <c r="AE37" s="136">
        <f t="shared" ref="AE37:AE54" si="17">AE36+1</f>
        <v>3</v>
      </c>
      <c r="AF37" s="134" t="str">
        <f t="shared" si="8"/>
        <v>QSAS3?3</v>
      </c>
      <c r="AG37" s="137">
        <f>IF(RTD("cqg.rtd", ,"ContractData", AF37,"LastTradeorSettle",,"T")="",NA(),RTD("cqg.rtd", ,"ContractData", AF37,"LastTradeorSettle",,"T"))</f>
        <v>-0.02</v>
      </c>
      <c r="AH37" s="137"/>
      <c r="AI37" s="137">
        <f xml:space="preserve"> RTD("cqg.rtd",,"StudyData",AF37,  "Bar",, "Close","D","-1","All",,,,"T")</f>
        <v>-1.4999999999999999E-2</v>
      </c>
      <c r="AJ37" s="137">
        <f xml:space="preserve"> RTD("cqg.rtd",,"StudyData",AF37,  "Bar",, "Close","D","-5","All",,,,"T")</f>
        <v>-0.02</v>
      </c>
      <c r="AK37" s="137">
        <f xml:space="preserve"> RTD("cqg.rtd",,"StudyData",AF37,  "Bar",, "Close","D","-20","All",,,,"T")</f>
        <v>5.0000000000000001E-3</v>
      </c>
      <c r="AL37" s="137">
        <f t="shared" si="12"/>
        <v>-5.000000000000001E-3</v>
      </c>
      <c r="AM37" s="137">
        <f t="shared" si="13"/>
        <v>0</v>
      </c>
      <c r="AN37" s="137">
        <f t="shared" si="14"/>
        <v>-2.5000000000000001E-2</v>
      </c>
    </row>
    <row r="38" spans="2:40" x14ac:dyDescent="0.2">
      <c r="B38" s="135">
        <f>IF(RTD("cqg.rtd",,"StudyData",Q14,  "Bar",, "Close","D","-1","All",,,,"T")="",NA(),RTD("cqg.rtd",,"StudyData",Q14,  "Bar",, "Close","D","-1","All",,,,"T"))</f>
        <v>99.12</v>
      </c>
      <c r="C38" s="135">
        <f xml:space="preserve"> IF(RTD("cqg.rtd",,"StudyData",Q14,  "Bar",, "Close","D","-5","All",,,,"T")="",NA(),RTD("cqg.rtd",,"StudyData",Q14,  "Bar",, "Close","D","-5","All",,,,"T"))</f>
        <v>99.1</v>
      </c>
      <c r="D38" s="135">
        <f xml:space="preserve"> IF(RTD("cqg.rtd",,"StudyData",Q14,  "Bar",, "Close","D","-20","All",,,,"T")="",NA(),RTD("cqg.rtd",,"StudyData",Q14,  "Bar",, "Close","D","-20","All",,,,"T"))</f>
        <v>98.97</v>
      </c>
      <c r="E38" s="135">
        <f t="shared" si="4"/>
        <v>1.5000000000000568E-2</v>
      </c>
      <c r="F38" s="135">
        <f t="shared" si="5"/>
        <v>3.50000000000108E-2</v>
      </c>
      <c r="G38" s="135">
        <f t="shared" si="6"/>
        <v>0.16500000000000625</v>
      </c>
      <c r="R38" s="125">
        <f t="shared" si="15"/>
        <v>4</v>
      </c>
      <c r="T38" s="136">
        <f t="shared" si="16"/>
        <v>4</v>
      </c>
      <c r="U38" s="134" t="str">
        <f t="shared" si="7"/>
        <v>QSAS12?4</v>
      </c>
      <c r="V38" s="137">
        <f>IF(RTD("cqg.rtd", ,"ContractData", U38,"LastTradeorSettle",,"T")="",NA(),RTD("cqg.rtd", ,"ContractData", U38,"LastTradeorSettle",,"T"))</f>
        <v>1.4999999999999999E-2</v>
      </c>
      <c r="X38" s="137">
        <f xml:space="preserve"> RTD("cqg.rtd",,"StudyData",U38,  "Bar",, "Close","D","-1","All",,,,"T")</f>
        <v>1.4999999999999999E-2</v>
      </c>
      <c r="Y38" s="137">
        <f>IF( RTD("cqg.rtd",,"StudyData",U38,  "Bar",, "Close","D","-5","All",,,,"T")="",NA(), RTD("cqg.rtd",,"StudyData",U38,  "Bar",, "Close","D","-5","All",,,,"T"))</f>
        <v>0.01</v>
      </c>
      <c r="Z38" s="137">
        <f>IF(RTD("cqg.rtd",,"StudyData",U38,  "Bar",, "Close","D","-20","All",,,,"T")="",NA(),RTD("cqg.rtd",,"StudyData",U38,  "Bar",, "Close","D","-20","All",,,,"T"))</f>
        <v>0.09</v>
      </c>
      <c r="AA38" s="137">
        <f t="shared" si="9"/>
        <v>0</v>
      </c>
      <c r="AB38" s="137">
        <f t="shared" si="10"/>
        <v>4.9999999999999992E-3</v>
      </c>
      <c r="AC38" s="137">
        <f t="shared" si="11"/>
        <v>-7.4999999999999997E-2</v>
      </c>
      <c r="AE38" s="136">
        <f t="shared" si="17"/>
        <v>4</v>
      </c>
      <c r="AF38" s="134" t="str">
        <f t="shared" si="8"/>
        <v>QSAS3?4</v>
      </c>
      <c r="AG38" s="137">
        <f>IF(RTD("cqg.rtd", ,"ContractData", AF38,"LastTradeorSettle",,"T")="",NA(),RTD("cqg.rtd", ,"ContractData", AF38,"LastTradeorSettle",,"T"))</f>
        <v>-0.01</v>
      </c>
      <c r="AH38" s="137"/>
      <c r="AI38" s="137">
        <f xml:space="preserve"> RTD("cqg.rtd",,"StudyData",AF38,  "Bar",, "Close","D","-1","All",,,,"T")</f>
        <v>-0.01</v>
      </c>
      <c r="AJ38" s="137">
        <f xml:space="preserve"> RTD("cqg.rtd",,"StudyData",AF38,  "Bar",, "Close","D","-5","All",,,,"T")</f>
        <v>-1.4999999999999999E-2</v>
      </c>
      <c r="AK38" s="137">
        <f xml:space="preserve"> RTD("cqg.rtd",,"StudyData",AF38,  "Bar",, "Close","D","-20","All",,,,"T")</f>
        <v>2.5000000000000001E-2</v>
      </c>
      <c r="AL38" s="137">
        <f t="shared" si="12"/>
        <v>0</v>
      </c>
      <c r="AM38" s="137">
        <f t="shared" si="13"/>
        <v>4.9999999999999992E-3</v>
      </c>
      <c r="AN38" s="137">
        <f t="shared" si="14"/>
        <v>-3.5000000000000003E-2</v>
      </c>
    </row>
    <row r="39" spans="2:40" x14ac:dyDescent="0.2">
      <c r="B39" s="135">
        <f>IF(RTD("cqg.rtd",,"StudyData",Q15,  "Bar",, "Close","D","-1","All",,,,"T")="",NA(),RTD("cqg.rtd",,"StudyData",Q15,  "Bar",, "Close","D","-1","All",,,,"T"))</f>
        <v>99.094999999999999</v>
      </c>
      <c r="C39" s="135">
        <f xml:space="preserve"> IF(RTD("cqg.rtd",,"StudyData",Q15,  "Bar",, "Close","D","-5","All",,,,"T")="",NA(),RTD("cqg.rtd",,"StudyData",Q15,  "Bar",, "Close","D","-5","All",,,,"T"))</f>
        <v>99.075000000000003</v>
      </c>
      <c r="D39" s="135">
        <f xml:space="preserve"> IF(RTD("cqg.rtd",,"StudyData",Q15,  "Bar",, "Close","D","-20","All",,,,"T")="",NA(),RTD("cqg.rtd",,"StudyData",Q15,  "Bar",, "Close","D","-20","All",,,,"T"))</f>
        <v>98.944999999999993</v>
      </c>
      <c r="E39" s="135">
        <f t="shared" si="4"/>
        <v>2.0000000000010232E-2</v>
      </c>
      <c r="F39" s="135">
        <f t="shared" si="5"/>
        <v>4.0000000000006253E-2</v>
      </c>
      <c r="G39" s="135">
        <f t="shared" si="6"/>
        <v>0.17000000000001592</v>
      </c>
      <c r="R39" s="125">
        <f t="shared" si="15"/>
        <v>5</v>
      </c>
      <c r="T39" s="136">
        <f t="shared" si="16"/>
        <v>5</v>
      </c>
      <c r="U39" s="134" t="str">
        <f t="shared" si="7"/>
        <v>QSAS12?5</v>
      </c>
      <c r="V39" s="137">
        <f>IF(RTD("cqg.rtd", ,"ContractData", U39,"LastTradeorSettle",,"T")="",NA(),RTD("cqg.rtd", ,"ContractData", U39,"LastTradeorSettle",,"T"))</f>
        <v>0.04</v>
      </c>
      <c r="X39" s="137">
        <f xml:space="preserve"> RTD("cqg.rtd",,"StudyData",U39,  "Bar",, "Close","D","-1","All",,,,"T")</f>
        <v>0.04</v>
      </c>
      <c r="Y39" s="137">
        <f>IF( RTD("cqg.rtd",,"StudyData",U39,  "Bar",, "Close","D","-5","All",,,,"T")="",NA(), RTD("cqg.rtd",,"StudyData",U39,  "Bar",, "Close","D","-5","All",,,,"T"))</f>
        <v>0.04</v>
      </c>
      <c r="Z39" s="137">
        <f>IF(RTD("cqg.rtd",,"StudyData",U39,  "Bar",, "Close","D","-20","All",,,,"T")="",NA(),RTD("cqg.rtd",,"StudyData",U39,  "Bar",, "Close","D","-20","All",,,,"T"))</f>
        <v>0.09</v>
      </c>
      <c r="AA39" s="137">
        <f t="shared" si="9"/>
        <v>0</v>
      </c>
      <c r="AB39" s="137">
        <f t="shared" si="10"/>
        <v>0</v>
      </c>
      <c r="AC39" s="137">
        <f t="shared" si="11"/>
        <v>-4.9999999999999996E-2</v>
      </c>
      <c r="AE39" s="136">
        <f t="shared" si="17"/>
        <v>5</v>
      </c>
      <c r="AF39" s="134" t="str">
        <f t="shared" si="8"/>
        <v>QSAS3?5</v>
      </c>
      <c r="AG39" s="137">
        <f>IF(RTD("cqg.rtd", ,"ContractData", AF39,"LastTradeorSettle",,"T")="",NA(),RTD("cqg.rtd", ,"ContractData", AF39,"LastTradeorSettle",,"T"))</f>
        <v>0.02</v>
      </c>
      <c r="AH39" s="137"/>
      <c r="AI39" s="137">
        <f xml:space="preserve"> RTD("cqg.rtd",,"StudyData",AF39,  "Bar",, "Close","D","-1","All",,,,"T")</f>
        <v>0.02</v>
      </c>
      <c r="AJ39" s="137">
        <f xml:space="preserve"> RTD("cqg.rtd",,"StudyData",AF39,  "Bar",, "Close","D","-5","All",,,,"T")</f>
        <v>1.4999999999999999E-2</v>
      </c>
      <c r="AK39" s="137">
        <f xml:space="preserve"> RTD("cqg.rtd",,"StudyData",AF39,  "Bar",, "Close","D","-20","All",,,,"T")</f>
        <v>3.5000000000000003E-2</v>
      </c>
      <c r="AL39" s="137">
        <f t="shared" si="12"/>
        <v>0</v>
      </c>
      <c r="AM39" s="137">
        <f t="shared" si="13"/>
        <v>5.000000000000001E-3</v>
      </c>
      <c r="AN39" s="137">
        <f t="shared" si="14"/>
        <v>-1.5000000000000003E-2</v>
      </c>
    </row>
    <row r="40" spans="2:40" x14ac:dyDescent="0.2">
      <c r="B40" s="135">
        <f>IF(RTD("cqg.rtd",,"StudyData",Q16,  "Bar",, "Close","D","-1","All",,,,"T")="",NA(),RTD("cqg.rtd",,"StudyData",Q16,  "Bar",, "Close","D","-1","All",,,,"T"))</f>
        <v>99.08</v>
      </c>
      <c r="C40" s="135">
        <f xml:space="preserve"> IF(RTD("cqg.rtd",,"StudyData",Q16,  "Bar",, "Close","D","-5","All",,,,"T")="",NA(),RTD("cqg.rtd",,"StudyData",Q16,  "Bar",, "Close","D","-5","All",,,,"T"))</f>
        <v>99.06</v>
      </c>
      <c r="D40" s="135">
        <f xml:space="preserve"> IF(RTD("cqg.rtd",,"StudyData",Q16,  "Bar",, "Close","D","-20","All",,,,"T")="",NA(),RTD("cqg.rtd",,"StudyData",Q16,  "Bar",, "Close","D","-20","All",,,,"T"))</f>
        <v>98.924999999999997</v>
      </c>
      <c r="E40" s="135">
        <f t="shared" si="4"/>
        <v>1.5000000000000568E-2</v>
      </c>
      <c r="F40" s="135">
        <f t="shared" si="5"/>
        <v>3.4999999999996589E-2</v>
      </c>
      <c r="G40" s="135">
        <f t="shared" si="6"/>
        <v>0.17000000000000171</v>
      </c>
      <c r="R40" s="125">
        <f t="shared" si="15"/>
        <v>6</v>
      </c>
      <c r="T40" s="136">
        <f t="shared" si="16"/>
        <v>6</v>
      </c>
      <c r="U40" s="134" t="str">
        <f t="shared" si="7"/>
        <v>QSAS12?6</v>
      </c>
      <c r="V40" s="137">
        <f>IF(RTD("cqg.rtd", ,"ContractData", U40,"LastTradeorSettle",,"T")="",NA(),RTD("cqg.rtd", ,"ContractData", U40,"LastTradeorSettle",,"T"))</f>
        <v>0.04</v>
      </c>
      <c r="X40" s="137">
        <f xml:space="preserve"> RTD("cqg.rtd",,"StudyData",U40,  "Bar",, "Close","D","-1","All",,,,"T")</f>
        <v>4.4999999999999998E-2</v>
      </c>
      <c r="Y40" s="137">
        <f>IF( RTD("cqg.rtd",,"StudyData",U40,  "Bar",, "Close","D","-5","All",,,,"T")="",NA(), RTD("cqg.rtd",,"StudyData",U40,  "Bar",, "Close","D","-5","All",,,,"T"))</f>
        <v>0.05</v>
      </c>
      <c r="Z40" s="137">
        <f>IF(RTD("cqg.rtd",,"StudyData",U40,  "Bar",, "Close","D","-20","All",,,,"T")="",NA(),RTD("cqg.rtd",,"StudyData",U40,  "Bar",, "Close","D","-20","All",,,,"T"))</f>
        <v>8.5000000000000006E-2</v>
      </c>
      <c r="AA40" s="137">
        <f t="shared" si="9"/>
        <v>-4.9999999999999975E-3</v>
      </c>
      <c r="AB40" s="137">
        <f t="shared" si="10"/>
        <v>-1.0000000000000002E-2</v>
      </c>
      <c r="AC40" s="137">
        <f t="shared" si="11"/>
        <v>-4.5000000000000005E-2</v>
      </c>
      <c r="AE40" s="136">
        <f t="shared" si="17"/>
        <v>6</v>
      </c>
      <c r="AF40" s="134" t="str">
        <f t="shared" si="8"/>
        <v>QSAS3?6</v>
      </c>
      <c r="AG40" s="137">
        <f>IF(RTD("cqg.rtd", ,"ContractData", AF40,"LastTradeorSettle",,"T")="",NA(),RTD("cqg.rtd", ,"ContractData", AF40,"LastTradeorSettle",,"T"))</f>
        <v>-0.01</v>
      </c>
      <c r="AH40" s="137"/>
      <c r="AI40" s="137">
        <f xml:space="preserve"> RTD("cqg.rtd",,"StudyData",AF40,  "Bar",, "Close","D","-1","All",,,,"T")</f>
        <v>-0.01</v>
      </c>
      <c r="AJ40" s="137">
        <f xml:space="preserve"> RTD("cqg.rtd",,"StudyData",AF40,  "Bar",, "Close","D","-5","All",,,,"T")</f>
        <v>-5.0000000000000001E-3</v>
      </c>
      <c r="AK40" s="137">
        <f xml:space="preserve"> RTD("cqg.rtd",,"StudyData",AF40,  "Bar",, "Close","D","-20","All",,,,"T")</f>
        <v>0.01</v>
      </c>
      <c r="AL40" s="137">
        <f t="shared" si="12"/>
        <v>0</v>
      </c>
      <c r="AM40" s="137">
        <f t="shared" si="13"/>
        <v>-5.0000000000000001E-3</v>
      </c>
      <c r="AN40" s="137">
        <f t="shared" si="14"/>
        <v>-0.02</v>
      </c>
    </row>
    <row r="41" spans="2:40" x14ac:dyDescent="0.2">
      <c r="B41" s="135">
        <f>IF(RTD("cqg.rtd",,"StudyData",Q17,  "Bar",, "Close","D","-1","All",,,,"T")="",NA(),RTD("cqg.rtd",,"StudyData",Q17,  "Bar",, "Close","D","-1","All",,,,"T"))</f>
        <v>99.05</v>
      </c>
      <c r="C41" s="135">
        <f xml:space="preserve"> IF(RTD("cqg.rtd",,"StudyData",Q17,  "Bar",, "Close","D","-5","All",,,,"T")="",NA(),RTD("cqg.rtd",,"StudyData",Q17,  "Bar",, "Close","D","-5","All",,,,"T"))</f>
        <v>99.03</v>
      </c>
      <c r="D41" s="135">
        <f xml:space="preserve"> IF(RTD("cqg.rtd",,"StudyData",Q17,  "Bar",, "Close","D","-20","All",,,,"T")="",NA(),RTD("cqg.rtd",,"StudyData",Q17,  "Bar",, "Close","D","-20","All",,,,"T"))</f>
        <v>98.894999999999996</v>
      </c>
      <c r="E41" s="135">
        <f t="shared" si="4"/>
        <v>2.0000000000010232E-2</v>
      </c>
      <c r="F41" s="135">
        <f t="shared" si="5"/>
        <v>4.0000000000006253E-2</v>
      </c>
      <c r="G41" s="135">
        <f t="shared" si="6"/>
        <v>0.17500000000001137</v>
      </c>
      <c r="R41" s="125">
        <f t="shared" si="15"/>
        <v>7</v>
      </c>
      <c r="T41" s="136">
        <f t="shared" si="16"/>
        <v>7</v>
      </c>
      <c r="U41" s="134" t="str">
        <f t="shared" si="7"/>
        <v>QSAS12?7</v>
      </c>
      <c r="V41" s="137">
        <f>IF(RTD("cqg.rtd", ,"ContractData", U41,"LastTradeorSettle",,"T")="",NA(),RTD("cqg.rtd", ,"ContractData", U41,"LastTradeorSettle",,"T"))</f>
        <v>6.5000000000000002E-2</v>
      </c>
      <c r="X41" s="137">
        <f xml:space="preserve"> RTD("cqg.rtd",,"StudyData",U41,  "Bar",, "Close","D","-1","All",,,,"T")</f>
        <v>6.5000000000000002E-2</v>
      </c>
      <c r="Y41" s="137">
        <f>IF( RTD("cqg.rtd",,"StudyData",U41,  "Bar",, "Close","D","-5","All",,,,"T")="",NA(), RTD("cqg.rtd",,"StudyData",U41,  "Bar",, "Close","D","-5","All",,,,"T"))</f>
        <v>7.0000000000000007E-2</v>
      </c>
      <c r="Z41" s="137">
        <f>IF(RTD("cqg.rtd",,"StudyData",U41,  "Bar",, "Close","D","-20","All",,,,"T")="",NA(),RTD("cqg.rtd",,"StudyData",U41,  "Bar",, "Close","D","-20","All",,,,"T"))</f>
        <v>9.5000000000000001E-2</v>
      </c>
      <c r="AA41" s="137">
        <f t="shared" si="9"/>
        <v>0</v>
      </c>
      <c r="AB41" s="137">
        <f t="shared" si="10"/>
        <v>-5.0000000000000044E-3</v>
      </c>
      <c r="AC41" s="137">
        <f t="shared" si="11"/>
        <v>-0.03</v>
      </c>
      <c r="AE41" s="136">
        <f t="shared" si="17"/>
        <v>7</v>
      </c>
      <c r="AF41" s="134" t="str">
        <f t="shared" si="8"/>
        <v>QSAS3?7</v>
      </c>
      <c r="AG41" s="137">
        <f>IF(RTD("cqg.rtd", ,"ContractData", AF41,"LastTradeorSettle",,"T")="",NA(),RTD("cqg.rtd", ,"ContractData", AF41,"LastTradeorSettle",,"T"))</f>
        <v>1.4999999999999999E-2</v>
      </c>
      <c r="AH41" s="137"/>
      <c r="AI41" s="137">
        <f xml:space="preserve"> RTD("cqg.rtd",,"StudyData",AF41,  "Bar",, "Close","D","-1","All",,,,"T")</f>
        <v>1.4999999999999999E-2</v>
      </c>
      <c r="AJ41" s="137">
        <f xml:space="preserve"> RTD("cqg.rtd",,"StudyData",AF41,  "Bar",, "Close","D","-5","All",,,,"T")</f>
        <v>1.4999999999999999E-2</v>
      </c>
      <c r="AK41" s="137">
        <f xml:space="preserve"> RTD("cqg.rtd",,"StudyData",AF41,  "Bar",, "Close","D","-20","All",,,,"T")</f>
        <v>0.02</v>
      </c>
      <c r="AL41" s="137">
        <f t="shared" si="12"/>
        <v>0</v>
      </c>
      <c r="AM41" s="137">
        <f t="shared" si="13"/>
        <v>0</v>
      </c>
      <c r="AN41" s="137">
        <f t="shared" si="14"/>
        <v>-5.000000000000001E-3</v>
      </c>
    </row>
    <row r="42" spans="2:40" x14ac:dyDescent="0.2">
      <c r="B42" s="135">
        <f>IF(RTD("cqg.rtd",,"StudyData",Q18,  "Bar",, "Close","D","-1","All",,,,"T")="",NA(),RTD("cqg.rtd",,"StudyData",Q18,  "Bar",, "Close","D","-1","All",,,,"T"))</f>
        <v>99.02</v>
      </c>
      <c r="C42" s="135">
        <f xml:space="preserve"> IF(RTD("cqg.rtd",,"StudyData",Q18,  "Bar",, "Close","D","-5","All",,,,"T")="",NA(),RTD("cqg.rtd",,"StudyData",Q18,  "Bar",, "Close","D","-5","All",,,,"T"))</f>
        <v>99</v>
      </c>
      <c r="D42" s="135">
        <f xml:space="preserve"> IF(RTD("cqg.rtd",,"StudyData",Q18,  "Bar",, "Close","D","-20","All",,,,"T")="",NA(),RTD("cqg.rtd",,"StudyData",Q18,  "Bar",, "Close","D","-20","All",,,,"T"))</f>
        <v>98.87</v>
      </c>
      <c r="E42" s="135">
        <f t="shared" si="4"/>
        <v>2.5000000000005684E-2</v>
      </c>
      <c r="F42" s="135">
        <f t="shared" si="5"/>
        <v>4.5000000000001705E-2</v>
      </c>
      <c r="G42" s="135">
        <f t="shared" si="6"/>
        <v>0.17499999999999716</v>
      </c>
      <c r="R42" s="125">
        <f t="shared" si="15"/>
        <v>8</v>
      </c>
      <c r="T42" s="136">
        <f t="shared" si="16"/>
        <v>8</v>
      </c>
      <c r="U42" s="134" t="str">
        <f t="shared" si="7"/>
        <v>QSAS12?8</v>
      </c>
      <c r="V42" s="137">
        <f>IF(RTD("cqg.rtd", ,"ContractData", U42,"LastTradeorSettle",,"T")="",NA(),RTD("cqg.rtd", ,"ContractData", U42,"LastTradeorSettle",,"T"))</f>
        <v>7.4999999999999997E-2</v>
      </c>
      <c r="X42" s="137">
        <f xml:space="preserve"> RTD("cqg.rtd",,"StudyData",U42,  "Bar",, "Close","D","-1","All",,,,"T")</f>
        <v>7.0000000000000007E-2</v>
      </c>
      <c r="Y42" s="137">
        <f>IF( RTD("cqg.rtd",,"StudyData",U42,  "Bar",, "Close","D","-5","All",,,,"T")="",NA(), RTD("cqg.rtd",,"StudyData",U42,  "Bar",, "Close","D","-5","All",,,,"T"))</f>
        <v>0.08</v>
      </c>
      <c r="Z42" s="137">
        <f>IF(RTD("cqg.rtd",,"StudyData",U42,  "Bar",, "Close","D","-20","All",,,,"T")="",NA(),RTD("cqg.rtd",,"StudyData",U42,  "Bar",, "Close","D","-20","All",,,,"T"))</f>
        <v>0.1</v>
      </c>
      <c r="AA42" s="137">
        <f t="shared" si="9"/>
        <v>4.9999999999999906E-3</v>
      </c>
      <c r="AB42" s="137">
        <f t="shared" si="10"/>
        <v>-5.0000000000000044E-3</v>
      </c>
      <c r="AC42" s="137">
        <f t="shared" si="11"/>
        <v>-2.5000000000000008E-2</v>
      </c>
      <c r="AE42" s="136">
        <f t="shared" si="17"/>
        <v>8</v>
      </c>
      <c r="AF42" s="134" t="str">
        <f t="shared" si="8"/>
        <v>QSAS3?8</v>
      </c>
      <c r="AG42" s="137">
        <f>IF(RTD("cqg.rtd", ,"ContractData", AF42,"LastTradeorSettle",,"T")="",NA(),RTD("cqg.rtd", ,"ContractData", AF42,"LastTradeorSettle",,"T"))</f>
        <v>1.4999999999999999E-2</v>
      </c>
      <c r="AH42" s="137"/>
      <c r="AI42" s="137">
        <f xml:space="preserve"> RTD("cqg.rtd",,"StudyData",AF42,  "Bar",, "Close","D","-1","All",,,,"T")</f>
        <v>1.4999999999999999E-2</v>
      </c>
      <c r="AJ42" s="137">
        <f xml:space="preserve"> RTD("cqg.rtd",,"StudyData",AF42,  "Bar",, "Close","D","-5","All",,,,"T")</f>
        <v>1.4999999999999999E-2</v>
      </c>
      <c r="AK42" s="137">
        <f xml:space="preserve"> RTD("cqg.rtd",,"StudyData",AF42,  "Bar",, "Close","D","-20","All",,,,"T")</f>
        <v>2.5000000000000001E-2</v>
      </c>
      <c r="AL42" s="137">
        <f t="shared" si="12"/>
        <v>0</v>
      </c>
      <c r="AM42" s="137">
        <f t="shared" si="13"/>
        <v>0</v>
      </c>
      <c r="AN42" s="137">
        <f t="shared" si="14"/>
        <v>-1.0000000000000002E-2</v>
      </c>
    </row>
    <row r="43" spans="2:40" x14ac:dyDescent="0.2">
      <c r="B43" s="135">
        <f>IF(RTD("cqg.rtd",,"StudyData",Q19,  "Bar",, "Close","D","-1","All",,,,"T")="",NA(),RTD("cqg.rtd",,"StudyData",Q19,  "Bar",, "Close","D","-1","All",,,,"T"))</f>
        <v>98.99</v>
      </c>
      <c r="C43" s="135">
        <f xml:space="preserve"> IF(RTD("cqg.rtd",,"StudyData",Q19,  "Bar",, "Close","D","-5","All",,,,"T")="",NA(),RTD("cqg.rtd",,"StudyData",Q19,  "Bar",, "Close","D","-5","All",,,,"T"))</f>
        <v>98.97</v>
      </c>
      <c r="D43" s="135">
        <f xml:space="preserve"> IF(RTD("cqg.rtd",,"StudyData",Q19,  "Bar",, "Close","D","-20","All",,,,"T")="",NA(),RTD("cqg.rtd",,"StudyData",Q19,  "Bar",, "Close","D","-20","All",,,,"T"))</f>
        <v>98.844999999999999</v>
      </c>
      <c r="E43" s="135">
        <f t="shared" si="4"/>
        <v>3.0000000000001137E-2</v>
      </c>
      <c r="F43" s="135">
        <f t="shared" si="5"/>
        <v>4.9999999999997158E-2</v>
      </c>
      <c r="G43" s="135">
        <f t="shared" si="6"/>
        <v>0.17499999999999716</v>
      </c>
      <c r="R43" s="125">
        <f t="shared" si="15"/>
        <v>9</v>
      </c>
      <c r="T43" s="136">
        <f t="shared" si="16"/>
        <v>9</v>
      </c>
      <c r="U43" s="134" t="str">
        <f t="shared" si="7"/>
        <v>QSAS12?9</v>
      </c>
      <c r="V43" s="137">
        <f>IF(RTD("cqg.rtd", ,"ContractData", U43,"LastTradeorSettle",,"T")="",NA(),RTD("cqg.rtd", ,"ContractData", U43,"LastTradeorSettle",,"T"))</f>
        <v>0.08</v>
      </c>
      <c r="X43" s="137">
        <f xml:space="preserve"> RTD("cqg.rtd",,"StudyData",U43,  "Bar",, "Close","D","-1","All",,,,"T")</f>
        <v>0.08</v>
      </c>
      <c r="Y43" s="137">
        <f>IF( RTD("cqg.rtd",,"StudyData",U43,  "Bar",, "Close","D","-5","All",,,,"T")="",NA(), RTD("cqg.rtd",,"StudyData",U43,  "Bar",, "Close","D","-5","All",,,,"T"))</f>
        <v>0.09</v>
      </c>
      <c r="Z43" s="137">
        <f>IF(RTD("cqg.rtd",,"StudyData",U43,  "Bar",, "Close","D","-20","All",,,,"T")="",NA(),RTD("cqg.rtd",,"StudyData",U43,  "Bar",, "Close","D","-20","All",,,,"T"))</f>
        <v>9.5000000000000001E-2</v>
      </c>
      <c r="AA43" s="137">
        <f t="shared" si="9"/>
        <v>0</v>
      </c>
      <c r="AB43" s="137">
        <f t="shared" si="10"/>
        <v>-9.999999999999995E-3</v>
      </c>
      <c r="AC43" s="137">
        <f t="shared" si="11"/>
        <v>-1.4999999999999999E-2</v>
      </c>
      <c r="AE43" s="136">
        <f t="shared" si="17"/>
        <v>9</v>
      </c>
      <c r="AF43" s="134" t="str">
        <f t="shared" si="8"/>
        <v>QSAS3?9</v>
      </c>
      <c r="AG43" s="137">
        <f>IF(RTD("cqg.rtd", ,"ContractData", AF43,"LastTradeorSettle",,"T")="",NA(),RTD("cqg.rtd", ,"ContractData", AF43,"LastTradeorSettle",,"T"))</f>
        <v>2.5000000000000001E-2</v>
      </c>
      <c r="AH43" s="137"/>
      <c r="AI43" s="137">
        <f xml:space="preserve"> RTD("cqg.rtd",,"StudyData",AF43,  "Bar",, "Close","D","-1","All",,,,"T")</f>
        <v>2.5000000000000001E-2</v>
      </c>
      <c r="AJ43" s="137">
        <f xml:space="preserve"> RTD("cqg.rtd",,"StudyData",AF43,  "Bar",, "Close","D","-5","All",,,,"T")</f>
        <v>2.5000000000000001E-2</v>
      </c>
      <c r="AK43" s="137">
        <f xml:space="preserve"> RTD("cqg.rtd",,"StudyData",AF43,  "Bar",, "Close","D","-20","All",,,,"T")</f>
        <v>0.03</v>
      </c>
      <c r="AL43" s="137">
        <f t="shared" si="12"/>
        <v>0</v>
      </c>
      <c r="AM43" s="137">
        <f t="shared" si="13"/>
        <v>0</v>
      </c>
      <c r="AN43" s="137">
        <f t="shared" si="14"/>
        <v>-4.9999999999999975E-3</v>
      </c>
    </row>
    <row r="44" spans="2:40" x14ac:dyDescent="0.2">
      <c r="B44" s="135">
        <f>IF(RTD("cqg.rtd",,"StudyData",Q20,  "Bar",, "Close","D","-1","All",,,,"T")="",NA(),RTD("cqg.rtd",,"StudyData",Q20,  "Bar",, "Close","D","-1","All",,,,"T"))</f>
        <v>98.97</v>
      </c>
      <c r="C44" s="135">
        <f xml:space="preserve"> IF(RTD("cqg.rtd",,"StudyData",Q20,  "Bar",, "Close","D","-5","All",,,,"T")="",NA(),RTD("cqg.rtd",,"StudyData",Q20,  "Bar",, "Close","D","-5","All",,,,"T"))</f>
        <v>98.954999999999998</v>
      </c>
      <c r="D44" s="135">
        <f xml:space="preserve"> IF(RTD("cqg.rtd",,"StudyData",Q20,  "Bar",, "Close","D","-20","All",,,,"T")="",NA(),RTD("cqg.rtd",,"StudyData",Q20,  "Bar",, "Close","D","-20","All",,,,"T"))</f>
        <v>98.82</v>
      </c>
      <c r="E44" s="135">
        <f t="shared" si="4"/>
        <v>2.5000000000005684E-2</v>
      </c>
      <c r="F44" s="135">
        <f t="shared" si="5"/>
        <v>4.0000000000006253E-2</v>
      </c>
      <c r="G44" s="135">
        <f t="shared" si="6"/>
        <v>0.17500000000001137</v>
      </c>
      <c r="R44" s="125">
        <f t="shared" si="15"/>
        <v>10</v>
      </c>
      <c r="T44" s="136">
        <f t="shared" si="16"/>
        <v>10</v>
      </c>
      <c r="U44" s="134" t="str">
        <f t="shared" si="7"/>
        <v>QSAS12?10</v>
      </c>
      <c r="V44" s="137">
        <f>IF(RTD("cqg.rtd", ,"ContractData", U44,"LastTradeorSettle",,"T")="",NA(),RTD("cqg.rtd", ,"ContractData", U44,"LastTradeorSettle",,"T"))</f>
        <v>7.4999999999999997E-2</v>
      </c>
      <c r="X44" s="137">
        <f xml:space="preserve"> RTD("cqg.rtd",,"StudyData",U44,  "Bar",, "Close","D","-1","All",,,,"T")</f>
        <v>0.08</v>
      </c>
      <c r="Y44" s="137">
        <f>IF( RTD("cqg.rtd",,"StudyData",U44,  "Bar",, "Close","D","-5","All",,,,"T")="",NA(), RTD("cqg.rtd",,"StudyData",U44,  "Bar",, "Close","D","-5","All",,,,"T"))</f>
        <v>0.09</v>
      </c>
      <c r="Z44" s="137">
        <f>IF(RTD("cqg.rtd",,"StudyData",U44,  "Bar",, "Close","D","-20","All",,,,"T")="",NA(),RTD("cqg.rtd",,"StudyData",U44,  "Bar",, "Close","D","-20","All",,,,"T"))</f>
        <v>0.09</v>
      </c>
      <c r="AA44" s="137">
        <f t="shared" si="9"/>
        <v>-5.0000000000000044E-3</v>
      </c>
      <c r="AB44" s="137">
        <f t="shared" si="10"/>
        <v>-1.4999999999999999E-2</v>
      </c>
      <c r="AC44" s="137">
        <f t="shared" si="11"/>
        <v>-1.4999999999999999E-2</v>
      </c>
      <c r="AE44" s="136">
        <f t="shared" si="17"/>
        <v>10</v>
      </c>
      <c r="AF44" s="134" t="str">
        <f t="shared" si="8"/>
        <v>QSAS3?10</v>
      </c>
      <c r="AG44" s="137">
        <f>IF(RTD("cqg.rtd", ,"ContractData", AF44,"LastTradeorSettle",,"T")="",NA(),RTD("cqg.rtd", ,"ContractData", AF44,"LastTradeorSettle",,"T"))</f>
        <v>0.01</v>
      </c>
      <c r="AH44" s="137"/>
      <c r="AI44" s="137">
        <f xml:space="preserve"> RTD("cqg.rtd",,"StudyData",AF44,  "Bar",, "Close","D","-1","All",,,,"T")</f>
        <v>0.01</v>
      </c>
      <c r="AJ44" s="137">
        <f xml:space="preserve"> RTD("cqg.rtd",,"StudyData",AF44,  "Bar",, "Close","D","-5","All",,,,"T")</f>
        <v>1.4999999999999999E-2</v>
      </c>
      <c r="AK44" s="137">
        <f xml:space="preserve"> RTD("cqg.rtd",,"StudyData",AF44,  "Bar",, "Close","D","-20","All",,,,"T")</f>
        <v>0.02</v>
      </c>
      <c r="AL44" s="137">
        <f t="shared" si="12"/>
        <v>0</v>
      </c>
      <c r="AM44" s="137">
        <f t="shared" si="13"/>
        <v>-4.9999999999999992E-3</v>
      </c>
      <c r="AN44" s="137">
        <f t="shared" si="14"/>
        <v>-0.01</v>
      </c>
    </row>
    <row r="45" spans="2:40" x14ac:dyDescent="0.2">
      <c r="B45" s="135">
        <f>IF(RTD("cqg.rtd",,"StudyData",Q21,  "Bar",, "Close","D","-1","All",,,,"T")="",NA(),RTD("cqg.rtd",,"StudyData",Q21,  "Bar",, "Close","D","-1","All",,,,"T"))</f>
        <v>98.944999999999993</v>
      </c>
      <c r="C45" s="135">
        <f xml:space="preserve"> IF(RTD("cqg.rtd",,"StudyData",Q21,  "Bar",, "Close","D","-5","All",,,,"T")="",NA(),RTD("cqg.rtd",,"StudyData",Q21,  "Bar",, "Close","D","-5","All",,,,"T"))</f>
        <v>98.93</v>
      </c>
      <c r="D45" s="135">
        <f xml:space="preserve"> IF(RTD("cqg.rtd",,"StudyData",Q21,  "Bar",, "Close","D","-20","All",,,,"T")="",NA(),RTD("cqg.rtd",,"StudyData",Q21,  "Bar",, "Close","D","-20","All",,,,"T"))</f>
        <v>98.8</v>
      </c>
      <c r="E45" s="135">
        <f t="shared" si="4"/>
        <v>2.0000000000010232E-2</v>
      </c>
      <c r="F45" s="135">
        <f t="shared" si="5"/>
        <v>3.4999999999996589E-2</v>
      </c>
      <c r="G45" s="135">
        <f t="shared" si="6"/>
        <v>0.16500000000000625</v>
      </c>
      <c r="R45" s="125">
        <f t="shared" si="15"/>
        <v>11</v>
      </c>
      <c r="T45" s="136">
        <f t="shared" si="16"/>
        <v>11</v>
      </c>
      <c r="U45" s="134" t="str">
        <f t="shared" si="7"/>
        <v>QSAS12?11</v>
      </c>
      <c r="V45" s="137">
        <f>IF(RTD("cqg.rtd", ,"ContractData", U45,"LastTradeorSettle",,"T")="",NA(),RTD("cqg.rtd", ,"ContractData", U45,"LastTradeorSettle",,"T"))</f>
        <v>8.5000000000000006E-2</v>
      </c>
      <c r="X45" s="137">
        <f xml:space="preserve"> RTD("cqg.rtd",,"StudyData",U45,  "Bar",, "Close","D","-1","All",,,,"T")</f>
        <v>8.5000000000000006E-2</v>
      </c>
      <c r="Y45" s="137">
        <f>IF( RTD("cqg.rtd",,"StudyData",U45,  "Bar",, "Close","D","-5","All",,,,"T")="",NA(), RTD("cqg.rtd",,"StudyData",U45,  "Bar",, "Close","D","-5","All",,,,"T"))</f>
        <v>0.09</v>
      </c>
      <c r="Z45" s="137">
        <f>IF(RTD("cqg.rtd",,"StudyData",U45,  "Bar",, "Close","D","-20","All",,,,"T")="",NA(),RTD("cqg.rtd",,"StudyData",U45,  "Bar",, "Close","D","-20","All",,,,"T"))</f>
        <v>9.5000000000000001E-2</v>
      </c>
      <c r="AA45" s="137">
        <f t="shared" si="9"/>
        <v>0</v>
      </c>
      <c r="AB45" s="137">
        <f t="shared" si="10"/>
        <v>-4.9999999999999906E-3</v>
      </c>
      <c r="AC45" s="137">
        <f t="shared" si="11"/>
        <v>-9.999999999999995E-3</v>
      </c>
      <c r="AE45" s="136">
        <f t="shared" si="17"/>
        <v>11</v>
      </c>
      <c r="AF45" s="134" t="str">
        <f t="shared" si="8"/>
        <v>QSAS3?11</v>
      </c>
      <c r="AG45" s="137">
        <f>IF(RTD("cqg.rtd", ,"ContractData", AF45,"LastTradeorSettle",,"T")="",NA(),RTD("cqg.rtd", ,"ContractData", AF45,"LastTradeorSettle",,"T"))</f>
        <v>0.02</v>
      </c>
      <c r="AH45" s="137"/>
      <c r="AI45" s="137">
        <f xml:space="preserve"> RTD("cqg.rtd",,"StudyData",AF45,  "Bar",, "Close","D","-1","All",,,,"T")</f>
        <v>0.02</v>
      </c>
      <c r="AJ45" s="137">
        <f xml:space="preserve"> RTD("cqg.rtd",,"StudyData",AF45,  "Bar",, "Close","D","-5","All",,,,"T")</f>
        <v>2.5000000000000001E-2</v>
      </c>
      <c r="AK45" s="137">
        <f xml:space="preserve"> RTD("cqg.rtd",,"StudyData",AF45,  "Bar",, "Close","D","-20","All",,,,"T")</f>
        <v>2.5000000000000001E-2</v>
      </c>
      <c r="AL45" s="137">
        <f t="shared" si="12"/>
        <v>0</v>
      </c>
      <c r="AM45" s="137">
        <f t="shared" si="13"/>
        <v>-5.000000000000001E-3</v>
      </c>
      <c r="AN45" s="137">
        <f t="shared" si="14"/>
        <v>-5.000000000000001E-3</v>
      </c>
    </row>
    <row r="46" spans="2:40" x14ac:dyDescent="0.2">
      <c r="B46" s="137"/>
      <c r="R46" s="125">
        <f t="shared" si="15"/>
        <v>12</v>
      </c>
      <c r="T46" s="136">
        <f t="shared" si="16"/>
        <v>12</v>
      </c>
      <c r="U46" s="134" t="str">
        <f t="shared" si="7"/>
        <v>QSAS12?12</v>
      </c>
      <c r="V46" s="137">
        <f>IF(RTD("cqg.rtd", ,"ContractData", U46,"LastTradeorSettle",,"T")="",NA(),RTD("cqg.rtd", ,"ContractData", U46,"LastTradeorSettle",,"T"))</f>
        <v>8.5000000000000006E-2</v>
      </c>
      <c r="X46" s="137">
        <f xml:space="preserve"> RTD("cqg.rtd",,"StudyData",U46,  "Bar",, "Close","D","-1","All",,,,"T")</f>
        <v>9.5000000000000001E-2</v>
      </c>
      <c r="Y46" s="137">
        <f>IF( RTD("cqg.rtd",,"StudyData",U46,  "Bar",, "Close","D","-5","All",,,,"T")="",NA(), RTD("cqg.rtd",,"StudyData",U46,  "Bar",, "Close","D","-5","All",,,,"T"))</f>
        <v>9.5000000000000001E-2</v>
      </c>
      <c r="Z46" s="137">
        <f>IF(RTD("cqg.rtd",,"StudyData",U46,  "Bar",, "Close","D","-20","All",,,,"T")="",NA(),RTD("cqg.rtd",,"StudyData",U46,  "Bar",, "Close","D","-20","All",,,,"T"))</f>
        <v>9.5000000000000001E-2</v>
      </c>
      <c r="AA46" s="137">
        <f t="shared" si="9"/>
        <v>-9.999999999999995E-3</v>
      </c>
      <c r="AB46" s="137">
        <f t="shared" si="10"/>
        <v>-9.999999999999995E-3</v>
      </c>
      <c r="AC46" s="137">
        <f t="shared" si="11"/>
        <v>-9.999999999999995E-3</v>
      </c>
      <c r="AE46" s="136">
        <f t="shared" si="17"/>
        <v>12</v>
      </c>
      <c r="AF46" s="134" t="str">
        <f t="shared" si="8"/>
        <v>QSAS3?12</v>
      </c>
      <c r="AG46" s="137">
        <f>IF(RTD("cqg.rtd", ,"ContractData", AF46,"LastTradeorSettle",,"T")="",NA(),RTD("cqg.rtd", ,"ContractData", AF46,"LastTradeorSettle",,"T"))</f>
        <v>0.02</v>
      </c>
      <c r="AH46" s="137"/>
      <c r="AI46" s="137">
        <f xml:space="preserve"> RTD("cqg.rtd",,"StudyData",AF46,  "Bar",, "Close","D","-1","All",,,,"T")</f>
        <v>2.5000000000000001E-2</v>
      </c>
      <c r="AJ46" s="137">
        <f xml:space="preserve"> RTD("cqg.rtd",,"StudyData",AF46,  "Bar",, "Close","D","-5","All",,,,"T")</f>
        <v>2.5000000000000001E-2</v>
      </c>
      <c r="AK46" s="137">
        <f xml:space="preserve"> RTD("cqg.rtd",,"StudyData",AF46,  "Bar",, "Close","D","-20","All",,,,"T")</f>
        <v>0.02</v>
      </c>
      <c r="AL46" s="137">
        <f t="shared" si="12"/>
        <v>-5.000000000000001E-3</v>
      </c>
      <c r="AM46" s="137">
        <f t="shared" si="13"/>
        <v>-5.000000000000001E-3</v>
      </c>
      <c r="AN46" s="137">
        <f t="shared" si="14"/>
        <v>0</v>
      </c>
    </row>
    <row r="47" spans="2:40" x14ac:dyDescent="0.2">
      <c r="B47" s="137"/>
      <c r="R47" s="125">
        <f t="shared" si="15"/>
        <v>13</v>
      </c>
      <c r="T47" s="136">
        <f t="shared" si="16"/>
        <v>13</v>
      </c>
      <c r="U47" s="134" t="str">
        <f t="shared" si="7"/>
        <v>QSAS12?13</v>
      </c>
      <c r="V47" s="137">
        <f>IF(RTD("cqg.rtd", ,"ContractData", U47,"LastTradeorSettle",,"T")="",NA(),RTD("cqg.rtd", ,"ContractData", U47,"LastTradeorSettle",,"T"))</f>
        <v>0.09</v>
      </c>
      <c r="X47" s="137">
        <f xml:space="preserve"> RTD("cqg.rtd",,"StudyData",U47,  "Bar",, "Close","D","-1","All",,,,"T")</f>
        <v>0.1</v>
      </c>
      <c r="Y47" s="137">
        <f>IF( RTD("cqg.rtd",,"StudyData",U47,  "Bar",, "Close","D","-5","All",,,,"T")="",NA(), RTD("cqg.rtd",,"StudyData",U47,  "Bar",, "Close","D","-5","All",,,,"T"))</f>
        <v>0.1</v>
      </c>
      <c r="Z47" s="137">
        <f>IF(RTD("cqg.rtd",,"StudyData",U47,  "Bar",, "Close","D","-20","All",,,,"T")="",NA(),RTD("cqg.rtd",,"StudyData",U47,  "Bar",, "Close","D","-20","All",,,,"T"))</f>
        <v>0.1</v>
      </c>
      <c r="AA47" s="137">
        <f t="shared" si="9"/>
        <v>-1.0000000000000009E-2</v>
      </c>
      <c r="AB47" s="137">
        <f t="shared" si="10"/>
        <v>-1.0000000000000009E-2</v>
      </c>
      <c r="AC47" s="137">
        <f t="shared" si="11"/>
        <v>-1.0000000000000009E-2</v>
      </c>
      <c r="AE47" s="136">
        <f t="shared" si="17"/>
        <v>13</v>
      </c>
      <c r="AF47" s="134" t="str">
        <f t="shared" si="8"/>
        <v>QSAS3?13</v>
      </c>
      <c r="AG47" s="137">
        <f>IF(RTD("cqg.rtd", ,"ContractData", AF47,"LastTradeorSettle",,"T")="",NA(),RTD("cqg.rtd", ,"ContractData", AF47,"LastTradeorSettle",,"T"))</f>
        <v>2.5000000000000001E-2</v>
      </c>
      <c r="AH47" s="137"/>
      <c r="AI47" s="137">
        <f xml:space="preserve"> RTD("cqg.rtd",,"StudyData",AF47,  "Bar",, "Close","D","-1","All",,,,"T")</f>
        <v>2.5000000000000001E-2</v>
      </c>
      <c r="AJ47" s="137">
        <f xml:space="preserve"> RTD("cqg.rtd",,"StudyData",AF47,  "Bar",, "Close","D","-5","All",,,,"T")</f>
        <v>2.5000000000000001E-2</v>
      </c>
      <c r="AK47" s="137">
        <f xml:space="preserve"> RTD("cqg.rtd",,"StudyData",AF47,  "Bar",, "Close","D","-20","All",,,,"T")</f>
        <v>2.5000000000000001E-2</v>
      </c>
      <c r="AL47" s="137">
        <f t="shared" si="12"/>
        <v>0</v>
      </c>
      <c r="AM47" s="137">
        <f t="shared" si="13"/>
        <v>0</v>
      </c>
      <c r="AN47" s="137">
        <f t="shared" si="14"/>
        <v>0</v>
      </c>
    </row>
    <row r="48" spans="2:40" x14ac:dyDescent="0.2">
      <c r="B48" s="137"/>
      <c r="R48" s="125">
        <f t="shared" si="15"/>
        <v>14</v>
      </c>
      <c r="T48" s="136">
        <f t="shared" si="16"/>
        <v>14</v>
      </c>
      <c r="U48" s="134" t="str">
        <f t="shared" si="7"/>
        <v>QSAS12?14</v>
      </c>
      <c r="V48" s="137">
        <f>IF(RTD("cqg.rtd", ,"ContractData", U48,"LastTradeorSettle",,"T")="",NA(),RTD("cqg.rtd", ,"ContractData", U48,"LastTradeorSettle",,"T"))</f>
        <v>0.105</v>
      </c>
      <c r="X48" s="137">
        <f xml:space="preserve"> RTD("cqg.rtd",,"StudyData",U48,  "Bar",, "Close","D","-1","All",,,,"T")</f>
        <v>0.105</v>
      </c>
      <c r="Y48" s="137">
        <f>IF( RTD("cqg.rtd",,"StudyData",U48,  "Bar",, "Close","D","-5","All",,,,"T")="",NA(), RTD("cqg.rtd",,"StudyData",U48,  "Bar",, "Close","D","-5","All",,,,"T"))</f>
        <v>0.105</v>
      </c>
      <c r="Z48" s="137">
        <f>IF(RTD("cqg.rtd",,"StudyData",U48,  "Bar",, "Close","D","-20","All",,,,"T")="",NA(),RTD("cqg.rtd",,"StudyData",U48,  "Bar",, "Close","D","-20","All",,,,"T"))</f>
        <v>0.105</v>
      </c>
      <c r="AA48" s="137">
        <f t="shared" si="9"/>
        <v>0</v>
      </c>
      <c r="AB48" s="137">
        <f t="shared" si="10"/>
        <v>0</v>
      </c>
      <c r="AC48" s="137">
        <f t="shared" si="11"/>
        <v>0</v>
      </c>
      <c r="AE48" s="136">
        <f t="shared" si="17"/>
        <v>14</v>
      </c>
      <c r="AF48" s="134" t="str">
        <f t="shared" si="8"/>
        <v>QSAS3?14</v>
      </c>
      <c r="AG48" s="137" t="e">
        <f>IF(RTD("cqg.rtd", ,"ContractData", AF48,"LastTradeorSettle",,"T")="",NA(),RTD("cqg.rtd", ,"ContractData", AF48,"LastTradeorSettle",,"T"))</f>
        <v>#N/A</v>
      </c>
      <c r="AH48" s="137"/>
      <c r="AI48" s="137">
        <f xml:space="preserve"> RTD("cqg.rtd",,"StudyData",AF48,  "Bar",, "Close","D","-1","All",,,,"T")</f>
        <v>1.4999999999999999E-2</v>
      </c>
      <c r="AJ48" s="137">
        <f xml:space="preserve"> RTD("cqg.rtd",,"StudyData",AF48,  "Bar",, "Close","D","-5","All",,,,"T")</f>
        <v>1.4999999999999999E-2</v>
      </c>
      <c r="AK48" s="137">
        <f xml:space="preserve"> RTD("cqg.rtd",,"StudyData",AF48,  "Bar",, "Close","D","-20","All",,,,"T")</f>
        <v>2.5000000000000001E-2</v>
      </c>
      <c r="AL48" s="137" t="e">
        <f t="shared" si="12"/>
        <v>#N/A</v>
      </c>
      <c r="AM48" s="137" t="e">
        <f t="shared" si="13"/>
        <v>#N/A</v>
      </c>
      <c r="AN48" s="137" t="e">
        <f t="shared" si="14"/>
        <v>#N/A</v>
      </c>
    </row>
    <row r="49" spans="2:40" x14ac:dyDescent="0.2">
      <c r="B49" s="137"/>
      <c r="R49" s="125">
        <f t="shared" si="15"/>
        <v>15</v>
      </c>
      <c r="T49" s="136">
        <f t="shared" si="16"/>
        <v>15</v>
      </c>
      <c r="U49" s="134" t="str">
        <f t="shared" si="7"/>
        <v>QSAS12?15</v>
      </c>
      <c r="V49" s="137">
        <f>IF(RTD("cqg.rtd", ,"ContractData", U49,"LastTradeorSettle",,"T")="",NA(),RTD("cqg.rtd", ,"ContractData", U49,"LastTradeorSettle",,"T"))</f>
        <v>0.105</v>
      </c>
      <c r="X49" s="137">
        <f xml:space="preserve"> RTD("cqg.rtd",,"StudyData",U49,  "Bar",, "Close","D","-1","All",,,,"T")</f>
        <v>0.11</v>
      </c>
      <c r="Y49" s="137">
        <f>IF( RTD("cqg.rtd",,"StudyData",U49,  "Bar",, "Close","D","-5","All",,,,"T")="",NA(), RTD("cqg.rtd",,"StudyData",U49,  "Bar",, "Close","D","-5","All",,,,"T"))</f>
        <v>0.11</v>
      </c>
      <c r="Z49" s="137">
        <f>IF(RTD("cqg.rtd",,"StudyData",U49,  "Bar",, "Close","D","-20","All",,,,"T")="",NA(),RTD("cqg.rtd",,"StudyData",U49,  "Bar",, "Close","D","-20","All",,,,"T"))</f>
        <v>0.1</v>
      </c>
      <c r="AA49" s="137">
        <f t="shared" si="9"/>
        <v>-5.0000000000000044E-3</v>
      </c>
      <c r="AB49" s="137">
        <f t="shared" si="10"/>
        <v>-5.0000000000000044E-3</v>
      </c>
      <c r="AC49" s="137">
        <f t="shared" si="11"/>
        <v>4.9999999999999906E-3</v>
      </c>
      <c r="AE49" s="136">
        <f t="shared" si="17"/>
        <v>15</v>
      </c>
      <c r="AF49" s="134" t="str">
        <f t="shared" si="8"/>
        <v>QSAS3?15</v>
      </c>
      <c r="AG49" s="137" t="e">
        <f>IF(RTD("cqg.rtd", ,"ContractData", AF49,"LastTradeorSettle",,"T")="",NA(),RTD("cqg.rtd", ,"ContractData", AF49,"LastTradeorSettle",,"T"))</f>
        <v>#N/A</v>
      </c>
      <c r="AH49" s="137"/>
      <c r="AI49" s="137">
        <f xml:space="preserve"> RTD("cqg.rtd",,"StudyData",AF49,  "Bar",, "Close","D","-1","All",,,,"T")</f>
        <v>0.03</v>
      </c>
      <c r="AJ49" s="137">
        <f xml:space="preserve"> RTD("cqg.rtd",,"StudyData",AF49,  "Bar",, "Close","D","-5","All",,,,"T")</f>
        <v>0.03</v>
      </c>
      <c r="AK49" s="137">
        <f xml:space="preserve"> RTD("cqg.rtd",,"StudyData",AF49,  "Bar",, "Close","D","-20","All",,,,"T")</f>
        <v>2.5000000000000001E-2</v>
      </c>
      <c r="AL49" s="137" t="e">
        <f t="shared" si="12"/>
        <v>#N/A</v>
      </c>
      <c r="AM49" s="137" t="e">
        <f t="shared" si="13"/>
        <v>#N/A</v>
      </c>
      <c r="AN49" s="137" t="e">
        <f t="shared" si="14"/>
        <v>#N/A</v>
      </c>
    </row>
    <row r="50" spans="2:40" x14ac:dyDescent="0.2">
      <c r="B50" s="137"/>
      <c r="R50" s="125">
        <f t="shared" si="15"/>
        <v>16</v>
      </c>
      <c r="T50" s="136">
        <f t="shared" si="16"/>
        <v>16</v>
      </c>
      <c r="U50" s="134" t="str">
        <f t="shared" si="7"/>
        <v>QSAS12?16</v>
      </c>
      <c r="V50" s="137">
        <f>IF(RTD("cqg.rtd", ,"ContractData", U50,"LastTradeorSettle",,"T")="",NA(),RTD("cqg.rtd", ,"ContractData", U50,"LastTradeorSettle",,"T"))</f>
        <v>0.105</v>
      </c>
      <c r="X50" s="137">
        <f xml:space="preserve"> RTD("cqg.rtd",,"StudyData",U50,  "Bar",, "Close","D","-1","All",,,,"T")</f>
        <v>0.105</v>
      </c>
      <c r="Y50" s="137">
        <f>IF( RTD("cqg.rtd",,"StudyData",U50,  "Bar",, "Close","D","-5","All",,,,"T")="",NA(), RTD("cqg.rtd",,"StudyData",U50,  "Bar",, "Close","D","-5","All",,,,"T"))</f>
        <v>0.105</v>
      </c>
      <c r="Z50" s="137">
        <f>IF(RTD("cqg.rtd",,"StudyData",U50,  "Bar",, "Close","D","-20","All",,,,"T")="",NA(),RTD("cqg.rtd",,"StudyData",U50,  "Bar",, "Close","D","-20","All",,,,"T"))</f>
        <v>9.5000000000000001E-2</v>
      </c>
      <c r="AA50" s="137">
        <f t="shared" si="9"/>
        <v>0</v>
      </c>
      <c r="AB50" s="137">
        <f t="shared" si="10"/>
        <v>0</v>
      </c>
      <c r="AC50" s="137">
        <f t="shared" si="11"/>
        <v>9.999999999999995E-3</v>
      </c>
      <c r="AE50" s="136">
        <f t="shared" si="17"/>
        <v>16</v>
      </c>
      <c r="AF50" s="134" t="str">
        <f t="shared" si="8"/>
        <v>QSAS3?16</v>
      </c>
      <c r="AG50" s="137">
        <f>IF(RTD("cqg.rtd", ,"ContractData", AF50,"LastTradeorSettle",,"T")="",NA(),RTD("cqg.rtd", ,"ContractData", AF50,"LastTradeorSettle",,"T"))</f>
        <v>2.5000000000000001E-2</v>
      </c>
      <c r="AH50" s="137"/>
      <c r="AI50" s="137">
        <f xml:space="preserve"> RTD("cqg.rtd",,"StudyData",AF50,  "Bar",, "Close","D","-1","All",,,,"T")</f>
        <v>0.03</v>
      </c>
      <c r="AJ50" s="137">
        <f xml:space="preserve"> RTD("cqg.rtd",,"StudyData",AF50,  "Bar",, "Close","D","-5","All",,,,"T")</f>
        <v>0.03</v>
      </c>
      <c r="AK50" s="137">
        <f xml:space="preserve"> RTD("cqg.rtd",,"StudyData",AF50,  "Bar",, "Close","D","-20","All",,,,"T")</f>
        <v>2.5000000000000001E-2</v>
      </c>
      <c r="AL50" s="137">
        <f t="shared" si="12"/>
        <v>-4.9999999999999975E-3</v>
      </c>
      <c r="AM50" s="137">
        <f t="shared" si="13"/>
        <v>-4.9999999999999975E-3</v>
      </c>
      <c r="AN50" s="137">
        <f t="shared" si="14"/>
        <v>0</v>
      </c>
    </row>
    <row r="51" spans="2:40" x14ac:dyDescent="0.2">
      <c r="B51" s="137"/>
      <c r="R51" s="125">
        <f t="shared" si="15"/>
        <v>17</v>
      </c>
      <c r="T51" s="136">
        <f t="shared" si="16"/>
        <v>17</v>
      </c>
      <c r="U51" s="134" t="str">
        <f t="shared" si="7"/>
        <v>QSAS12?17</v>
      </c>
      <c r="V51" s="137" t="e">
        <f>IF(RTD("cqg.rtd", ,"ContractData", U51,"LastTradeorSettle",,"T")="",NA(),RTD("cqg.rtd", ,"ContractData", U51,"LastTradeorSettle",,"T"))</f>
        <v>#N/A</v>
      </c>
      <c r="X51" s="137">
        <f xml:space="preserve"> RTD("cqg.rtd",,"StudyData",U51,  "Bar",, "Close","D","-1","All",,,,"T")</f>
        <v>0.105</v>
      </c>
      <c r="Y51" s="137">
        <f>IF( RTD("cqg.rtd",,"StudyData",U51,  "Bar",, "Close","D","-5","All",,,,"T")="",NA(), RTD("cqg.rtd",,"StudyData",U51,  "Bar",, "Close","D","-5","All",,,,"T"))</f>
        <v>0.105</v>
      </c>
      <c r="Z51" s="137">
        <f>IF(RTD("cqg.rtd",,"StudyData",U51,  "Bar",, "Close","D","-20","All",,,,"T")="",NA(),RTD("cqg.rtd",,"StudyData",U51,  "Bar",, "Close","D","-20","All",,,,"T"))</f>
        <v>0.09</v>
      </c>
      <c r="AA51" s="137" t="e">
        <f t="shared" si="9"/>
        <v>#N/A</v>
      </c>
      <c r="AB51" s="137" t="e">
        <f t="shared" si="10"/>
        <v>#N/A</v>
      </c>
      <c r="AC51" s="137" t="e">
        <f t="shared" si="11"/>
        <v>#N/A</v>
      </c>
      <c r="AE51" s="136">
        <f t="shared" si="17"/>
        <v>17</v>
      </c>
      <c r="AF51" s="134" t="str">
        <f t="shared" si="8"/>
        <v>QSAS3?17</v>
      </c>
      <c r="AG51" s="137" t="e">
        <f>IF(RTD("cqg.rtd", ,"ContractData", AF51,"LastTradeorSettle",,"T")="",NA(),RTD("cqg.rtd", ,"ContractData", AF51,"LastTradeorSettle",,"T"))</f>
        <v>#N/A</v>
      </c>
      <c r="AH51" s="137"/>
      <c r="AI51" s="137">
        <f xml:space="preserve"> RTD("cqg.rtd",,"StudyData",AF51,  "Bar",, "Close","D","-1","All",,,,"T")</f>
        <v>0.03</v>
      </c>
      <c r="AJ51" s="137">
        <f xml:space="preserve"> RTD("cqg.rtd",,"StudyData",AF51,  "Bar",, "Close","D","-5","All",,,,"T")</f>
        <v>0.03</v>
      </c>
      <c r="AK51" s="137">
        <f xml:space="preserve"> RTD("cqg.rtd",,"StudyData",AF51,  "Bar",, "Close","D","-20","All",,,,"T")</f>
        <v>0.03</v>
      </c>
      <c r="AL51" s="137" t="e">
        <f t="shared" si="12"/>
        <v>#N/A</v>
      </c>
      <c r="AM51" s="137" t="e">
        <f t="shared" si="13"/>
        <v>#N/A</v>
      </c>
      <c r="AN51" s="137" t="e">
        <f t="shared" si="14"/>
        <v>#N/A</v>
      </c>
    </row>
    <row r="52" spans="2:40" x14ac:dyDescent="0.2">
      <c r="B52" s="137"/>
      <c r="R52" s="125">
        <f t="shared" si="15"/>
        <v>18</v>
      </c>
      <c r="T52" s="136">
        <f t="shared" si="16"/>
        <v>18</v>
      </c>
      <c r="U52" s="134" t="str">
        <f t="shared" si="7"/>
        <v>QSAS12?18</v>
      </c>
      <c r="V52" s="137" t="e">
        <f>IF(RTD("cqg.rtd", ,"ContractData", U52,"LastTradeorSettle",,"T")="",NA(),RTD("cqg.rtd", ,"ContractData", U52,"LastTradeorSettle",,"T"))</f>
        <v>#N/A</v>
      </c>
      <c r="X52" s="137">
        <f xml:space="preserve"> RTD("cqg.rtd",,"StudyData",U52,  "Bar",, "Close","D","-1","All",,,,"T")</f>
        <v>0.105</v>
      </c>
      <c r="Y52" s="137">
        <f>IF( RTD("cqg.rtd",,"StudyData",U52,  "Bar",, "Close","D","-5","All",,,,"T")="",NA(), RTD("cqg.rtd",,"StudyData",U52,  "Bar",, "Close","D","-5","All",,,,"T"))</f>
        <v>0.11</v>
      </c>
      <c r="Z52" s="137">
        <f>IF(RTD("cqg.rtd",,"StudyData",U52,  "Bar",, "Close","D","-20","All",,,,"T")="",NA(),RTD("cqg.rtd",,"StudyData",U52,  "Bar",, "Close","D","-20","All",,,,"T"))</f>
        <v>8.5000000000000006E-2</v>
      </c>
      <c r="AA52" s="137" t="e">
        <f t="shared" si="9"/>
        <v>#N/A</v>
      </c>
      <c r="AB52" s="137" t="e">
        <f t="shared" si="10"/>
        <v>#N/A</v>
      </c>
      <c r="AC52" s="137" t="e">
        <f t="shared" si="11"/>
        <v>#N/A</v>
      </c>
      <c r="AE52" s="136">
        <f t="shared" si="17"/>
        <v>18</v>
      </c>
      <c r="AF52" s="134" t="str">
        <f t="shared" si="8"/>
        <v>QSAS3?18</v>
      </c>
      <c r="AG52" s="137" t="e">
        <f>IF(RTD("cqg.rtd", ,"ContractData", AF52,"LastTradeorSettle",,"T")="",NA(),RTD("cqg.rtd", ,"ContractData", AF52,"LastTradeorSettle",,"T"))</f>
        <v>#N/A</v>
      </c>
      <c r="AH52" s="137"/>
      <c r="AI52" s="137">
        <f xml:space="preserve"> RTD("cqg.rtd",,"StudyData",AF52,  "Bar",, "Close","D","-1","All",,,,"T")</f>
        <v>0.02</v>
      </c>
      <c r="AJ52" s="137">
        <f xml:space="preserve"> RTD("cqg.rtd",,"StudyData",AF52,  "Bar",, "Close","D","-5","All",,,,"T")</f>
        <v>0.02</v>
      </c>
      <c r="AK52" s="137">
        <f xml:space="preserve"> RTD("cqg.rtd",,"StudyData",AF52,  "Bar",, "Close","D","-20","All",,,,"T")</f>
        <v>0.02</v>
      </c>
      <c r="AL52" s="137" t="e">
        <f t="shared" si="12"/>
        <v>#N/A</v>
      </c>
      <c r="AM52" s="137" t="e">
        <f t="shared" si="13"/>
        <v>#N/A</v>
      </c>
      <c r="AN52" s="137" t="e">
        <f t="shared" si="14"/>
        <v>#N/A</v>
      </c>
    </row>
    <row r="53" spans="2:40" x14ac:dyDescent="0.2">
      <c r="B53" s="137"/>
      <c r="R53" s="125">
        <f t="shared" si="15"/>
        <v>19</v>
      </c>
      <c r="T53" s="136">
        <f t="shared" si="16"/>
        <v>19</v>
      </c>
      <c r="U53" s="134" t="str">
        <f t="shared" si="7"/>
        <v>QSAS12?19</v>
      </c>
      <c r="V53" s="137" t="e">
        <f>IF(RTD("cqg.rtd", ,"ContractData", U53,"LastTradeorSettle",,"T")="",NA(),RTD("cqg.rtd", ,"ContractData", U53,"LastTradeorSettle",,"T"))</f>
        <v>#N/A</v>
      </c>
      <c r="X53" s="137">
        <f xml:space="preserve"> RTD("cqg.rtd",,"StudyData",U53,  "Bar",, "Close","D","-1","All",,,,"T")</f>
        <v>0.11</v>
      </c>
      <c r="Y53" s="137">
        <f>IF( RTD("cqg.rtd",,"StudyData",U53,  "Bar",, "Close","D","-5","All",,,,"T")="",NA(), RTD("cqg.rtd",,"StudyData",U53,  "Bar",, "Close","D","-5","All",,,,"T"))</f>
        <v>0.115</v>
      </c>
      <c r="Z53" s="137">
        <f>IF(RTD("cqg.rtd",,"StudyData",U53,  "Bar",, "Close","D","-20","All",,,,"T")="",NA(),RTD("cqg.rtd",,"StudyData",U53,  "Bar",, "Close","D","-20","All",,,,"T"))</f>
        <v>8.5000000000000006E-2</v>
      </c>
      <c r="AA53" s="137" t="e">
        <f t="shared" si="9"/>
        <v>#N/A</v>
      </c>
      <c r="AB53" s="137" t="e">
        <f t="shared" si="10"/>
        <v>#N/A</v>
      </c>
      <c r="AC53" s="137" t="e">
        <f t="shared" si="11"/>
        <v>#N/A</v>
      </c>
      <c r="AE53" s="136">
        <f t="shared" si="17"/>
        <v>19</v>
      </c>
      <c r="AF53" s="134" t="str">
        <f t="shared" si="8"/>
        <v>QSAS3?19</v>
      </c>
      <c r="AG53" s="137">
        <f>IF(RTD("cqg.rtd", ,"ContractData", AF53,"LastTradeorSettle",,"T")="",NA(),RTD("cqg.rtd", ,"ContractData", AF53,"LastTradeorSettle",,"T"))</f>
        <v>2.5000000000000001E-2</v>
      </c>
      <c r="AH53" s="137"/>
      <c r="AI53" s="137">
        <f xml:space="preserve"> RTD("cqg.rtd",,"StudyData",AF53,  "Bar",, "Close","D","-1","All",,,,"T")</f>
        <v>2.5000000000000001E-2</v>
      </c>
      <c r="AJ53" s="137">
        <f xml:space="preserve"> RTD("cqg.rtd",,"StudyData",AF53,  "Bar",, "Close","D","-5","All",,,,"T")</f>
        <v>2.5000000000000001E-2</v>
      </c>
      <c r="AK53" s="137">
        <f xml:space="preserve"> RTD("cqg.rtd",,"StudyData",AF53,  "Bar",, "Close","D","-20","All",,,,"T")</f>
        <v>0.02</v>
      </c>
      <c r="AL53" s="137">
        <f t="shared" si="12"/>
        <v>0</v>
      </c>
      <c r="AM53" s="137">
        <f t="shared" si="13"/>
        <v>0</v>
      </c>
      <c r="AN53" s="137">
        <f t="shared" si="14"/>
        <v>5.000000000000001E-3</v>
      </c>
    </row>
    <row r="54" spans="2:40" x14ac:dyDescent="0.2">
      <c r="B54" s="137"/>
      <c r="R54" s="125">
        <f t="shared" si="15"/>
        <v>20</v>
      </c>
      <c r="T54" s="136">
        <f t="shared" si="16"/>
        <v>20</v>
      </c>
      <c r="U54" s="134" t="str">
        <f t="shared" si="7"/>
        <v>QSAS12?20</v>
      </c>
      <c r="V54" s="137" t="e">
        <f>IF(RTD("cqg.rtd", ,"ContractData", U54,"LastTradeorSettle",,"T")="",NA(),RTD("cqg.rtd", ,"ContractData", U54,"LastTradeorSettle",,"T"))</f>
        <v>#N/A</v>
      </c>
      <c r="X54" s="137">
        <f xml:space="preserve"> RTD("cqg.rtd",,"StudyData",U54,  "Bar",, "Close","D","-1","All",,,,"T")</f>
        <v>0.11</v>
      </c>
      <c r="Y54" s="137" t="e">
        <f>IF( RTD("cqg.rtd",,"StudyData",U54,  "Bar",, "Close","D","-5","All",,,,"T")="",NA(), RTD("cqg.rtd",,"StudyData",U54,  "Bar",, "Close","D","-5","All",,,,"T"))</f>
        <v>#N/A</v>
      </c>
      <c r="Z54" s="137" t="e">
        <f>IF(RTD("cqg.rtd",,"StudyData",U54,  "Bar",, "Close","D","-20","All",,,,"T")="",NA(),RTD("cqg.rtd",,"StudyData",U54,  "Bar",, "Close","D","-20","All",,,,"T"))</f>
        <v>#N/A</v>
      </c>
      <c r="AA54" s="137" t="e">
        <f t="shared" si="9"/>
        <v>#N/A</v>
      </c>
      <c r="AB54" s="137" t="e">
        <f t="shared" si="10"/>
        <v>#N/A</v>
      </c>
      <c r="AC54" s="137" t="e">
        <f t="shared" si="11"/>
        <v>#N/A</v>
      </c>
      <c r="AE54" s="136">
        <f t="shared" si="17"/>
        <v>20</v>
      </c>
      <c r="AF54" s="134" t="str">
        <f t="shared" si="8"/>
        <v>QSAS3?20</v>
      </c>
      <c r="AG54" s="137">
        <f>IF(RTD("cqg.rtd", ,"ContractData", AF54,"LastTradeorSettle",,"T")="",NA(),RTD("cqg.rtd", ,"ContractData", AF54,"LastTradeorSettle",,"T"))</f>
        <v>2.5000000000000001E-2</v>
      </c>
      <c r="AH54" s="137"/>
      <c r="AI54" s="137">
        <f xml:space="preserve"> RTD("cqg.rtd",,"StudyData",AF54,  "Bar",, "Close","D","-1","All",,,,"T")</f>
        <v>0.03</v>
      </c>
      <c r="AJ54" s="137">
        <f xml:space="preserve"> RTD("cqg.rtd",,"StudyData",AF54,  "Bar",, "Close","D","-5","All",,,,"T")</f>
        <v>0.03</v>
      </c>
      <c r="AK54" s="137">
        <f xml:space="preserve"> RTD("cqg.rtd",,"StudyData",AF54,  "Bar",, "Close","D","-20","All",,,,"T")</f>
        <v>0.02</v>
      </c>
      <c r="AL54" s="137">
        <f t="shared" si="12"/>
        <v>-4.9999999999999975E-3</v>
      </c>
      <c r="AM54" s="137">
        <f t="shared" si="13"/>
        <v>-4.9999999999999975E-3</v>
      </c>
      <c r="AN54" s="137">
        <f t="shared" si="14"/>
        <v>5.000000000000001E-3</v>
      </c>
    </row>
    <row r="55" spans="2:40" x14ac:dyDescent="0.2">
      <c r="B55" s="137"/>
      <c r="R55" s="125">
        <f t="shared" si="15"/>
        <v>21</v>
      </c>
      <c r="AA55" s="134"/>
      <c r="AB55" s="134"/>
      <c r="AC55" s="134"/>
    </row>
    <row r="56" spans="2:40" x14ac:dyDescent="0.2">
      <c r="R56" s="125">
        <f t="shared" si="15"/>
        <v>22</v>
      </c>
    </row>
    <row r="57" spans="2:40" x14ac:dyDescent="0.2">
      <c r="R57" s="125">
        <f t="shared" si="15"/>
        <v>23</v>
      </c>
    </row>
    <row r="58" spans="2:40" x14ac:dyDescent="0.2">
      <c r="R58" s="125">
        <f t="shared" si="15"/>
        <v>24</v>
      </c>
    </row>
    <row r="59" spans="2:40" x14ac:dyDescent="0.2">
      <c r="R59" s="125">
        <f t="shared" si="15"/>
        <v>25</v>
      </c>
    </row>
  </sheetData>
  <sheetProtection algorithmName="SHA-512" hashValue="zCCLKhAOXPy23wNWXeeip1PPp95DVTwIb7x34F7nSZOLpCHMPQIm/krW4UYuWMeNmyLXsmDSdfuhCxUoTMpxbA==" saltValue="DAww2XzMD6RGbLKQpHCfoA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QSA Master</vt:lpstr>
      <vt:lpstr>QSA</vt:lpstr>
    </vt:vector>
  </TitlesOfParts>
  <Company>CQG,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cp:lastPrinted>2019-03-11T14:09:21Z</cp:lastPrinted>
  <dcterms:created xsi:type="dcterms:W3CDTF">2011-05-02T21:38:10Z</dcterms:created>
  <dcterms:modified xsi:type="dcterms:W3CDTF">2019-06-24T14:29:00Z</dcterms:modified>
</cp:coreProperties>
</file>