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175"/>
  </bookViews>
  <sheets>
    <sheet name="EDA Master" sheetId="2" r:id="rId1"/>
    <sheet name="EDA" sheetId="6" state="hidden" r:id="rId2"/>
  </sheets>
  <calcPr calcId="162913"/>
</workbook>
</file>

<file path=xl/calcChain.xml><?xml version="1.0" encoding="utf-8"?>
<calcChain xmlns="http://schemas.openxmlformats.org/spreadsheetml/2006/main">
  <c r="AC54" i="6" l="1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C36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A54" i="6"/>
  <c r="AA53" i="6"/>
  <c r="AA52" i="6"/>
  <c r="AA51" i="6"/>
  <c r="AA50" i="6"/>
  <c r="AA49" i="6"/>
  <c r="AA48" i="6"/>
  <c r="AA47" i="6"/>
  <c r="AA46" i="6"/>
  <c r="AA45" i="6"/>
  <c r="AA44" i="6"/>
  <c r="AA43" i="6"/>
  <c r="AA42" i="6"/>
  <c r="AA41" i="6"/>
  <c r="AA40" i="6"/>
  <c r="AA39" i="6"/>
  <c r="AA38" i="6"/>
  <c r="AA37" i="6"/>
  <c r="AA36" i="6"/>
  <c r="AF35" i="6" l="1"/>
  <c r="AE36" i="6"/>
  <c r="AE37" i="6" s="1"/>
  <c r="AF37" i="6" s="1"/>
  <c r="S44" i="2"/>
  <c r="S43" i="2"/>
  <c r="AC45" i="2"/>
  <c r="AB45" i="2"/>
  <c r="T44" i="2"/>
  <c r="X43" i="2"/>
  <c r="AG37" i="6"/>
  <c r="V43" i="2"/>
  <c r="W44" i="2"/>
  <c r="AB43" i="2"/>
  <c r="Q44" i="2"/>
  <c r="Q43" i="2"/>
  <c r="U45" i="2"/>
  <c r="W42" i="2"/>
  <c r="Z45" i="2"/>
  <c r="R44" i="2"/>
  <c r="W45" i="2"/>
  <c r="M42" i="2"/>
  <c r="O45" i="2"/>
  <c r="Q45" i="2"/>
  <c r="O44" i="2"/>
  <c r="O43" i="2"/>
  <c r="M45" i="2"/>
  <c r="U42" i="2"/>
  <c r="X45" i="2"/>
  <c r="K42" i="2"/>
  <c r="P44" i="2"/>
  <c r="T43" i="2"/>
  <c r="T42" i="2"/>
  <c r="P45" i="2"/>
  <c r="Q42" i="2"/>
  <c r="AB44" i="2"/>
  <c r="A45" i="2"/>
  <c r="AA45" i="2"/>
  <c r="X42" i="2"/>
  <c r="O42" i="2"/>
  <c r="Z44" i="2"/>
  <c r="N43" i="2"/>
  <c r="AC42" i="2"/>
  <c r="K44" i="2"/>
  <c r="AC44" i="2"/>
  <c r="M44" i="2"/>
  <c r="T45" i="2"/>
  <c r="AC43" i="2"/>
  <c r="S42" i="2"/>
  <c r="V45" i="2"/>
  <c r="AD44" i="2"/>
  <c r="N44" i="2"/>
  <c r="R43" i="2"/>
  <c r="P42" i="2"/>
  <c r="AA43" i="2"/>
  <c r="M43" i="2"/>
  <c r="R45" i="2"/>
  <c r="P43" i="2"/>
  <c r="Y43" i="2"/>
  <c r="K45" i="2"/>
  <c r="N45" i="2"/>
  <c r="AD43" i="2"/>
  <c r="W43" i="2"/>
  <c r="X44" i="2"/>
  <c r="AA44" i="2"/>
  <c r="Y44" i="2"/>
  <c r="U44" i="2"/>
  <c r="U43" i="2"/>
  <c r="N42" i="2"/>
  <c r="AA42" i="2"/>
  <c r="AD45" i="2"/>
  <c r="K43" i="2"/>
  <c r="V44" i="2"/>
  <c r="Z43" i="2"/>
  <c r="AD42" i="2"/>
  <c r="AG35" i="6"/>
  <c r="Y42" i="2"/>
  <c r="Y45" i="2"/>
  <c r="AB42" i="2"/>
  <c r="S45" i="2"/>
  <c r="Z42" i="2"/>
  <c r="R42" i="2"/>
  <c r="V42" i="2"/>
  <c r="AF36" i="6" l="1"/>
  <c r="AE38" i="6"/>
  <c r="AF38" i="6" s="1"/>
  <c r="U35" i="6"/>
  <c r="T36" i="6"/>
  <c r="T37" i="6" s="1"/>
  <c r="W28" i="2"/>
  <c r="N26" i="2"/>
  <c r="Z28" i="2"/>
  <c r="Z27" i="2"/>
  <c r="M27" i="2"/>
  <c r="O26" i="2"/>
  <c r="A36" i="2"/>
  <c r="A35" i="2"/>
  <c r="AB28" i="2"/>
  <c r="A31" i="2"/>
  <c r="K28" i="2"/>
  <c r="L28" i="2"/>
  <c r="AG36" i="6"/>
  <c r="A33" i="2"/>
  <c r="O29" i="2"/>
  <c r="A37" i="2"/>
  <c r="K26" i="2"/>
  <c r="M26" i="2"/>
  <c r="A29" i="2"/>
  <c r="R28" i="2"/>
  <c r="AB26" i="2"/>
  <c r="T26" i="2"/>
  <c r="L29" i="2"/>
  <c r="T28" i="2"/>
  <c r="N28" i="2"/>
  <c r="U29" i="2"/>
  <c r="R26" i="2"/>
  <c r="A32" i="2"/>
  <c r="N27" i="2"/>
  <c r="V29" i="2"/>
  <c r="AG38" i="6"/>
  <c r="V28" i="2"/>
  <c r="T27" i="2"/>
  <c r="Y26" i="2"/>
  <c r="P28" i="2"/>
  <c r="AC27" i="2"/>
  <c r="A39" i="2"/>
  <c r="AD29" i="2"/>
  <c r="L43" i="2"/>
  <c r="S29" i="2"/>
  <c r="Z29" i="2"/>
  <c r="O28" i="2"/>
  <c r="K27" i="2"/>
  <c r="AB27" i="2"/>
  <c r="AD26" i="2"/>
  <c r="Y28" i="2"/>
  <c r="S27" i="2"/>
  <c r="AC26" i="2"/>
  <c r="A40" i="2"/>
  <c r="R27" i="2"/>
  <c r="L42" i="2"/>
  <c r="L27" i="2"/>
  <c r="O27" i="2"/>
  <c r="Y35" i="6"/>
  <c r="Q27" i="2"/>
  <c r="X26" i="2"/>
  <c r="A30" i="2"/>
  <c r="Z26" i="2"/>
  <c r="S26" i="2"/>
  <c r="P26" i="2"/>
  <c r="AC28" i="2"/>
  <c r="R29" i="2"/>
  <c r="W26" i="2"/>
  <c r="U26" i="2"/>
  <c r="AA27" i="2"/>
  <c r="Q29" i="2"/>
  <c r="A38" i="2"/>
  <c r="T29" i="2"/>
  <c r="AA29" i="2"/>
  <c r="W29" i="2"/>
  <c r="Q28" i="2"/>
  <c r="L44" i="2"/>
  <c r="AB29" i="2"/>
  <c r="A34" i="2"/>
  <c r="L26" i="2"/>
  <c r="X28" i="2"/>
  <c r="K29" i="2"/>
  <c r="AK35" i="6"/>
  <c r="U27" i="2"/>
  <c r="AC29" i="2"/>
  <c r="V27" i="2"/>
  <c r="X29" i="2"/>
  <c r="Q26" i="2"/>
  <c r="AD27" i="2"/>
  <c r="W27" i="2"/>
  <c r="AD28" i="2"/>
  <c r="U28" i="2"/>
  <c r="L45" i="2"/>
  <c r="AA28" i="2"/>
  <c r="S28" i="2"/>
  <c r="M28" i="2"/>
  <c r="Y29" i="2"/>
  <c r="N29" i="2"/>
  <c r="P27" i="2"/>
  <c r="M29" i="2"/>
  <c r="V26" i="2"/>
  <c r="AA26" i="2"/>
  <c r="P29" i="2"/>
  <c r="AJ35" i="6"/>
  <c r="X27" i="2"/>
  <c r="Y27" i="2"/>
  <c r="AI35" i="6"/>
  <c r="AL35" i="6" l="1"/>
  <c r="AN35" i="6"/>
  <c r="AM35" i="6"/>
  <c r="AE39" i="6"/>
  <c r="AF39" i="6" s="1"/>
  <c r="U36" i="6"/>
  <c r="T38" i="6"/>
  <c r="U37" i="6"/>
  <c r="V35" i="6"/>
  <c r="U16" i="6"/>
  <c r="U23" i="6"/>
  <c r="AJ36" i="6"/>
  <c r="X35" i="6"/>
  <c r="U21" i="6"/>
  <c r="U14" i="6"/>
  <c r="U18" i="6"/>
  <c r="U17" i="6"/>
  <c r="U19" i="6"/>
  <c r="W31" i="6"/>
  <c r="AB4" i="2"/>
  <c r="U22" i="6"/>
  <c r="AI36" i="6"/>
  <c r="AK37" i="6"/>
  <c r="U20" i="6"/>
  <c r="AG39" i="6"/>
  <c r="U15" i="6"/>
  <c r="Z35" i="6"/>
  <c r="AI37" i="6"/>
  <c r="AK36" i="6"/>
  <c r="AJ37" i="6"/>
  <c r="AJ39" i="6"/>
  <c r="Y36" i="6"/>
  <c r="AC35" i="6" l="1"/>
  <c r="AB35" i="6"/>
  <c r="AA35" i="6"/>
  <c r="AM37" i="6"/>
  <c r="AM36" i="6"/>
  <c r="AN36" i="6"/>
  <c r="AN37" i="6"/>
  <c r="AL37" i="6"/>
  <c r="AL36" i="6"/>
  <c r="AM39" i="6"/>
  <c r="AE40" i="6"/>
  <c r="AF40" i="6" s="1"/>
  <c r="T39" i="6"/>
  <c r="U38" i="6"/>
  <c r="X36" i="6"/>
  <c r="AJ38" i="6"/>
  <c r="V36" i="6"/>
  <c r="Z36" i="6"/>
  <c r="X37" i="6"/>
  <c r="AK38" i="6"/>
  <c r="Z37" i="6"/>
  <c r="Y37" i="6"/>
  <c r="AI38" i="6"/>
  <c r="V37" i="6"/>
  <c r="AG40" i="6"/>
  <c r="AN38" i="6" l="1"/>
  <c r="AM38" i="6"/>
  <c r="AL38" i="6"/>
  <c r="AE41" i="6"/>
  <c r="AF41" i="6" s="1"/>
  <c r="T40" i="6"/>
  <c r="U39" i="6"/>
  <c r="U9" i="6"/>
  <c r="A23" i="2"/>
  <c r="U3" i="6"/>
  <c r="U4" i="6"/>
  <c r="Y38" i="6"/>
  <c r="A52" i="2"/>
  <c r="A47" i="2"/>
  <c r="A48" i="2"/>
  <c r="A22" i="2"/>
  <c r="A19" i="2"/>
  <c r="Z38" i="6"/>
  <c r="U12" i="6"/>
  <c r="U8" i="6"/>
  <c r="V38" i="6"/>
  <c r="U13" i="6"/>
  <c r="A13" i="2"/>
  <c r="A17" i="2"/>
  <c r="AG41" i="6"/>
  <c r="X38" i="6"/>
  <c r="S35" i="6"/>
  <c r="A24" i="2"/>
  <c r="A20" i="2"/>
  <c r="U7" i="6"/>
  <c r="A16" i="2"/>
  <c r="A14" i="2"/>
  <c r="A53" i="2"/>
  <c r="A21" i="2"/>
  <c r="A46" i="2"/>
  <c r="A18" i="2"/>
  <c r="A56" i="2"/>
  <c r="U11" i="6"/>
  <c r="A50" i="2"/>
  <c r="A51" i="2"/>
  <c r="U6" i="6"/>
  <c r="U5" i="6"/>
  <c r="A15" i="2"/>
  <c r="A49" i="2"/>
  <c r="A54" i="2"/>
  <c r="U2" i="6"/>
  <c r="U10" i="6"/>
  <c r="AK39" i="6"/>
  <c r="S36" i="6"/>
  <c r="A55" i="2"/>
  <c r="AI39" i="6"/>
  <c r="AL39" i="6" l="1"/>
  <c r="AN39" i="6"/>
  <c r="AE42" i="6"/>
  <c r="AF42" i="6" s="1"/>
  <c r="T41" i="6"/>
  <c r="U40" i="6"/>
  <c r="R36" i="6"/>
  <c r="AJ40" i="6"/>
  <c r="AI40" i="6"/>
  <c r="Y39" i="6"/>
  <c r="AG42" i="6"/>
  <c r="V39" i="6"/>
  <c r="Z39" i="6"/>
  <c r="X39" i="6"/>
  <c r="AK40" i="6"/>
  <c r="AL40" i="6" l="1"/>
  <c r="AM40" i="6"/>
  <c r="AN40" i="6"/>
  <c r="AE43" i="6"/>
  <c r="AF43" i="6" s="1"/>
  <c r="T42" i="6"/>
  <c r="U41" i="6"/>
  <c r="R37" i="6"/>
  <c r="D52" i="2"/>
  <c r="E33" i="2"/>
  <c r="C56" i="2"/>
  <c r="G14" i="2"/>
  <c r="F53" i="2"/>
  <c r="E53" i="2"/>
  <c r="F45" i="2"/>
  <c r="B24" i="2"/>
  <c r="H34" i="2"/>
  <c r="I24" i="2"/>
  <c r="D24" i="2"/>
  <c r="G48" i="2"/>
  <c r="F15" i="2"/>
  <c r="I15" i="2"/>
  <c r="F22" i="2"/>
  <c r="C47" i="2"/>
  <c r="H19" i="2"/>
  <c r="G35" i="2"/>
  <c r="H55" i="2"/>
  <c r="F30" i="2"/>
  <c r="F20" i="2"/>
  <c r="H16" i="2"/>
  <c r="AI41" i="6"/>
  <c r="G40" i="2"/>
  <c r="B46" i="2"/>
  <c r="E29" i="2"/>
  <c r="F52" i="2"/>
  <c r="F46" i="2"/>
  <c r="F17" i="2"/>
  <c r="V40" i="6"/>
  <c r="I23" i="2"/>
  <c r="E48" i="2"/>
  <c r="I55" i="2"/>
  <c r="F24" i="2"/>
  <c r="C24" i="2"/>
  <c r="E56" i="2"/>
  <c r="D45" i="2"/>
  <c r="D39" i="2"/>
  <c r="I20" i="2"/>
  <c r="E23" i="2"/>
  <c r="F18" i="2"/>
  <c r="B18" i="2"/>
  <c r="G21" i="2"/>
  <c r="G53" i="2"/>
  <c r="E17" i="2"/>
  <c r="C39" i="2"/>
  <c r="C22" i="2"/>
  <c r="D17" i="2"/>
  <c r="D16" i="2"/>
  <c r="C50" i="2"/>
  <c r="Y40" i="6"/>
  <c r="G17" i="2"/>
  <c r="H24" i="2"/>
  <c r="H29" i="2"/>
  <c r="D29" i="2"/>
  <c r="AJ41" i="6"/>
  <c r="F50" i="2"/>
  <c r="C52" i="2"/>
  <c r="C54" i="2"/>
  <c r="F23" i="2"/>
  <c r="I40" i="2"/>
  <c r="G23" i="2"/>
  <c r="G49" i="2"/>
  <c r="C48" i="2"/>
  <c r="I37" i="2"/>
  <c r="H56" i="2"/>
  <c r="H49" i="2"/>
  <c r="H20" i="2"/>
  <c r="H52" i="2"/>
  <c r="B37" i="2"/>
  <c r="C21" i="2"/>
  <c r="F40" i="2"/>
  <c r="H23" i="2"/>
  <c r="I54" i="2"/>
  <c r="G45" i="2"/>
  <c r="B39" i="2"/>
  <c r="D37" i="2"/>
  <c r="G20" i="2"/>
  <c r="B17" i="2"/>
  <c r="B19" i="2"/>
  <c r="C33" i="2"/>
  <c r="B15" i="2"/>
  <c r="E40" i="2"/>
  <c r="D33" i="2"/>
  <c r="B54" i="2"/>
  <c r="I17" i="2"/>
  <c r="B34" i="2"/>
  <c r="E15" i="2"/>
  <c r="I46" i="2"/>
  <c r="G31" i="2"/>
  <c r="I31" i="2"/>
  <c r="H54" i="2"/>
  <c r="E21" i="2"/>
  <c r="G33" i="2"/>
  <c r="E31" i="2"/>
  <c r="C14" i="2"/>
  <c r="Q2" i="6"/>
  <c r="F51" i="2"/>
  <c r="B47" i="2"/>
  <c r="I45" i="2"/>
  <c r="D23" i="2"/>
  <c r="G19" i="2"/>
  <c r="D21" i="2"/>
  <c r="F16" i="2"/>
  <c r="I16" i="2"/>
  <c r="C29" i="2"/>
  <c r="G13" i="2"/>
  <c r="C45" i="2"/>
  <c r="D51" i="2"/>
  <c r="G51" i="2"/>
  <c r="B56" i="2"/>
  <c r="F36" i="2"/>
  <c r="B51" i="2"/>
  <c r="H14" i="2"/>
  <c r="G36" i="2"/>
  <c r="F13" i="2"/>
  <c r="E22" i="2"/>
  <c r="I47" i="2"/>
  <c r="AG43" i="6"/>
  <c r="E47" i="2"/>
  <c r="F21" i="2"/>
  <c r="E19" i="2"/>
  <c r="B48" i="2"/>
  <c r="F55" i="2"/>
  <c r="H15" i="2"/>
  <c r="C30" i="2"/>
  <c r="B35" i="2"/>
  <c r="I32" i="2"/>
  <c r="B21" i="2"/>
  <c r="E55" i="2"/>
  <c r="C23" i="2"/>
  <c r="H40" i="2"/>
  <c r="G54" i="2"/>
  <c r="C55" i="2"/>
  <c r="D54" i="2"/>
  <c r="F32" i="2"/>
  <c r="I14" i="2"/>
  <c r="C20" i="2"/>
  <c r="E45" i="2"/>
  <c r="G24" i="2"/>
  <c r="B53" i="2"/>
  <c r="I22" i="2"/>
  <c r="D18" i="2"/>
  <c r="C49" i="2"/>
  <c r="G47" i="2"/>
  <c r="C46" i="2"/>
  <c r="F34" i="2"/>
  <c r="F33" i="2"/>
  <c r="I19" i="2"/>
  <c r="C16" i="2"/>
  <c r="H33" i="2"/>
  <c r="G37" i="2"/>
  <c r="G38" i="2"/>
  <c r="F39" i="2"/>
  <c r="E13" i="2"/>
  <c r="G50" i="2"/>
  <c r="E16" i="2"/>
  <c r="H47" i="2"/>
  <c r="D56" i="2"/>
  <c r="B14" i="2"/>
  <c r="E49" i="2"/>
  <c r="C37" i="2"/>
  <c r="E24" i="2"/>
  <c r="B52" i="2"/>
  <c r="D31" i="2"/>
  <c r="D15" i="2"/>
  <c r="E39" i="2"/>
  <c r="H17" i="2"/>
  <c r="I30" i="2"/>
  <c r="C18" i="2"/>
  <c r="B38" i="2"/>
  <c r="B16" i="2"/>
  <c r="I49" i="2"/>
  <c r="H53" i="2"/>
  <c r="C36" i="2"/>
  <c r="F29" i="2"/>
  <c r="F19" i="2"/>
  <c r="H30" i="2"/>
  <c r="H36" i="2"/>
  <c r="D49" i="2"/>
  <c r="H48" i="2"/>
  <c r="D50" i="2"/>
  <c r="G56" i="2"/>
  <c r="I51" i="2"/>
  <c r="D30" i="2"/>
  <c r="C13" i="2"/>
  <c r="B45" i="2"/>
  <c r="C53" i="2"/>
  <c r="I21" i="2"/>
  <c r="D14" i="2"/>
  <c r="B40" i="2"/>
  <c r="D13" i="2"/>
  <c r="B30" i="2"/>
  <c r="E54" i="2"/>
  <c r="F35" i="2"/>
  <c r="C31" i="2"/>
  <c r="G16" i="2"/>
  <c r="I18" i="2"/>
  <c r="F14" i="2"/>
  <c r="B36" i="2"/>
  <c r="H50" i="2"/>
  <c r="I50" i="2"/>
  <c r="H37" i="2"/>
  <c r="G52" i="2"/>
  <c r="E14" i="2"/>
  <c r="B55" i="2"/>
  <c r="I35" i="2"/>
  <c r="G22" i="2"/>
  <c r="G18" i="2"/>
  <c r="H35" i="2"/>
  <c r="C34" i="2"/>
  <c r="AK41" i="6"/>
  <c r="G32" i="2"/>
  <c r="F54" i="2"/>
  <c r="F37" i="2"/>
  <c r="E34" i="2"/>
  <c r="G46" i="2"/>
  <c r="D53" i="2"/>
  <c r="D38" i="2"/>
  <c r="E20" i="2"/>
  <c r="B20" i="2"/>
  <c r="G15" i="2"/>
  <c r="H46" i="2"/>
  <c r="D47" i="2"/>
  <c r="I53" i="2"/>
  <c r="C19" i="2"/>
  <c r="X40" i="6"/>
  <c r="E35" i="2"/>
  <c r="D48" i="2"/>
  <c r="B49" i="2"/>
  <c r="E18" i="2"/>
  <c r="D19" i="2"/>
  <c r="D32" i="2"/>
  <c r="H31" i="2"/>
  <c r="H38" i="2"/>
  <c r="I38" i="2"/>
  <c r="B29" i="2"/>
  <c r="D34" i="2"/>
  <c r="C40" i="2"/>
  <c r="H39" i="2"/>
  <c r="F56" i="2"/>
  <c r="B22" i="2"/>
  <c r="E36" i="2"/>
  <c r="I48" i="2"/>
  <c r="D40" i="2"/>
  <c r="G39" i="2"/>
  <c r="I34" i="2"/>
  <c r="I33" i="2"/>
  <c r="B31" i="2"/>
  <c r="E37" i="2"/>
  <c r="B32" i="2"/>
  <c r="C35" i="2"/>
  <c r="C15" i="2"/>
  <c r="D36" i="2"/>
  <c r="E30" i="2"/>
  <c r="C38" i="2"/>
  <c r="D35" i="2"/>
  <c r="E52" i="2"/>
  <c r="Q3" i="6"/>
  <c r="H13" i="2"/>
  <c r="D22" i="2"/>
  <c r="H22" i="2"/>
  <c r="B50" i="2"/>
  <c r="D20" i="2"/>
  <c r="E46" i="2"/>
  <c r="D46" i="2"/>
  <c r="H21" i="2"/>
  <c r="E38" i="2"/>
  <c r="D55" i="2"/>
  <c r="B23" i="2"/>
  <c r="E50" i="2"/>
  <c r="E51" i="2"/>
  <c r="I29" i="2"/>
  <c r="I36" i="2"/>
  <c r="F38" i="2"/>
  <c r="C17" i="2"/>
  <c r="F31" i="2"/>
  <c r="H45" i="2"/>
  <c r="B13" i="2"/>
  <c r="C51" i="2"/>
  <c r="G30" i="2"/>
  <c r="F47" i="2"/>
  <c r="G55" i="2"/>
  <c r="F48" i="2"/>
  <c r="I52" i="2"/>
  <c r="I13" i="2"/>
  <c r="F49" i="2"/>
  <c r="H51" i="2"/>
  <c r="G34" i="2"/>
  <c r="H32" i="2"/>
  <c r="I39" i="2"/>
  <c r="I56" i="2"/>
  <c r="B33" i="2"/>
  <c r="G29" i="2"/>
  <c r="E32" i="2"/>
  <c r="Z40" i="6"/>
  <c r="C32" i="2"/>
  <c r="H18" i="2"/>
  <c r="AL41" i="6" l="1"/>
  <c r="AM41" i="6"/>
  <c r="AN41" i="6"/>
  <c r="AE44" i="6"/>
  <c r="AF44" i="6" s="1"/>
  <c r="T43" i="6"/>
  <c r="U42" i="6"/>
  <c r="P2" i="6"/>
  <c r="A2" i="6"/>
  <c r="P3" i="6"/>
  <c r="A3" i="6"/>
  <c r="R38" i="6"/>
  <c r="V41" i="6"/>
  <c r="R3" i="6"/>
  <c r="T3" i="6"/>
  <c r="S2" i="6"/>
  <c r="Y41" i="6"/>
  <c r="C27" i="6"/>
  <c r="AG44" i="6"/>
  <c r="B27" i="6"/>
  <c r="T2" i="6"/>
  <c r="X41" i="6"/>
  <c r="D26" i="6"/>
  <c r="C26" i="6"/>
  <c r="AK42" i="6"/>
  <c r="Q4" i="6"/>
  <c r="R2" i="6"/>
  <c r="D27" i="6"/>
  <c r="S3" i="6"/>
  <c r="Z41" i="6"/>
  <c r="B2" i="6"/>
  <c r="AI42" i="6"/>
  <c r="AJ42" i="6"/>
  <c r="L6" i="2"/>
  <c r="B26" i="6"/>
  <c r="K6" i="2"/>
  <c r="B3" i="6"/>
  <c r="AL42" i="6" l="1"/>
  <c r="AM42" i="6"/>
  <c r="AN42" i="6"/>
  <c r="AE45" i="6"/>
  <c r="AF45" i="6" s="1"/>
  <c r="T44" i="6"/>
  <c r="U43" i="6"/>
  <c r="F27" i="6"/>
  <c r="G27" i="6"/>
  <c r="E27" i="6"/>
  <c r="F26" i="6"/>
  <c r="G26" i="6"/>
  <c r="E26" i="6"/>
  <c r="C2" i="6"/>
  <c r="D2" i="6" s="1"/>
  <c r="AI6" i="2"/>
  <c r="K7" i="2" s="1"/>
  <c r="AJ6" i="2"/>
  <c r="L7" i="2" s="1"/>
  <c r="C3" i="6"/>
  <c r="A4" i="6"/>
  <c r="P4" i="6"/>
  <c r="R39" i="6"/>
  <c r="I9" i="2"/>
  <c r="E7" i="2"/>
  <c r="C28" i="6"/>
  <c r="K10" i="2"/>
  <c r="Y42" i="6"/>
  <c r="B4" i="2"/>
  <c r="AJ43" i="6"/>
  <c r="D28" i="6"/>
  <c r="B4" i="6"/>
  <c r="C7" i="2"/>
  <c r="L10" i="2"/>
  <c r="AG45" i="6"/>
  <c r="Q5" i="6"/>
  <c r="Z42" i="6"/>
  <c r="AK43" i="6"/>
  <c r="G9" i="2"/>
  <c r="R4" i="6"/>
  <c r="B28" i="6"/>
  <c r="E9" i="2"/>
  <c r="K9" i="2"/>
  <c r="K8" i="2"/>
  <c r="L9" i="2"/>
  <c r="L8" i="2"/>
  <c r="X42" i="6"/>
  <c r="C9" i="2"/>
  <c r="M6" i="2"/>
  <c r="T4" i="6"/>
  <c r="AI43" i="6"/>
  <c r="S4" i="6"/>
  <c r="V42" i="6"/>
  <c r="AN43" i="6" l="1"/>
  <c r="AM43" i="6"/>
  <c r="AL43" i="6"/>
  <c r="AE46" i="6"/>
  <c r="AF46" i="6" s="1"/>
  <c r="T45" i="6"/>
  <c r="U44" i="6"/>
  <c r="E28" i="6"/>
  <c r="G28" i="6"/>
  <c r="F28" i="6"/>
  <c r="AK6" i="2"/>
  <c r="M7" i="2" s="1"/>
  <c r="C4" i="6"/>
  <c r="P5" i="6"/>
  <c r="A5" i="6"/>
  <c r="R40" i="6"/>
  <c r="D3" i="6"/>
  <c r="E2" i="6"/>
  <c r="AK44" i="6"/>
  <c r="AI44" i="6"/>
  <c r="Q6" i="6"/>
  <c r="AJ44" i="6"/>
  <c r="S5" i="6"/>
  <c r="B29" i="6"/>
  <c r="R5" i="6"/>
  <c r="T5" i="6"/>
  <c r="V43" i="6"/>
  <c r="N6" i="2"/>
  <c r="Z43" i="6"/>
  <c r="X43" i="6"/>
  <c r="B5" i="6"/>
  <c r="C29" i="6"/>
  <c r="Y43" i="6"/>
  <c r="D29" i="6"/>
  <c r="M10" i="2"/>
  <c r="M8" i="2"/>
  <c r="M9" i="2"/>
  <c r="AG46" i="6"/>
  <c r="AN44" i="6" l="1"/>
  <c r="AM44" i="6"/>
  <c r="AL44" i="6"/>
  <c r="AE47" i="6"/>
  <c r="AF47" i="6" s="1"/>
  <c r="T46" i="6"/>
  <c r="U45" i="6"/>
  <c r="G29" i="6"/>
  <c r="E29" i="6"/>
  <c r="F29" i="6"/>
  <c r="AL6" i="2"/>
  <c r="N7" i="2" s="1"/>
  <c r="P6" i="6"/>
  <c r="A6" i="6"/>
  <c r="C5" i="6"/>
  <c r="D4" i="6"/>
  <c r="F2" i="6"/>
  <c r="R41" i="6"/>
  <c r="B30" i="6"/>
  <c r="C30" i="6"/>
  <c r="T6" i="6"/>
  <c r="R6" i="6"/>
  <c r="V44" i="6"/>
  <c r="N9" i="2"/>
  <c r="N10" i="2"/>
  <c r="Y44" i="6"/>
  <c r="AI45" i="6"/>
  <c r="O6" i="2"/>
  <c r="B6" i="6"/>
  <c r="Q7" i="6"/>
  <c r="Z44" i="6"/>
  <c r="AJ45" i="6"/>
  <c r="AK45" i="6"/>
  <c r="X44" i="6"/>
  <c r="N8" i="2"/>
  <c r="AG47" i="6"/>
  <c r="D30" i="6"/>
  <c r="S6" i="6"/>
  <c r="AM45" i="6" l="1"/>
  <c r="AL45" i="6"/>
  <c r="AN45" i="6"/>
  <c r="AE48" i="6"/>
  <c r="AF48" i="6" s="1"/>
  <c r="T47" i="6"/>
  <c r="U46" i="6"/>
  <c r="G30" i="6"/>
  <c r="F30" i="6"/>
  <c r="E30" i="6"/>
  <c r="AM6" i="2"/>
  <c r="O7" i="2" s="1"/>
  <c r="A7" i="6"/>
  <c r="P7" i="6"/>
  <c r="C6" i="6"/>
  <c r="R42" i="6"/>
  <c r="D5" i="6"/>
  <c r="G2" i="6"/>
  <c r="O10" i="2"/>
  <c r="Y45" i="6"/>
  <c r="V45" i="6"/>
  <c r="AI46" i="6"/>
  <c r="Z45" i="6"/>
  <c r="Q8" i="6"/>
  <c r="R7" i="6"/>
  <c r="B31" i="6"/>
  <c r="C31" i="6"/>
  <c r="AK46" i="6"/>
  <c r="S7" i="6"/>
  <c r="X45" i="6"/>
  <c r="P6" i="2"/>
  <c r="AJ46" i="6"/>
  <c r="AG48" i="6"/>
  <c r="O9" i="2"/>
  <c r="D31" i="6"/>
  <c r="O8" i="2"/>
  <c r="T7" i="6"/>
  <c r="B7" i="6"/>
  <c r="AM46" i="6" l="1"/>
  <c r="AL46" i="6"/>
  <c r="AN46" i="6"/>
  <c r="AE49" i="6"/>
  <c r="AF49" i="6" s="1"/>
  <c r="T48" i="6"/>
  <c r="U47" i="6"/>
  <c r="F31" i="6"/>
  <c r="E31" i="6"/>
  <c r="G31" i="6"/>
  <c r="AN6" i="2"/>
  <c r="P7" i="2" s="1"/>
  <c r="C7" i="6"/>
  <c r="P8" i="6"/>
  <c r="A8" i="6"/>
  <c r="R43" i="6"/>
  <c r="D6" i="6"/>
  <c r="H2" i="6"/>
  <c r="Z46" i="6"/>
  <c r="AI47" i="6"/>
  <c r="Q9" i="6"/>
  <c r="AK47" i="6"/>
  <c r="X46" i="6"/>
  <c r="P8" i="2"/>
  <c r="Y46" i="6"/>
  <c r="P10" i="2"/>
  <c r="T8" i="6"/>
  <c r="AJ47" i="6"/>
  <c r="C32" i="6"/>
  <c r="AG49" i="6"/>
  <c r="B32" i="6"/>
  <c r="S8" i="6"/>
  <c r="D32" i="6"/>
  <c r="Q6" i="2"/>
  <c r="R8" i="6"/>
  <c r="P9" i="2"/>
  <c r="V46" i="6"/>
  <c r="B8" i="6"/>
  <c r="AL47" i="6" l="1"/>
  <c r="AM47" i="6"/>
  <c r="AN47" i="6"/>
  <c r="AE50" i="6"/>
  <c r="AF50" i="6" s="1"/>
  <c r="T49" i="6"/>
  <c r="U48" i="6"/>
  <c r="G32" i="6"/>
  <c r="F32" i="6"/>
  <c r="E32" i="6"/>
  <c r="AO6" i="2"/>
  <c r="Q7" i="2" s="1"/>
  <c r="C8" i="6"/>
  <c r="P9" i="6"/>
  <c r="A9" i="6"/>
  <c r="D7" i="6"/>
  <c r="I2" i="6"/>
  <c r="R44" i="6"/>
  <c r="AI48" i="6"/>
  <c r="R6" i="2"/>
  <c r="B33" i="6"/>
  <c r="X47" i="6"/>
  <c r="Q10" i="2"/>
  <c r="T9" i="6"/>
  <c r="AJ48" i="6"/>
  <c r="S9" i="6"/>
  <c r="R9" i="6"/>
  <c r="V47" i="6"/>
  <c r="Q10" i="6"/>
  <c r="B9" i="6"/>
  <c r="AK48" i="6"/>
  <c r="Q9" i="2"/>
  <c r="AG50" i="6"/>
  <c r="Z47" i="6"/>
  <c r="C33" i="6"/>
  <c r="Y47" i="6"/>
  <c r="Q8" i="2"/>
  <c r="D33" i="6"/>
  <c r="AM48" i="6" l="1"/>
  <c r="AL48" i="6"/>
  <c r="AN48" i="6"/>
  <c r="AE51" i="6"/>
  <c r="AF51" i="6" s="1"/>
  <c r="T50" i="6"/>
  <c r="U49" i="6"/>
  <c r="F33" i="6"/>
  <c r="G33" i="6"/>
  <c r="E33" i="6"/>
  <c r="AP6" i="2"/>
  <c r="R7" i="2" s="1"/>
  <c r="C9" i="6"/>
  <c r="A10" i="6"/>
  <c r="P10" i="6"/>
  <c r="R45" i="6"/>
  <c r="D8" i="6"/>
  <c r="J2" i="6"/>
  <c r="B34" i="6"/>
  <c r="AK49" i="6"/>
  <c r="R10" i="6"/>
  <c r="R9" i="2"/>
  <c r="R8" i="2"/>
  <c r="T10" i="6"/>
  <c r="AJ49" i="6"/>
  <c r="Z48" i="6"/>
  <c r="D34" i="6"/>
  <c r="C34" i="6"/>
  <c r="R10" i="2"/>
  <c r="Y48" i="6"/>
  <c r="V48" i="6"/>
  <c r="X48" i="6"/>
  <c r="S10" i="6"/>
  <c r="B10" i="6"/>
  <c r="S6" i="2"/>
  <c r="AI49" i="6"/>
  <c r="Q11" i="6"/>
  <c r="AG51" i="6"/>
  <c r="AM49" i="6" l="1"/>
  <c r="AL49" i="6"/>
  <c r="AN49" i="6"/>
  <c r="AE52" i="6"/>
  <c r="AF52" i="6" s="1"/>
  <c r="T51" i="6"/>
  <c r="U50" i="6"/>
  <c r="F34" i="6"/>
  <c r="G34" i="6"/>
  <c r="E34" i="6"/>
  <c r="AQ6" i="2"/>
  <c r="S7" i="2" s="1"/>
  <c r="C10" i="6"/>
  <c r="A11" i="6"/>
  <c r="P11" i="6"/>
  <c r="D9" i="6"/>
  <c r="K2" i="6"/>
  <c r="R46" i="6"/>
  <c r="R47" i="6" s="1"/>
  <c r="S8" i="2"/>
  <c r="S10" i="2"/>
  <c r="T11" i="6"/>
  <c r="V49" i="6"/>
  <c r="AJ50" i="6"/>
  <c r="R11" i="6"/>
  <c r="Y49" i="6"/>
  <c r="S11" i="6"/>
  <c r="AK50" i="6"/>
  <c r="S9" i="2"/>
  <c r="T6" i="2"/>
  <c r="D35" i="6"/>
  <c r="X49" i="6"/>
  <c r="B35" i="6"/>
  <c r="AI50" i="6"/>
  <c r="AG52" i="6"/>
  <c r="C35" i="6"/>
  <c r="Q12" i="6"/>
  <c r="Z49" i="6"/>
  <c r="B11" i="6"/>
  <c r="AN50" i="6" l="1"/>
  <c r="AL50" i="6"/>
  <c r="AM50" i="6"/>
  <c r="AE53" i="6"/>
  <c r="AF53" i="6" s="1"/>
  <c r="T52" i="6"/>
  <c r="U51" i="6"/>
  <c r="F35" i="6"/>
  <c r="G35" i="6"/>
  <c r="E35" i="6"/>
  <c r="R48" i="6"/>
  <c r="AR6" i="2"/>
  <c r="T7" i="2" s="1"/>
  <c r="P12" i="6"/>
  <c r="A12" i="6"/>
  <c r="C11" i="6"/>
  <c r="D10" i="6"/>
  <c r="L2" i="6"/>
  <c r="T10" i="2"/>
  <c r="T12" i="6"/>
  <c r="B36" i="6"/>
  <c r="X50" i="6"/>
  <c r="Z50" i="6"/>
  <c r="T9" i="2"/>
  <c r="R12" i="6"/>
  <c r="V50" i="6"/>
  <c r="D36" i="6"/>
  <c r="C36" i="6"/>
  <c r="U6" i="2"/>
  <c r="AJ51" i="6"/>
  <c r="S12" i="6"/>
  <c r="Q14" i="6"/>
  <c r="AK51" i="6"/>
  <c r="Y50" i="6"/>
  <c r="T8" i="2"/>
  <c r="B12" i="6"/>
  <c r="AI51" i="6"/>
  <c r="Q13" i="6"/>
  <c r="AG53" i="6"/>
  <c r="AM51" i="6" l="1"/>
  <c r="AN51" i="6"/>
  <c r="AL51" i="6"/>
  <c r="AE54" i="6"/>
  <c r="AF54" i="6" s="1"/>
  <c r="P13" i="6"/>
  <c r="A13" i="6"/>
  <c r="T53" i="6"/>
  <c r="U52" i="6"/>
  <c r="F36" i="6"/>
  <c r="E36" i="6"/>
  <c r="G36" i="6"/>
  <c r="P14" i="6"/>
  <c r="R49" i="6"/>
  <c r="AS6" i="2"/>
  <c r="U7" i="2" s="1"/>
  <c r="C12" i="6"/>
  <c r="D11" i="6"/>
  <c r="M2" i="6"/>
  <c r="W6" i="2"/>
  <c r="B37" i="6"/>
  <c r="S14" i="6"/>
  <c r="R13" i="6"/>
  <c r="U8" i="2"/>
  <c r="AI52" i="6"/>
  <c r="X51" i="6"/>
  <c r="B38" i="6"/>
  <c r="V51" i="6"/>
  <c r="T13" i="6"/>
  <c r="V6" i="2"/>
  <c r="Z51" i="6"/>
  <c r="Y51" i="6"/>
  <c r="U9" i="2"/>
  <c r="AK52" i="6"/>
  <c r="D38" i="6"/>
  <c r="S13" i="6"/>
  <c r="U10" i="2"/>
  <c r="C37" i="6"/>
  <c r="R14" i="6"/>
  <c r="AJ52" i="6"/>
  <c r="AG54" i="6"/>
  <c r="C38" i="6"/>
  <c r="Q15" i="6"/>
  <c r="D37" i="6"/>
  <c r="T14" i="6"/>
  <c r="B13" i="6"/>
  <c r="AN52" i="6" l="1"/>
  <c r="AM52" i="6"/>
  <c r="AL52" i="6"/>
  <c r="AT6" i="2"/>
  <c r="V7" i="2" s="1"/>
  <c r="C13" i="6"/>
  <c r="D13" i="6" s="1"/>
  <c r="E37" i="6"/>
  <c r="G37" i="6"/>
  <c r="F37" i="6"/>
  <c r="T54" i="6"/>
  <c r="U54" i="6" s="1"/>
  <c r="U53" i="6"/>
  <c r="G38" i="6"/>
  <c r="E38" i="6"/>
  <c r="F38" i="6"/>
  <c r="P15" i="6"/>
  <c r="AU6" i="2"/>
  <c r="W7" i="2" s="1"/>
  <c r="R50" i="6"/>
  <c r="D12" i="6"/>
  <c r="N2" i="6"/>
  <c r="R15" i="6"/>
  <c r="AI54" i="6"/>
  <c r="W9" i="2"/>
  <c r="V9" i="2"/>
  <c r="T15" i="6"/>
  <c r="V8" i="2"/>
  <c r="S15" i="6"/>
  <c r="X6" i="2"/>
  <c r="V10" i="2"/>
  <c r="X52" i="6"/>
  <c r="AK53" i="6"/>
  <c r="AJ54" i="6"/>
  <c r="Q16" i="6"/>
  <c r="B39" i="6"/>
  <c r="C39" i="6"/>
  <c r="Z52" i="6"/>
  <c r="AK54" i="6"/>
  <c r="Y52" i="6"/>
  <c r="AI53" i="6"/>
  <c r="V52" i="6"/>
  <c r="D39" i="6"/>
  <c r="W10" i="2"/>
  <c r="W8" i="2"/>
  <c r="AJ53" i="6"/>
  <c r="AL54" i="6" l="1"/>
  <c r="AN54" i="6"/>
  <c r="AM54" i="6"/>
  <c r="AM53" i="6"/>
  <c r="AN53" i="6"/>
  <c r="AL53" i="6"/>
  <c r="O2" i="6"/>
  <c r="G39" i="6"/>
  <c r="F39" i="6"/>
  <c r="E39" i="6"/>
  <c r="P16" i="6"/>
  <c r="AV6" i="2"/>
  <c r="X7" i="2" s="1"/>
  <c r="R51" i="6"/>
  <c r="Q17" i="6"/>
  <c r="Y54" i="6"/>
  <c r="Z54" i="6"/>
  <c r="Z53" i="6"/>
  <c r="D40" i="6"/>
  <c r="X8" i="2"/>
  <c r="S16" i="6"/>
  <c r="C40" i="6"/>
  <c r="B40" i="6"/>
  <c r="Y53" i="6"/>
  <c r="X9" i="2"/>
  <c r="R16" i="6"/>
  <c r="X10" i="2"/>
  <c r="X54" i="6"/>
  <c r="Y6" i="2"/>
  <c r="V54" i="6"/>
  <c r="X53" i="6"/>
  <c r="V53" i="6"/>
  <c r="T16" i="6"/>
  <c r="E40" i="6" l="1"/>
  <c r="F40" i="6"/>
  <c r="G40" i="6"/>
  <c r="P17" i="6"/>
  <c r="AW6" i="2"/>
  <c r="Y7" i="2" s="1"/>
  <c r="R52" i="6"/>
  <c r="Y8" i="2"/>
  <c r="R17" i="6"/>
  <c r="D41" i="6"/>
  <c r="S17" i="6"/>
  <c r="Q18" i="6"/>
  <c r="Z6" i="2"/>
  <c r="C41" i="6"/>
  <c r="Y9" i="2"/>
  <c r="T17" i="6"/>
  <c r="Y10" i="2"/>
  <c r="B41" i="6"/>
  <c r="G41" i="6" l="1"/>
  <c r="F41" i="6"/>
  <c r="E41" i="6"/>
  <c r="P18" i="6"/>
  <c r="AX6" i="2"/>
  <c r="Z7" i="2" s="1"/>
  <c r="R53" i="6"/>
  <c r="S18" i="6"/>
  <c r="T18" i="6"/>
  <c r="Z9" i="2"/>
  <c r="Q19" i="6"/>
  <c r="AB6" i="2"/>
  <c r="Z10" i="2"/>
  <c r="R18" i="6"/>
  <c r="D42" i="6"/>
  <c r="AA6" i="2"/>
  <c r="C42" i="6"/>
  <c r="Z8" i="2"/>
  <c r="B42" i="6"/>
  <c r="E42" i="6" l="1"/>
  <c r="F42" i="6"/>
  <c r="G42" i="6"/>
  <c r="P19" i="6"/>
  <c r="AZ6" i="2"/>
  <c r="AB7" i="2" s="1"/>
  <c r="AY6" i="2"/>
  <c r="AA7" i="2" s="1"/>
  <c r="R54" i="6"/>
  <c r="R19" i="6"/>
  <c r="AA9" i="2"/>
  <c r="AB9" i="2"/>
  <c r="AA10" i="2"/>
  <c r="D43" i="6"/>
  <c r="AB10" i="2"/>
  <c r="S19" i="6"/>
  <c r="T19" i="6"/>
  <c r="AA8" i="2"/>
  <c r="B43" i="6"/>
  <c r="C43" i="6"/>
  <c r="Q20" i="6"/>
  <c r="AB8" i="2"/>
  <c r="E43" i="6" l="1"/>
  <c r="F43" i="6"/>
  <c r="G43" i="6"/>
  <c r="P20" i="6"/>
  <c r="R55" i="6"/>
  <c r="T20" i="6"/>
  <c r="C44" i="6"/>
  <c r="D44" i="6"/>
  <c r="Q21" i="6"/>
  <c r="R20" i="6"/>
  <c r="AC6" i="2"/>
  <c r="S20" i="6"/>
  <c r="B44" i="6"/>
  <c r="G44" i="6" l="1"/>
  <c r="F44" i="6"/>
  <c r="E44" i="6"/>
  <c r="BA6" i="2"/>
  <c r="AC7" i="2" s="1"/>
  <c r="P21" i="6"/>
  <c r="R56" i="6"/>
  <c r="Q22" i="6"/>
  <c r="B45" i="6"/>
  <c r="D45" i="6"/>
  <c r="C45" i="6"/>
  <c r="AC10" i="2"/>
  <c r="AC8" i="2"/>
  <c r="T21" i="6"/>
  <c r="AC9" i="2"/>
  <c r="R21" i="6"/>
  <c r="S21" i="6"/>
  <c r="AD6" i="2"/>
  <c r="E45" i="6" l="1"/>
  <c r="F45" i="6"/>
  <c r="G45" i="6"/>
  <c r="P22" i="6"/>
  <c r="BB6" i="2"/>
  <c r="AD7" i="2" s="1"/>
  <c r="R57" i="6"/>
  <c r="R58" i="6" s="1"/>
  <c r="R59" i="6" s="1"/>
  <c r="T22" i="6"/>
  <c r="S22" i="6"/>
  <c r="AD10" i="2"/>
  <c r="AD9" i="2"/>
  <c r="R22" i="6"/>
  <c r="AD8" i="2"/>
  <c r="Q23" i="6"/>
  <c r="P23" i="6" l="1"/>
  <c r="R23" i="6"/>
  <c r="T23" i="6"/>
  <c r="S23" i="6"/>
</calcChain>
</file>

<file path=xl/sharedStrings.xml><?xml version="1.0" encoding="utf-8"?>
<sst xmlns="http://schemas.openxmlformats.org/spreadsheetml/2006/main" count="57" uniqueCount="23">
  <si>
    <t>Bid</t>
  </si>
  <si>
    <t>Ask</t>
  </si>
  <si>
    <t>S</t>
  </si>
  <si>
    <t>LastTradeorSettle</t>
  </si>
  <si>
    <t>NetLastQuoteToday</t>
  </si>
  <si>
    <t>Symbol Check</t>
  </si>
  <si>
    <t>Last</t>
  </si>
  <si>
    <t>Open</t>
  </si>
  <si>
    <t>High</t>
  </si>
  <si>
    <t>Low</t>
  </si>
  <si>
    <t>Net</t>
  </si>
  <si>
    <t>Volume</t>
  </si>
  <si>
    <t>Last Trade</t>
  </si>
  <si>
    <t>Symbols</t>
  </si>
  <si>
    <t>EDA</t>
  </si>
  <si>
    <t>Yesterday</t>
  </si>
  <si>
    <t>5-days</t>
  </si>
  <si>
    <t>20-days</t>
  </si>
  <si>
    <t>One-Year Calendar Spreads</t>
  </si>
  <si>
    <t>CQG, Inc. Copyright © 2019</t>
  </si>
  <si>
    <t>Designed by Thom Hartle</t>
  </si>
  <si>
    <t>CQG Eurodollar (GLOBEX) Forward Curves</t>
  </si>
  <si>
    <t>Three-Month Calendar Spreads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</si>
</sst>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00"/>
    <numFmt numFmtId="166" formatCode="0.0000"/>
  </numFmts>
  <fonts count="31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1"/>
      <color theme="0"/>
      <name val="Arial"/>
      <family val="2"/>
    </font>
    <font>
      <sz val="22"/>
      <color theme="0"/>
      <name val="Century Gothic"/>
      <family val="2"/>
    </font>
    <font>
      <sz val="20"/>
      <color theme="3" tint="0.79998168889431442"/>
      <name val="Century Gothic"/>
      <family val="2"/>
    </font>
    <font>
      <sz val="10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52">
    <border>
      <left/>
      <right/>
      <top/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 style="medium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FF0000"/>
      </right>
      <top style="thin">
        <color theme="4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rgb="FFFF0000"/>
      </right>
      <top/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207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0" fontId="6" fillId="2" borderId="0" xfId="0" applyFont="1" applyFill="1"/>
    <xf numFmtId="2" fontId="8" fillId="2" borderId="7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shrinkToFit="1"/>
    </xf>
    <xf numFmtId="2" fontId="8" fillId="2" borderId="6" xfId="0" applyNumberFormat="1" applyFont="1" applyFill="1" applyBorder="1" applyAlignment="1">
      <alignment shrinkToFit="1"/>
    </xf>
    <xf numFmtId="0" fontId="12" fillId="2" borderId="0" xfId="0" applyFont="1" applyFill="1"/>
    <xf numFmtId="0" fontId="8" fillId="11" borderId="12" xfId="0" applyFont="1" applyFill="1" applyBorder="1" applyAlignment="1">
      <alignment shrinkToFit="1"/>
    </xf>
    <xf numFmtId="0" fontId="8" fillId="11" borderId="14" xfId="0" applyFont="1" applyFill="1" applyBorder="1" applyAlignment="1">
      <alignment shrinkToFit="1"/>
    </xf>
    <xf numFmtId="3" fontId="8" fillId="2" borderId="13" xfId="0" applyNumberFormat="1" applyFont="1" applyFill="1" applyBorder="1" applyAlignment="1">
      <alignment shrinkToFit="1"/>
    </xf>
    <xf numFmtId="3" fontId="8" fillId="2" borderId="15" xfId="0" applyNumberFormat="1" applyFont="1" applyFill="1" applyBorder="1" applyAlignment="1">
      <alignment shrinkToFit="1"/>
    </xf>
    <xf numFmtId="0" fontId="15" fillId="11" borderId="7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 shrinkToFit="1"/>
    </xf>
    <xf numFmtId="0" fontId="17" fillId="4" borderId="20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7" xfId="0" applyFont="1" applyFill="1" applyBorder="1"/>
    <xf numFmtId="0" fontId="15" fillId="11" borderId="29" xfId="0" applyFont="1" applyFill="1" applyBorder="1" applyAlignment="1">
      <alignment horizontal="center" vertical="center" shrinkToFit="1"/>
    </xf>
    <xf numFmtId="2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2" fontId="3" fillId="2" borderId="17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right"/>
    </xf>
    <xf numFmtId="2" fontId="16" fillId="3" borderId="0" xfId="0" applyNumberFormat="1" applyFont="1" applyFill="1" applyBorder="1" applyAlignment="1">
      <alignment horizontal="center"/>
    </xf>
    <xf numFmtId="2" fontId="3" fillId="3" borderId="23" xfId="0" applyNumberFormat="1" applyFont="1" applyFill="1" applyBorder="1" applyAlignment="1">
      <alignment horizontal="center"/>
    </xf>
    <xf numFmtId="2" fontId="3" fillId="3" borderId="23" xfId="0" applyNumberFormat="1" applyFont="1" applyFill="1" applyBorder="1" applyAlignment="1">
      <alignment horizontal="right"/>
    </xf>
    <xf numFmtId="0" fontId="3" fillId="3" borderId="23" xfId="0" applyFont="1" applyFill="1" applyBorder="1"/>
    <xf numFmtId="2" fontId="8" fillId="2" borderId="0" xfId="0" applyNumberFormat="1" applyFont="1" applyFill="1" applyBorder="1" applyAlignment="1">
      <alignment horizontal="center"/>
    </xf>
    <xf numFmtId="0" fontId="1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2" fillId="2" borderId="0" xfId="1" applyFont="1" applyFill="1" applyBorder="1" applyAlignment="1">
      <alignment horizontal="right" vertical="center"/>
    </xf>
    <xf numFmtId="0" fontId="7" fillId="6" borderId="1" xfId="1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/>
    </xf>
    <xf numFmtId="0" fontId="22" fillId="2" borderId="0" xfId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shrinkToFit="1"/>
    </xf>
    <xf numFmtId="2" fontId="16" fillId="2" borderId="5" xfId="0" applyNumberFormat="1" applyFont="1" applyFill="1" applyBorder="1" applyAlignment="1">
      <alignment shrinkToFit="1"/>
    </xf>
    <xf numFmtId="2" fontId="8" fillId="2" borderId="6" xfId="0" applyNumberFormat="1" applyFont="1" applyFill="1" applyBorder="1" applyAlignment="1">
      <alignment horizontal="center" shrinkToFit="1"/>
    </xf>
    <xf numFmtId="2" fontId="16" fillId="2" borderId="6" xfId="0" applyNumberFormat="1" applyFont="1" applyFill="1" applyBorder="1" applyAlignment="1">
      <alignment shrinkToFit="1"/>
    </xf>
    <xf numFmtId="0" fontId="25" fillId="2" borderId="0" xfId="0" applyFont="1" applyFill="1"/>
    <xf numFmtId="2" fontId="27" fillId="5" borderId="9" xfId="0" applyNumberFormat="1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/>
    </xf>
    <xf numFmtId="3" fontId="27" fillId="5" borderId="11" xfId="0" applyNumberFormat="1" applyFont="1" applyFill="1" applyBorder="1" applyAlignment="1">
      <alignment horizontal="center" vertical="center"/>
    </xf>
    <xf numFmtId="164" fontId="22" fillId="2" borderId="0" xfId="1" applyNumberFormat="1" applyFont="1" applyFill="1" applyBorder="1" applyAlignment="1">
      <alignment horizontal="left" vertical="center"/>
    </xf>
    <xf numFmtId="0" fontId="15" fillId="11" borderId="12" xfId="0" applyFont="1" applyFill="1" applyBorder="1" applyAlignment="1">
      <alignment horizontal="center" shrinkToFit="1"/>
    </xf>
    <xf numFmtId="165" fontId="15" fillId="2" borderId="5" xfId="0" applyNumberFormat="1" applyFont="1" applyFill="1" applyBorder="1" applyAlignment="1">
      <alignment horizontal="center" shrinkToFit="1"/>
    </xf>
    <xf numFmtId="165" fontId="21" fillId="2" borderId="5" xfId="0" applyNumberFormat="1" applyFont="1" applyFill="1" applyBorder="1" applyAlignment="1">
      <alignment shrinkToFit="1"/>
    </xf>
    <xf numFmtId="2" fontId="15" fillId="2" borderId="5" xfId="0" applyNumberFormat="1" applyFont="1" applyFill="1" applyBorder="1" applyAlignment="1">
      <alignment shrinkToFit="1"/>
    </xf>
    <xf numFmtId="3" fontId="15" fillId="2" borderId="13" xfId="0" applyNumberFormat="1" applyFont="1" applyFill="1" applyBorder="1" applyAlignment="1">
      <alignment shrinkToFit="1"/>
    </xf>
    <xf numFmtId="2" fontId="17" fillId="2" borderId="0" xfId="0" applyNumberFormat="1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shrinkToFit="1"/>
    </xf>
    <xf numFmtId="0" fontId="8" fillId="3" borderId="27" xfId="0" applyFont="1" applyFill="1" applyBorder="1" applyAlignment="1">
      <alignment horizontal="center" shrinkToFit="1"/>
    </xf>
    <xf numFmtId="0" fontId="21" fillId="3" borderId="0" xfId="0" applyFont="1" applyFill="1" applyBorder="1" applyAlignment="1">
      <alignment horizontal="center" vertical="center" shrinkToFit="1"/>
    </xf>
    <xf numFmtId="0" fontId="21" fillId="3" borderId="25" xfId="0" applyFont="1" applyFill="1" applyBorder="1" applyAlignment="1">
      <alignment horizontal="center" vertical="center" shrinkToFit="1"/>
    </xf>
    <xf numFmtId="2" fontId="16" fillId="3" borderId="25" xfId="0" applyNumberFormat="1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shrinkToFit="1"/>
    </xf>
    <xf numFmtId="2" fontId="3" fillId="3" borderId="25" xfId="0" applyNumberFormat="1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28" xfId="0" applyFont="1" applyFill="1" applyBorder="1"/>
    <xf numFmtId="0" fontId="7" fillId="3" borderId="0" xfId="0" applyFont="1" applyFill="1" applyBorder="1" applyAlignment="1" applyProtection="1">
      <alignment horizontal="center" vertical="center" shrinkToFit="1"/>
    </xf>
    <xf numFmtId="3" fontId="15" fillId="2" borderId="0" xfId="0" applyNumberFormat="1" applyFont="1" applyFill="1" applyBorder="1" applyAlignment="1">
      <alignment shrinkToFit="1"/>
    </xf>
    <xf numFmtId="3" fontId="8" fillId="2" borderId="0" xfId="0" applyNumberFormat="1" applyFont="1" applyFill="1" applyBorder="1" applyAlignment="1">
      <alignment shrinkToFit="1"/>
    </xf>
    <xf numFmtId="0" fontId="15" fillId="11" borderId="8" xfId="0" applyFont="1" applyFill="1" applyBorder="1" applyAlignment="1">
      <alignment horizontal="center" vertical="center"/>
    </xf>
    <xf numFmtId="0" fontId="7" fillId="3" borderId="33" xfId="0" applyFont="1" applyFill="1" applyBorder="1" applyAlignment="1" applyProtection="1">
      <alignment horizontal="center" vertical="center" shrinkToFit="1"/>
    </xf>
    <xf numFmtId="0" fontId="7" fillId="3" borderId="41" xfId="0" applyFont="1" applyFill="1" applyBorder="1" applyAlignment="1" applyProtection="1">
      <alignment horizontal="center" vertical="center" shrinkToFit="1"/>
    </xf>
    <xf numFmtId="166" fontId="15" fillId="2" borderId="5" xfId="0" applyNumberFormat="1" applyFont="1" applyFill="1" applyBorder="1" applyAlignment="1">
      <alignment horizontal="center" shrinkToFit="1"/>
    </xf>
    <xf numFmtId="166" fontId="21" fillId="2" borderId="5" xfId="0" applyNumberFormat="1" applyFont="1" applyFill="1" applyBorder="1" applyAlignment="1">
      <alignment shrinkToFit="1"/>
    </xf>
    <xf numFmtId="2" fontId="15" fillId="2" borderId="8" xfId="0" applyNumberFormat="1" applyFont="1" applyFill="1" applyBorder="1" applyAlignment="1">
      <alignment horizontal="center" shrinkToFit="1"/>
    </xf>
    <xf numFmtId="2" fontId="15" fillId="2" borderId="7" xfId="0" applyNumberFormat="1" applyFont="1" applyFill="1" applyBorder="1" applyAlignment="1">
      <alignment horizontal="center" shrinkToFit="1"/>
    </xf>
    <xf numFmtId="2" fontId="15" fillId="2" borderId="36" xfId="0" applyNumberFormat="1" applyFont="1" applyFill="1" applyBorder="1" applyAlignment="1">
      <alignment horizontal="center" shrinkToFit="1"/>
    </xf>
    <xf numFmtId="2" fontId="15" fillId="3" borderId="7" xfId="0" applyNumberFormat="1" applyFont="1" applyFill="1" applyBorder="1" applyAlignment="1">
      <alignment horizontal="center"/>
    </xf>
    <xf numFmtId="0" fontId="25" fillId="2" borderId="0" xfId="0" applyFont="1" applyFill="1" applyBorder="1"/>
    <xf numFmtId="1" fontId="20" fillId="3" borderId="0" xfId="0" applyNumberFormat="1" applyFont="1" applyFill="1" applyBorder="1" applyAlignment="1">
      <alignment horizontal="right" shrinkToFit="1"/>
    </xf>
    <xf numFmtId="1" fontId="8" fillId="3" borderId="0" xfId="0" applyNumberFormat="1" applyFont="1" applyFill="1" applyBorder="1" applyAlignment="1" applyProtection="1">
      <alignment horizontal="center" shrinkToFit="1"/>
      <protection locked="0"/>
    </xf>
    <xf numFmtId="1" fontId="18" fillId="3" borderId="0" xfId="0" applyNumberFormat="1" applyFont="1" applyFill="1" applyBorder="1" applyAlignment="1">
      <alignment horizontal="right" shrinkToFit="1"/>
    </xf>
    <xf numFmtId="1" fontId="19" fillId="3" borderId="0" xfId="0" applyNumberFormat="1" applyFont="1" applyFill="1" applyBorder="1" applyAlignment="1">
      <alignment horizontal="right" shrinkToFit="1"/>
    </xf>
    <xf numFmtId="0" fontId="6" fillId="2" borderId="0" xfId="0" applyFont="1" applyFill="1" applyBorder="1"/>
    <xf numFmtId="0" fontId="24" fillId="3" borderId="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 vertical="center" shrinkToFit="1"/>
    </xf>
    <xf numFmtId="2" fontId="27" fillId="3" borderId="0" xfId="0" applyNumberFormat="1" applyFont="1" applyFill="1" applyBorder="1" applyAlignment="1">
      <alignment horizontal="center" vertical="center" shrinkToFit="1"/>
    </xf>
    <xf numFmtId="0" fontId="27" fillId="3" borderId="0" xfId="0" applyFont="1" applyFill="1" applyBorder="1" applyAlignment="1">
      <alignment horizontal="center" vertical="center"/>
    </xf>
    <xf numFmtId="3" fontId="27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shrinkToFit="1"/>
    </xf>
    <xf numFmtId="2" fontId="8" fillId="2" borderId="0" xfId="0" applyNumberFormat="1" applyFont="1" applyFill="1" applyBorder="1" applyAlignment="1">
      <alignment horizontal="center" shrinkToFit="1"/>
    </xf>
    <xf numFmtId="2" fontId="16" fillId="2" borderId="0" xfId="0" applyNumberFormat="1" applyFont="1" applyFill="1" applyBorder="1" applyAlignment="1">
      <alignment shrinkToFit="1"/>
    </xf>
    <xf numFmtId="2" fontId="8" fillId="2" borderId="0" xfId="0" applyNumberFormat="1" applyFont="1" applyFill="1" applyBorder="1" applyAlignment="1">
      <alignment shrinkToFit="1"/>
    </xf>
    <xf numFmtId="0" fontId="8" fillId="3" borderId="0" xfId="0" applyFont="1" applyFill="1" applyBorder="1" applyAlignment="1">
      <alignment horizontal="center" shrinkToFit="1"/>
    </xf>
    <xf numFmtId="2" fontId="27" fillId="3" borderId="0" xfId="0" applyNumberFormat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vertical="center"/>
    </xf>
    <xf numFmtId="0" fontId="14" fillId="3" borderId="0" xfId="1" applyFont="1" applyFill="1" applyBorder="1" applyAlignment="1">
      <alignment horizontal="right" vertical="center"/>
    </xf>
    <xf numFmtId="0" fontId="26" fillId="2" borderId="0" xfId="0" applyFont="1" applyFill="1" applyBorder="1"/>
    <xf numFmtId="0" fontId="13" fillId="2" borderId="0" xfId="0" applyFont="1" applyFill="1" applyBorder="1"/>
    <xf numFmtId="0" fontId="12" fillId="2" borderId="0" xfId="0" applyFont="1" applyFill="1" applyBorder="1"/>
    <xf numFmtId="0" fontId="8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 vertical="center" shrinkToFit="1"/>
    </xf>
    <xf numFmtId="0" fontId="6" fillId="2" borderId="33" xfId="0" applyFont="1" applyFill="1" applyBorder="1"/>
    <xf numFmtId="0" fontId="15" fillId="11" borderId="14" xfId="0" applyFont="1" applyFill="1" applyBorder="1" applyAlignment="1">
      <alignment horizontal="center" shrinkToFit="1"/>
    </xf>
    <xf numFmtId="165" fontId="15" fillId="2" borderId="6" xfId="0" applyNumberFormat="1" applyFont="1" applyFill="1" applyBorder="1" applyAlignment="1">
      <alignment horizontal="center" shrinkToFit="1"/>
    </xf>
    <xf numFmtId="165" fontId="21" fillId="2" borderId="6" xfId="0" applyNumberFormat="1" applyFont="1" applyFill="1" applyBorder="1" applyAlignment="1">
      <alignment shrinkToFit="1"/>
    </xf>
    <xf numFmtId="2" fontId="15" fillId="2" borderId="6" xfId="0" applyNumberFormat="1" applyFont="1" applyFill="1" applyBorder="1" applyAlignment="1">
      <alignment shrinkToFit="1"/>
    </xf>
    <xf numFmtId="3" fontId="15" fillId="2" borderId="15" xfId="0" applyNumberFormat="1" applyFont="1" applyFill="1" applyBorder="1" applyAlignment="1">
      <alignment shrinkToFit="1"/>
    </xf>
    <xf numFmtId="2" fontId="27" fillId="5" borderId="44" xfId="0" applyNumberFormat="1" applyFont="1" applyFill="1" applyBorder="1" applyAlignment="1">
      <alignment horizontal="center" vertical="center"/>
    </xf>
    <xf numFmtId="0" fontId="27" fillId="5" borderId="45" xfId="0" applyFont="1" applyFill="1" applyBorder="1" applyAlignment="1">
      <alignment horizontal="center" vertical="center"/>
    </xf>
    <xf numFmtId="0" fontId="27" fillId="5" borderId="46" xfId="0" applyFont="1" applyFill="1" applyBorder="1" applyAlignment="1">
      <alignment horizontal="center" vertical="center"/>
    </xf>
    <xf numFmtId="1" fontId="20" fillId="5" borderId="48" xfId="0" applyNumberFormat="1" applyFont="1" applyFill="1" applyBorder="1" applyAlignment="1">
      <alignment horizontal="right" shrinkToFit="1"/>
    </xf>
    <xf numFmtId="1" fontId="8" fillId="5" borderId="48" xfId="0" applyNumberFormat="1" applyFont="1" applyFill="1" applyBorder="1" applyAlignment="1" applyProtection="1">
      <alignment horizontal="center" shrinkToFit="1"/>
      <protection locked="0"/>
    </xf>
    <xf numFmtId="1" fontId="18" fillId="5" borderId="48" xfId="0" applyNumberFormat="1" applyFont="1" applyFill="1" applyBorder="1" applyAlignment="1">
      <alignment horizontal="right" shrinkToFit="1"/>
    </xf>
    <xf numFmtId="1" fontId="19" fillId="5" borderId="48" xfId="0" applyNumberFormat="1" applyFont="1" applyFill="1" applyBorder="1" applyAlignment="1">
      <alignment horizontal="right" shrinkToFit="1"/>
    </xf>
    <xf numFmtId="1" fontId="8" fillId="5" borderId="49" xfId="0" applyNumberFormat="1" applyFont="1" applyFill="1" applyBorder="1" applyAlignment="1" applyProtection="1">
      <alignment horizontal="center" shrinkToFit="1"/>
      <protection locked="0"/>
    </xf>
    <xf numFmtId="0" fontId="8" fillId="11" borderId="38" xfId="0" applyFont="1" applyFill="1" applyBorder="1" applyAlignment="1">
      <alignment shrinkToFit="1"/>
    </xf>
    <xf numFmtId="2" fontId="8" fillId="2" borderId="39" xfId="0" applyNumberFormat="1" applyFont="1" applyFill="1" applyBorder="1" applyAlignment="1">
      <alignment horizontal="center" shrinkToFit="1"/>
    </xf>
    <xf numFmtId="2" fontId="16" fillId="2" borderId="39" xfId="0" applyNumberFormat="1" applyFont="1" applyFill="1" applyBorder="1" applyAlignment="1">
      <alignment shrinkToFit="1"/>
    </xf>
    <xf numFmtId="2" fontId="8" fillId="2" borderId="39" xfId="0" applyNumberFormat="1" applyFont="1" applyFill="1" applyBorder="1" applyAlignment="1">
      <alignment shrinkToFit="1"/>
    </xf>
    <xf numFmtId="3" fontId="8" fillId="2" borderId="40" xfId="0" applyNumberFormat="1" applyFont="1" applyFill="1" applyBorder="1" applyAlignment="1">
      <alignment shrinkToFit="1"/>
    </xf>
    <xf numFmtId="0" fontId="3" fillId="2" borderId="26" xfId="0" applyFont="1" applyFill="1" applyBorder="1"/>
    <xf numFmtId="0" fontId="3" fillId="3" borderId="26" xfId="0" applyFont="1" applyFill="1" applyBorder="1"/>
    <xf numFmtId="2" fontId="3" fillId="3" borderId="26" xfId="0" applyNumberFormat="1" applyFont="1" applyFill="1" applyBorder="1" applyAlignment="1">
      <alignment horizontal="center" shrinkToFit="1"/>
    </xf>
    <xf numFmtId="165" fontId="11" fillId="3" borderId="3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6" fontId="5" fillId="2" borderId="0" xfId="0" applyNumberFormat="1" applyFont="1" applyFill="1"/>
    <xf numFmtId="165" fontId="5" fillId="2" borderId="0" xfId="0" applyNumberFormat="1" applyFont="1" applyFill="1"/>
    <xf numFmtId="2" fontId="0" fillId="2" borderId="0" xfId="0" applyNumberFormat="1" applyFont="1" applyFill="1"/>
    <xf numFmtId="166" fontId="0" fillId="2" borderId="0" xfId="0" applyNumberFormat="1" applyFont="1" applyFill="1"/>
    <xf numFmtId="165" fontId="0" fillId="2" borderId="0" xfId="0" applyNumberFormat="1" applyFont="1" applyFill="1"/>
    <xf numFmtId="0" fontId="0" fillId="2" borderId="0" xfId="0" applyNumberFormat="1" applyFont="1" applyFill="1"/>
    <xf numFmtId="0" fontId="15" fillId="11" borderId="50" xfId="0" applyFont="1" applyFill="1" applyBorder="1" applyAlignment="1">
      <alignment horizontal="center" vertical="center" shrinkToFit="1"/>
    </xf>
    <xf numFmtId="2" fontId="15" fillId="3" borderId="51" xfId="0" applyNumberFormat="1" applyFont="1" applyFill="1" applyBorder="1" applyAlignment="1">
      <alignment horizontal="center"/>
    </xf>
    <xf numFmtId="2" fontId="8" fillId="2" borderId="5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shrinkToFit="1"/>
    </xf>
    <xf numFmtId="0" fontId="8" fillId="5" borderId="48" xfId="0" applyFont="1" applyFill="1" applyBorder="1" applyAlignment="1">
      <alignment horizontal="center" shrinkToFit="1"/>
    </xf>
    <xf numFmtId="164" fontId="22" fillId="2" borderId="0" xfId="1" applyNumberFormat="1" applyFont="1" applyFill="1" applyBorder="1" applyAlignment="1">
      <alignment horizontal="left" vertical="center"/>
    </xf>
    <xf numFmtId="0" fontId="24" fillId="5" borderId="33" xfId="0" applyFont="1" applyFill="1" applyBorder="1" applyAlignment="1">
      <alignment horizontal="center" vertical="center" shrinkToFit="1"/>
    </xf>
    <xf numFmtId="0" fontId="24" fillId="5" borderId="0" xfId="0" applyFont="1" applyFill="1" applyBorder="1" applyAlignment="1">
      <alignment horizontal="center" vertical="center" shrinkToFit="1"/>
    </xf>
    <xf numFmtId="0" fontId="24" fillId="5" borderId="34" xfId="0" applyFont="1" applyFill="1" applyBorder="1" applyAlignment="1">
      <alignment horizontal="center" vertical="center" shrinkToFit="1"/>
    </xf>
    <xf numFmtId="0" fontId="24" fillId="5" borderId="16" xfId="0" applyFont="1" applyFill="1" applyBorder="1" applyAlignment="1">
      <alignment horizontal="center" vertical="center" shrinkToFit="1"/>
    </xf>
    <xf numFmtId="0" fontId="24" fillId="5" borderId="17" xfId="0" applyFont="1" applyFill="1" applyBorder="1" applyAlignment="1">
      <alignment horizontal="center" vertical="center" shrinkToFit="1"/>
    </xf>
    <xf numFmtId="0" fontId="24" fillId="5" borderId="18" xfId="0" applyFont="1" applyFill="1" applyBorder="1" applyAlignment="1">
      <alignment horizontal="center" vertical="center" shrinkToFit="1"/>
    </xf>
    <xf numFmtId="0" fontId="24" fillId="3" borderId="0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/>
    </xf>
    <xf numFmtId="0" fontId="7" fillId="6" borderId="2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2" fontId="9" fillId="8" borderId="19" xfId="0" applyNumberFormat="1" applyFont="1" applyFill="1" applyBorder="1" applyAlignment="1">
      <alignment horizontal="center" vertical="center" shrinkToFit="1"/>
    </xf>
    <xf numFmtId="2" fontId="9" fillId="8" borderId="33" xfId="0" applyNumberFormat="1" applyFont="1" applyFill="1" applyBorder="1" applyAlignment="1">
      <alignment horizontal="center" vertical="center" shrinkToFit="1"/>
    </xf>
    <xf numFmtId="0" fontId="8" fillId="5" borderId="47" xfId="0" applyFont="1" applyFill="1" applyBorder="1" applyAlignment="1">
      <alignment horizontal="center" shrinkToFit="1"/>
    </xf>
    <xf numFmtId="164" fontId="14" fillId="3" borderId="0" xfId="0" applyNumberFormat="1" applyFont="1" applyFill="1" applyBorder="1" applyAlignment="1">
      <alignment horizontal="left" vertical="center"/>
    </xf>
    <xf numFmtId="164" fontId="14" fillId="3" borderId="0" xfId="1" applyNumberFormat="1" applyFont="1" applyFill="1" applyBorder="1" applyAlignment="1">
      <alignment horizontal="left"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/>
    </xf>
    <xf numFmtId="0" fontId="14" fillId="3" borderId="0" xfId="1" applyFont="1" applyFill="1" applyBorder="1" applyAlignment="1">
      <alignment horizontal="right" vertical="center"/>
    </xf>
    <xf numFmtId="0" fontId="23" fillId="3" borderId="30" xfId="0" applyFont="1" applyFill="1" applyBorder="1" applyAlignment="1" applyProtection="1">
      <alignment horizontal="center" vertical="center" shrinkToFit="1"/>
    </xf>
    <xf numFmtId="0" fontId="23" fillId="3" borderId="31" xfId="0" applyFont="1" applyFill="1" applyBorder="1" applyAlignment="1" applyProtection="1">
      <alignment horizontal="center" vertical="center" shrinkToFit="1"/>
    </xf>
    <xf numFmtId="0" fontId="23" fillId="3" borderId="16" xfId="0" applyFont="1" applyFill="1" applyBorder="1" applyAlignment="1" applyProtection="1">
      <alignment horizontal="center" vertical="center" shrinkToFit="1"/>
    </xf>
    <xf numFmtId="0" fontId="23" fillId="3" borderId="17" xfId="0" applyFont="1" applyFill="1" applyBorder="1" applyAlignment="1" applyProtection="1">
      <alignment horizontal="center" vertical="center" shrinkToFit="1"/>
    </xf>
    <xf numFmtId="1" fontId="30" fillId="5" borderId="48" xfId="0" applyNumberFormat="1" applyFont="1" applyFill="1" applyBorder="1" applyAlignment="1" applyProtection="1">
      <alignment horizontal="center" shrinkToFit="1"/>
      <protection locked="0"/>
    </xf>
    <xf numFmtId="164" fontId="29" fillId="3" borderId="31" xfId="1" applyNumberFormat="1" applyFont="1" applyFill="1" applyBorder="1" applyAlignment="1">
      <alignment horizontal="center" vertical="center" shrinkToFit="1"/>
    </xf>
    <xf numFmtId="164" fontId="29" fillId="3" borderId="32" xfId="1" applyNumberFormat="1" applyFont="1" applyFill="1" applyBorder="1" applyAlignment="1">
      <alignment horizontal="center" vertical="center" shrinkToFit="1"/>
    </xf>
    <xf numFmtId="164" fontId="29" fillId="3" borderId="17" xfId="1" applyNumberFormat="1" applyFont="1" applyFill="1" applyBorder="1" applyAlignment="1">
      <alignment horizontal="center" vertical="center" shrinkToFit="1"/>
    </xf>
    <xf numFmtId="164" fontId="29" fillId="3" borderId="18" xfId="1" applyNumberFormat="1" applyFont="1" applyFill="1" applyBorder="1" applyAlignment="1">
      <alignment horizontal="center" vertical="center" shrinkToFit="1"/>
    </xf>
    <xf numFmtId="0" fontId="23" fillId="12" borderId="31" xfId="0" applyFont="1" applyFill="1" applyBorder="1" applyAlignment="1" applyProtection="1">
      <alignment horizontal="center" vertical="center" shrinkToFit="1"/>
    </xf>
    <xf numFmtId="0" fontId="23" fillId="12" borderId="17" xfId="0" applyFont="1" applyFill="1" applyBorder="1" applyAlignment="1" applyProtection="1">
      <alignment horizontal="center" vertical="center" shrinkToFit="1"/>
    </xf>
    <xf numFmtId="165" fontId="11" fillId="10" borderId="0" xfId="0" applyNumberFormat="1" applyFont="1" applyFill="1" applyBorder="1" applyAlignment="1">
      <alignment horizontal="center" vertical="center"/>
    </xf>
    <xf numFmtId="165" fontId="11" fillId="10" borderId="34" xfId="0" applyNumberFormat="1" applyFont="1" applyFill="1" applyBorder="1" applyAlignment="1">
      <alignment horizontal="center" vertical="center"/>
    </xf>
    <xf numFmtId="0" fontId="28" fillId="12" borderId="30" xfId="0" applyFont="1" applyFill="1" applyBorder="1" applyAlignment="1" applyProtection="1">
      <alignment horizontal="center" vertical="center" shrinkToFit="1"/>
    </xf>
    <xf numFmtId="0" fontId="28" fillId="12" borderId="31" xfId="0" applyFont="1" applyFill="1" applyBorder="1" applyAlignment="1" applyProtection="1">
      <alignment horizontal="center" vertical="center" shrinkToFit="1"/>
    </xf>
    <xf numFmtId="0" fontId="28" fillId="12" borderId="32" xfId="0" applyFont="1" applyFill="1" applyBorder="1" applyAlignment="1" applyProtection="1">
      <alignment horizontal="center" vertical="center" shrinkToFit="1"/>
    </xf>
    <xf numFmtId="0" fontId="28" fillId="12" borderId="16" xfId="0" applyFont="1" applyFill="1" applyBorder="1" applyAlignment="1" applyProtection="1">
      <alignment horizontal="center" vertical="center" shrinkToFit="1"/>
    </xf>
    <xf numFmtId="0" fontId="28" fillId="12" borderId="17" xfId="0" applyFont="1" applyFill="1" applyBorder="1" applyAlignment="1" applyProtection="1">
      <alignment horizontal="center" vertical="center" shrinkToFit="1"/>
    </xf>
    <xf numFmtId="0" fontId="28" fillId="12" borderId="18" xfId="0" applyFont="1" applyFill="1" applyBorder="1" applyAlignment="1" applyProtection="1">
      <alignment horizontal="center" vertical="center" shrinkToFit="1"/>
    </xf>
    <xf numFmtId="166" fontId="10" fillId="9" borderId="31" xfId="0" applyNumberFormat="1" applyFont="1" applyFill="1" applyBorder="1" applyAlignment="1">
      <alignment horizontal="center" vertical="center" shrinkToFit="1"/>
    </xf>
    <xf numFmtId="166" fontId="10" fillId="9" borderId="32" xfId="0" applyNumberFormat="1" applyFont="1" applyFill="1" applyBorder="1" applyAlignment="1">
      <alignment horizontal="center" vertical="center" shrinkToFit="1"/>
    </xf>
    <xf numFmtId="166" fontId="10" fillId="9" borderId="0" xfId="0" applyNumberFormat="1" applyFont="1" applyFill="1" applyBorder="1" applyAlignment="1">
      <alignment horizontal="center" vertical="center" shrinkToFit="1"/>
    </xf>
    <xf numFmtId="166" fontId="10" fillId="9" borderId="34" xfId="0" applyNumberFormat="1" applyFont="1" applyFill="1" applyBorder="1" applyAlignment="1">
      <alignment horizontal="center" vertical="center" shrinkToFit="1"/>
    </xf>
    <xf numFmtId="166" fontId="11" fillId="10" borderId="0" xfId="0" applyNumberFormat="1" applyFont="1" applyFill="1" applyBorder="1" applyAlignment="1">
      <alignment horizontal="center" vertical="center" shrinkToFit="1"/>
    </xf>
    <xf numFmtId="166" fontId="9" fillId="7" borderId="31" xfId="0" applyNumberFormat="1" applyFont="1" applyFill="1" applyBorder="1" applyAlignment="1">
      <alignment horizontal="center" vertical="center" shrinkToFit="1"/>
    </xf>
    <xf numFmtId="166" fontId="9" fillId="7" borderId="32" xfId="0" applyNumberFormat="1" applyFont="1" applyFill="1" applyBorder="1" applyAlignment="1">
      <alignment horizontal="center" vertical="center" shrinkToFit="1"/>
    </xf>
    <xf numFmtId="166" fontId="9" fillId="7" borderId="0" xfId="0" applyNumberFormat="1" applyFont="1" applyFill="1" applyBorder="1" applyAlignment="1">
      <alignment horizontal="center" vertical="center" shrinkToFit="1"/>
    </xf>
    <xf numFmtId="166" fontId="9" fillId="7" borderId="34" xfId="0" applyNumberFormat="1" applyFont="1" applyFill="1" applyBorder="1" applyAlignment="1">
      <alignment horizontal="center" vertical="center" shrinkToFit="1"/>
    </xf>
    <xf numFmtId="166" fontId="9" fillId="8" borderId="42" xfId="0" applyNumberFormat="1" applyFont="1" applyFill="1" applyBorder="1" applyAlignment="1">
      <alignment horizontal="center" vertical="center" shrinkToFit="1"/>
    </xf>
    <xf numFmtId="166" fontId="9" fillId="8" borderId="43" xfId="0" applyNumberFormat="1" applyFont="1" applyFill="1" applyBorder="1" applyAlignment="1">
      <alignment horizontal="center" vertical="center" shrinkToFit="1"/>
    </xf>
    <xf numFmtId="166" fontId="9" fillId="8" borderId="0" xfId="0" applyNumberFormat="1" applyFont="1" applyFill="1" applyBorder="1" applyAlignment="1">
      <alignment horizontal="center" vertical="center" shrinkToFit="1"/>
    </xf>
    <xf numFmtId="166" fontId="9" fillId="8" borderId="34" xfId="0" applyNumberFormat="1" applyFont="1" applyFill="1" applyBorder="1" applyAlignment="1">
      <alignment horizontal="center" vertical="center" shrinkToFit="1"/>
    </xf>
    <xf numFmtId="1" fontId="9" fillId="7" borderId="31" xfId="0" applyNumberFormat="1" applyFont="1" applyFill="1" applyBorder="1" applyAlignment="1">
      <alignment horizontal="center" vertical="center" shrinkToFit="1"/>
    </xf>
    <xf numFmtId="1" fontId="9" fillId="7" borderId="3" xfId="0" applyNumberFormat="1" applyFont="1" applyFill="1" applyBorder="1" applyAlignment="1">
      <alignment horizontal="center" vertical="center" shrinkToFit="1"/>
    </xf>
    <xf numFmtId="1" fontId="9" fillId="8" borderId="4" xfId="0" applyNumberFormat="1" applyFont="1" applyFill="1" applyBorder="1" applyAlignment="1">
      <alignment horizontal="center" vertical="center" shrinkToFit="1"/>
    </xf>
    <xf numFmtId="1" fontId="9" fillId="8" borderId="0" xfId="0" applyNumberFormat="1" applyFont="1" applyFill="1" applyBorder="1" applyAlignment="1">
      <alignment horizontal="center" vertical="center" shrinkToFit="1"/>
    </xf>
    <xf numFmtId="2" fontId="9" fillId="7" borderId="30" xfId="0" applyNumberFormat="1" applyFont="1" applyFill="1" applyBorder="1" applyAlignment="1">
      <alignment horizontal="center" vertical="center" shrinkToFit="1"/>
    </xf>
    <xf numFmtId="2" fontId="9" fillId="7" borderId="37" xfId="0" applyNumberFormat="1" applyFont="1" applyFill="1" applyBorder="1" applyAlignment="1">
      <alignment horizontal="center" vertical="center" shrinkToFit="1"/>
    </xf>
    <xf numFmtId="0" fontId="15" fillId="5" borderId="47" xfId="0" applyFont="1" applyFill="1" applyBorder="1" applyAlignment="1">
      <alignment horizontal="center" shrinkToFit="1"/>
    </xf>
    <xf numFmtId="0" fontId="15" fillId="5" borderId="48" xfId="0" applyFont="1" applyFill="1" applyBorder="1" applyAlignment="1">
      <alignment horizontal="center" shrinkToFit="1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0F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0.5</v>
        <stp/>
        <stp>ContractData</stp>
        <stp>EDAS12M21</stp>
        <stp>NetLastTradeToday</stp>
        <stp/>
        <stp>T</stp>
        <tr r="H36" s="2"/>
        <tr r="G36" s="2"/>
      </tp>
      <tp>
        <v>1</v>
        <stp/>
        <stp>ContractData</stp>
        <stp>EDAS12H21</stp>
        <stp>NetLastTradeToday</stp>
        <stp/>
        <stp>T</stp>
        <tr r="H35" s="2"/>
        <tr r="G35" s="2"/>
      </tp>
      <tp>
        <v>0</v>
        <stp/>
        <stp>ContractData</stp>
        <stp>EDAS12Z21</stp>
        <stp>NetLastTradeToday</stp>
        <stp/>
        <stp>T</stp>
        <tr r="G39" s="2"/>
        <tr r="H39" s="2"/>
        <tr r="H38" s="2"/>
        <tr r="G38" s="2"/>
      </tp>
      <tp>
        <v>0.5</v>
        <stp/>
        <stp>ContractData</stp>
        <stp>EDAS12U21</stp>
        <stp>NetLastTradeToday</stp>
        <stp/>
        <stp>T</stp>
        <tr r="H37" s="2"/>
        <tr r="G37" s="2"/>
      </tp>
      <tp>
        <v>0.5</v>
        <stp/>
        <stp>ContractData</stp>
        <stp>EDAS12M20</stp>
        <stp>NetLastTradeToday</stp>
        <stp/>
        <stp>T</stp>
        <tr r="H32" s="2"/>
        <tr r="G32" s="2"/>
      </tp>
      <tp>
        <v>0.5</v>
        <stp/>
        <stp>ContractData</stp>
        <stp>EDAS12H20</stp>
        <stp>NetLastTradeToday</stp>
        <stp/>
        <stp>T</stp>
        <tr r="H31" s="2"/>
        <tr r="G31" s="2"/>
      </tp>
      <tp>
        <v>1</v>
        <stp/>
        <stp>ContractData</stp>
        <stp>EDAS12Z20</stp>
        <stp>NetLastTradeToday</stp>
        <stp/>
        <stp>T</stp>
        <tr r="G34" s="2"/>
        <tr r="H34" s="2"/>
      </tp>
      <tp>
        <v>0.5</v>
        <stp/>
        <stp>ContractData</stp>
        <stp>EDAS12U20</stp>
        <stp>NetLastTradeToday</stp>
        <stp/>
        <stp>T</stp>
        <tr r="H33" s="2"/>
        <tr r="G33" s="2"/>
      </tp>
      <tp>
        <v>0</v>
        <stp/>
        <stp>ContractData</stp>
        <stp>EDAS12M22</stp>
        <stp>NetLastTradeToday</stp>
        <stp/>
        <stp>T</stp>
        <tr r="H40" s="2"/>
        <tr r="G40" s="2"/>
      </tp>
      <tp>
        <v>3.0000000000001137E-2</v>
        <stp/>
        <stp>ContractData</stp>
        <stp>EDAU19</stp>
        <stp>NetLastTradeToday</stp>
        <stp/>
        <stp>T</stp>
        <tr r="I9" s="2"/>
        <tr r="H13" s="2"/>
        <tr r="G13" s="2"/>
      </tp>
      <tp>
        <v>4.4999999999987494E-2</v>
        <stp/>
        <stp>ContractData</stp>
        <stp>EDAZ19</stp>
        <stp>NetLastTradeToday</stp>
        <stp/>
        <stp>T</stp>
        <tr r="H14" s="2"/>
        <tr r="G14" s="2"/>
      </tp>
      <tp>
        <v>-20</v>
        <stp/>
        <stp>ContractData</stp>
        <stp>EDAS3Z19</stp>
        <stp>Open</stp>
        <stp/>
        <stp>T</stp>
        <tr r="C46" s="2"/>
      </tp>
      <tp>
        <v>-2</v>
        <stp/>
        <stp>ContractData</stp>
        <stp>EDAS3Z20</stp>
        <stp>Open</stp>
        <stp/>
        <stp>T</stp>
        <tr r="C50" s="2"/>
      </tp>
      <tp>
        <v>3</v>
        <stp/>
        <stp>ContractData</stp>
        <stp>EDAS3Z21</stp>
        <stp>Open</stp>
        <stp/>
        <stp>T</stp>
        <tr r="C54" s="2"/>
      </tp>
      <tp>
        <v>-0.5</v>
        <stp/>
        <stp>ContractData</stp>
        <stp>EDAS12Z19</stp>
        <stp>NetLastTradeToday</stp>
        <stp/>
        <stp>T</stp>
        <tr r="G30" s="2"/>
        <tr r="H30" s="2"/>
      </tp>
      <tp>
        <v>-2</v>
        <stp/>
        <stp>ContractData</stp>
        <stp>EDAS12U19</stp>
        <stp>NetLastTradeToday</stp>
        <stp/>
        <stp>T</stp>
        <tr r="G29" s="2"/>
        <tr r="H29" s="2"/>
      </tp>
      <tp>
        <v>5.0000000000011369E-2</v>
        <stp/>
        <stp>ContractData</stp>
        <stp>EDAM21</stp>
        <stp>NetLastTradeToday</stp>
        <stp/>
        <stp>T</stp>
        <tr r="G20" s="2"/>
        <tr r="H20" s="2"/>
      </tp>
      <tp>
        <v>4.9999999999997158E-2</v>
        <stp/>
        <stp>ContractData</stp>
        <stp>EDAH21</stp>
        <stp>NetLastTradeToday</stp>
        <stp/>
        <stp>T</stp>
        <tr r="G19" s="2"/>
        <tr r="H19" s="2"/>
      </tp>
      <tp>
        <v>4.5000000000001705E-2</v>
        <stp/>
        <stp>ContractData</stp>
        <stp>EDAU21</stp>
        <stp>NetLastTradeToday</stp>
        <stp/>
        <stp>T</stp>
        <tr r="H21" s="2"/>
        <tr r="G21" s="2"/>
      </tp>
      <tp>
        <v>3.9999999999992042E-2</v>
        <stp/>
        <stp>ContractData</stp>
        <stp>EDAZ21</stp>
        <stp>NetLastTradeToday</stp>
        <stp/>
        <stp>T</stp>
        <tr r="H22" s="2"/>
        <tr r="G22" s="2"/>
      </tp>
      <tp>
        <v>5.5000000000006821E-2</v>
        <stp/>
        <stp>ContractData</stp>
        <stp>EDAM20</stp>
        <stp>NetLastTradeToday</stp>
        <stp/>
        <stp>T</stp>
        <tr r="G16" s="2"/>
        <tr r="H16" s="2"/>
      </tp>
      <tp>
        <v>5.499999999999261E-2</v>
        <stp/>
        <stp>ContractData</stp>
        <stp>EDAH20</stp>
        <stp>NetLastTradeToday</stp>
        <stp/>
        <stp>T</stp>
        <tr r="G15" s="2"/>
        <tr r="H15" s="2"/>
      </tp>
      <tp>
        <v>5.499999999999261E-2</v>
        <stp/>
        <stp>ContractData</stp>
        <stp>EDAU20</stp>
        <stp>NetLastTradeToday</stp>
        <stp/>
        <stp>T</stp>
        <tr r="H17" s="2"/>
        <tr r="G17" s="2"/>
      </tp>
      <tp>
        <v>4.9999999999997158E-2</v>
        <stp/>
        <stp>ContractData</stp>
        <stp>EDAZ20</stp>
        <stp>NetLastTradeToday</stp>
        <stp/>
        <stp>T</stp>
        <tr r="H18" s="2"/>
        <tr r="G18" s="2"/>
      </tp>
      <tp>
        <v>3.4999999999996589E-2</v>
        <stp/>
        <stp>ContractData</stp>
        <stp>EDAM22</stp>
        <stp>NetLastTradeToday</stp>
        <stp/>
        <stp>T</stp>
        <tr r="G24" s="2"/>
        <tr r="H24" s="2"/>
      </tp>
      <tp>
        <v>3.4999999999996589E-2</v>
        <stp/>
        <stp>ContractData</stp>
        <stp>EDAH22</stp>
        <stp>NetLastTradeToday</stp>
        <stp/>
        <stp>T</stp>
        <tr r="H23" s="2"/>
        <tr r="G23" s="2"/>
      </tp>
      <tp>
        <v>4</v>
        <stp/>
        <stp>ContractData</stp>
        <stp>EDAS3?18</stp>
        <stp>LastTradeorSettle</stp>
        <stp/>
        <stp>T</stp>
        <tr r="AG52" s="6"/>
        <tr r="AG52" s="6"/>
        <tr r="AB45" s="2"/>
      </tp>
      <tp>
        <v>-20</v>
        <stp/>
        <stp>ContractData</stp>
        <stp>EDAS3Z19</stp>
        <stp>LastTradeorSettle</stp>
        <stp/>
        <stp>T</stp>
        <tr r="F46" s="2"/>
      </tp>
      <tp>
        <v>-11</v>
        <stp/>
        <stp>ContractData</stp>
        <stp>EDAS3U19</stp>
        <stp>LastTradeorSettle</stp>
        <stp/>
        <stp>T</stp>
        <tr r="F45" s="2"/>
      </tp>
      <tp t="s">
        <v/>
        <stp/>
        <stp>ContractData</stp>
        <stp>EDAS3?19</stp>
        <stp>LastTradeorSettle</stp>
        <stp/>
        <stp>T</stp>
        <tr r="AG53" s="6"/>
        <tr r="AC45" s="2"/>
      </tp>
      <tp>
        <v>4</v>
        <stp/>
        <stp>ContractData</stp>
        <stp>EDAS3?16</stp>
        <stp>LastTradeorSettle</stp>
        <stp/>
        <stp>T</stp>
        <tr r="AG50" s="6"/>
        <tr r="AG50" s="6"/>
        <tr r="Z45" s="2"/>
      </tp>
      <tp>
        <v>4.5</v>
        <stp/>
        <stp>ContractData</stp>
        <stp>EDAS3?17</stp>
        <stp>LastTradeorSettle</stp>
        <stp/>
        <stp>T</stp>
        <tr r="AG51" s="6"/>
        <tr r="AG51" s="6"/>
        <tr r="AA45" s="2"/>
      </tp>
      <tp t="s">
        <v/>
        <stp/>
        <stp>ContractData</stp>
        <stp>EDAS3?14</stp>
        <stp>LastTradeorSettle</stp>
        <stp/>
        <stp>T</stp>
        <tr r="AG48" s="6"/>
        <tr r="X45" s="2"/>
      </tp>
      <tp>
        <v>4</v>
        <stp/>
        <stp>ContractData</stp>
        <stp>EDAS3?15</stp>
        <stp>LastTradeorSettle</stp>
        <stp/>
        <stp>T</stp>
        <tr r="AG49" s="6"/>
        <tr r="AG49" s="6"/>
        <tr r="Y45" s="2"/>
      </tp>
      <tp>
        <v>4</v>
        <stp/>
        <stp>ContractData</stp>
        <stp>EDAS3?12</stp>
        <stp>LastTradeorSettle</stp>
        <stp/>
        <stp>T</stp>
        <tr r="AG46" s="6"/>
        <tr r="AG46" s="6"/>
        <tr r="V45" s="2"/>
      </tp>
      <tp>
        <v>4</v>
        <stp/>
        <stp>ContractData</stp>
        <stp>EDAS3?13</stp>
        <stp>LastTradeorSettle</stp>
        <stp/>
        <stp>T</stp>
        <tr r="AG47" s="6"/>
        <tr r="AG47" s="6"/>
        <tr r="W45" s="2"/>
      </tp>
      <tp>
        <v>3</v>
        <stp/>
        <stp>ContractData</stp>
        <stp>EDAS3?10</stp>
        <stp>LastTradeorSettle</stp>
        <stp/>
        <stp>T</stp>
        <tr r="AG44" s="6"/>
        <tr r="AG44" s="6"/>
        <tr r="T45" s="2"/>
      </tp>
      <tp>
        <v>4.5</v>
        <stp/>
        <stp>ContractData</stp>
        <stp>EDAS3?11</stp>
        <stp>LastTradeorSettle</stp>
        <stp/>
        <stp>T</stp>
        <tr r="AG45" s="6"/>
        <tr r="AG45" s="6"/>
        <tr r="U45" s="2"/>
      </tp>
      <tp>
        <v>-19</v>
        <stp/>
        <stp>ContractData</stp>
        <stp>EDAS3Z19</stp>
        <stp>High</stp>
        <stp/>
        <stp>T</stp>
        <tr r="D46" s="2"/>
      </tp>
      <tp>
        <v>-1.5</v>
        <stp/>
        <stp>ContractData</stp>
        <stp>EDAS3Z20</stp>
        <stp>High</stp>
        <stp/>
        <stp>T</stp>
        <tr r="D50" s="2"/>
      </tp>
      <tp>
        <v>3</v>
        <stp/>
        <stp>ContractData</stp>
        <stp>EDAS3Z21</stp>
        <stp>High</stp>
        <stp/>
        <stp>T</stp>
        <tr r="D54" s="2"/>
      </tp>
      <tp>
        <v>4.5</v>
        <stp/>
        <stp>ContractData</stp>
        <stp>EDAS3H22</stp>
        <stp>LastTradeorSettle</stp>
        <stp/>
        <stp>T</stp>
        <tr r="F55" s="2"/>
      </tp>
      <tp>
        <v>4</v>
        <stp/>
        <stp>ContractData</stp>
        <stp>EDAS3M22</stp>
        <stp>LastTradeorSettle</stp>
        <stp/>
        <stp>T</stp>
        <tr r="F56" s="2"/>
      </tp>
      <tp>
        <v>-8.5</v>
        <stp/>
        <stp>ContractData</stp>
        <stp>EDAS3H20</stp>
        <stp>LastTradeorSettle</stp>
        <stp/>
        <stp>T</stp>
        <tr r="F47" s="2"/>
      </tp>
      <tp>
        <v>-6</v>
        <stp/>
        <stp>ContractData</stp>
        <stp>EDAS3M20</stp>
        <stp>LastTradeorSettle</stp>
        <stp/>
        <stp>T</stp>
        <tr r="F48" s="2"/>
      </tp>
      <tp>
        <v>-1.5</v>
        <stp/>
        <stp>ContractData</stp>
        <stp>EDAS3Z20</stp>
        <stp>LastTradeorSettle</stp>
        <stp/>
        <stp>T</stp>
        <tr r="F50" s="2"/>
      </tp>
      <tp>
        <v>0.5</v>
        <stp/>
        <stp>ContractData</stp>
        <stp>EDAS3U20</stp>
        <stp>LastTradeorSettle</stp>
        <stp/>
        <stp>T</stp>
        <tr r="F49" s="2"/>
      </tp>
      <tp>
        <v>4</v>
        <stp/>
        <stp>ContractData</stp>
        <stp>EDAS3?20</stp>
        <stp>LastTradeorSettle</stp>
        <stp/>
        <stp>T</stp>
        <tr r="AG54" s="6"/>
        <tr r="AG54" s="6"/>
        <tr r="AD45" s="2"/>
      </tp>
      <tp>
        <v>3.5</v>
        <stp/>
        <stp>ContractData</stp>
        <stp>EDAS3H21</stp>
        <stp>LastTradeorSettle</stp>
        <stp/>
        <stp>T</stp>
        <tr r="F51" s="2"/>
      </tp>
      <tp>
        <v>3</v>
        <stp/>
        <stp>ContractData</stp>
        <stp>EDAS3M21</stp>
        <stp>LastTradeorSettle</stp>
        <stp/>
        <stp>T</stp>
        <tr r="F52" s="2"/>
      </tp>
      <tp>
        <v>3</v>
        <stp/>
        <stp>ContractData</stp>
        <stp>EDAS3Z21</stp>
        <stp>LastTradeorSettle</stp>
        <stp/>
        <stp>T</stp>
        <tr r="F54" s="2"/>
      </tp>
      <tp>
        <v>4.5</v>
        <stp/>
        <stp>ContractData</stp>
        <stp>EDAS3U21</stp>
        <stp>LastTradeorSettle</stp>
        <stp/>
        <stp>T</stp>
        <tr r="F53" s="2"/>
      </tp>
      <tp t="s">
        <v>Eurodollar Calendar Spread 3, Jun 21, Sep 21</v>
        <stp/>
        <stp>ContractData</stp>
        <stp>EDAS3?8</stp>
        <stp>LongDescription</stp>
        <tr r="R42" s="2"/>
      </tp>
      <tp t="s">
        <v>Eurodollar Calendar Spread 3, Sep 21, Dec 21</v>
        <stp/>
        <stp>ContractData</stp>
        <stp>EDAS3?9</stp>
        <stp>LongDescription</stp>
        <tr r="S42" s="2"/>
      </tp>
      <tp t="s">
        <v>Eurodollar Calendar Spread 3, Dec 20, Mar 21</v>
        <stp/>
        <stp>ContractData</stp>
        <stp>EDAS3?6</stp>
        <stp>LongDescription</stp>
        <tr r="P42" s="2"/>
      </tp>
      <tp t="s">
        <v>Eurodollar Calendar Spread 3, Mar 21, Jun 21</v>
        <stp/>
        <stp>ContractData</stp>
        <stp>EDAS3?7</stp>
        <stp>LongDescription</stp>
        <tr r="Q42" s="2"/>
      </tp>
      <tp t="s">
        <v>Eurodollar Calendar Spread 3, Jun 20, Sep 20</v>
        <stp/>
        <stp>ContractData</stp>
        <stp>EDAS3?4</stp>
        <stp>LongDescription</stp>
        <tr r="N42" s="2"/>
      </tp>
      <tp t="s">
        <v>Eurodollar Calendar Spread 3, Sep 20, Dec 20</v>
        <stp/>
        <stp>ContractData</stp>
        <stp>EDAS3?5</stp>
        <stp>LongDescription</stp>
        <tr r="O42" s="2"/>
      </tp>
      <tp t="s">
        <v>Eurodollar Calendar Spread 3, Dec 19, Mar 20</v>
        <stp/>
        <stp>ContractData</stp>
        <stp>EDAS3?2</stp>
        <stp>LongDescription</stp>
        <tr r="L42" s="2"/>
      </tp>
      <tp t="s">
        <v>Eurodollar Calendar Spread 3, Mar 20, Jun 20</v>
        <stp/>
        <stp>ContractData</stp>
        <stp>EDAS3?3</stp>
        <stp>LongDescription</stp>
        <tr r="M42" s="2"/>
      </tp>
      <tp t="s">
        <v>Eurodollar Calendar Spread 3, Sep 19, Dec 19</v>
        <stp/>
        <stp>ContractData</stp>
        <stp>EDAS3?1</stp>
        <stp>LongDescription</stp>
        <tr r="K42" s="2"/>
      </tp>
      <tp>
        <v>-10</v>
        <stp/>
        <stp>ContractData</stp>
        <stp>EDAS3U19</stp>
        <stp>High</stp>
        <stp/>
        <stp>T</stp>
        <tr r="D45" s="2"/>
      </tp>
      <tp>
        <v>1</v>
        <stp/>
        <stp>ContractData</stp>
        <stp>EDAS3U20</stp>
        <stp>High</stp>
        <stp/>
        <stp>T</stp>
        <tr r="D49" s="2"/>
      </tp>
      <tp>
        <v>4.5</v>
        <stp/>
        <stp>ContractData</stp>
        <stp>EDAS3U21</stp>
        <stp>High</stp>
        <stp/>
        <stp>T</stp>
        <tr r="D53" s="2"/>
      </tp>
      <tp>
        <v>15</v>
        <stp/>
        <stp>ContractData</stp>
        <stp>EDAS12?8</stp>
        <stp>LastTradeorSettle</stp>
        <stp/>
        <stp>T</stp>
        <tr r="V42" s="6"/>
        <tr r="R29" s="2"/>
      </tp>
      <tp>
        <v>16.5</v>
        <stp/>
        <stp>ContractData</stp>
        <stp>EDAS12?9</stp>
        <stp>LastTradeorSettle</stp>
        <stp/>
        <stp>T</stp>
        <tr r="V43" s="6"/>
        <tr r="S29" s="2"/>
      </tp>
      <tp>
        <v>10</v>
        <stp/>
        <stp>ContractData</stp>
        <stp>EDAS12?6</stp>
        <stp>LastTradeorSettle</stp>
        <stp/>
        <stp>T</stp>
        <tr r="V40" s="6"/>
        <tr r="P29" s="2"/>
      </tp>
      <tp>
        <v>14.5</v>
        <stp/>
        <stp>ContractData</stp>
        <stp>EDAS12?7</stp>
        <stp>LastTradeorSettle</stp>
        <stp/>
        <stp>T</stp>
        <tr r="V41" s="6"/>
        <tr r="Q29" s="2"/>
      </tp>
      <tp>
        <v>-3</v>
        <stp/>
        <stp>ContractData</stp>
        <stp>EDAS12?4</stp>
        <stp>LastTradeorSettle</stp>
        <stp/>
        <stp>T</stp>
        <tr r="V38" s="6"/>
        <tr r="N29" s="2"/>
      </tp>
      <tp>
        <v>6</v>
        <stp/>
        <stp>ContractData</stp>
        <stp>EDAS12?5</stp>
        <stp>LastTradeorSettle</stp>
        <stp/>
        <stp>T</stp>
        <tr r="V39" s="6"/>
        <tr r="O29" s="2"/>
      </tp>
      <tp>
        <v>-33.5</v>
        <stp/>
        <stp>ContractData</stp>
        <stp>EDAS12?2</stp>
        <stp>LastTradeorSettle</stp>
        <stp/>
        <stp>T</stp>
        <tr r="V36" s="6"/>
        <tr r="L29" s="2"/>
      </tp>
      <tp>
        <v>-15</v>
        <stp/>
        <stp>ContractData</stp>
        <stp>EDAS12?3</stp>
        <stp>LastTradeorSettle</stp>
        <stp/>
        <stp>T</stp>
        <tr r="V37" s="6"/>
        <tr r="M29" s="2"/>
      </tp>
      <tp>
        <v>-45.5</v>
        <stp/>
        <stp>ContractData</stp>
        <stp>EDAS12?1</stp>
        <stp>LastTradeorSettle</stp>
        <stp/>
        <stp>T</stp>
        <tr r="V35" s="6"/>
        <tr r="K29" s="2"/>
      </tp>
      <tp>
        <v>-10.5</v>
        <stp/>
        <stp>ContractData</stp>
        <stp>EDAS3U19</stp>
        <stp>Open</stp>
        <stp/>
        <stp>T</stp>
        <tr r="C45" s="2"/>
      </tp>
      <tp>
        <v>0.5</v>
        <stp/>
        <stp>ContractData</stp>
        <stp>EDAS3U20</stp>
        <stp>Open</stp>
        <stp/>
        <stp>T</stp>
        <tr r="C49" s="2"/>
      </tp>
      <tp>
        <v>4.5</v>
        <stp/>
        <stp>ContractData</stp>
        <stp>EDAS3U21</stp>
        <stp>Open</stp>
        <stp/>
        <stp>T</stp>
        <tr r="C53" s="2"/>
      </tp>
      <tp>
        <v>98.16</v>
        <stp/>
        <stp>ContractData</stp>
        <stp>EDAZ19</stp>
        <stp>LastTradeorSettle</stp>
        <stp/>
        <stp>T</stp>
        <tr r="L10" s="2"/>
        <tr r="R3" s="6"/>
        <tr r="F14" s="2"/>
      </tp>
      <tp>
        <v>98.045000000000002</v>
        <stp/>
        <stp>ContractData</stp>
        <stp>EDAU19</stp>
        <stp>LastTradeorSettle</stp>
        <stp/>
        <stp>T</stp>
        <tr r="G9" s="2"/>
        <tr r="K10" s="2"/>
        <tr r="R2" s="6"/>
        <tr r="F13" s="2"/>
      </tp>
      <tp>
        <v>10.5</v>
        <stp/>
        <stp>StudyData</stp>
        <stp>EDAS12?9</stp>
        <stp>Bar</stp>
        <stp/>
        <stp>Close</stp>
        <stp>D</stp>
        <stp>-20</stp>
        <stp>All</stp>
        <stp/>
        <stp/>
        <stp/>
        <stp>T</stp>
        <tr r="Z43" s="6"/>
      </tp>
      <tp>
        <v>14.5</v>
        <stp/>
        <stp>ContractData</stp>
        <stp>EDAS12H21</stp>
        <stp>LastTradeorSettle</stp>
        <stp/>
        <stp>T</stp>
        <tr r="F35" s="2"/>
      </tp>
      <tp>
        <v>15</v>
        <stp/>
        <stp>ContractData</stp>
        <stp>EDAS12M21</stp>
        <stp>LastTradeorSettle</stp>
        <stp/>
        <stp>T</stp>
        <tr r="F36" s="2"/>
      </tp>
      <tp>
        <v>16.5</v>
        <stp/>
        <stp>ContractData</stp>
        <stp>EDAS12U21</stp>
        <stp>LastTradeorSettle</stp>
        <stp/>
        <stp>T</stp>
        <tr r="F37" s="2"/>
      </tp>
      <tp>
        <v>16</v>
        <stp/>
        <stp>ContractData</stp>
        <stp>EDAS12Z21</stp>
        <stp>LastTradeorSettle</stp>
        <stp/>
        <stp>T</stp>
        <tr r="F38" s="2"/>
        <tr r="F39" s="2"/>
      </tp>
      <tp>
        <v>-15</v>
        <stp/>
        <stp>ContractData</stp>
        <stp>EDAS12H20</stp>
        <stp>LastTradeorSettle</stp>
        <stp/>
        <stp>T</stp>
        <tr r="F31" s="2"/>
      </tp>
      <tp>
        <v>-3</v>
        <stp/>
        <stp>ContractData</stp>
        <stp>EDAS12M20</stp>
        <stp>LastTradeorSettle</stp>
        <stp/>
        <stp>T</stp>
        <tr r="F32" s="2"/>
      </tp>
      <tp>
        <v>6</v>
        <stp/>
        <stp>ContractData</stp>
        <stp>EDAS12U20</stp>
        <stp>LastTradeorSettle</stp>
        <stp/>
        <stp>T</stp>
        <tr r="F33" s="2"/>
      </tp>
      <tp>
        <v>10</v>
        <stp/>
        <stp>ContractData</stp>
        <stp>EDAS12Z20</stp>
        <stp>LastTradeorSettle</stp>
        <stp/>
        <stp>T</stp>
        <tr r="F34" s="2"/>
      </tp>
      <tp t="s">
        <v/>
        <stp/>
        <stp>ContractData</stp>
        <stp>EDAS12?20</stp>
        <stp>LastTradeorSettle</stp>
        <stp/>
        <stp>T</stp>
        <tr r="V54" s="6"/>
        <tr r="AD29" s="2"/>
      </tp>
      <tp>
        <v>3.5</v>
        <stp/>
        <stp>StudyData</stp>
        <stp>EDAS3?19</stp>
        <stp>Bar</stp>
        <stp/>
        <stp>Close</stp>
        <stp>D</stp>
        <stp>-20</stp>
        <stp>All</stp>
        <stp/>
        <stp/>
        <stp/>
        <stp>T</stp>
        <tr r="AK53" s="6"/>
      </tp>
      <tp>
        <v>15.5</v>
        <stp/>
        <stp>ContractData</stp>
        <stp>EDAS12M22</stp>
        <stp>LastTradeorSettle</stp>
        <stp/>
        <stp>T</stp>
        <tr r="F40" s="2"/>
      </tp>
      <tp t="s">
        <v>Eurodollar Calendar Spread 12, Jun 24, Jun 25</v>
        <stp/>
        <stp>ContractData</stp>
        <stp>EDAS12?20</stp>
        <stp>LongDescription</stp>
        <tr r="AD26" s="2"/>
      </tp>
      <tp t="s">
        <v>Eurodollar Calendar Spread 12, Mar 24, Mar 25</v>
        <stp/>
        <stp>ContractData</stp>
        <stp>EDAS12?19</stp>
        <stp>LongDescription</stp>
        <tr r="AC26" s="2"/>
      </tp>
      <tp t="s">
        <v>Eurodollar Calendar Spread 12, Dec 23, Dec 24</v>
        <stp/>
        <stp>ContractData</stp>
        <stp>EDAS12?18</stp>
        <stp>LongDescription</stp>
        <tr r="AB26" s="2"/>
      </tp>
      <tp t="s">
        <v>Eurodollar Calendar Spread 12, Sep 22, Sep 23</v>
        <stp/>
        <stp>ContractData</stp>
        <stp>EDAS12?13</stp>
        <stp>LongDescription</stp>
        <tr r="W26" s="2"/>
      </tp>
      <tp t="s">
        <v>Eurodollar Calendar Spread 12, Jun 22, Jun 23</v>
        <stp/>
        <stp>ContractData</stp>
        <stp>EDAS12?12</stp>
        <stp>LongDescription</stp>
        <tr r="V26" s="2"/>
      </tp>
      <tp t="s">
        <v>Eurodollar Calendar Spread 12, Mar 22, Mar 23</v>
        <stp/>
        <stp>ContractData</stp>
        <stp>EDAS12?11</stp>
        <stp>LongDescription</stp>
        <tr r="U26" s="2"/>
      </tp>
      <tp t="s">
        <v>Eurodollar Calendar Spread 12, Dec 21, Dec 22</v>
        <stp/>
        <stp>ContractData</stp>
        <stp>EDAS12?10</stp>
        <stp>LongDescription</stp>
        <tr r="T26" s="2"/>
      </tp>
      <tp t="s">
        <v>Eurodollar Calendar Spread 12, Sep 23, Sep 24</v>
        <stp/>
        <stp>ContractData</stp>
        <stp>EDAS12?17</stp>
        <stp>LongDescription</stp>
        <tr r="AA26" s="2"/>
      </tp>
      <tp t="s">
        <v>Eurodollar Calendar Spread 12, Jun 23, Jun 24</v>
        <stp/>
        <stp>ContractData</stp>
        <stp>EDAS12?16</stp>
        <stp>LongDescription</stp>
        <tr r="Z26" s="2"/>
      </tp>
      <tp t="s">
        <v>Eurodollar Calendar Spread 12, Mar 23, Mar 24</v>
        <stp/>
        <stp>ContractData</stp>
        <stp>EDAS12?15</stp>
        <stp>LongDescription</stp>
        <tr r="Y26" s="2"/>
      </tp>
      <tp t="s">
        <v>Eurodollar Calendar Spread 12, Dec 22, Dec 23</v>
        <stp/>
        <stp>ContractData</stp>
        <stp>EDAS12?14</stp>
        <stp>LongDescription</stp>
        <tr r="X26" s="2"/>
      </tp>
      <tp>
        <v>9.5</v>
        <stp/>
        <stp>StudyData</stp>
        <stp>EDAS12?8</stp>
        <stp>Bar</stp>
        <stp/>
        <stp>Close</stp>
        <stp>D</stp>
        <stp>-20</stp>
        <stp>All</stp>
        <stp/>
        <stp/>
        <stp/>
        <stp>T</stp>
        <tr r="Z42" s="6"/>
      </tp>
      <tp>
        <v>3</v>
        <stp/>
        <stp>StudyData</stp>
        <stp>EDAS3?18</stp>
        <stp>Bar</stp>
        <stp/>
        <stp>Close</stp>
        <stp>D</stp>
        <stp>-20</stp>
        <stp>All</stp>
        <stp/>
        <stp/>
        <stp/>
        <stp>T</stp>
        <tr r="AK52" s="6"/>
      </tp>
      <tp>
        <v>-5.5</v>
        <stp/>
        <stp>ContractData</stp>
        <stp>EDAS3M20</stp>
        <stp>High</stp>
        <stp/>
        <stp>T</stp>
        <tr r="D48" s="2"/>
      </tp>
      <tp>
        <v>3</v>
        <stp/>
        <stp>ContractData</stp>
        <stp>EDAS3M21</stp>
        <stp>High</stp>
        <stp/>
        <stp>T</stp>
        <tr r="D52" s="2"/>
      </tp>
      <tp>
        <v>4</v>
        <stp/>
        <stp>ContractData</stp>
        <stp>EDAS3M22</stp>
        <stp>High</stp>
        <stp/>
        <stp>T</stp>
        <tr r="D56" s="2"/>
      </tp>
      <tp>
        <v>98.51</v>
        <stp/>
        <stp>ContractData</stp>
        <stp>EDAH21</stp>
        <stp>LastTradeorSettle</stp>
        <stp/>
        <stp>T</stp>
        <tr r="Q10" s="2"/>
        <tr r="R8" s="6"/>
        <tr r="F19" s="2"/>
      </tp>
      <tp>
        <v>98.475000000000009</v>
        <stp/>
        <stp>ContractData</stp>
        <stp>EDAM21</stp>
        <stp>LastTradeorSettle</stp>
        <stp/>
        <stp>T</stp>
        <tr r="R10" s="2"/>
        <tr r="R9" s="6"/>
        <tr r="F20" s="2"/>
      </tp>
      <tp>
        <v>98.394999999999996</v>
        <stp/>
        <stp>ContractData</stp>
        <stp>EDAZ21</stp>
        <stp>LastTradeorSettle</stp>
        <stp/>
        <stp>T</stp>
        <tr r="T10" s="2"/>
        <tr r="R11" s="6"/>
        <tr r="F22" s="2"/>
      </tp>
      <tp>
        <v>98.44</v>
        <stp/>
        <stp>ContractData</stp>
        <stp>EDAU21</stp>
        <stp>LastTradeorSettle</stp>
        <stp/>
        <stp>T</stp>
        <tr r="S10" s="2"/>
        <tr r="R10" s="6"/>
        <tr r="F21" s="2"/>
      </tp>
      <tp>
        <v>98.36</v>
        <stp/>
        <stp>ContractData</stp>
        <stp>EDAH20</stp>
        <stp>LastTradeorSettle</stp>
        <stp/>
        <stp>T</stp>
        <tr r="M10" s="2"/>
        <tr r="R4" s="6"/>
        <tr r="F15" s="2"/>
      </tp>
      <tp>
        <v>98.445000000000007</v>
        <stp/>
        <stp>ContractData</stp>
        <stp>EDAM20</stp>
        <stp>LastTradeorSettle</stp>
        <stp/>
        <stp>T</stp>
        <tr r="N10" s="2"/>
        <tr r="R5" s="6"/>
        <tr r="F16" s="2"/>
      </tp>
      <tp>
        <v>98.495000000000005</v>
        <stp/>
        <stp>ContractData</stp>
        <stp>EDAZ20</stp>
        <stp>LastTradeorSettle</stp>
        <stp/>
        <stp>T</stp>
        <tr r="P10" s="2"/>
        <tr r="R7" s="6"/>
        <tr r="F18" s="2"/>
      </tp>
      <tp>
        <v>98.504999999999995</v>
        <stp/>
        <stp>ContractData</stp>
        <stp>EDAU20</stp>
        <stp>LastTradeorSettle</stp>
        <stp/>
        <stp>T</stp>
        <tr r="O10" s="2"/>
        <tr r="R6" s="6"/>
        <tr r="F17" s="2"/>
      </tp>
      <tp>
        <v>98.2</v>
        <stp/>
        <stp>ContractData</stp>
        <stp>EDAH23</stp>
        <stp>LastTradeorSettle</stp>
        <stp/>
        <stp>T</stp>
        <tr r="Y10" s="2"/>
        <tr r="R16" s="6"/>
      </tp>
      <tp>
        <v>98.16</v>
        <stp/>
        <stp>ContractData</stp>
        <stp>EDAM23</stp>
        <stp>LastTradeorSettle</stp>
        <stp/>
        <stp>T</stp>
        <tr r="Z10" s="2"/>
        <tr r="R17" s="6"/>
      </tp>
      <tp>
        <v>98.070000000000007</v>
        <stp/>
        <stp>ContractData</stp>
        <stp>EDAZ23</stp>
        <stp>LastTradeorSettle</stp>
        <stp/>
        <stp>T</stp>
        <tr r="R19" s="6"/>
      </tp>
      <tp>
        <v>98.115000000000009</v>
        <stp/>
        <stp>ContractData</stp>
        <stp>EDAU23</stp>
        <stp>LastTradeorSettle</stp>
        <stp/>
        <stp>T</stp>
        <tr r="AB10" s="2"/>
        <tr r="AA10" s="2"/>
        <tr r="R18" s="6"/>
      </tp>
      <tp>
        <v>98.36</v>
        <stp/>
        <stp>ContractData</stp>
        <stp>EDAH22</stp>
        <stp>LastTradeorSettle</stp>
        <stp/>
        <stp>T</stp>
        <tr r="U10" s="2"/>
        <tr r="R12" s="6"/>
        <tr r="F23" s="2"/>
      </tp>
      <tp>
        <v>98.314999999999998</v>
        <stp/>
        <stp>ContractData</stp>
        <stp>EDAM22</stp>
        <stp>LastTradeorSettle</stp>
        <stp/>
        <stp>T</stp>
        <tr r="V10" s="2"/>
        <tr r="R13" s="6"/>
        <tr r="F24" s="2"/>
      </tp>
      <tp>
        <v>98.234999999999999</v>
        <stp/>
        <stp>ContractData</stp>
        <stp>EDAZ22</stp>
        <stp>LastTradeorSettle</stp>
        <stp/>
        <stp>T</stp>
        <tr r="X10" s="2"/>
        <tr r="R15" s="6"/>
      </tp>
      <tp>
        <v>98.27</v>
        <stp/>
        <stp>ContractData</stp>
        <stp>EDAU22</stp>
        <stp>LastTradeorSettle</stp>
        <stp/>
        <stp>T</stp>
        <tr r="W10" s="2"/>
        <tr r="R14" s="6"/>
      </tp>
      <tp>
        <v>-45.5</v>
        <stp/>
        <stp>ContractData</stp>
        <stp>EDAS12U19</stp>
        <stp>LastTradeorSettle</stp>
        <stp/>
        <stp>T</stp>
        <tr r="F29" s="2"/>
      </tp>
      <tp>
        <v>-33.5</v>
        <stp/>
        <stp>ContractData</stp>
        <stp>EDAS12Z19</stp>
        <stp>LastTradeorSettle</stp>
        <stp/>
        <stp>T</stp>
        <tr r="F30" s="2"/>
      </tp>
      <tp>
        <v>15.5</v>
        <stp/>
        <stp>ContractData</stp>
        <stp>EDAS12?19</stp>
        <stp>LastTradeorSettle</stp>
        <stp/>
        <stp>T</stp>
        <tr r="V53" s="6"/>
        <tr r="AC29" s="2"/>
      </tp>
      <tp>
        <v>16</v>
        <stp/>
        <stp>ContractData</stp>
        <stp>EDAS12?18</stp>
        <stp>LastTradeorSettle</stp>
        <stp/>
        <stp>T</stp>
        <tr r="V52" s="6"/>
        <tr r="AB29" s="2"/>
      </tp>
      <tp>
        <v>98.03</v>
        <stp/>
        <stp>ContractData</stp>
        <stp>EDAH24</stp>
        <stp>LastTradeorSettle</stp>
        <stp/>
        <stp>T</stp>
        <tr r="AC10" s="2"/>
        <tr r="R20" s="6"/>
      </tp>
      <tp>
        <v>97.984999999999999</v>
        <stp/>
        <stp>ContractData</stp>
        <stp>EDAM24</stp>
        <stp>LastTradeorSettle</stp>
        <stp/>
        <stp>T</stp>
        <tr r="AD10" s="2"/>
        <tr r="R21" s="6"/>
      </tp>
      <tp>
        <v>97.894999999999996</v>
        <stp/>
        <stp>ContractData</stp>
        <stp>EDAZ24</stp>
        <stp>LastTradeorSettle</stp>
        <stp/>
        <stp>T</stp>
        <tr r="R23" s="6"/>
      </tp>
      <tp>
        <v>97.945000000000007</v>
        <stp/>
        <stp>ContractData</stp>
        <stp>EDAU24</stp>
        <stp>LastTradeorSettle</stp>
        <stp/>
        <stp>T</stp>
        <tr r="R22" s="6"/>
      </tp>
      <tp>
        <v>17</v>
        <stp/>
        <stp>ContractData</stp>
        <stp>EDAS12?15</stp>
        <stp>LastTradeorSettle</stp>
        <stp/>
        <stp>T</stp>
        <tr r="V49" s="6"/>
        <tr r="Y29" s="2"/>
      </tp>
      <tp>
        <v>16.5</v>
        <stp/>
        <stp>ContractData</stp>
        <stp>EDAS12?14</stp>
        <stp>LastTradeorSettle</stp>
        <stp/>
        <stp>T</stp>
        <tr r="V48" s="6"/>
        <tr r="X29" s="2"/>
      </tp>
      <tp>
        <v>17</v>
        <stp/>
        <stp>ContractData</stp>
        <stp>EDAS12?17</stp>
        <stp>LastTradeorSettle</stp>
        <stp/>
        <stp>T</stp>
        <tr r="V51" s="6"/>
        <tr r="AA29" s="2"/>
      </tp>
      <tp>
        <v>17</v>
        <stp/>
        <stp>ContractData</stp>
        <stp>EDAS12?16</stp>
        <stp>LastTradeorSettle</stp>
        <stp/>
        <stp>T</stp>
        <tr r="V50" s="6"/>
        <tr r="Z29" s="2"/>
      </tp>
      <tp>
        <v>16</v>
        <stp/>
        <stp>ContractData</stp>
        <stp>EDAS12?11</stp>
        <stp>LastTradeorSettle</stp>
        <stp/>
        <stp>T</stp>
        <tr r="V45" s="6"/>
        <tr r="U29" s="2"/>
      </tp>
      <tp>
        <v>16</v>
        <stp/>
        <stp>ContractData</stp>
        <stp>EDAS12?10</stp>
        <stp>LastTradeorSettle</stp>
        <stp/>
        <stp>T</stp>
        <tr r="V44" s="6"/>
        <tr r="T29" s="2"/>
      </tp>
      <tp>
        <v>15.5</v>
        <stp/>
        <stp>ContractData</stp>
        <stp>EDAS12?13</stp>
        <stp>LastTradeorSettle</stp>
        <stp/>
        <stp>T</stp>
        <tr r="V47" s="6"/>
        <tr r="W29" s="2"/>
      </tp>
      <tp>
        <v>15.5</v>
        <stp/>
        <stp>ContractData</stp>
        <stp>EDAS12?12</stp>
        <stp>LastTradeorSettle</stp>
        <stp/>
        <stp>T</stp>
        <tr r="V46" s="6"/>
        <tr r="V29" s="2"/>
      </tp>
      <tp>
        <v>4.5</v>
        <stp/>
        <stp>ContractData</stp>
        <stp>EDAS3H22</stp>
        <stp>Open</stp>
        <stp/>
        <stp>T</stp>
        <tr r="C55" s="2"/>
      </tp>
      <tp>
        <v>-8.5</v>
        <stp/>
        <stp>ContractData</stp>
        <stp>EDAS3H20</stp>
        <stp>Open</stp>
        <stp/>
        <stp>T</stp>
        <tr r="C47" s="2"/>
      </tp>
      <tp>
        <v>3.5</v>
        <stp/>
        <stp>ContractData</stp>
        <stp>EDAS3H21</stp>
        <stp>Open</stp>
        <stp/>
        <stp>T</stp>
        <tr r="C51" s="2"/>
      </tp>
      <tp>
        <v>-1</v>
        <stp/>
        <stp>ContractData</stp>
        <stp>EDAS3U19</stp>
        <stp>NetLastTradeToday</stp>
        <stp/>
        <stp>T</stp>
        <tr r="H45" s="2"/>
        <tr r="G45" s="2"/>
      </tp>
      <tp>
        <v>-1</v>
        <stp/>
        <stp>ContractData</stp>
        <stp>EDAS3Z19</stp>
        <stp>NetLastTradeToday</stp>
        <stp/>
        <stp>T</stp>
        <tr r="H46" s="2"/>
        <tr r="G46" s="2"/>
      </tp>
      <tp>
        <v>-8</v>
        <stp/>
        <stp>ContractData</stp>
        <stp>EDAS3H20</stp>
        <stp>High</stp>
        <stp/>
        <stp>T</stp>
        <tr r="D47" s="2"/>
      </tp>
      <tp>
        <v>3.5</v>
        <stp/>
        <stp>ContractData</stp>
        <stp>EDAS3H21</stp>
        <stp>High</stp>
        <stp/>
        <stp>T</stp>
        <tr r="D51" s="2"/>
      </tp>
      <tp>
        <v>4.5</v>
        <stp/>
        <stp>ContractData</stp>
        <stp>EDAS3H22</stp>
        <stp>High</stp>
        <stp/>
        <stp>T</stp>
        <tr r="D55" s="2"/>
      </tp>
      <tp>
        <v>4</v>
        <stp/>
        <stp>ContractData</stp>
        <stp>EDAS3M22</stp>
        <stp>Open</stp>
        <stp/>
        <stp>T</stp>
        <tr r="C56" s="2"/>
      </tp>
      <tp>
        <v>-5.5</v>
        <stp/>
        <stp>ContractData</stp>
        <stp>EDAS3M20</stp>
        <stp>Open</stp>
        <stp/>
        <stp>T</stp>
        <tr r="C48" s="2"/>
      </tp>
      <tp>
        <v>3</v>
        <stp/>
        <stp>ContractData</stp>
        <stp>EDAS3M21</stp>
        <stp>Open</stp>
        <stp/>
        <stp>T</stp>
        <tr r="C52" s="2"/>
      </tp>
      <tp>
        <v>-0.5</v>
        <stp/>
        <stp>ContractData</stp>
        <stp>EDAS3M22</stp>
        <stp>NetLastTradeToday</stp>
        <stp/>
        <stp>T</stp>
        <tr r="G56" s="2"/>
        <tr r="H56" s="2"/>
      </tp>
      <tp>
        <v>0</v>
        <stp/>
        <stp>ContractData</stp>
        <stp>EDAS3H22</stp>
        <stp>NetLastTradeToday</stp>
        <stp/>
        <stp>T</stp>
        <tr r="G55" s="2"/>
        <tr r="H55" s="2"/>
      </tp>
      <tp>
        <v>0</v>
        <stp/>
        <stp>ContractData</stp>
        <stp>EDAS3M20</stp>
        <stp>NetLastTradeToday</stp>
        <stp/>
        <stp>T</stp>
        <tr r="H48" s="2"/>
        <tr r="G48" s="2"/>
      </tp>
      <tp>
        <v>0</v>
        <stp/>
        <stp>ContractData</stp>
        <stp>EDAS3H20</stp>
        <stp>NetLastTradeToday</stp>
        <stp/>
        <stp>T</stp>
        <tr r="H47" s="2"/>
        <tr r="G47" s="2"/>
      </tp>
      <tp>
        <v>0</v>
        <stp/>
        <stp>ContractData</stp>
        <stp>EDAS3U20</stp>
        <stp>NetLastTradeToday</stp>
        <stp/>
        <stp>T</stp>
        <tr r="H49" s="2"/>
        <tr r="G49" s="2"/>
      </tp>
      <tp>
        <v>0</v>
        <stp/>
        <stp>ContractData</stp>
        <stp>EDAS3Z20</stp>
        <stp>NetLastTradeToday</stp>
        <stp/>
        <stp>T</stp>
        <tr r="H50" s="2"/>
        <tr r="G50" s="2"/>
      </tp>
      <tp>
        <v>0</v>
        <stp/>
        <stp>ContractData</stp>
        <stp>EDAS3M21</stp>
        <stp>NetLastTradeToday</stp>
        <stp/>
        <stp>T</stp>
        <tr r="G52" s="2"/>
        <tr r="H52" s="2"/>
      </tp>
      <tp>
        <v>0</v>
        <stp/>
        <stp>ContractData</stp>
        <stp>EDAS3H21</stp>
        <stp>NetLastTradeToday</stp>
        <stp/>
        <stp>T</stp>
        <tr r="H51" s="2"/>
        <tr r="G51" s="2"/>
      </tp>
      <tp>
        <v>0.5</v>
        <stp/>
        <stp>ContractData</stp>
        <stp>EDAS3U21</stp>
        <stp>NetLastTradeToday</stp>
        <stp/>
        <stp>T</stp>
        <tr r="H53" s="2"/>
        <tr r="G53" s="2"/>
      </tp>
      <tp>
        <v>0</v>
        <stp/>
        <stp>ContractData</stp>
        <stp>EDAS3Z21</stp>
        <stp>NetLastTradeToday</stp>
        <stp/>
        <stp>T</stp>
        <tr r="G54" s="2"/>
        <tr r="H54" s="2"/>
      </tp>
      <tp>
        <v>-44.5</v>
        <stp/>
        <stp>StudyData</stp>
        <stp>EDAS12?1</stp>
        <stp>Bar</stp>
        <stp/>
        <stp>Close</stp>
        <stp>D</stp>
        <stp>-20</stp>
        <stp>All</stp>
        <stp/>
        <stp/>
        <stp/>
        <stp>T</stp>
        <tr r="Z35" s="6"/>
      </tp>
      <tp>
        <v>3</v>
        <stp/>
        <stp>StudyData</stp>
        <stp>EDAS3?11</stp>
        <stp>Bar</stp>
        <stp/>
        <stp>Close</stp>
        <stp>D</stp>
        <stp>-20</stp>
        <stp>All</stp>
        <stp/>
        <stp/>
        <stp/>
        <stp>T</stp>
        <tr r="AK45" s="6"/>
      </tp>
      <tp>
        <v>-2</v>
        <stp/>
        <stp>ContractData</stp>
        <stp>EDAS3Z20</stp>
        <stp>Low</stp>
        <stp/>
        <stp>T</stp>
        <tr r="E50" s="2"/>
      </tp>
      <tp>
        <v>3</v>
        <stp/>
        <stp>ContractData</stp>
        <stp>EDAS3Z21</stp>
        <stp>Low</stp>
        <stp/>
        <stp>T</stp>
        <tr r="E54" s="2"/>
      </tp>
      <tp>
        <v>-20</v>
        <stp/>
        <stp>ContractData</stp>
        <stp>EDAS3Z19</stp>
        <stp>Low</stp>
        <stp/>
        <stp>T</stp>
        <tr r="E46" s="2"/>
      </tp>
      <tp>
        <v>0.5</v>
        <stp/>
        <stp>ContractData</stp>
        <stp>EDAS3U20</stp>
        <stp>Low</stp>
        <stp/>
        <stp>T</stp>
        <tr r="E49" s="2"/>
      </tp>
      <tp>
        <v>4</v>
        <stp/>
        <stp>ContractData</stp>
        <stp>EDAS3U21</stp>
        <stp>Low</stp>
        <stp/>
        <stp>T</stp>
        <tr r="E53" s="2"/>
      </tp>
      <tp>
        <v>-11</v>
        <stp/>
        <stp>ContractData</stp>
        <stp>EDAS3U19</stp>
        <stp>Low</stp>
        <stp/>
        <stp>T</stp>
        <tr r="E45" s="2"/>
      </tp>
      <tp>
        <v>-8.5</v>
        <stp/>
        <stp>ContractData</stp>
        <stp>EDAS3H20</stp>
        <stp>Low</stp>
        <stp/>
        <stp>T</stp>
        <tr r="E47" s="2"/>
      </tp>
      <tp>
        <v>3</v>
        <stp/>
        <stp>ContractData</stp>
        <stp>EDAS3H21</stp>
        <stp>Low</stp>
        <stp/>
        <stp>T</stp>
        <tr r="E51" s="2"/>
      </tp>
      <tp>
        <v>4</v>
        <stp/>
        <stp>ContractData</stp>
        <stp>EDAS3H22</stp>
        <stp>Low</stp>
        <stp/>
        <stp>T</stp>
        <tr r="E55" s="2"/>
      </tp>
      <tp>
        <v>-6</v>
        <stp/>
        <stp>ContractData</stp>
        <stp>EDAS3M20</stp>
        <stp>Low</stp>
        <stp/>
        <stp>T</stp>
        <tr r="E48" s="2"/>
      </tp>
      <tp>
        <v>3</v>
        <stp/>
        <stp>ContractData</stp>
        <stp>EDAS3M21</stp>
        <stp>Low</stp>
        <stp/>
        <stp>T</stp>
        <tr r="E52" s="2"/>
      </tp>
      <tp>
        <v>4</v>
        <stp/>
        <stp>ContractData</stp>
        <stp>EDAS3M22</stp>
        <stp>Low</stp>
        <stp/>
        <stp>T</stp>
        <tr r="E56" s="2"/>
      </tp>
      <tp>
        <v>2</v>
        <stp/>
        <stp>StudyData</stp>
        <stp>EDAS3?10</stp>
        <stp>Bar</stp>
        <stp/>
        <stp>Close</stp>
        <stp>D</stp>
        <stp>-20</stp>
        <stp>All</stp>
        <stp/>
        <stp/>
        <stp/>
        <stp>T</stp>
        <tr r="AK44" s="6"/>
      </tp>
      <tp>
        <v>3.5</v>
        <stp/>
        <stp>StudyData</stp>
        <stp>EDAS3?20</stp>
        <stp>Bar</stp>
        <stp/>
        <stp>Close</stp>
        <stp>D</stp>
        <stp>-20</stp>
        <stp>All</stp>
        <stp/>
        <stp/>
        <stp/>
        <stp>T</stp>
        <tr r="AK54" s="6"/>
      </tp>
      <tp>
        <v>-22.5</v>
        <stp/>
        <stp>StudyData</stp>
        <stp>EDAS12?3</stp>
        <stp>Bar</stp>
        <stp/>
        <stp>Close</stp>
        <stp>D</stp>
        <stp>-20</stp>
        <stp>All</stp>
        <stp/>
        <stp/>
        <stp/>
        <stp>T</stp>
        <tr r="Z37" s="6"/>
      </tp>
      <tp>
        <v>3</v>
        <stp/>
        <stp>StudyData</stp>
        <stp>EDAS3?13</stp>
        <stp>Bar</stp>
        <stp/>
        <stp>Close</stp>
        <stp>D</stp>
        <stp>-20</stp>
        <stp>All</stp>
        <stp/>
        <stp/>
        <stp/>
        <stp>T</stp>
        <tr r="AK47" s="6"/>
      </tp>
      <tp>
        <v>-36.5</v>
        <stp/>
        <stp>StudyData</stp>
        <stp>EDAS12?2</stp>
        <stp>Bar</stp>
        <stp/>
        <stp>Close</stp>
        <stp>D</stp>
        <stp>-20</stp>
        <stp>All</stp>
        <stp/>
        <stp/>
        <stp/>
        <stp>T</stp>
        <tr r="Z36" s="6"/>
      </tp>
      <tp>
        <v>2.5</v>
        <stp/>
        <stp>StudyData</stp>
        <stp>EDAS3?12</stp>
        <stp>Bar</stp>
        <stp/>
        <stp>Close</stp>
        <stp>D</stp>
        <stp>-20</stp>
        <stp>All</stp>
        <stp/>
        <stp/>
        <stp/>
        <stp>T</stp>
        <tr r="AK46" s="6"/>
      </tp>
      <tp>
        <v>-0.5</v>
        <stp/>
        <stp>StudyData</stp>
        <stp>EDAS12?5</stp>
        <stp>Bar</stp>
        <stp/>
        <stp>Close</stp>
        <stp>D</stp>
        <stp>-20</stp>
        <stp>All</stp>
        <stp/>
        <stp/>
        <stp/>
        <stp>T</stp>
        <tr r="Z39" s="6"/>
      </tp>
      <tp>
        <v>3</v>
        <stp/>
        <stp>StudyData</stp>
        <stp>EDAS3?15</stp>
        <stp>Bar</stp>
        <stp/>
        <stp>Close</stp>
        <stp>D</stp>
        <stp>-20</stp>
        <stp>All</stp>
        <stp/>
        <stp/>
        <stp/>
        <stp>T</stp>
        <tr r="AK49" s="6"/>
      </tp>
      <tp>
        <v>-9</v>
        <stp/>
        <stp>StudyData</stp>
        <stp>EDAS12?4</stp>
        <stp>Bar</stp>
        <stp/>
        <stp>Close</stp>
        <stp>D</stp>
        <stp>-20</stp>
        <stp>All</stp>
        <stp/>
        <stp/>
        <stp/>
        <stp>T</stp>
        <tr r="Z38" s="6"/>
      </tp>
      <tp>
        <v>2</v>
        <stp/>
        <stp>StudyData</stp>
        <stp>EDAS3?14</stp>
        <stp>Bar</stp>
        <stp/>
        <stp>Close</stp>
        <stp>D</stp>
        <stp>-20</stp>
        <stp>All</stp>
        <stp/>
        <stp/>
        <stp/>
        <stp>T</stp>
        <tr r="AK48" s="6"/>
      </tp>
      <tp>
        <v>3.4999999999996589E-2</v>
        <stp/>
        <stp>ContractData</stp>
        <stp>F.EDA?11</stp>
        <stp>NetLastQuoteToday</stp>
        <stp/>
        <stp>T</stp>
        <tr r="U12" s="6"/>
      </tp>
      <tp>
        <v>3.9999999999992042E-2</v>
        <stp/>
        <stp>ContractData</stp>
        <stp>F.EDA?10</stp>
        <stp>NetLastQuoteToday</stp>
        <stp/>
        <stp>T</stp>
        <tr r="U11" s="6"/>
      </tp>
      <tp>
        <v>3.4999999999996589E-2</v>
        <stp/>
        <stp>ContractData</stp>
        <stp>F.EDA?12</stp>
        <stp>NetLastQuoteToday</stp>
        <stp/>
        <stp>T</stp>
        <tr r="U13" s="6"/>
        <tr r="U15" s="6"/>
        <tr r="U20" s="6"/>
        <tr r="U22" s="6"/>
        <tr r="U19" s="6"/>
        <tr r="U17" s="6"/>
        <tr r="U18" s="6"/>
        <tr r="U14" s="6"/>
        <tr r="U21" s="6"/>
        <tr r="U23" s="6"/>
        <tr r="U16" s="6"/>
      </tp>
      <tp>
        <v>8.5</v>
        <stp/>
        <stp>StudyData</stp>
        <stp>EDAS12?7</stp>
        <stp>Bar</stp>
        <stp/>
        <stp>Close</stp>
        <stp>D</stp>
        <stp>-20</stp>
        <stp>All</stp>
        <stp/>
        <stp/>
        <stp/>
        <stp>T</stp>
        <tr r="Z41" s="6"/>
      </tp>
      <tp>
        <v>4</v>
        <stp/>
        <stp>StudyData</stp>
        <stp>EDAS3?17</stp>
        <stp>Bar</stp>
        <stp/>
        <stp>Close</stp>
        <stp>D</stp>
        <stp>-20</stp>
        <stp>All</stp>
        <stp/>
        <stp/>
        <stp/>
        <stp>T</stp>
        <tr r="AK51" s="6"/>
      </tp>
      <tp>
        <v>3.5</v>
        <stp/>
        <stp>StudyData</stp>
        <stp>EDAS12?6</stp>
        <stp>Bar</stp>
        <stp/>
        <stp>Close</stp>
        <stp>D</stp>
        <stp>-20</stp>
        <stp>All</stp>
        <stp/>
        <stp/>
        <stp/>
        <stp>T</stp>
        <tr r="Z40" s="6"/>
      </tp>
      <tp>
        <v>3</v>
        <stp/>
        <stp>StudyData</stp>
        <stp>EDAS3?16</stp>
        <stp>Bar</stp>
        <stp/>
        <stp>Close</stp>
        <stp>D</stp>
        <stp>-20</stp>
        <stp>All</stp>
        <stp/>
        <stp/>
        <stp/>
        <stp>T</stp>
        <tr r="AK50" s="6"/>
      </tp>
      <tp>
        <v>16.5</v>
        <stp/>
        <stp>ContractData</stp>
        <stp>EDAS12U21</stp>
        <stp>High</stp>
        <stp/>
        <stp>T</stp>
        <tr r="D37" s="2"/>
      </tp>
      <tp>
        <v>6</v>
        <stp/>
        <stp>ContractData</stp>
        <stp>EDAS12U20</stp>
        <stp>High</stp>
        <stp/>
        <stp>T</stp>
        <tr r="D33" s="2"/>
      </tp>
      <tp>
        <v>-43</v>
        <stp/>
        <stp>ContractData</stp>
        <stp>EDAS12U19</stp>
        <stp>High</stp>
        <stp/>
        <stp>T</stp>
        <tr r="D29" s="2"/>
      </tp>
      <tp>
        <v>4668</v>
        <stp/>
        <stp>ContractData</stp>
        <stp>EDAU19</stp>
        <stp>MT_LastAskVolume</stp>
        <tr r="C7" s="2"/>
      </tp>
      <tp>
        <v>3</v>
        <stp/>
        <stp>ContractData</stp>
        <stp>EDAS3?8</stp>
        <stp>LastTradeorSettle</stp>
        <stp/>
        <stp>T</stp>
        <tr r="AG42" s="6"/>
        <tr r="AG42" s="6"/>
        <tr r="R45" s="2"/>
      </tp>
      <tp>
        <v>4.5</v>
        <stp/>
        <stp>ContractData</stp>
        <stp>EDAS3?9</stp>
        <stp>LastTradeorSettle</stp>
        <stp/>
        <stp>T</stp>
        <tr r="AG43" s="6"/>
        <tr r="AG43" s="6"/>
        <tr r="S45" s="2"/>
      </tp>
      <tp>
        <v>-11</v>
        <stp/>
        <stp>ContractData</stp>
        <stp>EDAS3?1</stp>
        <stp>LastTradeorSettle</stp>
        <stp/>
        <stp>T</stp>
        <tr r="AG35" s="6"/>
        <tr r="AG35" s="6"/>
        <tr r="K45" s="2"/>
      </tp>
      <tp>
        <v>-20</v>
        <stp/>
        <stp>ContractData</stp>
        <stp>EDAS3?2</stp>
        <stp>LastTradeorSettle</stp>
        <stp/>
        <stp>T</stp>
        <tr r="L45" s="2"/>
        <tr r="AG36" s="6"/>
        <tr r="AG36" s="6"/>
      </tp>
      <tp>
        <v>-8.5</v>
        <stp/>
        <stp>ContractData</stp>
        <stp>EDAS3?3</stp>
        <stp>LastTradeorSettle</stp>
        <stp/>
        <stp>T</stp>
        <tr r="M45" s="2"/>
        <tr r="AG37" s="6"/>
        <tr r="AG37" s="6"/>
      </tp>
      <tp>
        <v>-6</v>
        <stp/>
        <stp>ContractData</stp>
        <stp>EDAS3?4</stp>
        <stp>LastTradeorSettle</stp>
        <stp/>
        <stp>T</stp>
        <tr r="AG38" s="6"/>
        <tr r="AG38" s="6"/>
        <tr r="N45" s="2"/>
      </tp>
      <tp>
        <v>0.5</v>
        <stp/>
        <stp>ContractData</stp>
        <stp>EDAS3?5</stp>
        <stp>LastTradeorSettle</stp>
        <stp/>
        <stp>T</stp>
        <tr r="AG39" s="6"/>
        <tr r="AG39" s="6"/>
        <tr r="O45" s="2"/>
      </tp>
      <tp>
        <v>-1.5</v>
        <stp/>
        <stp>ContractData</stp>
        <stp>EDAS3?6</stp>
        <stp>LastTradeorSettle</stp>
        <stp/>
        <stp>T</stp>
        <tr r="AG40" s="6"/>
        <tr r="AG40" s="6"/>
        <tr r="P45" s="2"/>
      </tp>
      <tp>
        <v>3.5</v>
        <stp/>
        <stp>ContractData</stp>
        <stp>EDAS3?7</stp>
        <stp>LastTradeorSettle</stp>
        <stp/>
        <stp>T</stp>
        <tr r="AG41" s="6"/>
        <tr r="AG41" s="6"/>
        <tr r="Q45" s="2"/>
      </tp>
      <tp>
        <v>-45.5</v>
        <stp/>
        <stp>ContractData</stp>
        <stp>EDAS12U19</stp>
        <stp>Low</stp>
        <stp/>
        <stp>T</stp>
        <tr r="E29" s="2"/>
      </tp>
      <tp>
        <v>15.5</v>
        <stp/>
        <stp>ContractData</stp>
        <stp>EDAS12U21</stp>
        <stp>Low</stp>
        <stp/>
        <stp>T</stp>
        <tr r="E37" s="2"/>
      </tp>
      <tp>
        <v>4.5</v>
        <stp/>
        <stp>ContractData</stp>
        <stp>EDAS12U20</stp>
        <stp>Low</stp>
        <stp/>
        <stp>T</stp>
        <tr r="E33" s="2"/>
      </tp>
      <tp>
        <v>-34</v>
        <stp/>
        <stp>ContractData</stp>
        <stp>EDAS12Z19</stp>
        <stp>Low</stp>
        <stp/>
        <stp>T</stp>
        <tr r="E30" s="2"/>
      </tp>
      <tp>
        <v>15</v>
        <stp/>
        <stp>ContractData</stp>
        <stp>EDAS12Z21</stp>
        <stp>Low</stp>
        <stp/>
        <stp>T</stp>
        <tr r="E38" s="2"/>
        <tr r="E39" s="2"/>
      </tp>
      <tp>
        <v>8</v>
        <stp/>
        <stp>ContractData</stp>
        <stp>EDAS12Z20</stp>
        <stp>Low</stp>
        <stp/>
        <stp>T</stp>
        <tr r="E34" s="2"/>
      </tp>
      <tp>
        <v>13</v>
        <stp/>
        <stp>ContractData</stp>
        <stp>EDAS12H21</stp>
        <stp>Low</stp>
        <stp/>
        <stp>T</stp>
        <tr r="E35" s="2"/>
      </tp>
      <tp>
        <v>-15.5</v>
        <stp/>
        <stp>ContractData</stp>
        <stp>EDAS12H20</stp>
        <stp>Low</stp>
        <stp/>
        <stp>T</stp>
        <tr r="E31" s="2"/>
      </tp>
      <tp>
        <v>15</v>
        <stp/>
        <stp>ContractData</stp>
        <stp>EDAS12M22</stp>
        <stp>Low</stp>
        <stp/>
        <stp>T</stp>
        <tr r="E40" s="2"/>
      </tp>
      <tp>
        <v>14</v>
        <stp/>
        <stp>ContractData</stp>
        <stp>EDAS12M21</stp>
        <stp>Low</stp>
        <stp/>
        <stp>T</stp>
        <tr r="E36" s="2"/>
      </tp>
      <tp>
        <v>-4</v>
        <stp/>
        <stp>ContractData</stp>
        <stp>EDAS12M20</stp>
        <stp>Low</stp>
        <stp/>
        <stp>T</stp>
        <tr r="E32" s="2"/>
      </tp>
      <tp>
        <v>15.5</v>
        <stp/>
        <stp>ContractData</stp>
        <stp>EDAS12U21</stp>
        <stp>Open</stp>
        <stp/>
        <stp>T</stp>
        <tr r="C37" s="2"/>
      </tp>
      <tp>
        <v>5</v>
        <stp/>
        <stp>ContractData</stp>
        <stp>EDAS12U20</stp>
        <stp>Open</stp>
        <stp/>
        <stp>T</stp>
        <tr r="C33" s="2"/>
      </tp>
      <tp>
        <v>-43</v>
        <stp/>
        <stp>ContractData</stp>
        <stp>EDAS12U19</stp>
        <stp>Open</stp>
        <stp/>
        <stp>T</stp>
        <tr r="C29" s="2"/>
      </tp>
      <tp t="s">
        <v>Eurodollar (Globex), Jun 22</v>
        <stp/>
        <stp>ContractData</stp>
        <stp>EDAM22</stp>
        <stp>LongDescription</stp>
        <tr r="B24" s="2"/>
      </tp>
      <tp t="s">
        <v>Eurodollar (Globex), Jun 21</v>
        <stp/>
        <stp>ContractData</stp>
        <stp>EDAM21</stp>
        <stp>LongDescription</stp>
        <tr r="B20" s="2"/>
      </tp>
      <tp t="s">
        <v>Eurodollar (Globex), Jun 20</v>
        <stp/>
        <stp>ContractData</stp>
        <stp>EDAM20</stp>
        <stp>LongDescription</stp>
        <tr r="B16" s="2"/>
      </tp>
      <tp>
        <v>15</v>
        <stp/>
        <stp>ContractData</stp>
        <stp>EDAS12Z21</stp>
        <stp>Open</stp>
        <stp/>
        <stp>T</stp>
        <tr r="C38" s="2"/>
        <tr r="C39" s="2"/>
      </tp>
      <tp>
        <v>8.5</v>
        <stp/>
        <stp>ContractData</stp>
        <stp>EDAS12Z20</stp>
        <stp>Open</stp>
        <stp/>
        <stp>T</stp>
        <tr r="C34" s="2"/>
      </tp>
      <tp>
        <v>-33</v>
        <stp/>
        <stp>ContractData</stp>
        <stp>EDAS12Z19</stp>
        <stp>Open</stp>
        <stp/>
        <stp>T</stp>
        <tr r="C30" s="2"/>
      </tp>
      <tp t="s">
        <v>Eurodollar (Globex), Mar 22</v>
        <stp/>
        <stp>ContractData</stp>
        <stp>EDAH22</stp>
        <stp>LongDescription</stp>
        <tr r="B23" s="2"/>
      </tp>
      <tp t="s">
        <v>Eurodollar (Globex), Mar 21</v>
        <stp/>
        <stp>ContractData</stp>
        <stp>EDAH21</stp>
        <stp>LongDescription</stp>
        <tr r="B19" s="2"/>
      </tp>
      <tp t="s">
        <v>Eurodollar (Globex), Mar 20</v>
        <stp/>
        <stp>ContractData</stp>
        <stp>EDAH20</stp>
        <stp>LongDescription</stp>
        <tr r="B15" s="2"/>
      </tp>
      <tp>
        <v>524</v>
        <stp/>
        <stp>ContractData</stp>
        <stp>EDAU19</stp>
        <stp>MT_LastBidVolume</stp>
        <tr r="C9" s="2"/>
      </tp>
      <tp>
        <v>16</v>
        <stp/>
        <stp>ContractData</stp>
        <stp>EDAS12Z21</stp>
        <stp>High</stp>
        <stp/>
        <stp>T</stp>
        <tr r="D38" s="2"/>
        <tr r="D39" s="2"/>
      </tp>
      <tp>
        <v>10</v>
        <stp/>
        <stp>ContractData</stp>
        <stp>EDAS12Z20</stp>
        <stp>High</stp>
        <stp/>
        <stp>T</stp>
        <tr r="D34" s="2"/>
      </tp>
      <tp>
        <v>-32.5</v>
        <stp/>
        <stp>ContractData</stp>
        <stp>EDAS12Z19</stp>
        <stp>High</stp>
        <stp/>
        <stp>T</stp>
        <tr r="D30" s="2"/>
      </tp>
      <tp>
        <v>14</v>
        <stp/>
        <stp>StudyData</stp>
        <stp>EDAS12?18</stp>
        <stp>Bar</stp>
        <stp/>
        <stp>Close</stp>
        <stp>D</stp>
        <stp>-20</stp>
        <stp>All</stp>
        <stp/>
        <stp/>
        <stp/>
        <stp>T</stp>
        <tr r="Z52" s="6"/>
      </tp>
      <tp t="s">
        <v>Eurodollar (Globex), Sep 19</v>
        <stp/>
        <stp>ContractData</stp>
        <stp>EDAU19</stp>
        <stp>LongDescription</stp>
        <tr r="B4" s="2"/>
        <tr r="B13" s="2"/>
      </tp>
      <tp t="s">
        <v>Eurodollar (Globex), Sep 21</v>
        <stp/>
        <stp>ContractData</stp>
        <stp>EDAU21</stp>
        <stp>LongDescription</stp>
        <tr r="B21" s="2"/>
      </tp>
      <tp t="s">
        <v>Eurodollar (Globex), Sep 20</v>
        <stp/>
        <stp>ContractData</stp>
        <stp>EDAU20</stp>
        <stp>LongDescription</stp>
        <tr r="B17" s="2"/>
      </tp>
      <tp>
        <v>14</v>
        <stp/>
        <stp>StudyData</stp>
        <stp>EDAS12?19</stp>
        <stp>Bar</stp>
        <stp/>
        <stp>Close</stp>
        <stp>D</stp>
        <stp>-20</stp>
        <stp>All</stp>
        <stp/>
        <stp/>
        <stp/>
        <stp>T</stp>
        <tr r="Z53" s="6"/>
      </tp>
      <tp>
        <v>97.6</v>
        <stp/>
        <stp>StudyData</stp>
        <stp>EDAU19</stp>
        <stp>Bar</stp>
        <stp/>
        <stp>Close</stp>
        <stp>D</stp>
        <stp>-20</stp>
        <stp>All</stp>
        <stp/>
        <stp/>
        <stp/>
        <stp>T</stp>
        <tr r="D26" s="6"/>
      </tp>
      <tp>
        <v>97.69</v>
        <stp/>
        <stp>StudyData</stp>
        <stp>EDAZ19</stp>
        <stp>Bar</stp>
        <stp/>
        <stp>Close</stp>
        <stp>D</stp>
        <stp>-20</stp>
        <stp>All</stp>
        <stp/>
        <stp/>
        <stp/>
        <stp>T</stp>
        <tr r="D27" s="6"/>
      </tp>
      <tp t="s">
        <v>Eurodollar Calendar Spread 12, Jun 21, Jun 22</v>
        <stp/>
        <stp>ContractData</stp>
        <stp>EDAS12?8</stp>
        <stp>LongDescription</stp>
        <tr r="R26" s="2"/>
      </tp>
      <tp t="s">
        <v>Eurodollar Calendar Spread 12, Sep 21, Sep 22</v>
        <stp/>
        <stp>ContractData</stp>
        <stp>EDAS12?9</stp>
        <stp>LongDescription</stp>
        <tr r="S26" s="2"/>
      </tp>
      <tp t="s">
        <v>Eurodollar Calendar Spread 12, Sep 19, Sep 20</v>
        <stp/>
        <stp>ContractData</stp>
        <stp>EDAS12?1</stp>
        <stp>LongDescription</stp>
        <tr r="K26" s="2"/>
      </tp>
      <tp t="s">
        <v>Eurodollar Calendar Spread 12, Dec 19, Dec 20</v>
        <stp/>
        <stp>ContractData</stp>
        <stp>EDAS12?2</stp>
        <stp>LongDescription</stp>
        <tr r="L26" s="2"/>
      </tp>
      <tp t="s">
        <v>Eurodollar Calendar Spread 12, Mar 20, Mar 21</v>
        <stp/>
        <stp>ContractData</stp>
        <stp>EDAS12?3</stp>
        <stp>LongDescription</stp>
        <tr r="M26" s="2"/>
      </tp>
      <tp t="s">
        <v>Eurodollar Calendar Spread 12, Jun 20, Jun 21</v>
        <stp/>
        <stp>ContractData</stp>
        <stp>EDAS12?4</stp>
        <stp>LongDescription</stp>
        <tr r="N26" s="2"/>
      </tp>
      <tp t="s">
        <v>Eurodollar Calendar Spread 12, Sep 20, Sep 21</v>
        <stp/>
        <stp>ContractData</stp>
        <stp>EDAS12?5</stp>
        <stp>LongDescription</stp>
        <tr r="O26" s="2"/>
      </tp>
      <tp t="s">
        <v>Eurodollar Calendar Spread 12, Dec 20, Dec 21</v>
        <stp/>
        <stp>ContractData</stp>
        <stp>EDAS12?6</stp>
        <stp>LongDescription</stp>
        <tr r="P26" s="2"/>
      </tp>
      <tp t="s">
        <v>Eurodollar Calendar Spread 12, Mar 21, Mar 22</v>
        <stp/>
        <stp>ContractData</stp>
        <stp>EDAS12?7</stp>
        <stp>LongDescription</stp>
        <tr r="Q26" s="2"/>
      </tp>
      <tp>
        <v>16</v>
        <stp/>
        <stp>StudyData</stp>
        <stp>EDAS12?9</stp>
        <stp>Bar</stp>
        <stp/>
        <stp>Close</stp>
        <stp>D</stp>
        <stp>-1</stp>
        <stp>All</stp>
        <stp/>
        <stp/>
        <stp/>
        <stp>T</stp>
        <tr r="X43" s="6"/>
      </tp>
      <tp>
        <v>14.5</v>
        <stp/>
        <stp>StudyData</stp>
        <stp>EDAS12?8</stp>
        <stp>Bar</stp>
        <stp/>
        <stp>Close</stp>
        <stp>D</stp>
        <stp>-1</stp>
        <stp>All</stp>
        <stp/>
        <stp/>
        <stp/>
        <stp>T</stp>
        <tr r="X42" s="6"/>
      </tp>
      <tp>
        <v>13</v>
        <stp/>
        <stp>StudyData</stp>
        <stp>EDAS12?9</stp>
        <stp>Bar</stp>
        <stp/>
        <stp>Close</stp>
        <stp>D</stp>
        <stp>-5</stp>
        <stp>All</stp>
        <stp/>
        <stp/>
        <stp/>
        <stp>T</stp>
        <tr r="Y43" s="6"/>
      </tp>
      <tp>
        <v>12</v>
        <stp/>
        <stp>StudyData</stp>
        <stp>EDAS12?8</stp>
        <stp>Bar</stp>
        <stp/>
        <stp>Close</stp>
        <stp>D</stp>
        <stp>-5</stp>
        <stp>All</stp>
        <stp/>
        <stp/>
        <stp/>
        <stp>T</stp>
        <tr r="Y42" s="6"/>
      </tp>
      <tp>
        <v>-15.5</v>
        <stp/>
        <stp>StudyData</stp>
        <stp>EDAS12?3</stp>
        <stp>Bar</stp>
        <stp/>
        <stp>Close</stp>
        <stp>D</stp>
        <stp>-1</stp>
        <stp>All</stp>
        <stp/>
        <stp/>
        <stp/>
        <stp>T</stp>
        <tr r="X37" s="6"/>
      </tp>
      <tp>
        <v>10.5</v>
        <stp/>
        <stp>StudyData</stp>
        <stp>EDAS12?7</stp>
        <stp>Bar</stp>
        <stp/>
        <stp>Close</stp>
        <stp>D</stp>
        <stp>-5</stp>
        <stp>All</stp>
        <stp/>
        <stp/>
        <stp/>
        <stp>T</stp>
        <tr r="Y41" s="6"/>
      </tp>
      <tp>
        <v>-33</v>
        <stp/>
        <stp>StudyData</stp>
        <stp>EDAS12?2</stp>
        <stp>Bar</stp>
        <stp/>
        <stp>Close</stp>
        <stp>D</stp>
        <stp>-1</stp>
        <stp>All</stp>
        <stp/>
        <stp/>
        <stp/>
        <stp>T</stp>
        <tr r="X36" s="6"/>
      </tp>
      <tp>
        <v>5.5</v>
        <stp/>
        <stp>StudyData</stp>
        <stp>EDAS12?6</stp>
        <stp>Bar</stp>
        <stp/>
        <stp>Close</stp>
        <stp>D</stp>
        <stp>-5</stp>
        <stp>All</stp>
        <stp/>
        <stp/>
        <stp/>
        <stp>T</stp>
        <tr r="Y40" s="6"/>
      </tp>
      <tp>
        <v>-43.5</v>
        <stp/>
        <stp>StudyData</stp>
        <stp>EDAS12?1</stp>
        <stp>Bar</stp>
        <stp/>
        <stp>Close</stp>
        <stp>D</stp>
        <stp>-1</stp>
        <stp>All</stp>
        <stp/>
        <stp/>
        <stp/>
        <stp>T</stp>
        <tr r="X35" s="6"/>
      </tp>
      <tp>
        <v>1</v>
        <stp/>
        <stp>StudyData</stp>
        <stp>EDAS12?5</stp>
        <stp>Bar</stp>
        <stp/>
        <stp>Close</stp>
        <stp>D</stp>
        <stp>-5</stp>
        <stp>All</stp>
        <stp/>
        <stp/>
        <stp/>
        <stp>T</stp>
        <tr r="Y39" s="6"/>
      </tp>
      <tp>
        <v>-8</v>
        <stp/>
        <stp>StudyData</stp>
        <stp>EDAS12?4</stp>
        <stp>Bar</stp>
        <stp/>
        <stp>Close</stp>
        <stp>D</stp>
        <stp>-5</stp>
        <stp>All</stp>
        <stp/>
        <stp/>
        <stp/>
        <stp>T</stp>
        <tr r="Y38" s="6"/>
      </tp>
      <tp>
        <v>-19</v>
        <stp/>
        <stp>StudyData</stp>
        <stp>EDAS12?3</stp>
        <stp>Bar</stp>
        <stp/>
        <stp>Close</stp>
        <stp>D</stp>
        <stp>-5</stp>
        <stp>All</stp>
        <stp/>
        <stp/>
        <stp/>
        <stp>T</stp>
        <tr r="Y37" s="6"/>
      </tp>
      <tp>
        <v>13.5</v>
        <stp/>
        <stp>StudyData</stp>
        <stp>EDAS12?7</stp>
        <stp>Bar</stp>
        <stp/>
        <stp>Close</stp>
        <stp>D</stp>
        <stp>-1</stp>
        <stp>All</stp>
        <stp/>
        <stp/>
        <stp/>
        <stp>T</stp>
        <tr r="X41" s="6"/>
      </tp>
      <tp>
        <v>-35</v>
        <stp/>
        <stp>StudyData</stp>
        <stp>EDAS12?2</stp>
        <stp>Bar</stp>
        <stp/>
        <stp>Close</stp>
        <stp>D</stp>
        <stp>-5</stp>
        <stp>All</stp>
        <stp/>
        <stp/>
        <stp/>
        <stp>T</stp>
        <tr r="Y36" s="6"/>
      </tp>
      <tp>
        <v>9</v>
        <stp/>
        <stp>StudyData</stp>
        <stp>EDAS12?6</stp>
        <stp>Bar</stp>
        <stp/>
        <stp>Close</stp>
        <stp>D</stp>
        <stp>-1</stp>
        <stp>All</stp>
        <stp/>
        <stp/>
        <stp/>
        <stp>T</stp>
        <tr r="X40" s="6"/>
      </tp>
      <tp>
        <v>-45</v>
        <stp/>
        <stp>StudyData</stp>
        <stp>EDAS12?1</stp>
        <stp>Bar</stp>
        <stp/>
        <stp>Close</stp>
        <stp>D</stp>
        <stp>-5</stp>
        <stp>All</stp>
        <stp/>
        <stp/>
        <stp/>
        <stp>T</stp>
        <tr r="Y35" s="6"/>
      </tp>
      <tp>
        <v>5.5</v>
        <stp/>
        <stp>StudyData</stp>
        <stp>EDAS12?5</stp>
        <stp>Bar</stp>
        <stp/>
        <stp>Close</stp>
        <stp>D</stp>
        <stp>-1</stp>
        <stp>All</stp>
        <stp/>
        <stp/>
        <stp/>
        <stp>T</stp>
        <tr r="X39" s="6"/>
      </tp>
      <tp>
        <v>-3.5</v>
        <stp/>
        <stp>StudyData</stp>
        <stp>EDAS12?4</stp>
        <stp>Bar</stp>
        <stp/>
        <stp>Close</stp>
        <stp>D</stp>
        <stp>-1</stp>
        <stp>All</stp>
        <stp/>
        <stp/>
        <stp/>
        <stp>T</stp>
        <tr r="X38" s="6"/>
      </tp>
      <tp t="s">
        <v>Eurodollar Calendar Spread 3, Dec 23, Mar 24</v>
        <stp/>
        <stp>ContractData</stp>
        <stp>EDAS3?18</stp>
        <stp>LongDescription</stp>
        <tr r="AB42" s="2"/>
      </tp>
      <tp t="s">
        <v>Eurodollar Calendar Spread 3, Mar 24, Jun 24</v>
        <stp/>
        <stp>ContractData</stp>
        <stp>EDAS3?19</stp>
        <stp>LongDescription</stp>
        <tr r="AC42" s="2"/>
      </tp>
      <tp t="s">
        <v>Eurodollar Calendar Spread 3, Dec 21, Mar 22</v>
        <stp/>
        <stp>ContractData</stp>
        <stp>EDAS3?10</stp>
        <stp>LongDescription</stp>
        <tr r="T42" s="2"/>
      </tp>
      <tp t="s">
        <v>Eurodollar Calendar Spread 3, Mar 22, Jun 22</v>
        <stp/>
        <stp>ContractData</stp>
        <stp>EDAS3?11</stp>
        <stp>LongDescription</stp>
        <tr r="U42" s="2"/>
      </tp>
      <tp t="s">
        <v>Eurodollar Calendar Spread 3, Jun 22, Sep 22</v>
        <stp/>
        <stp>ContractData</stp>
        <stp>EDAS3?12</stp>
        <stp>LongDescription</stp>
        <tr r="V42" s="2"/>
      </tp>
      <tp t="s">
        <v>Eurodollar Calendar Spread 3, Sep 22, Dec 22</v>
        <stp/>
        <stp>ContractData</stp>
        <stp>EDAS3?13</stp>
        <stp>LongDescription</stp>
        <tr r="W42" s="2"/>
      </tp>
      <tp t="s">
        <v>Eurodollar Calendar Spread 3, Dec 22, Mar 23</v>
        <stp/>
        <stp>ContractData</stp>
        <stp>EDAS3?14</stp>
        <stp>LongDescription</stp>
        <tr r="X42" s="2"/>
      </tp>
      <tp t="s">
        <v>Eurodollar Calendar Spread 3, Mar 23, Jun 23</v>
        <stp/>
        <stp>ContractData</stp>
        <stp>EDAS3?15</stp>
        <stp>LongDescription</stp>
        <tr r="Y42" s="2"/>
      </tp>
      <tp t="s">
        <v>Eurodollar Calendar Spread 3, Jun 23, Sep 23</v>
        <stp/>
        <stp>ContractData</stp>
        <stp>EDAS3?16</stp>
        <stp>LongDescription</stp>
        <tr r="Z42" s="2"/>
      </tp>
      <tp t="s">
        <v>Eurodollar Calendar Spread 3, Sep 23, Dec 23</v>
        <stp/>
        <stp>ContractData</stp>
        <stp>EDAS3?17</stp>
        <stp>LongDescription</stp>
        <tr r="AA42" s="2"/>
      </tp>
      <tp t="s">
        <v>Eurodollar Calendar Spread 3, Jun 24, Sep 24</v>
        <stp/>
        <stp>ContractData</stp>
        <stp>EDAS3?20</stp>
        <stp>LongDescription</stp>
        <tr r="AD42" s="2"/>
      </tp>
      <tp>
        <v>14</v>
        <stp/>
        <stp>StudyData</stp>
        <stp>EDAS12?20</stp>
        <stp>Bar</stp>
        <stp/>
        <stp>Close</stp>
        <stp>D</stp>
        <stp>-20</stp>
        <stp>All</stp>
        <stp/>
        <stp/>
        <stp/>
        <stp>T</stp>
        <tr r="Z54" s="6"/>
      </tp>
      <tp>
        <v>10.5</v>
        <stp/>
        <stp>StudyData</stp>
        <stp>EDAS12?10</stp>
        <stp>Bar</stp>
        <stp/>
        <stp>Close</stp>
        <stp>D</stp>
        <stp>-20</stp>
        <stp>All</stp>
        <stp/>
        <stp/>
        <stp/>
        <stp>T</stp>
        <tr r="Z44" s="6"/>
      </tp>
      <tp>
        <v>4</v>
        <stp/>
        <stp>StudyData</stp>
        <stp>EDAS3?19</stp>
        <stp>Bar</stp>
        <stp/>
        <stp>Close</stp>
        <stp>D</stp>
        <stp>-1</stp>
        <stp>All</stp>
        <stp/>
        <stp/>
        <stp/>
        <stp>T</stp>
        <tr r="AI53" s="6"/>
      </tp>
      <tp>
        <v>4</v>
        <stp/>
        <stp>StudyData</stp>
        <stp>EDAS3?18</stp>
        <stp>Bar</stp>
        <stp/>
        <stp>Close</stp>
        <stp>D</stp>
        <stp>-1</stp>
        <stp>All</stp>
        <stp/>
        <stp/>
        <stp/>
        <stp>T</stp>
        <tr r="AI52" s="6"/>
      </tp>
      <tp>
        <v>4</v>
        <stp/>
        <stp>StudyData</stp>
        <stp>EDAS3?19</stp>
        <stp>Bar</stp>
        <stp/>
        <stp>Close</stp>
        <stp>D</stp>
        <stp>-5</stp>
        <stp>All</stp>
        <stp/>
        <stp/>
        <stp/>
        <stp>T</stp>
        <tr r="AJ53" s="6"/>
      </tp>
      <tp>
        <v>3.5</v>
        <stp/>
        <stp>StudyData</stp>
        <stp>EDAS3?18</stp>
        <stp>Bar</stp>
        <stp/>
        <stp>Close</stp>
        <stp>D</stp>
        <stp>-5</stp>
        <stp>All</stp>
        <stp/>
        <stp/>
        <stp/>
        <stp>T</stp>
        <tr r="AJ52" s="6"/>
      </tp>
      <tp>
        <v>4</v>
        <stp/>
        <stp>StudyData</stp>
        <stp>EDAS3?13</stp>
        <stp>Bar</stp>
        <stp/>
        <stp>Close</stp>
        <stp>D</stp>
        <stp>-1</stp>
        <stp>All</stp>
        <stp/>
        <stp/>
        <stp/>
        <stp>T</stp>
        <tr r="AI47" s="6"/>
      </tp>
      <tp>
        <v>4</v>
        <stp/>
        <stp>StudyData</stp>
        <stp>EDAS3?17</stp>
        <stp>Bar</stp>
        <stp/>
        <stp>Close</stp>
        <stp>D</stp>
        <stp>-5</stp>
        <stp>All</stp>
        <stp/>
        <stp/>
        <stp/>
        <stp>T</stp>
        <tr r="AJ51" s="6"/>
      </tp>
      <tp>
        <v>4.5</v>
        <stp/>
        <stp>StudyData</stp>
        <stp>EDAS3?12</stp>
        <stp>Bar</stp>
        <stp/>
        <stp>Close</stp>
        <stp>D</stp>
        <stp>-1</stp>
        <stp>All</stp>
        <stp/>
        <stp/>
        <stp/>
        <stp>T</stp>
        <tr r="AI46" s="6"/>
      </tp>
      <tp>
        <v>4</v>
        <stp/>
        <stp>StudyData</stp>
        <stp>EDAS3?16</stp>
        <stp>Bar</stp>
        <stp/>
        <stp>Close</stp>
        <stp>D</stp>
        <stp>-5</stp>
        <stp>All</stp>
        <stp/>
        <stp/>
        <stp/>
        <stp>T</stp>
        <tr r="AJ50" s="6"/>
      </tp>
      <tp>
        <v>4.5</v>
        <stp/>
        <stp>StudyData</stp>
        <stp>EDAS3?11</stp>
        <stp>Bar</stp>
        <stp/>
        <stp>Close</stp>
        <stp>D</stp>
        <stp>-1</stp>
        <stp>All</stp>
        <stp/>
        <stp/>
        <stp/>
        <stp>T</stp>
        <tr r="AI45" s="6"/>
      </tp>
      <tp>
        <v>3.5</v>
        <stp/>
        <stp>StudyData</stp>
        <stp>EDAS3?15</stp>
        <stp>Bar</stp>
        <stp/>
        <stp>Close</stp>
        <stp>D</stp>
        <stp>-5</stp>
        <stp>All</stp>
        <stp/>
        <stp/>
        <stp/>
        <stp>T</stp>
        <tr r="AJ49" s="6"/>
      </tp>
      <tp>
        <v>3</v>
        <stp/>
        <stp>StudyData</stp>
        <stp>EDAS3?10</stp>
        <stp>Bar</stp>
        <stp/>
        <stp>Close</stp>
        <stp>D</stp>
        <stp>-1</stp>
        <stp>All</stp>
        <stp/>
        <stp/>
        <stp/>
        <stp>T</stp>
        <tr r="AI44" s="6"/>
      </tp>
      <tp>
        <v>3</v>
        <stp/>
        <stp>StudyData</stp>
        <stp>EDAS3?14</stp>
        <stp>Bar</stp>
        <stp/>
        <stp>Close</stp>
        <stp>D</stp>
        <stp>-5</stp>
        <stp>All</stp>
        <stp/>
        <stp/>
        <stp/>
        <stp>T</stp>
        <tr r="AJ48" s="6"/>
      </tp>
      <tp>
        <v>3.5</v>
        <stp/>
        <stp>StudyData</stp>
        <stp>EDAS3?13</stp>
        <stp>Bar</stp>
        <stp/>
        <stp>Close</stp>
        <stp>D</stp>
        <stp>-5</stp>
        <stp>All</stp>
        <stp/>
        <stp/>
        <stp/>
        <stp>T</stp>
        <tr r="AJ47" s="6"/>
      </tp>
      <tp>
        <v>4.5</v>
        <stp/>
        <stp>StudyData</stp>
        <stp>EDAS3?17</stp>
        <stp>Bar</stp>
        <stp/>
        <stp>Close</stp>
        <stp>D</stp>
        <stp>-1</stp>
        <stp>All</stp>
        <stp/>
        <stp/>
        <stp/>
        <stp>T</stp>
        <tr r="AI51" s="6"/>
      </tp>
      <tp>
        <v>3.5</v>
        <stp/>
        <stp>StudyData</stp>
        <stp>EDAS3?12</stp>
        <stp>Bar</stp>
        <stp/>
        <stp>Close</stp>
        <stp>D</stp>
        <stp>-5</stp>
        <stp>All</stp>
        <stp/>
        <stp/>
        <stp/>
        <stp>T</stp>
        <tr r="AJ46" s="6"/>
      </tp>
      <tp>
        <v>4.5</v>
        <stp/>
        <stp>StudyData</stp>
        <stp>EDAS3?16</stp>
        <stp>Bar</stp>
        <stp/>
        <stp>Close</stp>
        <stp>D</stp>
        <stp>-1</stp>
        <stp>All</stp>
        <stp/>
        <stp/>
        <stp/>
        <stp>T</stp>
        <tr r="AI50" s="6"/>
      </tp>
      <tp>
        <v>4</v>
        <stp/>
        <stp>StudyData</stp>
        <stp>EDAS3?11</stp>
        <stp>Bar</stp>
        <stp/>
        <stp>Close</stp>
        <stp>D</stp>
        <stp>-5</stp>
        <stp>All</stp>
        <stp/>
        <stp/>
        <stp/>
        <stp>T</stp>
        <tr r="AJ45" s="6"/>
      </tp>
      <tp>
        <v>4</v>
        <stp/>
        <stp>StudyData</stp>
        <stp>EDAS3?15</stp>
        <stp>Bar</stp>
        <stp/>
        <stp>Close</stp>
        <stp>D</stp>
        <stp>-1</stp>
        <stp>All</stp>
        <stp/>
        <stp/>
        <stp/>
        <stp>T</stp>
        <tr r="AI49" s="6"/>
      </tp>
      <tp>
        <v>2</v>
        <stp/>
        <stp>StudyData</stp>
        <stp>EDAS3?10</stp>
        <stp>Bar</stp>
        <stp/>
        <stp>Close</stp>
        <stp>D</stp>
        <stp>-5</stp>
        <stp>All</stp>
        <stp/>
        <stp/>
        <stp/>
        <stp>T</stp>
        <tr r="AJ44" s="6"/>
      </tp>
      <tp>
        <v>3</v>
        <stp/>
        <stp>StudyData</stp>
        <stp>EDAS3?14</stp>
        <stp>Bar</stp>
        <stp/>
        <stp>Close</stp>
        <stp>D</stp>
        <stp>-1</stp>
        <stp>All</stp>
        <stp/>
        <stp/>
        <stp/>
        <stp>T</stp>
        <tr r="AI48" s="6"/>
      </tp>
      <tp>
        <v>15.5</v>
        <stp/>
        <stp>ContractData</stp>
        <stp>EDAS12M22</stp>
        <stp>High</stp>
        <stp/>
        <stp>T</stp>
        <tr r="D40" s="2"/>
      </tp>
      <tp>
        <v>15</v>
        <stp/>
        <stp>ContractData</stp>
        <stp>EDAS12M21</stp>
        <stp>High</stp>
        <stp/>
        <stp>T</stp>
        <tr r="D36" s="2"/>
      </tp>
      <tp>
        <v>-3</v>
        <stp/>
        <stp>ContractData</stp>
        <stp>EDAS12M20</stp>
        <stp>High</stp>
        <stp/>
        <stp>T</stp>
        <tr r="D32" s="2"/>
      </tp>
      <tp>
        <v>10.5</v>
        <stp/>
        <stp>StudyData</stp>
        <stp>EDAS12?11</stp>
        <stp>Bar</stp>
        <stp/>
        <stp>Close</stp>
        <stp>D</stp>
        <stp>-20</stp>
        <stp>All</stp>
        <stp/>
        <stp/>
        <stp/>
        <stp>T</stp>
        <tr r="Z45" s="6"/>
      </tp>
      <tp>
        <v>97.73</v>
        <stp/>
        <stp>StudyData</stp>
        <stp>EDAM24</stp>
        <stp>Bar</stp>
        <stp/>
        <stp>Close</stp>
        <stp>D</stp>
        <stp>-20</stp>
        <stp>All</stp>
        <stp/>
        <stp/>
        <stp/>
        <stp>T</stp>
        <tr r="D45" s="6"/>
      </tp>
      <tp>
        <v>97.765000000000001</v>
        <stp/>
        <stp>StudyData</stp>
        <stp>EDAH24</stp>
        <stp>Bar</stp>
        <stp/>
        <stp>Close</stp>
        <stp>D</stp>
        <stp>-20</stp>
        <stp>All</stp>
        <stp/>
        <stp/>
        <stp/>
        <stp>T</stp>
        <tr r="D44" s="6"/>
      </tp>
      <tp>
        <v>10.5</v>
        <stp/>
        <stp>StudyData</stp>
        <stp>EDAS12?12</stp>
        <stp>Bar</stp>
        <stp/>
        <stp>Close</stp>
        <stp>D</stp>
        <stp>-20</stp>
        <stp>All</stp>
        <stp/>
        <stp/>
        <stp/>
        <stp>T</stp>
        <tr r="Z46" s="6"/>
      </tp>
      <tp>
        <v>13.5</v>
        <stp/>
        <stp>ContractData</stp>
        <stp>EDAS12H21</stp>
        <stp>Open</stp>
        <stp/>
        <stp>T</stp>
        <tr r="C35" s="2"/>
      </tp>
      <tp>
        <v>-15.5</v>
        <stp/>
        <stp>ContractData</stp>
        <stp>EDAS12H20</stp>
        <stp>Open</stp>
        <stp/>
        <stp>T</stp>
        <tr r="C31" s="2"/>
      </tp>
      <tp>
        <v>11</v>
        <stp/>
        <stp>StudyData</stp>
        <stp>EDAS12?13</stp>
        <stp>Bar</stp>
        <stp/>
        <stp>Close</stp>
        <stp>D</stp>
        <stp>-20</stp>
        <stp>All</stp>
        <stp/>
        <stp/>
        <stp/>
        <stp>T</stp>
        <tr r="Z47" s="6"/>
      </tp>
      <tp>
        <v>4</v>
        <stp/>
        <stp>StudyData</stp>
        <stp>EDAS3?20</stp>
        <stp>Bar</stp>
        <stp/>
        <stp>Close</stp>
        <stp>D</stp>
        <stp>-1</stp>
        <stp>All</stp>
        <stp/>
        <stp/>
        <stp/>
        <stp>T</stp>
        <tr r="AI54" s="6"/>
      </tp>
      <tp>
        <v>3.5</v>
        <stp/>
        <stp>StudyData</stp>
        <stp>EDAS3?20</stp>
        <stp>Bar</stp>
        <stp/>
        <stp>Close</stp>
        <stp>D</stp>
        <stp>-5</stp>
        <stp>All</stp>
        <stp/>
        <stp/>
        <stp/>
        <stp>T</stp>
        <tr r="AJ54" s="6"/>
      </tp>
      <tp>
        <v>12</v>
        <stp/>
        <stp>StudyData</stp>
        <stp>EDAS12?14</stp>
        <stp>Bar</stp>
        <stp/>
        <stp>Close</stp>
        <stp>D</stp>
        <stp>-20</stp>
        <stp>All</stp>
        <stp/>
        <stp/>
        <stp/>
        <stp>T</stp>
        <tr r="Z48" s="6"/>
      </tp>
      <tp>
        <v>98.05</v>
        <stp/>
        <stp>StudyData</stp>
        <stp>EDAU21</stp>
        <stp>Bar</stp>
        <stp/>
        <stp>Close</stp>
        <stp>D</stp>
        <stp>-20</stp>
        <stp>All</stp>
        <stp/>
        <stp/>
        <stp/>
        <stp>T</stp>
        <tr r="D34" s="6"/>
      </tp>
      <tp>
        <v>98.02</v>
        <stp/>
        <stp>StudyData</stp>
        <stp>EDAZ21</stp>
        <stp>Bar</stp>
        <stp/>
        <stp>Close</stp>
        <stp>D</stp>
        <stp>-20</stp>
        <stp>All</stp>
        <stp/>
        <stp/>
        <stp/>
        <stp>T</stp>
        <tr r="D35" s="6"/>
      </tp>
      <tp>
        <v>98.064999999999998</v>
        <stp/>
        <stp>StudyData</stp>
        <stp>EDAM21</stp>
        <stp>Bar</stp>
        <stp/>
        <stp>Close</stp>
        <stp>D</stp>
        <stp>-20</stp>
        <stp>All</stp>
        <stp/>
        <stp/>
        <stp/>
        <stp>T</stp>
        <tr r="D33" s="6"/>
      </tp>
      <tp>
        <v>98.084999999999994</v>
        <stp/>
        <stp>StudyData</stp>
        <stp>EDAH21</stp>
        <stp>Bar</stp>
        <stp/>
        <stp>Close</stp>
        <stp>D</stp>
        <stp>-20</stp>
        <stp>All</stp>
        <stp/>
        <stp/>
        <stp/>
        <stp>T</stp>
        <tr r="D32" s="6"/>
      </tp>
      <tp>
        <v>13</v>
        <stp/>
        <stp>StudyData</stp>
        <stp>EDAS12?15</stp>
        <stp>Bar</stp>
        <stp/>
        <stp>Close</stp>
        <stp>D</stp>
        <stp>-20</stp>
        <stp>All</stp>
        <stp/>
        <stp/>
        <stp/>
        <stp>T</stp>
        <tr r="Z49" s="6"/>
      </tp>
      <tp>
        <v>14.5</v>
        <stp/>
        <stp>ContractData</stp>
        <stp>EDAS12H21</stp>
        <stp>High</stp>
        <stp/>
        <stp>T</stp>
        <tr r="D35" s="2"/>
      </tp>
      <tp>
        <v>-15</v>
        <stp/>
        <stp>ContractData</stp>
        <stp>EDAS12H20</stp>
        <stp>High</stp>
        <stp/>
        <stp>T</stp>
        <tr r="D31" s="2"/>
      </tp>
      <tp>
        <v>98.045000000000002</v>
        <stp/>
        <stp>StudyData</stp>
        <stp>EDAU20</stp>
        <stp>Bar</stp>
        <stp/>
        <stp>Close</stp>
        <stp>D</stp>
        <stp>-20</stp>
        <stp>All</stp>
        <stp/>
        <stp/>
        <stp/>
        <stp>T</stp>
        <tr r="D30" s="6"/>
      </tp>
      <tp>
        <v>98.055000000000007</v>
        <stp/>
        <stp>StudyData</stp>
        <stp>EDAZ20</stp>
        <stp>Bar</stp>
        <stp/>
        <stp>Close</stp>
        <stp>D</stp>
        <stp>-20</stp>
        <stp>All</stp>
        <stp/>
        <stp/>
        <stp/>
        <stp>T</stp>
        <tr r="D31" s="6"/>
      </tp>
      <tp>
        <v>97.974999999999994</v>
        <stp/>
        <stp>StudyData</stp>
        <stp>EDAM20</stp>
        <stp>Bar</stp>
        <stp/>
        <stp>Close</stp>
        <stp>D</stp>
        <stp>-20</stp>
        <stp>All</stp>
        <stp/>
        <stp/>
        <stp/>
        <stp>T</stp>
        <tr r="D29" s="6"/>
      </tp>
      <tp>
        <v>97.86</v>
        <stp/>
        <stp>StudyData</stp>
        <stp>EDAH20</stp>
        <stp>Bar</stp>
        <stp/>
        <stp>Close</stp>
        <stp>D</stp>
        <stp>-20</stp>
        <stp>All</stp>
        <stp/>
        <stp/>
        <stp/>
        <stp>T</stp>
        <tr r="D28" s="6"/>
      </tp>
      <tp>
        <v>13.5</v>
        <stp/>
        <stp>StudyData</stp>
        <stp>EDAS12?16</stp>
        <stp>Bar</stp>
        <stp/>
        <stp>Close</stp>
        <stp>D</stp>
        <stp>-20</stp>
        <stp>All</stp>
        <stp/>
        <stp/>
        <stp/>
        <stp>T</stp>
        <tr r="Z50" s="6"/>
      </tp>
      <tp>
        <v>98.045000000000002</v>
        <stp/>
        <stp>ContractData</stp>
        <stp>EDAU19</stp>
        <stp>Bid</stp>
        <stp/>
        <stp>T</stp>
        <tr r="K9" s="2"/>
        <tr r="E9" s="2"/>
        <tr r="S2" s="6"/>
      </tp>
      <tp>
        <v>98.5</v>
        <stp/>
        <stp>ContractData</stp>
        <stp>EDAU20</stp>
        <stp>Bid</stp>
        <stp/>
        <stp>T</stp>
        <tr r="O9" s="2"/>
        <tr r="S6" s="6"/>
      </tp>
      <tp>
        <v>98.44</v>
        <stp/>
        <stp>ContractData</stp>
        <stp>EDAU21</stp>
        <stp>Bid</stp>
        <stp/>
        <stp>T</stp>
        <tr r="S9" s="2"/>
        <tr r="S10" s="6"/>
      </tp>
      <tp>
        <v>98.275000000000006</v>
        <stp/>
        <stp>ContractData</stp>
        <stp>EDAU22</stp>
        <stp>Bid</stp>
        <stp/>
        <stp>T</stp>
        <tr r="W9" s="2"/>
        <tr r="S14" s="6"/>
      </tp>
      <tp>
        <v>98.115000000000009</v>
        <stp/>
        <stp>ContractData</stp>
        <stp>EDAU23</stp>
        <stp>Bid</stp>
        <stp/>
        <stp>T</stp>
        <tr r="AB9" s="2"/>
        <tr r="AA9" s="2"/>
        <tr r="S18" s="6"/>
      </tp>
      <tp>
        <v>97.94</v>
        <stp/>
        <stp>ContractData</stp>
        <stp>EDAU24</stp>
        <stp>Bid</stp>
        <stp/>
        <stp>T</stp>
        <tr r="S22" s="6"/>
      </tp>
      <tp>
        <v>98.355000000000004</v>
        <stp/>
        <stp>ContractData</stp>
        <stp>EDAZ21</stp>
        <stp>Low</stp>
        <stp/>
        <stp>T</stp>
        <tr r="E22" s="2"/>
      </tp>
      <tp>
        <v>98.44</v>
        <stp/>
        <stp>ContractData</stp>
        <stp>EDAZ20</stp>
        <stp>Low</stp>
        <stp/>
        <stp>T</stp>
        <tr r="E18" s="2"/>
      </tp>
      <tp>
        <v>98.115000000000009</v>
        <stp/>
        <stp>ContractData</stp>
        <stp>EDAZ19</stp>
        <stp>Low</stp>
        <stp/>
        <stp>T</stp>
        <tr r="E14" s="2"/>
      </tp>
      <tp>
        <v>97.95</v>
        <stp/>
        <stp>ContractData</stp>
        <stp>EDAU24</stp>
        <stp>Ask</stp>
        <stp/>
        <stp>T</stp>
        <tr r="T22" s="6"/>
      </tp>
      <tp>
        <v>98.12</v>
        <stp/>
        <stp>ContractData</stp>
        <stp>EDAU23</stp>
        <stp>Ask</stp>
        <stp/>
        <stp>T</stp>
        <tr r="AB8" s="2"/>
        <tr r="AA8" s="2"/>
        <tr r="T18" s="6"/>
      </tp>
      <tp>
        <v>98.28</v>
        <stp/>
        <stp>ContractData</stp>
        <stp>EDAU22</stp>
        <stp>Ask</stp>
        <stp/>
        <stp>T</stp>
        <tr r="W8" s="2"/>
        <tr r="T14" s="6"/>
      </tp>
      <tp>
        <v>98.445000000000007</v>
        <stp/>
        <stp>ContractData</stp>
        <stp>EDAU21</stp>
        <stp>Ask</stp>
        <stp/>
        <stp>T</stp>
        <tr r="S8" s="2"/>
        <tr r="T10" s="6"/>
      </tp>
      <tp>
        <v>98.504999999999995</v>
        <stp/>
        <stp>ContractData</stp>
        <stp>EDAU20</stp>
        <stp>Ask</stp>
        <stp/>
        <stp>T</stp>
        <tr r="O8" s="2"/>
        <tr r="T6" s="6"/>
      </tp>
      <tp>
        <v>98.05</v>
        <stp/>
        <stp>ContractData</stp>
        <stp>EDAU19</stp>
        <stp>Ask</stp>
        <stp/>
        <stp>T</stp>
        <tr r="K8" s="2"/>
        <tr r="E7" s="2"/>
        <tr r="T2" s="6"/>
      </tp>
      <tp>
        <v>97.905000000000001</v>
        <stp/>
        <stp>ContractData</stp>
        <stp>EDAZ24</stp>
        <stp>Ask</stp>
        <stp/>
        <stp>T</stp>
        <tr r="T23" s="6"/>
      </tp>
      <tp>
        <v>98.075000000000003</v>
        <stp/>
        <stp>ContractData</stp>
        <stp>EDAZ23</stp>
        <stp>Ask</stp>
        <stp/>
        <stp>T</stp>
        <tr r="T19" s="6"/>
      </tp>
      <tp>
        <v>98.240000000000009</v>
        <stp/>
        <stp>ContractData</stp>
        <stp>EDAZ22</stp>
        <stp>Ask</stp>
        <stp/>
        <stp>T</stp>
        <tr r="X8" s="2"/>
        <tr r="T15" s="6"/>
      </tp>
      <tp>
        <v>98.4</v>
        <stp/>
        <stp>ContractData</stp>
        <stp>EDAZ21</stp>
        <stp>Ask</stp>
        <stp/>
        <stp>T</stp>
        <tr r="T8" s="2"/>
        <tr r="T11" s="6"/>
      </tp>
      <tp>
        <v>98.5</v>
        <stp/>
        <stp>ContractData</stp>
        <stp>EDAZ20</stp>
        <stp>Ask</stp>
        <stp/>
        <stp>T</stp>
        <tr r="P8" s="2"/>
        <tr r="T7" s="6"/>
      </tp>
      <tp>
        <v>98.16</v>
        <stp/>
        <stp>ContractData</stp>
        <stp>EDAZ19</stp>
        <stp>Ask</stp>
        <stp/>
        <stp>T</stp>
        <tr r="L8" s="2"/>
        <tr r="T3" s="6"/>
      </tp>
      <tp>
        <v>98.394999999999996</v>
        <stp/>
        <stp>ContractData</stp>
        <stp>EDAU21</stp>
        <stp>Low</stp>
        <stp/>
        <stp>T</stp>
        <tr r="E21" s="2"/>
      </tp>
      <tp>
        <v>98.44</v>
        <stp/>
        <stp>ContractData</stp>
        <stp>EDAU20</stp>
        <stp>Low</stp>
        <stp/>
        <stp>T</stp>
        <tr r="E17" s="2"/>
      </tp>
      <tp>
        <v>98.01</v>
        <stp/>
        <stp>ContractData</stp>
        <stp>EDAU19</stp>
        <stp>Low</stp>
        <stp/>
        <stp>T</stp>
        <tr r="E13" s="2"/>
      </tp>
      <tp>
        <v>98.155000000000001</v>
        <stp/>
        <stp>ContractData</stp>
        <stp>EDAZ19</stp>
        <stp>Bid</stp>
        <stp/>
        <stp>T</stp>
        <tr r="L9" s="2"/>
        <tr r="S3" s="6"/>
      </tp>
      <tp>
        <v>98.490000000000009</v>
        <stp/>
        <stp>ContractData</stp>
        <stp>EDAZ20</stp>
        <stp>Bid</stp>
        <stp/>
        <stp>T</stp>
        <tr r="P9" s="2"/>
        <tr r="S7" s="6"/>
      </tp>
      <tp>
        <v>98.394999999999996</v>
        <stp/>
        <stp>ContractData</stp>
        <stp>EDAZ21</stp>
        <stp>Bid</stp>
        <stp/>
        <stp>T</stp>
        <tr r="T9" s="2"/>
        <tr r="S11" s="6"/>
      </tp>
      <tp>
        <v>98.234999999999999</v>
        <stp/>
        <stp>ContractData</stp>
        <stp>EDAZ22</stp>
        <stp>Bid</stp>
        <stp/>
        <stp>T</stp>
        <tr r="X9" s="2"/>
        <tr r="S15" s="6"/>
      </tp>
      <tp>
        <v>98.064999999999998</v>
        <stp/>
        <stp>ContractData</stp>
        <stp>EDAZ23</stp>
        <stp>Bid</stp>
        <stp/>
        <stp>T</stp>
        <tr r="S19" s="6"/>
      </tp>
      <tp>
        <v>97.9</v>
        <stp/>
        <stp>ContractData</stp>
        <stp>EDAZ24</stp>
        <stp>Bid</stp>
        <stp/>
        <stp>T</stp>
        <tr r="S23" s="6"/>
      </tp>
      <tp>
        <v>98.325000000000003</v>
        <stp/>
        <stp>ContractData</stp>
        <stp>EDAH22</stp>
        <stp>Low</stp>
        <stp/>
        <stp>T</stp>
        <tr r="E23" s="2"/>
      </tp>
      <tp>
        <v>98.454999999999998</v>
        <stp/>
        <stp>ContractData</stp>
        <stp>EDAH21</stp>
        <stp>Low</stp>
        <stp/>
        <stp>T</stp>
        <tr r="E19" s="2"/>
      </tp>
      <tp>
        <v>98.31</v>
        <stp/>
        <stp>ContractData</stp>
        <stp>EDAH20</stp>
        <stp>Low</stp>
        <stp/>
        <stp>T</stp>
        <tr r="E15" s="2"/>
      </tp>
      <tp>
        <v>98.28</v>
        <stp/>
        <stp>ContractData</stp>
        <stp>EDAM22</stp>
        <stp>Low</stp>
        <stp/>
        <stp>T</stp>
        <tr r="E24" s="2"/>
      </tp>
      <tp>
        <v>98.424999999999997</v>
        <stp/>
        <stp>ContractData</stp>
        <stp>EDAM21</stp>
        <stp>Low</stp>
        <stp/>
        <stp>T</stp>
        <tr r="E20" s="2"/>
      </tp>
      <tp>
        <v>98.385000000000005</v>
        <stp/>
        <stp>ContractData</stp>
        <stp>EDAM20</stp>
        <stp>Low</stp>
        <stp/>
        <stp>T</stp>
        <tr r="E16" s="2"/>
      </tp>
      <tp>
        <v>98.44</v>
        <stp/>
        <stp>ContractData</stp>
        <stp>EDAM20</stp>
        <stp>Bid</stp>
        <stp/>
        <stp>T</stp>
        <tr r="N9" s="2"/>
        <tr r="S5" s="6"/>
      </tp>
      <tp>
        <v>98.47</v>
        <stp/>
        <stp>ContractData</stp>
        <stp>EDAM21</stp>
        <stp>Bid</stp>
        <stp/>
        <stp>T</stp>
        <tr r="R9" s="2"/>
        <tr r="S9" s="6"/>
      </tp>
      <tp>
        <v>98.314999999999998</v>
        <stp/>
        <stp>ContractData</stp>
        <stp>EDAM22</stp>
        <stp>Bid</stp>
        <stp/>
        <stp>T</stp>
        <tr r="V9" s="2"/>
        <tr r="S13" s="6"/>
      </tp>
      <tp>
        <v>98.16</v>
        <stp/>
        <stp>ContractData</stp>
        <stp>EDAM23</stp>
        <stp>Bid</stp>
        <stp/>
        <stp>T</stp>
        <tr r="Z9" s="2"/>
        <tr r="S17" s="6"/>
      </tp>
      <tp>
        <v>97.984999999999999</v>
        <stp/>
        <stp>ContractData</stp>
        <stp>EDAM24</stp>
        <stp>Bid</stp>
        <stp/>
        <stp>T</stp>
        <tr r="AD9" s="2"/>
        <tr r="S21" s="6"/>
      </tp>
      <tp>
        <v>97.834999999999994</v>
        <stp/>
        <stp>StudyData</stp>
        <stp>EDAU23</stp>
        <stp>Bar</stp>
        <stp/>
        <stp>Close</stp>
        <stp>D</stp>
        <stp>-20</stp>
        <stp>All</stp>
        <stp/>
        <stp/>
        <stp/>
        <stp>T</stp>
        <tr r="D42" s="6"/>
      </tp>
      <tp>
        <v>97.795000000000002</v>
        <stp/>
        <stp>StudyData</stp>
        <stp>EDAZ23</stp>
        <stp>Bar</stp>
        <stp/>
        <stp>Close</stp>
        <stp>D</stp>
        <stp>-20</stp>
        <stp>All</stp>
        <stp/>
        <stp/>
        <stp/>
        <stp>T</stp>
        <tr r="D43" s="6"/>
      </tp>
      <tp>
        <v>97.864999999999995</v>
        <stp/>
        <stp>StudyData</stp>
        <stp>EDAM23</stp>
        <stp>Bar</stp>
        <stp/>
        <stp>Close</stp>
        <stp>D</stp>
        <stp>-20</stp>
        <stp>All</stp>
        <stp/>
        <stp/>
        <stp/>
        <stp>T</stp>
        <tr r="D41" s="6"/>
      </tp>
      <tp>
        <v>97.894999999999996</v>
        <stp/>
        <stp>StudyData</stp>
        <stp>EDAH23</stp>
        <stp>Bar</stp>
        <stp/>
        <stp>Close</stp>
        <stp>D</stp>
        <stp>-20</stp>
        <stp>All</stp>
        <stp/>
        <stp/>
        <stp/>
        <stp>T</stp>
        <tr r="D40" s="6"/>
      </tp>
      <tp>
        <v>97.990000000000009</v>
        <stp/>
        <stp>ContractData</stp>
        <stp>EDAM24</stp>
        <stp>Ask</stp>
        <stp/>
        <stp>T</stp>
        <tr r="AD8" s="2"/>
        <tr r="T21" s="6"/>
      </tp>
      <tp>
        <v>98.165000000000006</v>
        <stp/>
        <stp>ContractData</stp>
        <stp>EDAM23</stp>
        <stp>Ask</stp>
        <stp/>
        <stp>T</stp>
        <tr r="Z8" s="2"/>
        <tr r="T17" s="6"/>
      </tp>
      <tp>
        <v>98.320000000000007</v>
        <stp/>
        <stp>ContractData</stp>
        <stp>EDAM22</stp>
        <stp>Ask</stp>
        <stp/>
        <stp>T</stp>
        <tr r="V8" s="2"/>
        <tr r="T13" s="6"/>
      </tp>
      <tp>
        <v>98.475000000000009</v>
        <stp/>
        <stp>ContractData</stp>
        <stp>EDAM21</stp>
        <stp>Ask</stp>
        <stp/>
        <stp>T</stp>
        <tr r="R8" s="2"/>
        <tr r="T9" s="6"/>
      </tp>
      <tp>
        <v>98.445000000000007</v>
        <stp/>
        <stp>ContractData</stp>
        <stp>EDAM20</stp>
        <stp>Ask</stp>
        <stp/>
        <stp>T</stp>
        <tr r="N8" s="2"/>
        <tr r="T5" s="6"/>
      </tp>
      <tp>
        <v>98.355000000000004</v>
        <stp/>
        <stp>ContractData</stp>
        <stp>EDAH20</stp>
        <stp>Bid</stp>
        <stp/>
        <stp>T</stp>
        <tr r="M9" s="2"/>
        <tr r="S4" s="6"/>
      </tp>
      <tp>
        <v>98.51</v>
        <stp/>
        <stp>ContractData</stp>
        <stp>EDAH21</stp>
        <stp>Bid</stp>
        <stp/>
        <stp>T</stp>
        <tr r="Q9" s="2"/>
        <tr r="S8" s="6"/>
      </tp>
      <tp>
        <v>98.36</v>
        <stp/>
        <stp>ContractData</stp>
        <stp>EDAH22</stp>
        <stp>Bid</stp>
        <stp/>
        <stp>T</stp>
        <tr r="U9" s="2"/>
        <tr r="S12" s="6"/>
      </tp>
      <tp>
        <v>98.2</v>
        <stp/>
        <stp>ContractData</stp>
        <stp>EDAH23</stp>
        <stp>Bid</stp>
        <stp/>
        <stp>T</stp>
        <tr r="Y9" s="2"/>
        <tr r="S16" s="6"/>
      </tp>
      <tp>
        <v>98.025000000000006</v>
        <stp/>
        <stp>ContractData</stp>
        <stp>EDAH24</stp>
        <stp>Bid</stp>
        <stp/>
        <stp>T</stp>
        <tr r="AC9" s="2"/>
        <tr r="S20" s="6"/>
      </tp>
      <tp>
        <v>98.034999999999997</v>
        <stp/>
        <stp>ContractData</stp>
        <stp>EDAH24</stp>
        <stp>Ask</stp>
        <stp/>
        <stp>T</stp>
        <tr r="AC8" s="2"/>
        <tr r="T20" s="6"/>
      </tp>
      <tp>
        <v>98.204999999999998</v>
        <stp/>
        <stp>ContractData</stp>
        <stp>EDAH23</stp>
        <stp>Ask</stp>
        <stp/>
        <stp>T</stp>
        <tr r="Y8" s="2"/>
        <tr r="T16" s="6"/>
      </tp>
      <tp>
        <v>98.365000000000009</v>
        <stp/>
        <stp>ContractData</stp>
        <stp>EDAH22</stp>
        <stp>Ask</stp>
        <stp/>
        <stp>T</stp>
        <tr r="U8" s="2"/>
        <tr r="T12" s="6"/>
      </tp>
      <tp>
        <v>98.515000000000001</v>
        <stp/>
        <stp>ContractData</stp>
        <stp>EDAH21</stp>
        <stp>Ask</stp>
        <stp/>
        <stp>T</stp>
        <tr r="Q8" s="2"/>
        <tr r="T8" s="6"/>
      </tp>
      <tp>
        <v>98.36</v>
        <stp/>
        <stp>ContractData</stp>
        <stp>EDAH20</stp>
        <stp>Ask</stp>
        <stp/>
        <stp>T</stp>
        <tr r="M8" s="2"/>
        <tr r="T4" s="6"/>
      </tp>
      <tp>
        <v>14</v>
        <stp/>
        <stp>StudyData</stp>
        <stp>EDAS12?17</stp>
        <stp>Bar</stp>
        <stp/>
        <stp>Close</stp>
        <stp>D</stp>
        <stp>-20</stp>
        <stp>All</stp>
        <stp/>
        <stp/>
        <stp/>
        <stp>T</stp>
        <tr r="Z51" s="6"/>
      </tp>
      <tp t="s">
        <v>Eurodollar (Globex), Dec 19</v>
        <stp/>
        <stp>ContractData</stp>
        <stp>EDAZ19</stp>
        <stp>LongDescription</stp>
        <tr r="B14" s="2"/>
      </tp>
      <tp t="s">
        <v>Eurodollar (Globex), Dec 21</v>
        <stp/>
        <stp>ContractData</stp>
        <stp>EDAZ21</stp>
        <stp>LongDescription</stp>
        <tr r="B22" s="2"/>
      </tp>
      <tp t="s">
        <v>Eurodollar (Globex), Dec 20</v>
        <stp/>
        <stp>ContractData</stp>
        <stp>EDAZ20</stp>
        <stp>LongDescription</stp>
        <tr r="B18" s="2"/>
      </tp>
      <tp>
        <v>14.5</v>
        <stp/>
        <stp>ContractData</stp>
        <stp>EDAS12M21</stp>
        <stp>Open</stp>
        <stp/>
        <stp>T</stp>
        <tr r="C36" s="2"/>
      </tp>
      <tp>
        <v>-3.5</v>
        <stp/>
        <stp>ContractData</stp>
        <stp>EDAS12M20</stp>
        <stp>Open</stp>
        <stp/>
        <stp>T</stp>
        <tr r="C32" s="2"/>
      </tp>
      <tp>
        <v>15.5</v>
        <stp/>
        <stp>ContractData</stp>
        <stp>EDAS12M22</stp>
        <stp>Open</stp>
        <stp/>
        <stp>T</stp>
        <tr r="C40" s="2"/>
      </tp>
      <tp>
        <v>97.944999999999993</v>
        <stp/>
        <stp>StudyData</stp>
        <stp>EDAU22</stp>
        <stp>Bar</stp>
        <stp/>
        <stp>Close</stp>
        <stp>D</stp>
        <stp>-20</stp>
        <stp>All</stp>
        <stp/>
        <stp/>
        <stp/>
        <stp>T</stp>
        <tr r="D38" s="6"/>
      </tp>
      <tp>
        <v>97.915000000000006</v>
        <stp/>
        <stp>StudyData</stp>
        <stp>EDAZ22</stp>
        <stp>Bar</stp>
        <stp/>
        <stp>Close</stp>
        <stp>D</stp>
        <stp>-20</stp>
        <stp>All</stp>
        <stp/>
        <stp/>
        <stp/>
        <stp>T</stp>
        <tr r="D39" s="6"/>
      </tp>
      <tp>
        <v>97.97</v>
        <stp/>
        <stp>StudyData</stp>
        <stp>EDAM22</stp>
        <stp>Bar</stp>
        <stp/>
        <stp>Close</stp>
        <stp>D</stp>
        <stp>-20</stp>
        <stp>All</stp>
        <stp/>
        <stp/>
        <stp/>
        <stp>T</stp>
        <tr r="D37" s="6"/>
      </tp>
      <tp>
        <v>98</v>
        <stp/>
        <stp>StudyData</stp>
        <stp>EDAH22</stp>
        <stp>Bar</stp>
        <stp/>
        <stp>Close</stp>
        <stp>D</stp>
        <stp>-20</stp>
        <stp>All</stp>
        <stp/>
        <stp/>
        <stp/>
        <stp>T</stp>
        <tr r="D36" s="6"/>
      </tp>
      <tp t="s">
        <v>EDAS3U19</v>
        <stp/>
        <stp>ContractData</stp>
        <stp>EDAS3?1</stp>
        <stp>Symbol</stp>
        <tr r="A45" s="2"/>
      </tp>
      <tp t="s">
        <v>EDAS3Z19</v>
        <stp/>
        <stp>ContractData</stp>
        <stp>EDAS3?2</stp>
        <stp>Symbol</stp>
        <tr r="A46" s="2"/>
      </tp>
      <tp t="s">
        <v>EDAS3H20</v>
        <stp/>
        <stp>ContractData</stp>
        <stp>EDAS3?3</stp>
        <stp>Symbol</stp>
        <tr r="A47" s="2"/>
      </tp>
      <tp t="s">
        <v>EDAS3M20</v>
        <stp/>
        <stp>ContractData</stp>
        <stp>EDAS3?4</stp>
        <stp>Symbol</stp>
        <tr r="A48" s="2"/>
      </tp>
      <tp t="s">
        <v>EDAS3U20</v>
        <stp/>
        <stp>ContractData</stp>
        <stp>EDAS3?5</stp>
        <stp>Symbol</stp>
        <tr r="A49" s="2"/>
      </tp>
      <tp t="s">
        <v>EDAS3Z20</v>
        <stp/>
        <stp>ContractData</stp>
        <stp>EDAS3?6</stp>
        <stp>Symbol</stp>
        <tr r="A50" s="2"/>
      </tp>
      <tp t="s">
        <v>EDAS3H21</v>
        <stp/>
        <stp>ContractData</stp>
        <stp>EDAS3?7</stp>
        <stp>Symbol</stp>
        <tr r="A51" s="2"/>
      </tp>
      <tp t="s">
        <v>EDAS3M21</v>
        <stp/>
        <stp>ContractData</stp>
        <stp>EDAS3?8</stp>
        <stp>Symbol</stp>
        <tr r="A52" s="2"/>
      </tp>
      <tp t="s">
        <v>EDAS3U21</v>
        <stp/>
        <stp>ContractData</stp>
        <stp>EDAS3?9</stp>
        <stp>Symbol</stp>
        <tr r="A53" s="2"/>
      </tp>
      <tp>
        <v>15.5</v>
        <stp/>
        <stp>ContractData</stp>
        <stp>EDAS12?20</stp>
        <stp>Bid</stp>
        <tr r="AD28" s="2"/>
      </tp>
      <tp>
        <v>16</v>
        <stp/>
        <stp>ContractData</stp>
        <stp>EDAS12?18</stp>
        <stp>Bid</stp>
        <tr r="AB28" s="2"/>
      </tp>
      <tp>
        <v>15.5</v>
        <stp/>
        <stp>ContractData</stp>
        <stp>EDAS12?19</stp>
        <stp>Bid</stp>
        <tr r="AC28" s="2"/>
      </tp>
      <tp>
        <v>16</v>
        <stp/>
        <stp>ContractData</stp>
        <stp>EDAS12?14</stp>
        <stp>Bid</stp>
        <tr r="X28" s="2"/>
      </tp>
      <tp>
        <v>17</v>
        <stp/>
        <stp>ContractData</stp>
        <stp>EDAS12?15</stp>
        <stp>Bid</stp>
        <tr r="Y28" s="2"/>
      </tp>
      <tp>
        <v>17</v>
        <stp/>
        <stp>ContractData</stp>
        <stp>EDAS12?16</stp>
        <stp>Bid</stp>
        <tr r="Z28" s="2"/>
      </tp>
      <tp>
        <v>16.5</v>
        <stp/>
        <stp>ContractData</stp>
        <stp>EDAS12?17</stp>
        <stp>Bid</stp>
        <tr r="AA28" s="2"/>
      </tp>
      <tp>
        <v>15.5</v>
        <stp/>
        <stp>ContractData</stp>
        <stp>EDAS12?10</stp>
        <stp>Bid</stp>
        <tr r="T28" s="2"/>
      </tp>
      <tp>
        <v>16</v>
        <stp/>
        <stp>ContractData</stp>
        <stp>EDAS12?11</stp>
        <stp>Bid</stp>
        <tr r="U28" s="2"/>
      </tp>
      <tp>
        <v>15.5</v>
        <stp/>
        <stp>ContractData</stp>
        <stp>EDAS12?12</stp>
        <stp>Bid</stp>
        <tr r="V28" s="2"/>
      </tp>
      <tp>
        <v>15.5</v>
        <stp/>
        <stp>ContractData</stp>
        <stp>EDAS12?13</stp>
        <stp>Bid</stp>
        <tr r="W28" s="2"/>
      </tp>
      <tp t="s">
        <v>EDAS12Z21</v>
        <stp/>
        <stp>ContractData</stp>
        <stp>EDAS12?10</stp>
        <stp>Symbol</stp>
        <tr r="A38" s="2"/>
        <tr r="A39" s="2"/>
      </tp>
      <tp t="s">
        <v>EDAS12M22</v>
        <stp/>
        <stp>ContractData</stp>
        <stp>EDAS12?12</stp>
        <stp>Symbol</stp>
        <tr r="A40" s="2"/>
      </tp>
      <tp>
        <v>16</v>
        <stp/>
        <stp>ContractData</stp>
        <stp>EDAS12?13</stp>
        <stp>Ask</stp>
        <tr r="W27" s="2"/>
      </tp>
      <tp>
        <v>16</v>
        <stp/>
        <stp>ContractData</stp>
        <stp>EDAS12?12</stp>
        <stp>Ask</stp>
        <tr r="V27" s="2"/>
      </tp>
      <tp>
        <v>16.5</v>
        <stp/>
        <stp>ContractData</stp>
        <stp>EDAS12?11</stp>
        <stp>Ask</stp>
        <tr r="U27" s="2"/>
      </tp>
      <tp>
        <v>16.5</v>
        <stp/>
        <stp>ContractData</stp>
        <stp>EDAS12?10</stp>
        <stp>Ask</stp>
        <tr r="T27" s="2"/>
      </tp>
      <tp>
        <v>17.5</v>
        <stp/>
        <stp>ContractData</stp>
        <stp>EDAS12?17</stp>
        <stp>Ask</stp>
        <tr r="AA27" s="2"/>
      </tp>
      <tp>
        <v>17.5</v>
        <stp/>
        <stp>ContractData</stp>
        <stp>EDAS12?16</stp>
        <stp>Ask</stp>
        <tr r="Z27" s="2"/>
      </tp>
      <tp>
        <v>17.5</v>
        <stp/>
        <stp>ContractData</stp>
        <stp>EDAS12?15</stp>
        <stp>Ask</stp>
        <tr r="Y27" s="2"/>
      </tp>
      <tp>
        <v>17</v>
        <stp/>
        <stp>ContractData</stp>
        <stp>EDAS12?14</stp>
        <stp>Ask</stp>
        <tr r="X27" s="2"/>
      </tp>
      <tp>
        <v>16.5</v>
        <stp/>
        <stp>ContractData</stp>
        <stp>EDAS12?19</stp>
        <stp>Ask</stp>
        <tr r="AC27" s="2"/>
      </tp>
      <tp>
        <v>17</v>
        <stp/>
        <stp>ContractData</stp>
        <stp>EDAS12?18</stp>
        <stp>Ask</stp>
        <tr r="AB27" s="2"/>
      </tp>
      <tp>
        <v>16</v>
        <stp/>
        <stp>ContractData</stp>
        <stp>EDAS12?20</stp>
        <stp>Ask</stp>
        <tr r="AD27" s="2"/>
      </tp>
      <tp t="s">
        <v>MAR</v>
        <stp/>
        <stp>ContractData</stp>
        <stp>EDAH22</stp>
        <stp>ContractMonth</stp>
        <tr r="B12" s="6"/>
      </tp>
      <tp t="s">
        <v>JUN</v>
        <stp/>
        <stp>ContractData</stp>
        <stp>EDAM22</stp>
        <stp>ContractMonth</stp>
        <tr r="B13" s="6"/>
      </tp>
      <tp t="s">
        <v>MAR</v>
        <stp/>
        <stp>ContractData</stp>
        <stp>EDAH21</stp>
        <stp>ContractMonth</stp>
        <tr r="B8" s="6"/>
      </tp>
      <tp t="s">
        <v>JUN</v>
        <stp/>
        <stp>ContractData</stp>
        <stp>EDAM21</stp>
        <stp>ContractMonth</stp>
        <tr r="B9" s="6"/>
      </tp>
      <tp t="s">
        <v>SEP</v>
        <stp/>
        <stp>ContractData</stp>
        <stp>EDAU21</stp>
        <stp>ContractMonth</stp>
        <tr r="B10" s="6"/>
      </tp>
      <tp t="s">
        <v>DEC</v>
        <stp/>
        <stp>ContractData</stp>
        <stp>EDAZ21</stp>
        <stp>ContractMonth</stp>
        <tr r="B11" s="6"/>
      </tp>
      <tp t="s">
        <v>MAR</v>
        <stp/>
        <stp>ContractData</stp>
        <stp>EDAH20</stp>
        <stp>ContractMonth</stp>
        <tr r="B4" s="6"/>
      </tp>
      <tp t="s">
        <v>JUN</v>
        <stp/>
        <stp>ContractData</stp>
        <stp>EDAM20</stp>
        <stp>ContractMonth</stp>
        <tr r="B5" s="6"/>
      </tp>
      <tp t="s">
        <v>SEP</v>
        <stp/>
        <stp>ContractData</stp>
        <stp>EDAU20</stp>
        <stp>ContractMonth</stp>
        <tr r="B6" s="6"/>
      </tp>
      <tp t="s">
        <v>DEC</v>
        <stp/>
        <stp>ContractData</stp>
        <stp>EDAZ20</stp>
        <stp>ContractMonth</stp>
        <tr r="B7" s="6"/>
      </tp>
      <tp t="s">
        <v>Eurodollar Calendar Spread 3, Jun 20, Sep 20</v>
        <stp/>
        <stp>ContractData</stp>
        <stp>EDAS3M20</stp>
        <stp>LongDescription</stp>
        <tr r="B48" s="2"/>
      </tp>
      <tp t="s">
        <v>Eurodollar Calendar Spread 3, Jun 21, Sep 21</v>
        <stp/>
        <stp>ContractData</stp>
        <stp>EDAS3M21</stp>
        <stp>LongDescription</stp>
        <tr r="B52" s="2"/>
      </tp>
      <tp t="s">
        <v>Eurodollar Calendar Spread 3, Jun 22, Sep 22</v>
        <stp/>
        <stp>ContractData</stp>
        <stp>EDAS3M22</stp>
        <stp>LongDescription</stp>
        <tr r="B56" s="2"/>
      </tp>
      <tp>
        <v>1878</v>
        <stp/>
        <stp>ContractData</stp>
        <stp>EDAS3M20</stp>
        <stp>T_CVol</stp>
        <tr r="I48" s="2"/>
      </tp>
      <tp>
        <v>528</v>
        <stp/>
        <stp>ContractData</stp>
        <stp>EDAS3M21</stp>
        <stp>T_CVol</stp>
        <tr r="I52" s="2"/>
      </tp>
      <tp>
        <v>773</v>
        <stp/>
        <stp>ContractData</stp>
        <stp>EDAS3M22</stp>
        <stp>T_CVol</stp>
        <tr r="I56" s="2"/>
      </tp>
      <tp>
        <v>4672</v>
        <stp/>
        <stp>ContractData</stp>
        <stp>EDAS3H20</stp>
        <stp>T_CVol</stp>
        <tr r="I47" s="2"/>
      </tp>
      <tp>
        <v>1639</v>
        <stp/>
        <stp>ContractData</stp>
        <stp>EDAS3H21</stp>
        <stp>T_CVol</stp>
        <tr r="I51" s="2"/>
      </tp>
      <tp>
        <v>500</v>
        <stp/>
        <stp>ContractData</stp>
        <stp>EDAS3H22</stp>
        <stp>T_CVol</stp>
        <tr r="I55" s="2"/>
      </tp>
      <tp>
        <v>7984</v>
        <stp/>
        <stp>ContractData</stp>
        <stp>EDAS3Z20</stp>
        <stp>T_CVol</stp>
        <tr r="I50" s="2"/>
      </tp>
      <tp>
        <v>476</v>
        <stp/>
        <stp>ContractData</stp>
        <stp>EDAS3Z21</stp>
        <stp>T_CVol</stp>
        <tr r="I54" s="2"/>
      </tp>
      <tp>
        <v>2736</v>
        <stp/>
        <stp>ContractData</stp>
        <stp>EDAS3Z19</stp>
        <stp>T_CVol</stp>
        <tr r="I46" s="2"/>
      </tp>
      <tp>
        <v>3565</v>
        <stp/>
        <stp>ContractData</stp>
        <stp>EDAS3U20</stp>
        <stp>T_CVol</stp>
        <tr r="I49" s="2"/>
      </tp>
      <tp>
        <v>330</v>
        <stp/>
        <stp>ContractData</stp>
        <stp>EDAS3U21</stp>
        <stp>T_CVol</stp>
        <tr r="I53" s="2"/>
      </tp>
      <tp>
        <v>13958</v>
        <stp/>
        <stp>ContractData</stp>
        <stp>EDAS3U19</stp>
        <stp>T_CVol</stp>
        <tr r="I45" s="2"/>
      </tp>
      <tp>
        <v>98.144999999999996</v>
        <stp/>
        <stp>StudyData</stp>
        <stp>EDAH23</stp>
        <stp>Bar</stp>
        <stp/>
        <stp>Close</stp>
        <stp>D</stp>
        <stp>-5</stp>
        <stp>All</stp>
        <stp/>
        <stp/>
        <stp/>
        <stp>T</stp>
        <tr r="C40" s="6"/>
      </tp>
      <tp>
        <v>98.11</v>
        <stp/>
        <stp>StudyData</stp>
        <stp>EDAM23</stp>
        <stp>Bar</stp>
        <stp/>
        <stp>Close</stp>
        <stp>D</stp>
        <stp>-5</stp>
        <stp>All</stp>
        <stp/>
        <stp/>
        <stp/>
        <stp>T</stp>
        <tr r="C41" s="6"/>
      </tp>
      <tp>
        <v>98.07</v>
        <stp/>
        <stp>StudyData</stp>
        <stp>EDAU23</stp>
        <stp>Bar</stp>
        <stp/>
        <stp>Close</stp>
        <stp>D</stp>
        <stp>-5</stp>
        <stp>All</stp>
        <stp/>
        <stp/>
        <stp/>
        <stp>T</stp>
        <tr r="C42" s="6"/>
      </tp>
      <tp>
        <v>98.03</v>
        <stp/>
        <stp>StudyData</stp>
        <stp>EDAZ23</stp>
        <stp>Bar</stp>
        <stp/>
        <stp>Close</stp>
        <stp>D</stp>
        <stp>-5</stp>
        <stp>All</stp>
        <stp/>
        <stp/>
        <stp/>
        <stp>T</stp>
        <tr r="C43" s="6"/>
      </tp>
      <tp>
        <v>98.284999999999997</v>
        <stp/>
        <stp>StudyData</stp>
        <stp>EDAH22</stp>
        <stp>Bar</stp>
        <stp/>
        <stp>Close</stp>
        <stp>D</stp>
        <stp>-5</stp>
        <stp>All</stp>
        <stp/>
        <stp/>
        <stp/>
        <stp>T</stp>
        <tr r="C36" s="6"/>
      </tp>
      <tp>
        <v>98.245000000000005</v>
        <stp/>
        <stp>StudyData</stp>
        <stp>EDAM22</stp>
        <stp>Bar</stp>
        <stp/>
        <stp>Close</stp>
        <stp>D</stp>
        <stp>-5</stp>
        <stp>All</stp>
        <stp/>
        <stp/>
        <stp/>
        <stp>T</stp>
        <tr r="C37" s="6"/>
      </tp>
      <tp>
        <v>98.21</v>
        <stp/>
        <stp>StudyData</stp>
        <stp>EDAU22</stp>
        <stp>Bar</stp>
        <stp/>
        <stp>Close</stp>
        <stp>D</stp>
        <stp>-5</stp>
        <stp>All</stp>
        <stp/>
        <stp/>
        <stp/>
        <stp>T</stp>
        <tr r="C38" s="6"/>
      </tp>
      <tp>
        <v>98.174999999999997</v>
        <stp/>
        <stp>StudyData</stp>
        <stp>EDAZ22</stp>
        <stp>Bar</stp>
        <stp/>
        <stp>Close</stp>
        <stp>D</stp>
        <stp>-5</stp>
        <stp>All</stp>
        <stp/>
        <stp/>
        <stp/>
        <stp>T</stp>
        <tr r="C39" s="6"/>
      </tp>
      <tp>
        <v>98.39</v>
        <stp/>
        <stp>StudyData</stp>
        <stp>EDAH21</stp>
        <stp>Bar</stp>
        <stp/>
        <stp>Close</stp>
        <stp>D</stp>
        <stp>-5</stp>
        <stp>All</stp>
        <stp/>
        <stp/>
        <stp/>
        <stp>T</stp>
        <tr r="C32" s="6"/>
      </tp>
      <tp>
        <v>98.364999999999995</v>
        <stp/>
        <stp>StudyData</stp>
        <stp>EDAM21</stp>
        <stp>Bar</stp>
        <stp/>
        <stp>Close</stp>
        <stp>D</stp>
        <stp>-5</stp>
        <stp>All</stp>
        <stp/>
        <stp/>
        <stp/>
        <stp>T</stp>
        <tr r="C33" s="6"/>
      </tp>
      <tp>
        <v>98.34</v>
        <stp/>
        <stp>StudyData</stp>
        <stp>EDAU21</stp>
        <stp>Bar</stp>
        <stp/>
        <stp>Close</stp>
        <stp>D</stp>
        <stp>-5</stp>
        <stp>All</stp>
        <stp/>
        <stp/>
        <stp/>
        <stp>T</stp>
        <tr r="C34" s="6"/>
      </tp>
      <tp>
        <v>98.305000000000007</v>
        <stp/>
        <stp>StudyData</stp>
        <stp>EDAZ21</stp>
        <stp>Bar</stp>
        <stp/>
        <stp>Close</stp>
        <stp>D</stp>
        <stp>-5</stp>
        <stp>All</stp>
        <stp/>
        <stp/>
        <stp/>
        <stp>T</stp>
        <tr r="C35" s="6"/>
      </tp>
      <tp>
        <v>98.2</v>
        <stp/>
        <stp>StudyData</stp>
        <stp>EDAH20</stp>
        <stp>Bar</stp>
        <stp/>
        <stp>Close</stp>
        <stp>D</stp>
        <stp>-5</stp>
        <stp>All</stp>
        <stp/>
        <stp/>
        <stp/>
        <stp>T</stp>
        <tr r="C28" s="6"/>
      </tp>
      <tp>
        <v>97.995000000000005</v>
        <stp/>
        <stp>StudyData</stp>
        <stp>EDAH24</stp>
        <stp>Bar</stp>
        <stp/>
        <stp>Close</stp>
        <stp>D</stp>
        <stp>-1</stp>
        <stp>All</stp>
        <stp/>
        <stp/>
        <stp/>
        <stp>T</stp>
        <tr r="B44" s="6"/>
      </tp>
      <tp>
        <v>98.284999999999997</v>
        <stp/>
        <stp>StudyData</stp>
        <stp>EDAM20</stp>
        <stp>Bar</stp>
        <stp/>
        <stp>Close</stp>
        <stp>D</stp>
        <stp>-5</stp>
        <stp>All</stp>
        <stp/>
        <stp/>
        <stp/>
        <stp>T</stp>
        <tr r="C29" s="6"/>
      </tp>
      <tp>
        <v>97.954999999999998</v>
        <stp/>
        <stp>StudyData</stp>
        <stp>EDAM24</stp>
        <stp>Bar</stp>
        <stp/>
        <stp>Close</stp>
        <stp>D</stp>
        <stp>-1</stp>
        <stp>All</stp>
        <stp/>
        <stp/>
        <stp/>
        <stp>T</stp>
        <tr r="B45" s="6"/>
      </tp>
      <tp>
        <v>98.35</v>
        <stp/>
        <stp>StudyData</stp>
        <stp>EDAU20</stp>
        <stp>Bar</stp>
        <stp/>
        <stp>Close</stp>
        <stp>D</stp>
        <stp>-5</stp>
        <stp>All</stp>
        <stp/>
        <stp/>
        <stp/>
        <stp>T</stp>
        <tr r="C30" s="6"/>
      </tp>
      <tp>
        <v>98.36</v>
        <stp/>
        <stp>StudyData</stp>
        <stp>EDAZ20</stp>
        <stp>Bar</stp>
        <stp/>
        <stp>Close</stp>
        <stp>D</stp>
        <stp>-5</stp>
        <stp>All</stp>
        <stp/>
        <stp/>
        <stp/>
        <stp>T</stp>
        <tr r="C31" s="6"/>
      </tp>
      <tp>
        <v>98.165000000000006</v>
        <stp/>
        <stp>StudyData</stp>
        <stp>EDAH23</stp>
        <stp>Bar</stp>
        <stp/>
        <stp>Close</stp>
        <stp>D</stp>
        <stp>-1</stp>
        <stp>All</stp>
        <stp/>
        <stp/>
        <stp/>
        <stp>T</stp>
        <tr r="B40" s="6"/>
      </tp>
      <tp>
        <v>98.125</v>
        <stp/>
        <stp>StudyData</stp>
        <stp>EDAM23</stp>
        <stp>Bar</stp>
        <stp/>
        <stp>Close</stp>
        <stp>D</stp>
        <stp>-1</stp>
        <stp>All</stp>
        <stp/>
        <stp/>
        <stp/>
        <stp>T</stp>
        <tr r="B41" s="6"/>
      </tp>
      <tp>
        <v>98.08</v>
        <stp/>
        <stp>StudyData</stp>
        <stp>EDAU23</stp>
        <stp>Bar</stp>
        <stp/>
        <stp>Close</stp>
        <stp>D</stp>
        <stp>-1</stp>
        <stp>All</stp>
        <stp/>
        <stp/>
        <stp/>
        <stp>T</stp>
        <tr r="B42" s="6"/>
      </tp>
      <tp>
        <v>98.034999999999997</v>
        <stp/>
        <stp>StudyData</stp>
        <stp>EDAZ23</stp>
        <stp>Bar</stp>
        <stp/>
        <stp>Close</stp>
        <stp>D</stp>
        <stp>-1</stp>
        <stp>All</stp>
        <stp/>
        <stp/>
        <stp/>
        <stp>T</stp>
        <tr r="B43" s="6"/>
      </tp>
      <tp>
        <v>98.325000000000003</v>
        <stp/>
        <stp>StudyData</stp>
        <stp>EDAH22</stp>
        <stp>Bar</stp>
        <stp/>
        <stp>Close</stp>
        <stp>D</stp>
        <stp>-1</stp>
        <stp>All</stp>
        <stp/>
        <stp/>
        <stp/>
        <stp>T</stp>
        <tr r="B36" s="6"/>
      </tp>
      <tp>
        <v>98.28</v>
        <stp/>
        <stp>StudyData</stp>
        <stp>EDAM22</stp>
        <stp>Bar</stp>
        <stp/>
        <stp>Close</stp>
        <stp>D</stp>
        <stp>-1</stp>
        <stp>All</stp>
        <stp/>
        <stp/>
        <stp/>
        <stp>T</stp>
        <tr r="B37" s="6"/>
      </tp>
      <tp>
        <v>98.234999999999999</v>
        <stp/>
        <stp>StudyData</stp>
        <stp>EDAU22</stp>
        <stp>Bar</stp>
        <stp/>
        <stp>Close</stp>
        <stp>D</stp>
        <stp>-1</stp>
        <stp>All</stp>
        <stp/>
        <stp/>
        <stp/>
        <stp>T</stp>
        <tr r="B38" s="6"/>
      </tp>
      <tp>
        <v>98.194999999999993</v>
        <stp/>
        <stp>StudyData</stp>
        <stp>EDAZ22</stp>
        <stp>Bar</stp>
        <stp/>
        <stp>Close</stp>
        <stp>D</stp>
        <stp>-1</stp>
        <stp>All</stp>
        <stp/>
        <stp/>
        <stp/>
        <stp>T</stp>
        <tr r="B39" s="6"/>
      </tp>
      <tp>
        <v>98.46</v>
        <stp/>
        <stp>StudyData</stp>
        <stp>EDAH21</stp>
        <stp>Bar</stp>
        <stp/>
        <stp>Close</stp>
        <stp>D</stp>
        <stp>-1</stp>
        <stp>All</stp>
        <stp/>
        <stp/>
        <stp/>
        <stp>T</stp>
        <tr r="B32" s="6"/>
      </tp>
      <tp>
        <v>98.424999999999997</v>
        <stp/>
        <stp>StudyData</stp>
        <stp>EDAM21</stp>
        <stp>Bar</stp>
        <stp/>
        <stp>Close</stp>
        <stp>D</stp>
        <stp>-1</stp>
        <stp>All</stp>
        <stp/>
        <stp/>
        <stp/>
        <stp>T</stp>
        <tr r="B33" s="6"/>
      </tp>
      <tp>
        <v>98.394999999999996</v>
        <stp/>
        <stp>StudyData</stp>
        <stp>EDAU21</stp>
        <stp>Bar</stp>
        <stp/>
        <stp>Close</stp>
        <stp>D</stp>
        <stp>-1</stp>
        <stp>All</stp>
        <stp/>
        <stp/>
        <stp/>
        <stp>T</stp>
        <tr r="B34" s="6"/>
      </tp>
      <tp>
        <v>98.355000000000004</v>
        <stp/>
        <stp>StudyData</stp>
        <stp>EDAZ21</stp>
        <stp>Bar</stp>
        <stp/>
        <stp>Close</stp>
        <stp>D</stp>
        <stp>-1</stp>
        <stp>All</stp>
        <stp/>
        <stp/>
        <stp/>
        <stp>T</stp>
        <tr r="B35" s="6"/>
      </tp>
      <tp>
        <v>98.305000000000007</v>
        <stp/>
        <stp>StudyData</stp>
        <stp>EDAH20</stp>
        <stp>Bar</stp>
        <stp/>
        <stp>Close</stp>
        <stp>D</stp>
        <stp>-1</stp>
        <stp>All</stp>
        <stp/>
        <stp/>
        <stp/>
        <stp>T</stp>
        <tr r="B28" s="6"/>
      </tp>
      <tp>
        <v>97.995000000000005</v>
        <stp/>
        <stp>StudyData</stp>
        <stp>EDAH24</stp>
        <stp>Bar</stp>
        <stp/>
        <stp>Close</stp>
        <stp>D</stp>
        <stp>-5</stp>
        <stp>All</stp>
        <stp/>
        <stp/>
        <stp/>
        <stp>T</stp>
        <tr r="C44" s="6"/>
      </tp>
      <tp>
        <v>98.39</v>
        <stp/>
        <stp>StudyData</stp>
        <stp>EDAM20</stp>
        <stp>Bar</stp>
        <stp/>
        <stp>Close</stp>
        <stp>D</stp>
        <stp>-1</stp>
        <stp>All</stp>
        <stp/>
        <stp/>
        <stp/>
        <stp>T</stp>
        <tr r="B29" s="6"/>
      </tp>
      <tp>
        <v>97.954999999999998</v>
        <stp/>
        <stp>StudyData</stp>
        <stp>EDAM24</stp>
        <stp>Bar</stp>
        <stp/>
        <stp>Close</stp>
        <stp>D</stp>
        <stp>-5</stp>
        <stp>All</stp>
        <stp/>
        <stp/>
        <stp/>
        <stp>T</stp>
        <tr r="C45" s="6"/>
      </tp>
      <tp>
        <v>98.45</v>
        <stp/>
        <stp>StudyData</stp>
        <stp>EDAU20</stp>
        <stp>Bar</stp>
        <stp/>
        <stp>Close</stp>
        <stp>D</stp>
        <stp>-1</stp>
        <stp>All</stp>
        <stp/>
        <stp/>
        <stp/>
        <stp>T</stp>
        <tr r="B30" s="6"/>
      </tp>
      <tp>
        <v>98.444999999999993</v>
        <stp/>
        <stp>StudyData</stp>
        <stp>EDAZ20</stp>
        <stp>Bar</stp>
        <stp/>
        <stp>Close</stp>
        <stp>D</stp>
        <stp>-1</stp>
        <stp>All</stp>
        <stp/>
        <stp/>
        <stp/>
        <stp>T</stp>
        <tr r="B31" s="6"/>
      </tp>
      <tp t="s">
        <v>SEP</v>
        <stp/>
        <stp>ContractData</stp>
        <stp>EDAU19</stp>
        <stp>ContractMonth</stp>
        <tr r="B2" s="6"/>
      </tp>
      <tp t="s">
        <v>DEC</v>
        <stp/>
        <stp>ContractData</stp>
        <stp>EDAZ19</stp>
        <stp>ContractMonth</stp>
        <tr r="B3" s="6"/>
      </tp>
      <tp t="s">
        <v>Eurodollar Calendar Spread 3, Mar 20, Jun 20</v>
        <stp/>
        <stp>ContractData</stp>
        <stp>EDAS3H20</stp>
        <stp>LongDescription</stp>
        <tr r="B47" s="2"/>
      </tp>
      <tp t="s">
        <v>Eurodollar Calendar Spread 3, Mar 21, Jun 21</v>
        <stp/>
        <stp>ContractData</stp>
        <stp>EDAS3H21</stp>
        <stp>LongDescription</stp>
        <tr r="B51" s="2"/>
      </tp>
      <tp t="s">
        <v>Eurodollar Calendar Spread 3, Mar 22, Jun 22</v>
        <stp/>
        <stp>ContractData</stp>
        <stp>EDAS3H22</stp>
        <stp>LongDescription</stp>
        <tr r="B55" s="2"/>
      </tp>
      <tp>
        <v>97.9</v>
        <stp/>
        <stp>StudyData</stp>
        <stp>EDAU19</stp>
        <stp>Bar</stp>
        <stp/>
        <stp>Close</stp>
        <stp>D</stp>
        <stp>-5</stp>
        <stp>All</stp>
        <stp/>
        <stp/>
        <stp/>
        <stp>T</stp>
        <tr r="C26" s="6"/>
      </tp>
      <tp>
        <v>98.01</v>
        <stp/>
        <stp>StudyData</stp>
        <stp>EDAZ19</stp>
        <stp>Bar</stp>
        <stp/>
        <stp>Close</stp>
        <stp>D</stp>
        <stp>-5</stp>
        <stp>All</stp>
        <stp/>
        <stp/>
        <stp/>
        <stp>T</stp>
        <tr r="C27" s="6"/>
      </tp>
      <tp>
        <v>98.015000000000001</v>
        <stp/>
        <stp>StudyData</stp>
        <stp>EDAU19</stp>
        <stp>Bar</stp>
        <stp/>
        <stp>Close</stp>
        <stp>D</stp>
        <stp>-1</stp>
        <stp>All</stp>
        <stp/>
        <stp/>
        <stp/>
        <stp>T</stp>
        <tr r="B26" s="6"/>
      </tp>
      <tp>
        <v>98.114999999999995</v>
        <stp/>
        <stp>StudyData</stp>
        <stp>EDAZ19</stp>
        <stp>Bar</stp>
        <stp/>
        <stp>Close</stp>
        <stp>D</stp>
        <stp>-1</stp>
        <stp>All</stp>
        <stp/>
        <stp/>
        <stp/>
        <stp>T</stp>
        <tr r="B27" s="6"/>
      </tp>
      <tp t="s">
        <v>Eurodollar Calendar Spread 3, Sep 19, Dec 19</v>
        <stp/>
        <stp>ContractData</stp>
        <stp>EDAS3U19</stp>
        <stp>LongDescription</stp>
        <tr r="B45" s="2"/>
      </tp>
      <tp t="s">
        <v>Eurodollar Calendar Spread 3, Sep 20, Dec 20</v>
        <stp/>
        <stp>ContractData</stp>
        <stp>EDAS3U20</stp>
        <stp>LongDescription</stp>
        <tr r="B49" s="2"/>
      </tp>
      <tp t="s">
        <v>Eurodollar Calendar Spread 3, Sep 21, Dec 21</v>
        <stp/>
        <stp>ContractData</stp>
        <stp>EDAS3U21</stp>
        <stp>LongDescription</stp>
        <tr r="B53" s="2"/>
      </tp>
      <tp>
        <v>43640.403541666667</v>
        <stp/>
        <stp>SystemInfo</stp>
        <stp>Linetime</stp>
        <tr r="AB4" s="2"/>
      </tp>
      <tp>
        <v>5.0000000000011369E-2</v>
        <stp/>
        <stp>ContractData</stp>
        <stp>F.EDA?8</stp>
        <stp>NetLastQuoteToday</stp>
        <stp/>
        <stp>T</stp>
        <tr r="U9" s="6"/>
      </tp>
      <tp>
        <v>4.5000000000001705E-2</v>
        <stp/>
        <stp>ContractData</stp>
        <stp>F.EDA?9</stp>
        <stp>NetLastQuoteToday</stp>
        <stp/>
        <stp>T</stp>
        <tr r="U10" s="6"/>
      </tp>
      <tp>
        <v>3.4999999999996589E-2</v>
        <stp/>
        <stp>ContractData</stp>
        <stp>F.EDA?1</stp>
        <stp>NetLastQuoteToday</stp>
        <stp/>
        <stp>T</stp>
        <tr r="U2" s="6"/>
      </tp>
      <tp>
        <v>4.4999999999987494E-2</v>
        <stp/>
        <stp>ContractData</stp>
        <stp>F.EDA?2</stp>
        <stp>NetLastQuoteToday</stp>
        <stp/>
        <stp>T</stp>
        <tr r="U3" s="6"/>
      </tp>
      <tp>
        <v>5.499999999999261E-2</v>
        <stp/>
        <stp>ContractData</stp>
        <stp>F.EDA?3</stp>
        <stp>NetLastQuoteToday</stp>
        <stp/>
        <stp>T</stp>
        <tr r="U4" s="6"/>
      </tp>
      <tp>
        <v>5.5000000000006821E-2</v>
        <stp/>
        <stp>ContractData</stp>
        <stp>F.EDA?4</stp>
        <stp>NetLastQuoteToday</stp>
        <stp/>
        <stp>T</stp>
        <tr r="U5" s="6"/>
      </tp>
      <tp>
        <v>5.499999999999261E-2</v>
        <stp/>
        <stp>ContractData</stp>
        <stp>F.EDA?5</stp>
        <stp>NetLastQuoteToday</stp>
        <stp/>
        <stp>T</stp>
        <tr r="U6" s="6"/>
      </tp>
      <tp>
        <v>5.499999999999261E-2</v>
        <stp/>
        <stp>ContractData</stp>
        <stp>F.EDA?6</stp>
        <stp>NetLastQuoteToday</stp>
        <stp/>
        <stp>T</stp>
        <tr r="U7" s="6"/>
      </tp>
      <tp>
        <v>4.9999999999997158E-2</v>
        <stp/>
        <stp>ContractData</stp>
        <stp>F.EDA?7</stp>
        <stp>NetLastQuoteToday</stp>
        <stp/>
        <stp>T</stp>
        <tr r="U8" s="6"/>
      </tp>
      <tp>
        <v>4</v>
        <stp/>
        <stp>ContractData</stp>
        <stp>EDAS3?9</stp>
        <stp>Bid</stp>
        <tr r="S44" s="2"/>
      </tp>
      <tp>
        <v>3</v>
        <stp/>
        <stp>ContractData</stp>
        <stp>EDAS3?8</stp>
        <stp>Bid</stp>
        <tr r="R44" s="2"/>
      </tp>
      <tp>
        <v>-11.5</v>
        <stp/>
        <stp>ContractData</stp>
        <stp>EDAS3?1</stp>
        <stp>Bid</stp>
        <tr r="K44" s="2"/>
      </tp>
      <tp>
        <v>-9</v>
        <stp/>
        <stp>ContractData</stp>
        <stp>EDAS3?3</stp>
        <stp>Bid</stp>
        <tr r="M44" s="2"/>
      </tp>
      <tp>
        <v>-20</v>
        <stp/>
        <stp>ContractData</stp>
        <stp>EDAS3?2</stp>
        <stp>Bid</stp>
        <tr r="L44" s="2"/>
      </tp>
      <tp>
        <v>0.5</v>
        <stp/>
        <stp>ContractData</stp>
        <stp>EDAS3?5</stp>
        <stp>Bid</stp>
        <tr r="O44" s="2"/>
      </tp>
      <tp>
        <v>-6</v>
        <stp/>
        <stp>ContractData</stp>
        <stp>EDAS3?4</stp>
        <stp>Bid</stp>
        <tr r="N44" s="2"/>
      </tp>
      <tp>
        <v>3.5</v>
        <stp/>
        <stp>ContractData</stp>
        <stp>EDAS3?7</stp>
        <stp>Bid</stp>
        <tr r="Q44" s="2"/>
      </tp>
      <tp>
        <v>-2</v>
        <stp/>
        <stp>ContractData</stp>
        <stp>EDAS3?6</stp>
        <stp>Bid</stp>
        <tr r="P44" s="2"/>
      </tp>
      <tp t="s">
        <v>EDAH21</v>
        <stp/>
        <stp>ContractData</stp>
        <stp>EDAH21</stp>
        <stp>Symbol</stp>
        <tr r="Q6" s="2"/>
      </tp>
      <tp t="s">
        <v>EDAH20</v>
        <stp/>
        <stp>ContractData</stp>
        <stp>EDAH20</stp>
        <stp>Symbol</stp>
        <tr r="M6" s="2"/>
      </tp>
      <tp t="s">
        <v>EDAH23</v>
        <stp/>
        <stp>ContractData</stp>
        <stp>EDAH23</stp>
        <stp>Symbol</stp>
        <tr r="Y6" s="2"/>
      </tp>
      <tp t="s">
        <v>EDAH22</v>
        <stp/>
        <stp>ContractData</stp>
        <stp>EDAH22</stp>
        <stp>Symbol</stp>
        <tr r="U6" s="2"/>
      </tp>
      <tp t="s">
        <v>EDAH24</v>
        <stp/>
        <stp>ContractData</stp>
        <stp>EDAH24</stp>
        <stp>Symbol</stp>
        <tr r="AC6" s="2"/>
      </tp>
      <tp t="s">
        <v>EDAM21</v>
        <stp/>
        <stp>ContractData</stp>
        <stp>EDAM21</stp>
        <stp>Symbol</stp>
        <tr r="R6" s="2"/>
      </tp>
      <tp t="s">
        <v>EDAM20</v>
        <stp/>
        <stp>ContractData</stp>
        <stp>EDAM20</stp>
        <stp>Symbol</stp>
        <tr r="N6" s="2"/>
      </tp>
      <tp t="s">
        <v>EDAM23</v>
        <stp/>
        <stp>ContractData</stp>
        <stp>EDAM23</stp>
        <stp>Symbol</stp>
        <tr r="Z6" s="2"/>
      </tp>
      <tp t="s">
        <v>EDAM22</v>
        <stp/>
        <stp>ContractData</stp>
        <stp>EDAM22</stp>
        <stp>Symbol</stp>
        <tr r="V6" s="2"/>
      </tp>
      <tp t="s">
        <v>EDAM24</v>
        <stp/>
        <stp>ContractData</stp>
        <stp>EDAM24</stp>
        <stp>Symbol</stp>
        <tr r="AD6" s="2"/>
      </tp>
      <tp t="s">
        <v>EDAZ19</v>
        <stp/>
        <stp>ContractData</stp>
        <stp>EDAZ19</stp>
        <stp>Symbol</stp>
        <tr r="L6" s="2"/>
      </tp>
      <tp t="s">
        <v>EDAZ21</v>
        <stp/>
        <stp>ContractData</stp>
        <stp>EDAZ21</stp>
        <stp>Symbol</stp>
        <tr r="T6" s="2"/>
      </tp>
      <tp t="s">
        <v>EDAZ20</v>
        <stp/>
        <stp>ContractData</stp>
        <stp>EDAZ20</stp>
        <stp>Symbol</stp>
        <tr r="P6" s="2"/>
      </tp>
      <tp t="s">
        <v>EDAZ22</v>
        <stp/>
        <stp>ContractData</stp>
        <stp>EDAZ22</stp>
        <stp>Symbol</stp>
        <tr r="X6" s="2"/>
      </tp>
      <tp t="s">
        <v>EDAU19</v>
        <stp/>
        <stp>ContractData</stp>
        <stp>EDAU19</stp>
        <stp>Symbol</stp>
        <tr r="K6" s="2"/>
      </tp>
      <tp t="s">
        <v>EDAU21</v>
        <stp/>
        <stp>ContractData</stp>
        <stp>EDAU21</stp>
        <stp>Symbol</stp>
        <tr r="S6" s="2"/>
      </tp>
      <tp t="s">
        <v>EDAU20</v>
        <stp/>
        <stp>ContractData</stp>
        <stp>EDAU20</stp>
        <stp>Symbol</stp>
        <tr r="O6" s="2"/>
      </tp>
      <tp t="s">
        <v>EDAU23</v>
        <stp/>
        <stp>ContractData</stp>
        <stp>EDAU23</stp>
        <stp>Symbol</stp>
        <tr r="AA6" s="2"/>
        <tr r="AB6" s="2"/>
      </tp>
      <tp t="s">
        <v>EDAU22</v>
        <stp/>
        <stp>ContractData</stp>
        <stp>EDAU22</stp>
        <stp>Symbol</stp>
        <tr r="W6" s="2"/>
      </tp>
      <tp t="s">
        <v>EDAH24</v>
        <stp/>
        <stp>ContractData</stp>
        <stp>EDA?19</stp>
        <stp>Symbol</stp>
        <tr r="Q20" s="6"/>
      </tp>
      <tp t="s">
        <v>EDAZ23</v>
        <stp/>
        <stp>ContractData</stp>
        <stp>EDA?18</stp>
        <stp>Symbol</stp>
        <tr r="Q19" s="6"/>
      </tp>
      <tp t="s">
        <v>EDAH22</v>
        <stp/>
        <stp>ContractData</stp>
        <stp>EDA?11</stp>
        <stp>Symbol</stp>
        <tr r="Q12" s="6"/>
        <tr r="A23" s="2"/>
      </tp>
      <tp t="s">
        <v>EDAZ21</v>
        <stp/>
        <stp>ContractData</stp>
        <stp>EDA?10</stp>
        <stp>Symbol</stp>
        <tr r="Q11" s="6"/>
        <tr r="A22" s="2"/>
      </tp>
      <tp t="s">
        <v>EDAU22</v>
        <stp/>
        <stp>ContractData</stp>
        <stp>EDA?13</stp>
        <stp>Symbol</stp>
        <tr r="Q14" s="6"/>
      </tp>
      <tp t="s">
        <v>EDAM22</v>
        <stp/>
        <stp>ContractData</stp>
        <stp>EDA?12</stp>
        <stp>Symbol</stp>
        <tr r="Q13" s="6"/>
        <tr r="A24" s="2"/>
      </tp>
      <tp t="s">
        <v>EDAH23</v>
        <stp/>
        <stp>ContractData</stp>
        <stp>EDA?15</stp>
        <stp>Symbol</stp>
        <tr r="Q16" s="6"/>
      </tp>
      <tp t="s">
        <v>EDAZ22</v>
        <stp/>
        <stp>ContractData</stp>
        <stp>EDA?14</stp>
        <stp>Symbol</stp>
        <tr r="Q15" s="6"/>
      </tp>
      <tp t="s">
        <v>EDAU23</v>
        <stp/>
        <stp>ContractData</stp>
        <stp>EDA?17</stp>
        <stp>Symbol</stp>
        <tr r="Q18" s="6"/>
      </tp>
      <tp t="s">
        <v>EDAM23</v>
        <stp/>
        <stp>ContractData</stp>
        <stp>EDA?16</stp>
        <stp>Symbol</stp>
        <tr r="Q17" s="6"/>
      </tp>
      <tp t="s">
        <v>EDAU24</v>
        <stp/>
        <stp>ContractData</stp>
        <stp>EDA?21</stp>
        <stp>Symbol</stp>
        <tr r="Q22" s="6"/>
      </tp>
      <tp t="s">
        <v>EDAM24</v>
        <stp/>
        <stp>ContractData</stp>
        <stp>EDA?20</stp>
        <stp>Symbol</stp>
        <tr r="Q21" s="6"/>
      </tp>
      <tp t="s">
        <v>EDAZ24</v>
        <stp/>
        <stp>ContractData</stp>
        <stp>EDA?22</stp>
        <stp>Symbol</stp>
        <tr r="Q23" s="6"/>
      </tp>
      <tp>
        <v>-1.5</v>
        <stp/>
        <stp>ContractData</stp>
        <stp>EDAS3?6</stp>
        <stp>Ask</stp>
        <tr r="P43" s="2"/>
      </tp>
      <tp>
        <v>4</v>
        <stp/>
        <stp>ContractData</stp>
        <stp>EDAS3?7</stp>
        <stp>Ask</stp>
        <tr r="Q43" s="2"/>
      </tp>
      <tp>
        <v>-5.5</v>
        <stp/>
        <stp>ContractData</stp>
        <stp>EDAS3?4</stp>
        <stp>Ask</stp>
        <tr r="N43" s="2"/>
      </tp>
      <tp>
        <v>1</v>
        <stp/>
        <stp>ContractData</stp>
        <stp>EDAS3?5</stp>
        <stp>Ask</stp>
        <tr r="O43" s="2"/>
      </tp>
      <tp>
        <v>-19.5</v>
        <stp/>
        <stp>ContractData</stp>
        <stp>EDAS3?2</stp>
        <stp>Ask</stp>
        <tr r="L43" s="2"/>
      </tp>
      <tp>
        <v>-8.5</v>
        <stp/>
        <stp>ContractData</stp>
        <stp>EDAS3?3</stp>
        <stp>Ask</stp>
        <tr r="M43" s="2"/>
      </tp>
      <tp>
        <v>-11</v>
        <stp/>
        <stp>ContractData</stp>
        <stp>EDAS3?1</stp>
        <stp>Ask</stp>
        <tr r="K43" s="2"/>
      </tp>
      <tp>
        <v>3.5</v>
        <stp/>
        <stp>ContractData</stp>
        <stp>EDAS3?8</stp>
        <stp>Ask</stp>
        <tr r="R43" s="2"/>
      </tp>
      <tp>
        <v>4.5</v>
        <stp/>
        <stp>ContractData</stp>
        <stp>EDAS3?9</stp>
        <stp>Ask</stp>
        <tr r="S43" s="2"/>
      </tp>
      <tp t="s">
        <v>Eurodollar Calendar Spread 3, Dec 19, Mar 20</v>
        <stp/>
        <stp>ContractData</stp>
        <stp>EDAS3Z19</stp>
        <stp>LongDescription</stp>
        <tr r="B46" s="2"/>
      </tp>
      <tp t="s">
        <v>Eurodollar Calendar Spread 3, Dec 20, Mar 21</v>
        <stp/>
        <stp>ContractData</stp>
        <stp>EDAS3Z20</stp>
        <stp>LongDescription</stp>
        <tr r="B50" s="2"/>
      </tp>
      <tp t="s">
        <v>Eurodollar Calendar Spread 3, Dec 21, Mar 22</v>
        <stp/>
        <stp>ContractData</stp>
        <stp>EDAS3Z21</stp>
        <stp>LongDescription</stp>
        <tr r="B54" s="2"/>
      </tp>
      <tp>
        <v>15.5</v>
        <stp/>
        <stp>StudyData</stp>
        <stp>EDAS12?20</stp>
        <stp>Bar</stp>
        <stp/>
        <stp>Close</stp>
        <stp>D</stp>
        <stp>-1</stp>
        <stp>All</stp>
        <stp/>
        <stp/>
        <stp/>
        <stp>T</stp>
        <tr r="X54" s="6"/>
      </tp>
      <tp>
        <v>15</v>
        <stp/>
        <stp>StudyData</stp>
        <stp>EDAS12?20</stp>
        <stp>Bar</stp>
        <stp/>
        <stp>Close</stp>
        <stp>D</stp>
        <stp>-5</stp>
        <stp>All</stp>
        <stp/>
        <stp/>
        <stp/>
        <stp>T</stp>
        <tr r="Y54" s="6"/>
      </tp>
      <tp>
        <v>16.5</v>
        <stp/>
        <stp>StudyData</stp>
        <stp>EDAS12?18</stp>
        <stp>Bar</stp>
        <stp/>
        <stp>Close</stp>
        <stp>D</stp>
        <stp>-1</stp>
        <stp>All</stp>
        <stp/>
        <stp/>
        <stp/>
        <stp>T</stp>
        <tr r="X52" s="6"/>
      </tp>
      <tp>
        <v>16</v>
        <stp/>
        <stp>StudyData</stp>
        <stp>EDAS12?19</stp>
        <stp>Bar</stp>
        <stp/>
        <stp>Close</stp>
        <stp>D</stp>
        <stp>-1</stp>
        <stp>All</stp>
        <stp/>
        <stp/>
        <stp/>
        <stp>T</stp>
        <tr r="X53" s="6"/>
      </tp>
      <tp>
        <v>15</v>
        <stp/>
        <stp>StudyData</stp>
        <stp>EDAS12?18</stp>
        <stp>Bar</stp>
        <stp/>
        <stp>Close</stp>
        <stp>D</stp>
        <stp>-5</stp>
        <stp>All</stp>
        <stp/>
        <stp/>
        <stp/>
        <stp>T</stp>
        <tr r="Y52" s="6"/>
      </tp>
      <tp>
        <v>15</v>
        <stp/>
        <stp>StudyData</stp>
        <stp>EDAS12?19</stp>
        <stp>Bar</stp>
        <stp/>
        <stp>Close</stp>
        <stp>D</stp>
        <stp>-5</stp>
        <stp>All</stp>
        <stp/>
        <stp/>
        <stp/>
        <stp>T</stp>
        <tr r="Y53" s="6"/>
      </tp>
      <tp>
        <v>15.5</v>
        <stp/>
        <stp>StudyData</stp>
        <stp>EDAS12?12</stp>
        <stp>Bar</stp>
        <stp/>
        <stp>Close</stp>
        <stp>D</stp>
        <stp>-1</stp>
        <stp>All</stp>
        <stp/>
        <stp/>
        <stp/>
        <stp>T</stp>
        <tr r="X46" s="6"/>
      </tp>
      <tp>
        <v>15.5</v>
        <stp/>
        <stp>StudyData</stp>
        <stp>EDAS12?16</stp>
        <stp>Bar</stp>
        <stp/>
        <stp>Close</stp>
        <stp>D</stp>
        <stp>-5</stp>
        <stp>All</stp>
        <stp/>
        <stp/>
        <stp/>
        <stp>T</stp>
        <tr r="Y50" s="6"/>
      </tp>
      <tp>
        <v>15.5</v>
        <stp/>
        <stp>StudyData</stp>
        <stp>EDAS12?13</stp>
        <stp>Bar</stp>
        <stp/>
        <stp>Close</stp>
        <stp>D</stp>
        <stp>-1</stp>
        <stp>All</stp>
        <stp/>
        <stp/>
        <stp/>
        <stp>T</stp>
        <tr r="X47" s="6"/>
      </tp>
      <tp>
        <v>15</v>
        <stp/>
        <stp>StudyData</stp>
        <stp>EDAS12?17</stp>
        <stp>Bar</stp>
        <stp/>
        <stp>Close</stp>
        <stp>D</stp>
        <stp>-5</stp>
        <stp>All</stp>
        <stp/>
        <stp/>
        <stp/>
        <stp>T</stp>
        <tr r="Y51" s="6"/>
      </tp>
      <tp>
        <v>16</v>
        <stp/>
        <stp>StudyData</stp>
        <stp>EDAS12?10</stp>
        <stp>Bar</stp>
        <stp/>
        <stp>Close</stp>
        <stp>D</stp>
        <stp>-1</stp>
        <stp>All</stp>
        <stp/>
        <stp/>
        <stp/>
        <stp>T</stp>
        <tr r="X44" s="6"/>
      </tp>
      <tp>
        <v>14.5</v>
        <stp/>
        <stp>StudyData</stp>
        <stp>EDAS12?14</stp>
        <stp>Bar</stp>
        <stp/>
        <stp>Close</stp>
        <stp>D</stp>
        <stp>-5</stp>
        <stp>All</stp>
        <stp/>
        <stp/>
        <stp/>
        <stp>T</stp>
        <tr r="Y48" s="6"/>
      </tp>
      <tp>
        <v>16</v>
        <stp/>
        <stp>StudyData</stp>
        <stp>EDAS12?11</stp>
        <stp>Bar</stp>
        <stp/>
        <stp>Close</stp>
        <stp>D</stp>
        <stp>-1</stp>
        <stp>All</stp>
        <stp/>
        <stp/>
        <stp/>
        <stp>T</stp>
        <tr r="X45" s="6"/>
      </tp>
      <tp>
        <v>15</v>
        <stp/>
        <stp>StudyData</stp>
        <stp>EDAS12?15</stp>
        <stp>Bar</stp>
        <stp/>
        <stp>Close</stp>
        <stp>D</stp>
        <stp>-5</stp>
        <stp>All</stp>
        <stp/>
        <stp/>
        <stp/>
        <stp>T</stp>
        <tr r="Y49" s="6"/>
      </tp>
      <tp>
        <v>13.5</v>
        <stp/>
        <stp>StudyData</stp>
        <stp>EDAS12?12</stp>
        <stp>Bar</stp>
        <stp/>
        <stp>Close</stp>
        <stp>D</stp>
        <stp>-5</stp>
        <stp>All</stp>
        <stp/>
        <stp/>
        <stp/>
        <stp>T</stp>
        <tr r="Y46" s="6"/>
      </tp>
      <tp>
        <v>17</v>
        <stp/>
        <stp>StudyData</stp>
        <stp>EDAS12?16</stp>
        <stp>Bar</stp>
        <stp/>
        <stp>Close</stp>
        <stp>D</stp>
        <stp>-1</stp>
        <stp>All</stp>
        <stp/>
        <stp/>
        <stp/>
        <stp>T</stp>
        <tr r="X50" s="6"/>
      </tp>
      <tp>
        <v>14</v>
        <stp/>
        <stp>StudyData</stp>
        <stp>EDAS12?13</stp>
        <stp>Bar</stp>
        <stp/>
        <stp>Close</stp>
        <stp>D</stp>
        <stp>-5</stp>
        <stp>All</stp>
        <stp/>
        <stp/>
        <stp/>
        <stp>T</stp>
        <tr r="Y47" s="6"/>
      </tp>
      <tp>
        <v>16.5</v>
        <stp/>
        <stp>StudyData</stp>
        <stp>EDAS12?17</stp>
        <stp>Bar</stp>
        <stp/>
        <stp>Close</stp>
        <stp>D</stp>
        <stp>-1</stp>
        <stp>All</stp>
        <stp/>
        <stp/>
        <stp/>
        <stp>T</stp>
        <tr r="X51" s="6"/>
      </tp>
      <tp>
        <v>13</v>
        <stp/>
        <stp>StudyData</stp>
        <stp>EDAS12?10</stp>
        <stp>Bar</stp>
        <stp/>
        <stp>Close</stp>
        <stp>D</stp>
        <stp>-5</stp>
        <stp>All</stp>
        <stp/>
        <stp/>
        <stp/>
        <stp>T</stp>
        <tr r="Y44" s="6"/>
      </tp>
      <tp>
        <v>16</v>
        <stp/>
        <stp>StudyData</stp>
        <stp>EDAS12?14</stp>
        <stp>Bar</stp>
        <stp/>
        <stp>Close</stp>
        <stp>D</stp>
        <stp>-1</stp>
        <stp>All</stp>
        <stp/>
        <stp/>
        <stp/>
        <stp>T</stp>
        <tr r="X48" s="6"/>
      </tp>
      <tp>
        <v>14</v>
        <stp/>
        <stp>StudyData</stp>
        <stp>EDAS12?11</stp>
        <stp>Bar</stp>
        <stp/>
        <stp>Close</stp>
        <stp>D</stp>
        <stp>-5</stp>
        <stp>All</stp>
        <stp/>
        <stp/>
        <stp/>
        <stp>T</stp>
        <tr r="Y45" s="6"/>
      </tp>
      <tp>
        <v>17</v>
        <stp/>
        <stp>StudyData</stp>
        <stp>EDAS12?15</stp>
        <stp>Bar</stp>
        <stp/>
        <stp>Close</stp>
        <stp>D</stp>
        <stp>-1</stp>
        <stp>All</stp>
        <stp/>
        <stp/>
        <stp/>
        <stp>T</stp>
        <tr r="X49" s="6"/>
      </tp>
      <tp t="s">
        <v>Eurodollar Calendar Spread 12, Jun 22, Jun 23</v>
        <stp/>
        <stp>ContractData</stp>
        <stp>EDAS12M22</stp>
        <stp>LongDescription</stp>
        <tr r="B40" s="2"/>
      </tp>
      <tp t="s">
        <v>Eurodollar Calendar Spread 12, Jun 21, Jun 22</v>
        <stp/>
        <stp>ContractData</stp>
        <stp>EDAS12M21</stp>
        <stp>LongDescription</stp>
        <tr r="B36" s="2"/>
      </tp>
      <tp t="s">
        <v>Eurodollar Calendar Spread 12, Jun 20, Jun 21</v>
        <stp/>
        <stp>ContractData</stp>
        <stp>EDAS12M20</stp>
        <stp>LongDescription</stp>
        <tr r="B32" s="2"/>
      </tp>
      <tp>
        <v>98.12</v>
        <stp/>
        <stp>ContractData</stp>
        <stp>EDAZ19</stp>
        <stp>Open</stp>
        <stp/>
        <stp>T</stp>
        <tr r="C14" s="2"/>
      </tp>
      <tp>
        <v>98.37</v>
        <stp/>
        <stp>ContractData</stp>
        <stp>EDAZ21</stp>
        <stp>Open</stp>
        <stp/>
        <stp>T</stp>
        <tr r="C22" s="2"/>
      </tp>
      <tp>
        <v>98.45</v>
        <stp/>
        <stp>ContractData</stp>
        <stp>EDAZ20</stp>
        <stp>Open</stp>
        <stp/>
        <stp>T</stp>
        <tr r="C18" s="2"/>
      </tp>
      <tp>
        <v>16</v>
        <stp/>
        <stp>ContractData</stp>
        <stp>EDAS12?9</stp>
        <stp>Bid</stp>
        <tr r="S28" s="2"/>
      </tp>
      <tp>
        <v>15</v>
        <stp/>
        <stp>ContractData</stp>
        <stp>EDAS12?8</stp>
        <stp>Bid</stp>
        <tr r="R28" s="2"/>
      </tp>
      <tp>
        <v>14.5</v>
        <stp/>
        <stp>ContractData</stp>
        <stp>EDAS12?7</stp>
        <stp>Bid</stp>
        <tr r="Q28" s="2"/>
      </tp>
      <tp>
        <v>9.5</v>
        <stp/>
        <stp>ContractData</stp>
        <stp>EDAS12?6</stp>
        <stp>Bid</stp>
        <tr r="P28" s="2"/>
      </tp>
      <tp>
        <v>6</v>
        <stp/>
        <stp>ContractData</stp>
        <stp>EDAS12?5</stp>
        <stp>Bid</stp>
        <tr r="O28" s="2"/>
      </tp>
      <tp>
        <v>-3</v>
        <stp/>
        <stp>ContractData</stp>
        <stp>EDAS12?4</stp>
        <stp>Bid</stp>
        <tr r="N28" s="2"/>
      </tp>
      <tp>
        <v>-15.5</v>
        <stp/>
        <stp>ContractData</stp>
        <stp>EDAS12?3</stp>
        <stp>Bid</stp>
        <tr r="M28" s="2"/>
      </tp>
      <tp>
        <v>-34</v>
        <stp/>
        <stp>ContractData</stp>
        <stp>EDAS12?2</stp>
        <stp>Bid</stp>
        <tr r="L28" s="2"/>
      </tp>
      <tp>
        <v>-46</v>
        <stp/>
        <stp>ContractData</stp>
        <stp>EDAS12?1</stp>
        <stp>Bid</stp>
        <tr r="K28" s="2"/>
      </tp>
      <tp>
        <v>98.16</v>
        <stp/>
        <stp>ContractData</stp>
        <stp>EDAZ19</stp>
        <stp>High</stp>
        <stp/>
        <stp>T</stp>
        <tr r="D14" s="2"/>
      </tp>
      <tp>
        <v>98.4</v>
        <stp/>
        <stp>ContractData</stp>
        <stp>EDAZ21</stp>
        <stp>High</stp>
        <stp/>
        <stp>T</stp>
        <tr r="D22" s="2"/>
      </tp>
      <tp>
        <v>98.495000000000005</v>
        <stp/>
        <stp>ContractData</stp>
        <stp>EDAZ20</stp>
        <stp>High</stp>
        <stp/>
        <stp>T</stp>
        <tr r="D18" s="2"/>
      </tp>
      <tp t="s">
        <v>Eurodollar Calendar Spread 12, Mar 21, Mar 22</v>
        <stp/>
        <stp>ContractData</stp>
        <stp>EDAS12H21</stp>
        <stp>LongDescription</stp>
        <tr r="B35" s="2"/>
      </tp>
      <tp t="s">
        <v>Eurodollar Calendar Spread 12, Mar 20, Mar 21</v>
        <stp/>
        <stp>ContractData</stp>
        <stp>EDAS12H20</stp>
        <stp>LongDescription</stp>
        <tr r="B31" s="2"/>
      </tp>
      <tp t="s">
        <v>Eurodollar Calendar Spread 12, Sep 19, Sep 20</v>
        <stp/>
        <stp>ContractData</stp>
        <stp>EDAS12?1</stp>
        <stp>LongDescription</stp>
        <stp/>
        <stp>T</stp>
        <tr r="W31" s="6"/>
      </tp>
      <tp>
        <v>-45.5</v>
        <stp/>
        <stp>ContractData</stp>
        <stp>EDAS12?1</stp>
        <stp>Ask</stp>
        <tr r="K27" s="2"/>
      </tp>
      <tp>
        <v>-33.5</v>
        <stp/>
        <stp>ContractData</stp>
        <stp>EDAS12?2</stp>
        <stp>Ask</stp>
        <tr r="L27" s="2"/>
      </tp>
      <tp>
        <v>-15</v>
        <stp/>
        <stp>ContractData</stp>
        <stp>EDAS12?3</stp>
        <stp>Ask</stp>
        <tr r="M27" s="2"/>
      </tp>
      <tp>
        <v>-2.5</v>
        <stp/>
        <stp>ContractData</stp>
        <stp>EDAS12?4</stp>
        <stp>Ask</stp>
        <tr r="N27" s="2"/>
      </tp>
      <tp>
        <v>6.5</v>
        <stp/>
        <stp>ContractData</stp>
        <stp>EDAS12?5</stp>
        <stp>Ask</stp>
        <tr r="O27" s="2"/>
      </tp>
      <tp>
        <v>10</v>
        <stp/>
        <stp>ContractData</stp>
        <stp>EDAS12?6</stp>
        <stp>Ask</stp>
        <tr r="P27" s="2"/>
      </tp>
      <tp>
        <v>15</v>
        <stp/>
        <stp>ContractData</stp>
        <stp>EDAS12?7</stp>
        <stp>Ask</stp>
        <tr r="Q27" s="2"/>
      </tp>
      <tp>
        <v>15.5</v>
        <stp/>
        <stp>ContractData</stp>
        <stp>EDAS12?8</stp>
        <stp>Ask</stp>
        <tr r="R27" s="2"/>
      </tp>
      <tp>
        <v>17</v>
        <stp/>
        <stp>ContractData</stp>
        <stp>EDAS12?9</stp>
        <stp>Ask</stp>
        <tr r="S27" s="2"/>
      </tp>
      <tp>
        <v>4</v>
        <stp/>
        <stp>ContractData</stp>
        <stp>EDAS3?19</stp>
        <stp>Bid</stp>
        <tr r="AC44" s="2"/>
      </tp>
      <tp>
        <v>3.5</v>
        <stp/>
        <stp>ContractData</stp>
        <stp>EDAS3?18</stp>
        <stp>Bid</stp>
        <tr r="AB44" s="2"/>
      </tp>
      <tp>
        <v>4.5</v>
        <stp/>
        <stp>ContractData</stp>
        <stp>EDAS3?17</stp>
        <stp>Bid</stp>
        <tr r="AA44" s="2"/>
      </tp>
      <tp>
        <v>4</v>
        <stp/>
        <stp>ContractData</stp>
        <stp>EDAS3?16</stp>
        <stp>Bid</stp>
        <tr r="Z44" s="2"/>
      </tp>
      <tp>
        <v>4</v>
        <stp/>
        <stp>ContractData</stp>
        <stp>EDAS3?15</stp>
        <stp>Bid</stp>
        <tr r="Y44" s="2"/>
      </tp>
      <tp>
        <v>3</v>
        <stp/>
        <stp>ContractData</stp>
        <stp>EDAS3?14</stp>
        <stp>Bid</stp>
        <tr r="X44" s="2"/>
      </tp>
      <tp>
        <v>3.5</v>
        <stp/>
        <stp>ContractData</stp>
        <stp>EDAS3?13</stp>
        <stp>Bid</stp>
        <tr r="W44" s="2"/>
      </tp>
      <tp>
        <v>4</v>
        <stp/>
        <stp>ContractData</stp>
        <stp>EDAS3?12</stp>
        <stp>Bid</stp>
        <tr r="V44" s="2"/>
      </tp>
      <tp>
        <v>4.5</v>
        <stp/>
        <stp>ContractData</stp>
        <stp>EDAS3?11</stp>
        <stp>Bid</stp>
        <tr r="U44" s="2"/>
      </tp>
      <tp>
        <v>3</v>
        <stp/>
        <stp>ContractData</stp>
        <stp>EDAS3?10</stp>
        <stp>Bid</stp>
        <tr r="T44" s="2"/>
      </tp>
      <tp>
        <v>3.5</v>
        <stp/>
        <stp>ContractData</stp>
        <stp>EDAS3?20</stp>
        <stp>Bid</stp>
        <tr r="AD44" s="2"/>
      </tp>
      <tp>
        <v>4.5</v>
        <stp/>
        <stp>ContractData</stp>
        <stp>EDAS3?20</stp>
        <stp>Ask</stp>
        <tr r="AD43" s="2"/>
      </tp>
      <tp>
        <v>3.5</v>
        <stp/>
        <stp>ContractData</stp>
        <stp>EDAS3?10</stp>
        <stp>Ask</stp>
        <tr r="T43" s="2"/>
      </tp>
      <tp>
        <v>5</v>
        <stp/>
        <stp>ContractData</stp>
        <stp>EDAS3?11</stp>
        <stp>Ask</stp>
        <tr r="U43" s="2"/>
      </tp>
      <tp>
        <v>4.5</v>
        <stp/>
        <stp>ContractData</stp>
        <stp>EDAS3?12</stp>
        <stp>Ask</stp>
        <tr r="V43" s="2"/>
      </tp>
      <tp>
        <v>4</v>
        <stp/>
        <stp>ContractData</stp>
        <stp>EDAS3?13</stp>
        <stp>Ask</stp>
        <tr r="W43" s="2"/>
      </tp>
      <tp>
        <v>3.5</v>
        <stp/>
        <stp>ContractData</stp>
        <stp>EDAS3?14</stp>
        <stp>Ask</stp>
        <tr r="X43" s="2"/>
      </tp>
      <tp>
        <v>4.5</v>
        <stp/>
        <stp>ContractData</stp>
        <stp>EDAS3?15</stp>
        <stp>Ask</stp>
        <tr r="Y43" s="2"/>
      </tp>
      <tp>
        <v>4.5</v>
        <stp/>
        <stp>ContractData</stp>
        <stp>EDAS3?16</stp>
        <stp>Ask</stp>
        <tr r="Z43" s="2"/>
      </tp>
      <tp>
        <v>5</v>
        <stp/>
        <stp>ContractData</stp>
        <stp>EDAS3?17</stp>
        <stp>Ask</stp>
        <tr r="AA43" s="2"/>
      </tp>
      <tp>
        <v>4</v>
        <stp/>
        <stp>ContractData</stp>
        <stp>EDAS3?18</stp>
        <stp>Ask</stp>
        <tr r="AB43" s="2"/>
      </tp>
      <tp>
        <v>4.5</v>
        <stp/>
        <stp>ContractData</stp>
        <stp>EDAS3?19</stp>
        <stp>Ask</stp>
        <tr r="AC43" s="2"/>
      </tp>
      <tp>
        <v>98.05</v>
        <stp/>
        <stp>ContractData</stp>
        <stp>EDAU19</stp>
        <stp>High</stp>
        <stp/>
        <stp>T</stp>
        <tr r="D13" s="2"/>
      </tp>
      <tp>
        <v>98.44</v>
        <stp/>
        <stp>ContractData</stp>
        <stp>EDAU21</stp>
        <stp>High</stp>
        <stp/>
        <stp>T</stp>
        <tr r="D21" s="2"/>
      </tp>
      <tp>
        <v>98.504999999999995</v>
        <stp/>
        <stp>ContractData</stp>
        <stp>EDAU20</stp>
        <stp>High</stp>
        <stp/>
        <stp>T</stp>
        <tr r="D17" s="2"/>
      </tp>
      <tp>
        <v>98.015000000000001</v>
        <stp/>
        <stp>ContractData</stp>
        <stp>EDAU19</stp>
        <stp>Open</stp>
        <stp/>
        <stp>T</stp>
        <tr r="C13" s="2"/>
      </tp>
      <tp>
        <v>98.41</v>
        <stp/>
        <stp>ContractData</stp>
        <stp>EDAU21</stp>
        <stp>Open</stp>
        <stp/>
        <stp>T</stp>
        <tr r="C21" s="2"/>
      </tp>
      <tp>
        <v>98.454999999999998</v>
        <stp/>
        <stp>ContractData</stp>
        <stp>EDAU20</stp>
        <stp>Open</stp>
        <stp/>
        <stp>T</stp>
        <tr r="C17" s="2"/>
      </tp>
      <tp>
        <v>24986</v>
        <stp/>
        <stp>ContractData</stp>
        <stp>EDAM22</stp>
        <stp>T_CVol</stp>
        <tr r="I24" s="2"/>
      </tp>
      <tp>
        <v>51963</v>
        <stp/>
        <stp>ContractData</stp>
        <stp>EDAM21</stp>
        <stp>T_CVol</stp>
        <tr r="I20" s="2"/>
      </tp>
      <tp>
        <v>92587</v>
        <stp/>
        <stp>ContractData</stp>
        <stp>EDAM20</stp>
        <stp>T_CVol</stp>
        <tr r="I16" s="2"/>
      </tp>
      <tp>
        <v>25416</v>
        <stp/>
        <stp>ContractData</stp>
        <stp>EDAH22</stp>
        <stp>T_CVol</stp>
        <tr r="I23" s="2"/>
      </tp>
      <tp>
        <v>65853</v>
        <stp/>
        <stp>ContractData</stp>
        <stp>EDAH21</stp>
        <stp>T_CVol</stp>
        <tr r="I19" s="2"/>
      </tp>
      <tp>
        <v>80999</v>
        <stp/>
        <stp>ContractData</stp>
        <stp>EDAH20</stp>
        <stp>T_CVol</stp>
        <tr r="I15" s="2"/>
      </tp>
      <tp>
        <v>26709</v>
        <stp/>
        <stp>ContractData</stp>
        <stp>EDAZ21</stp>
        <stp>T_CVol</stp>
        <tr r="I22" s="2"/>
      </tp>
      <tp>
        <v>77523</v>
        <stp/>
        <stp>ContractData</stp>
        <stp>EDAZ20</stp>
        <stp>T_CVol</stp>
        <tr r="I18" s="2"/>
      </tp>
      <tp>
        <v>94683</v>
        <stp/>
        <stp>ContractData</stp>
        <stp>EDAZ19</stp>
        <stp>T_CVol</stp>
        <tr r="I14" s="2"/>
      </tp>
      <tp>
        <v>37830</v>
        <stp/>
        <stp>ContractData</stp>
        <stp>EDAU21</stp>
        <stp>T_CVol</stp>
        <tr r="I21" s="2"/>
      </tp>
      <tp>
        <v>81557</v>
        <stp/>
        <stp>ContractData</stp>
        <stp>EDAU20</stp>
        <stp>T_CVol</stp>
        <tr r="I17" s="2"/>
      </tp>
      <tp>
        <v>144975</v>
        <stp/>
        <stp>ContractData</stp>
        <stp>EDAU19</stp>
        <stp>T_CVol</stp>
        <tr r="I13" s="2"/>
      </tp>
      <tp t="s">
        <v>EDAM20</v>
        <stp/>
        <stp>ContractData</stp>
        <stp>EDA?4</stp>
        <stp>Symbol</stp>
        <tr r="Q5" s="6"/>
        <tr r="A16" s="2"/>
      </tp>
      <tp t="s">
        <v>EDAU20</v>
        <stp/>
        <stp>ContractData</stp>
        <stp>EDA?5</stp>
        <stp>Symbol</stp>
        <tr r="Q6" s="6"/>
        <tr r="A17" s="2"/>
      </tp>
      <tp t="s">
        <v>EDAZ20</v>
        <stp/>
        <stp>ContractData</stp>
        <stp>EDA?6</stp>
        <stp>Symbol</stp>
        <tr r="Q7" s="6"/>
        <tr r="A18" s="2"/>
      </tp>
      <tp t="s">
        <v>EDAH21</v>
        <stp/>
        <stp>ContractData</stp>
        <stp>EDA?7</stp>
        <stp>Symbol</stp>
        <tr r="Q8" s="6"/>
        <tr r="A19" s="2"/>
      </tp>
      <tp t="s">
        <v>EDAU19</v>
        <stp/>
        <stp>ContractData</stp>
        <stp>EDA?1</stp>
        <stp>Symbol</stp>
        <tr r="Q2" s="6"/>
        <tr r="S35" s="6"/>
        <tr r="A13" s="2"/>
      </tp>
      <tp t="s">
        <v>EDAZ19</v>
        <stp/>
        <stp>ContractData</stp>
        <stp>EDA?2</stp>
        <stp>Symbol</stp>
        <tr r="Q3" s="6"/>
        <tr r="S36" s="6"/>
        <tr r="A14" s="2"/>
      </tp>
      <tp t="s">
        <v>EDAH20</v>
        <stp/>
        <stp>ContractData</stp>
        <stp>EDA?3</stp>
        <stp>Symbol</stp>
        <tr r="Q4" s="6"/>
        <tr r="A15" s="2"/>
      </tp>
      <tp t="s">
        <v>EDAM21</v>
        <stp/>
        <stp>ContractData</stp>
        <stp>EDA?8</stp>
        <stp>Symbol</stp>
        <tr r="Q9" s="6"/>
        <tr r="A20" s="2"/>
      </tp>
      <tp t="s">
        <v>EDAU21</v>
        <stp/>
        <stp>ContractData</stp>
        <stp>EDA?9</stp>
        <stp>Symbol</stp>
        <tr r="Q10" s="6"/>
        <tr r="A21" s="2"/>
      </tp>
      <tp>
        <v>98.475000000000009</v>
        <stp/>
        <stp>ContractData</stp>
        <stp>EDAH21</stp>
        <stp>Open</stp>
        <stp/>
        <stp>T</stp>
        <tr r="C19" s="2"/>
      </tp>
      <tp>
        <v>98.314999999999998</v>
        <stp/>
        <stp>ContractData</stp>
        <stp>EDAH20</stp>
        <stp>Open</stp>
        <stp/>
        <stp>T</stp>
        <tr r="C15" s="2"/>
      </tp>
      <tp>
        <v>98.34</v>
        <stp/>
        <stp>ContractData</stp>
        <stp>EDAH22</stp>
        <stp>Open</stp>
        <stp/>
        <stp>T</stp>
        <tr r="C23" s="2"/>
      </tp>
      <tp>
        <v>98.320000000000007</v>
        <stp/>
        <stp>ContractData</stp>
        <stp>EDAM22</stp>
        <stp>High</stp>
        <stp/>
        <stp>T</stp>
        <tr r="D24" s="2"/>
      </tp>
      <tp>
        <v>98.475000000000009</v>
        <stp/>
        <stp>ContractData</stp>
        <stp>EDAM21</stp>
        <stp>High</stp>
        <stp/>
        <stp>T</stp>
        <tr r="D20" s="2"/>
      </tp>
      <tp>
        <v>98.445000000000007</v>
        <stp/>
        <stp>ContractData</stp>
        <stp>EDAM20</stp>
        <stp>High</stp>
        <stp/>
        <stp>T</stp>
        <tr r="D16" s="2"/>
      </tp>
      <tp t="s">
        <v>Eurodollar Calendar Spread 12, Dec 21, Dec 22</v>
        <stp/>
        <stp>ContractData</stp>
        <stp>EDAS12Z21</stp>
        <stp>LongDescription</stp>
        <tr r="B38" s="2"/>
        <tr r="B39" s="2"/>
      </tp>
      <tp t="s">
        <v>Eurodollar Calendar Spread 12, Dec 20, Dec 21</v>
        <stp/>
        <stp>ContractData</stp>
        <stp>EDAS12Z20</stp>
        <stp>LongDescription</stp>
        <tr r="B34" s="2"/>
      </tp>
      <tp t="s">
        <v>Eurodollar Calendar Spread 12, Dec 19, Dec 20</v>
        <stp/>
        <stp>ContractData</stp>
        <stp>EDAS12Z19</stp>
        <stp>LongDescription</stp>
        <tr r="B30" s="2"/>
      </tp>
      <tp>
        <v>98.44</v>
        <stp/>
        <stp>ContractData</stp>
        <stp>EDAM21</stp>
        <stp>Open</stp>
        <stp/>
        <stp>T</stp>
        <tr r="C20" s="2"/>
      </tp>
      <tp>
        <v>98.4</v>
        <stp/>
        <stp>ContractData</stp>
        <stp>EDAM20</stp>
        <stp>Open</stp>
        <stp/>
        <stp>T</stp>
        <tr r="C16" s="2"/>
      </tp>
      <tp>
        <v>98.295000000000002</v>
        <stp/>
        <stp>ContractData</stp>
        <stp>EDAM22</stp>
        <stp>Open</stp>
        <stp/>
        <stp>T</stp>
        <tr r="C24" s="2"/>
      </tp>
      <tp>
        <v>2.5</v>
        <stp/>
        <stp>StudyData</stp>
        <stp>EDAS3?8</stp>
        <stp>Bar</stp>
        <stp/>
        <stp>Close</stp>
        <stp>D</stp>
        <stp>-5</stp>
        <stp>All</stp>
        <stp/>
        <stp/>
        <stp/>
        <stp>T</stp>
        <tr r="AJ42" s="6"/>
      </tp>
      <tp>
        <v>3.5</v>
        <stp/>
        <stp>StudyData</stp>
        <stp>EDAS3?9</stp>
        <stp>Bar</stp>
        <stp/>
        <stp>Close</stp>
        <stp>D</stp>
        <stp>-5</stp>
        <stp>All</stp>
        <stp/>
        <stp/>
        <stp/>
        <stp>T</stp>
        <tr r="AJ43" s="6"/>
      </tp>
      <tp>
        <v>3</v>
        <stp/>
        <stp>StudyData</stp>
        <stp>EDAS3?8</stp>
        <stp>Bar</stp>
        <stp/>
        <stp>Close</stp>
        <stp>D</stp>
        <stp>-1</stp>
        <stp>All</stp>
        <stp/>
        <stp/>
        <stp/>
        <stp>T</stp>
        <tr r="AI42" s="6"/>
      </tp>
      <tp>
        <v>4</v>
        <stp/>
        <stp>StudyData</stp>
        <stp>EDAS3?9</stp>
        <stp>Bar</stp>
        <stp/>
        <stp>Close</stp>
        <stp>D</stp>
        <stp>-1</stp>
        <stp>All</stp>
        <stp/>
        <stp/>
        <stp/>
        <stp>T</stp>
        <tr r="AI43" s="6"/>
      </tp>
      <tp>
        <v>-6</v>
        <stp/>
        <stp>StudyData</stp>
        <stp>EDAS3?4</stp>
        <stp>Bar</stp>
        <stp/>
        <stp>Close</stp>
        <stp>D</stp>
        <stp>-1</stp>
        <stp>All</stp>
        <stp/>
        <stp/>
        <stp/>
        <stp>T</stp>
        <tr r="AI38" s="6"/>
      </tp>
      <tp>
        <v>-11</v>
        <stp/>
        <stp>StudyData</stp>
        <stp>EDAS3?1</stp>
        <stp>Bar</stp>
        <stp/>
        <stp>Close</stp>
        <stp>D</stp>
        <stp>-5</stp>
        <stp>All</stp>
        <stp/>
        <stp/>
        <stp/>
        <stp>T</stp>
        <tr r="AJ35" s="6"/>
      </tp>
      <tp>
        <v>0.5</v>
        <stp/>
        <stp>StudyData</stp>
        <stp>EDAS3?5</stp>
        <stp>Bar</stp>
        <stp/>
        <stp>Close</stp>
        <stp>D</stp>
        <stp>-1</stp>
        <stp>All</stp>
        <stp/>
        <stp/>
        <stp/>
        <stp>T</stp>
        <tr r="AI39" s="6"/>
      </tp>
      <tp>
        <v>-19</v>
        <stp/>
        <stp>StudyData</stp>
        <stp>EDAS3?2</stp>
        <stp>Bar</stp>
        <stp/>
        <stp>Close</stp>
        <stp>D</stp>
        <stp>-5</stp>
        <stp>All</stp>
        <stp/>
        <stp/>
        <stp/>
        <stp>T</stp>
        <tr r="AJ36" s="6"/>
      </tp>
      <tp>
        <v>-1.5</v>
        <stp/>
        <stp>StudyData</stp>
        <stp>EDAS3?6</stp>
        <stp>Bar</stp>
        <stp/>
        <stp>Close</stp>
        <stp>D</stp>
        <stp>-1</stp>
        <stp>All</stp>
        <stp/>
        <stp/>
        <stp/>
        <stp>T</stp>
        <tr r="AI40" s="6"/>
      </tp>
      <tp>
        <v>-8.5</v>
        <stp/>
        <stp>StudyData</stp>
        <stp>EDAS3?3</stp>
        <stp>Bar</stp>
        <stp/>
        <stp>Close</stp>
        <stp>D</stp>
        <stp>-5</stp>
        <stp>All</stp>
        <stp/>
        <stp/>
        <stp/>
        <stp>T</stp>
        <tr r="AJ37" s="6"/>
      </tp>
      <tp>
        <v>3.5</v>
        <stp/>
        <stp>StudyData</stp>
        <stp>EDAS3?7</stp>
        <stp>Bar</stp>
        <stp/>
        <stp>Close</stp>
        <stp>D</stp>
        <stp>-1</stp>
        <stp>All</stp>
        <stp/>
        <stp/>
        <stp/>
        <stp>T</stp>
        <tr r="AI41" s="6"/>
      </tp>
      <tp>
        <v>-6.5</v>
        <stp/>
        <stp>StudyData</stp>
        <stp>EDAS3?4</stp>
        <stp>Bar</stp>
        <stp/>
        <stp>Close</stp>
        <stp>D</stp>
        <stp>-5</stp>
        <stp>All</stp>
        <stp/>
        <stp/>
        <stp/>
        <stp>T</stp>
        <tr r="AJ38" s="6"/>
      </tp>
      <tp>
        <v>-10</v>
        <stp/>
        <stp>StudyData</stp>
        <stp>EDAS3?1</stp>
        <stp>Bar</stp>
        <stp/>
        <stp>Close</stp>
        <stp>D</stp>
        <stp>-1</stp>
        <stp>All</stp>
        <stp/>
        <stp/>
        <stp/>
        <stp>T</stp>
        <tr r="AI35" s="6"/>
      </tp>
      <tp>
        <v>-1</v>
        <stp/>
        <stp>StudyData</stp>
        <stp>EDAS3?5</stp>
        <stp>Bar</stp>
        <stp/>
        <stp>Close</stp>
        <stp>D</stp>
        <stp>-5</stp>
        <stp>All</stp>
        <stp/>
        <stp/>
        <stp/>
        <stp>T</stp>
        <tr r="AJ39" s="6"/>
      </tp>
      <tp>
        <v>-19</v>
        <stp/>
        <stp>StudyData</stp>
        <stp>EDAS3?2</stp>
        <stp>Bar</stp>
        <stp/>
        <stp>Close</stp>
        <stp>D</stp>
        <stp>-1</stp>
        <stp>All</stp>
        <stp/>
        <stp/>
        <stp/>
        <stp>T</stp>
        <tr r="AI36" s="6"/>
      </tp>
      <tp>
        <v>-3</v>
        <stp/>
        <stp>StudyData</stp>
        <stp>EDAS3?6</stp>
        <stp>Bar</stp>
        <stp/>
        <stp>Close</stp>
        <stp>D</stp>
        <stp>-5</stp>
        <stp>All</stp>
        <stp/>
        <stp/>
        <stp/>
        <stp>T</stp>
        <tr r="AJ40" s="6"/>
      </tp>
      <tp>
        <v>-8.5</v>
        <stp/>
        <stp>StudyData</stp>
        <stp>EDAS3?3</stp>
        <stp>Bar</stp>
        <stp/>
        <stp>Close</stp>
        <stp>D</stp>
        <stp>-1</stp>
        <stp>All</stp>
        <stp/>
        <stp/>
        <stp/>
        <stp>T</stp>
        <tr r="AI37" s="6"/>
      </tp>
      <tp>
        <v>2.5</v>
        <stp/>
        <stp>StudyData</stp>
        <stp>EDAS3?7</stp>
        <stp>Bar</stp>
        <stp/>
        <stp>Close</stp>
        <stp>D</stp>
        <stp>-5</stp>
        <stp>All</stp>
        <stp/>
        <stp/>
        <stp/>
        <stp>T</stp>
        <tr r="AJ41" s="6"/>
      </tp>
      <tp>
        <v>1.5</v>
        <stp/>
        <stp>StudyData</stp>
        <stp>EDAS3?8</stp>
        <stp>Bar</stp>
        <stp/>
        <stp>Close</stp>
        <stp>D</stp>
        <stp>-20</stp>
        <stp>All</stp>
        <stp/>
        <stp/>
        <stp/>
        <stp>T</stp>
        <tr r="AK42" s="6"/>
      </tp>
      <tp>
        <v>1185</v>
        <stp/>
        <stp>ContractData</stp>
        <stp>EDAS12M22</stp>
        <stp>T_CVol</stp>
        <tr r="I40" s="2"/>
      </tp>
      <tp>
        <v>1566</v>
        <stp/>
        <stp>ContractData</stp>
        <stp>EDAS12M21</stp>
        <stp>T_CVol</stp>
        <tr r="I36" s="2"/>
      </tp>
      <tp>
        <v>5493</v>
        <stp/>
        <stp>ContractData</stp>
        <stp>EDAS12M20</stp>
        <stp>T_CVol</stp>
        <tr r="I32" s="2"/>
      </tp>
      <tp>
        <v>3288</v>
        <stp/>
        <stp>ContractData</stp>
        <stp>EDAS12H21</stp>
        <stp>T_CVol</stp>
        <tr r="I35" s="2"/>
      </tp>
      <tp>
        <v>4741</v>
        <stp/>
        <stp>ContractData</stp>
        <stp>EDAS12H20</stp>
        <stp>T_CVol</stp>
        <tr r="I31" s="2"/>
      </tp>
      <tp>
        <v>3689</v>
        <stp/>
        <stp>ContractData</stp>
        <stp>EDAS12U19</stp>
        <stp>T_CVol</stp>
        <tr r="I29" s="2"/>
      </tp>
      <tp>
        <v>992</v>
        <stp/>
        <stp>ContractData</stp>
        <stp>EDAS12U21</stp>
        <stp>T_CVol</stp>
        <tr r="I37" s="2"/>
      </tp>
      <tp>
        <v>7242</v>
        <stp/>
        <stp>ContractData</stp>
        <stp>EDAS12U20</stp>
        <stp>T_CVol</stp>
        <tr r="I33" s="2"/>
      </tp>
      <tp>
        <v>5574</v>
        <stp/>
        <stp>ContractData</stp>
        <stp>EDAS12Z19</stp>
        <stp>T_CVol</stp>
        <tr r="I30" s="2"/>
      </tp>
      <tp>
        <v>375</v>
        <stp/>
        <stp>ContractData</stp>
        <stp>EDAS12Z21</stp>
        <stp>T_CVol</stp>
        <tr r="I39" s="2"/>
        <tr r="I38" s="2"/>
      </tp>
      <tp>
        <v>3431</v>
        <stp/>
        <stp>ContractData</stp>
        <stp>EDAS12Z20</stp>
        <stp>T_CVol</stp>
        <tr r="I34" s="2"/>
      </tp>
      <tp>
        <v>98.365000000000009</v>
        <stp/>
        <stp>ContractData</stp>
        <stp>EDAH22</stp>
        <stp>High</stp>
        <stp/>
        <stp>T</stp>
        <tr r="D23" s="2"/>
      </tp>
      <tp>
        <v>98.51</v>
        <stp/>
        <stp>ContractData</stp>
        <stp>EDAH21</stp>
        <stp>High</stp>
        <stp/>
        <stp>T</stp>
        <tr r="D19" s="2"/>
      </tp>
      <tp>
        <v>98.36</v>
        <stp/>
        <stp>ContractData</stp>
        <stp>EDAH20</stp>
        <stp>High</stp>
        <stp/>
        <stp>T</stp>
        <tr r="D15" s="2"/>
      </tp>
      <tp>
        <v>3</v>
        <stp/>
        <stp>StudyData</stp>
        <stp>EDAS3?9</stp>
        <stp>Bar</stp>
        <stp/>
        <stp>Close</stp>
        <stp>D</stp>
        <stp>-20</stp>
        <stp>All</stp>
        <stp/>
        <stp/>
        <stp/>
        <stp>T</stp>
        <tr r="AK43" s="6"/>
      </tp>
      <tp>
        <v>-3</v>
        <stp/>
        <stp>StudyData</stp>
        <stp>EDAS3?6</stp>
        <stp>Bar</stp>
        <stp/>
        <stp>Close</stp>
        <stp>D</stp>
        <stp>-20</stp>
        <stp>All</stp>
        <stp/>
        <stp/>
        <stp/>
        <stp>T</stp>
        <tr r="AK40" s="6"/>
      </tp>
      <tp>
        <v>2</v>
        <stp/>
        <stp>StudyData</stp>
        <stp>EDAS3?7</stp>
        <stp>Bar</stp>
        <stp/>
        <stp>Close</stp>
        <stp>D</stp>
        <stp>-20</stp>
        <stp>All</stp>
        <stp/>
        <stp/>
        <stp/>
        <stp>T</stp>
        <tr r="AK41" s="6"/>
      </tp>
      <tp>
        <v>-7</v>
        <stp/>
        <stp>StudyData</stp>
        <stp>EDAS3?4</stp>
        <stp>Bar</stp>
        <stp/>
        <stp>Close</stp>
        <stp>D</stp>
        <stp>-20</stp>
        <stp>All</stp>
        <stp/>
        <stp/>
        <stp/>
        <stp>T</stp>
        <tr r="AK38" s="6"/>
      </tp>
      <tp>
        <v>-1</v>
        <stp/>
        <stp>StudyData</stp>
        <stp>EDAS3?5</stp>
        <stp>Bar</stp>
        <stp/>
        <stp>Close</stp>
        <stp>D</stp>
        <stp>-20</stp>
        <stp>All</stp>
        <stp/>
        <stp/>
        <stp/>
        <stp>T</stp>
        <tr r="AK39" s="6"/>
      </tp>
      <tp t="s">
        <v>Eurodollar Calendar Spread 12, Sep 21, Sep 22</v>
        <stp/>
        <stp>ContractData</stp>
        <stp>EDAS12U21</stp>
        <stp>LongDescription</stp>
        <tr r="B37" s="2"/>
      </tp>
      <tp t="s">
        <v>Eurodollar Calendar Spread 12, Sep 20, Sep 21</v>
        <stp/>
        <stp>ContractData</stp>
        <stp>EDAS12U20</stp>
        <stp>LongDescription</stp>
        <tr r="B33" s="2"/>
      </tp>
      <tp t="s">
        <v>Eurodollar Calendar Spread 12, Sep 19, Sep 20</v>
        <stp/>
        <stp>ContractData</stp>
        <stp>EDAS12U19</stp>
        <stp>LongDescription</stp>
        <tr r="B29" s="2"/>
      </tp>
      <tp>
        <v>-17</v>
        <stp/>
        <stp>StudyData</stp>
        <stp>EDAS3?2</stp>
        <stp>Bar</stp>
        <stp/>
        <stp>Close</stp>
        <stp>D</stp>
        <stp>-20</stp>
        <stp>All</stp>
        <stp/>
        <stp/>
        <stp/>
        <stp>T</stp>
        <tr r="AK36" s="6"/>
      </tp>
      <tp t="s">
        <v>EDAS12Z20</v>
        <stp/>
        <stp>ContractData</stp>
        <stp>EDAS12?6</stp>
        <stp>Symbol</stp>
        <tr r="A34" s="2"/>
      </tp>
      <tp t="s">
        <v>EDAS12H21</v>
        <stp/>
        <stp>ContractData</stp>
        <stp>EDAS12?7</stp>
        <stp>Symbol</stp>
        <tr r="A35" s="2"/>
      </tp>
      <tp t="s">
        <v>EDAS12M20</v>
        <stp/>
        <stp>ContractData</stp>
        <stp>EDAS12?4</stp>
        <stp>Symbol</stp>
        <tr r="A32" s="2"/>
      </tp>
      <tp t="s">
        <v>EDAS12U20</v>
        <stp/>
        <stp>ContractData</stp>
        <stp>EDAS12?5</stp>
        <stp>Symbol</stp>
        <tr r="A33" s="2"/>
      </tp>
      <tp t="s">
        <v>EDAS12Z19</v>
        <stp/>
        <stp>ContractData</stp>
        <stp>EDAS12?2</stp>
        <stp>Symbol</stp>
        <tr r="A30" s="2"/>
      </tp>
      <tp t="s">
        <v>EDAS12H20</v>
        <stp/>
        <stp>ContractData</stp>
        <stp>EDAS12?3</stp>
        <stp>Symbol</stp>
        <tr r="A31" s="2"/>
      </tp>
      <tp t="s">
        <v>EDAS12U19</v>
        <stp/>
        <stp>ContractData</stp>
        <stp>EDAS12?1</stp>
        <stp>Symbol</stp>
        <tr r="A29" s="2"/>
      </tp>
      <tp t="s">
        <v>EDAS12M21</v>
        <stp/>
        <stp>ContractData</stp>
        <stp>EDAS12?8</stp>
        <stp>Symbol</stp>
        <tr r="A36" s="2"/>
      </tp>
      <tp t="s">
        <v>EDAS12U21</v>
        <stp/>
        <stp>ContractData</stp>
        <stp>EDAS12?9</stp>
        <stp>Symbol</stp>
        <tr r="A37" s="2"/>
      </tp>
      <tp>
        <v>-11.5</v>
        <stp/>
        <stp>StudyData</stp>
        <stp>EDAS3?3</stp>
        <stp>Bar</stp>
        <stp/>
        <stp>Close</stp>
        <stp>D</stp>
        <stp>-20</stp>
        <stp>All</stp>
        <stp/>
        <stp/>
        <stp/>
        <stp>T</stp>
        <tr r="AK37" s="6"/>
      </tp>
      <tp t="s">
        <v>EDAS3M22</v>
        <stp/>
        <stp>ContractData</stp>
        <stp>EDAS3?12</stp>
        <stp>Symbol</stp>
        <tr r="A56" s="2"/>
      </tp>
      <tp t="s">
        <v>EDAS3Z21</v>
        <stp/>
        <stp>ContractData</stp>
        <stp>EDAS3?10</stp>
        <stp>Symbol</stp>
        <tr r="A54" s="2"/>
      </tp>
      <tp t="s">
        <v>EDAS3H22</v>
        <stp/>
        <stp>ContractData</stp>
        <stp>EDAS3?11</stp>
        <stp>Symbol</stp>
        <tr r="A55" s="2"/>
      </tp>
      <tp>
        <v>-9</v>
        <stp/>
        <stp>StudyData</stp>
        <stp>EDAS3?1</stp>
        <stp>Bar</stp>
        <stp/>
        <stp>Close</stp>
        <stp>D</stp>
        <stp>-20</stp>
        <stp>All</stp>
        <stp/>
        <stp/>
        <stp/>
        <stp>T</stp>
        <tr r="AK35" s="6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792481584963167E-2"/>
          <c:y val="2.5757876038909229E-2"/>
          <c:w val="0.95920755242753908"/>
          <c:h val="0.94622021597081885"/>
        </c:manualLayout>
      </c:layout>
      <c:lineChart>
        <c:grouping val="standard"/>
        <c:varyColors val="0"/>
        <c:ser>
          <c:idx val="0"/>
          <c:order val="0"/>
          <c:tx>
            <c:v>Today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EDA!$AH$2:$AH$21</c:f>
              <c:numCache>
                <c:formatCode>General</c:formatCode>
                <c:ptCount val="20"/>
              </c:numCache>
            </c:numRef>
          </c:cat>
          <c:val>
            <c:numRef>
              <c:f>EDA!$R$2:$R$21</c:f>
              <c:numCache>
                <c:formatCode>0.000</c:formatCode>
                <c:ptCount val="20"/>
                <c:pt idx="0" formatCode="0.0000">
                  <c:v>98.045000000000002</c:v>
                </c:pt>
                <c:pt idx="1">
                  <c:v>98.16</c:v>
                </c:pt>
                <c:pt idx="2">
                  <c:v>98.36</c:v>
                </c:pt>
                <c:pt idx="3">
                  <c:v>98.445000000000007</c:v>
                </c:pt>
                <c:pt idx="4">
                  <c:v>98.504999999999995</c:v>
                </c:pt>
                <c:pt idx="5">
                  <c:v>98.495000000000005</c:v>
                </c:pt>
                <c:pt idx="6">
                  <c:v>98.51</c:v>
                </c:pt>
                <c:pt idx="7">
                  <c:v>98.475000000000009</c:v>
                </c:pt>
                <c:pt idx="8">
                  <c:v>98.44</c:v>
                </c:pt>
                <c:pt idx="9">
                  <c:v>98.394999999999996</c:v>
                </c:pt>
                <c:pt idx="10">
                  <c:v>98.36</c:v>
                </c:pt>
                <c:pt idx="11">
                  <c:v>98.314999999999998</c:v>
                </c:pt>
                <c:pt idx="12">
                  <c:v>98.27</c:v>
                </c:pt>
                <c:pt idx="13">
                  <c:v>98.234999999999999</c:v>
                </c:pt>
                <c:pt idx="14">
                  <c:v>98.2</c:v>
                </c:pt>
                <c:pt idx="15">
                  <c:v>98.16</c:v>
                </c:pt>
                <c:pt idx="16">
                  <c:v>98.115000000000009</c:v>
                </c:pt>
                <c:pt idx="17">
                  <c:v>98.070000000000007</c:v>
                </c:pt>
                <c:pt idx="18">
                  <c:v>98.03</c:v>
                </c:pt>
                <c:pt idx="19">
                  <c:v>97.984999999999999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Yesterday</c:v>
          </c:tx>
          <c:spPr>
            <a:ln w="15875">
              <a:solidFill>
                <a:srgbClr val="00B0F0"/>
              </a:solidFill>
            </a:ln>
          </c:spPr>
          <c:marker>
            <c:symbol val="circle"/>
            <c:size val="3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marker>
          <c:cat>
            <c:numRef>
              <c:f>EDA!$AH$2:$AH$21</c:f>
              <c:numCache>
                <c:formatCode>General</c:formatCode>
                <c:ptCount val="20"/>
              </c:numCache>
            </c:numRef>
          </c:cat>
          <c:val>
            <c:numRef>
              <c:f>EDA!$B$26:$B$45</c:f>
              <c:numCache>
                <c:formatCode>0.000</c:formatCode>
                <c:ptCount val="20"/>
                <c:pt idx="0" formatCode="0.0000">
                  <c:v>98.015000000000001</c:v>
                </c:pt>
                <c:pt idx="1">
                  <c:v>98.114999999999995</c:v>
                </c:pt>
                <c:pt idx="2">
                  <c:v>98.305000000000007</c:v>
                </c:pt>
                <c:pt idx="3">
                  <c:v>98.39</c:v>
                </c:pt>
                <c:pt idx="4">
                  <c:v>98.45</c:v>
                </c:pt>
                <c:pt idx="5">
                  <c:v>98.444999999999993</c:v>
                </c:pt>
                <c:pt idx="6">
                  <c:v>98.46</c:v>
                </c:pt>
                <c:pt idx="7">
                  <c:v>98.424999999999997</c:v>
                </c:pt>
                <c:pt idx="8">
                  <c:v>98.394999999999996</c:v>
                </c:pt>
                <c:pt idx="9">
                  <c:v>98.355000000000004</c:v>
                </c:pt>
                <c:pt idx="10">
                  <c:v>98.325000000000003</c:v>
                </c:pt>
                <c:pt idx="11">
                  <c:v>98.28</c:v>
                </c:pt>
                <c:pt idx="12">
                  <c:v>98.234999999999999</c:v>
                </c:pt>
                <c:pt idx="13">
                  <c:v>98.194999999999993</c:v>
                </c:pt>
                <c:pt idx="14">
                  <c:v>98.165000000000006</c:v>
                </c:pt>
                <c:pt idx="15">
                  <c:v>98.125</c:v>
                </c:pt>
                <c:pt idx="16">
                  <c:v>98.08</c:v>
                </c:pt>
                <c:pt idx="17">
                  <c:v>98.034999999999997</c:v>
                </c:pt>
                <c:pt idx="18">
                  <c:v>97.995000000000005</c:v>
                </c:pt>
                <c:pt idx="19">
                  <c:v>97.954999999999998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2-47E9-ABDD-05220D85E28F}"/>
            </c:ext>
          </c:extLst>
        </c:ser>
        <c:ser>
          <c:idx val="2"/>
          <c:order val="2"/>
          <c:tx>
            <c:v>5-Days</c:v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3"/>
          </c:marker>
          <c:val>
            <c:numRef>
              <c:f>EDA!$C$26:$C$45</c:f>
              <c:numCache>
                <c:formatCode>0.000</c:formatCode>
                <c:ptCount val="20"/>
                <c:pt idx="0" formatCode="0.0000">
                  <c:v>97.9</c:v>
                </c:pt>
                <c:pt idx="1">
                  <c:v>98.01</c:v>
                </c:pt>
                <c:pt idx="2">
                  <c:v>98.2</c:v>
                </c:pt>
                <c:pt idx="3">
                  <c:v>98.284999999999997</c:v>
                </c:pt>
                <c:pt idx="4">
                  <c:v>98.35</c:v>
                </c:pt>
                <c:pt idx="5">
                  <c:v>98.36</c:v>
                </c:pt>
                <c:pt idx="6">
                  <c:v>98.39</c:v>
                </c:pt>
                <c:pt idx="7">
                  <c:v>98.364999999999995</c:v>
                </c:pt>
                <c:pt idx="8">
                  <c:v>98.34</c:v>
                </c:pt>
                <c:pt idx="9">
                  <c:v>98.305000000000007</c:v>
                </c:pt>
                <c:pt idx="10">
                  <c:v>98.284999999999997</c:v>
                </c:pt>
                <c:pt idx="11">
                  <c:v>98.245000000000005</c:v>
                </c:pt>
                <c:pt idx="12">
                  <c:v>98.21</c:v>
                </c:pt>
                <c:pt idx="13">
                  <c:v>98.174999999999997</c:v>
                </c:pt>
                <c:pt idx="14">
                  <c:v>98.144999999999996</c:v>
                </c:pt>
                <c:pt idx="15">
                  <c:v>98.11</c:v>
                </c:pt>
                <c:pt idx="16">
                  <c:v>98.07</c:v>
                </c:pt>
                <c:pt idx="17">
                  <c:v>98.03</c:v>
                </c:pt>
                <c:pt idx="18">
                  <c:v>97.995000000000005</c:v>
                </c:pt>
                <c:pt idx="19">
                  <c:v>97.954999999999998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52-47E9-ABDD-05220D85E28F}"/>
            </c:ext>
          </c:extLst>
        </c:ser>
        <c:ser>
          <c:idx val="3"/>
          <c:order val="3"/>
          <c:tx>
            <c:v>20-Days</c:v>
          </c:tx>
          <c:spPr>
            <a:ln w="15875"/>
          </c:spPr>
          <c:marker>
            <c:symbol val="circle"/>
            <c:size val="3"/>
          </c:marker>
          <c:val>
            <c:numRef>
              <c:f>EDA!$D$26:$D$45</c:f>
              <c:numCache>
                <c:formatCode>0.000</c:formatCode>
                <c:ptCount val="20"/>
                <c:pt idx="0" formatCode="0.0000">
                  <c:v>97.6</c:v>
                </c:pt>
                <c:pt idx="1">
                  <c:v>97.69</c:v>
                </c:pt>
                <c:pt idx="2">
                  <c:v>97.86</c:v>
                </c:pt>
                <c:pt idx="3">
                  <c:v>97.974999999999994</c:v>
                </c:pt>
                <c:pt idx="4">
                  <c:v>98.045000000000002</c:v>
                </c:pt>
                <c:pt idx="5">
                  <c:v>98.055000000000007</c:v>
                </c:pt>
                <c:pt idx="6">
                  <c:v>98.084999999999994</c:v>
                </c:pt>
                <c:pt idx="7">
                  <c:v>98.064999999999998</c:v>
                </c:pt>
                <c:pt idx="8">
                  <c:v>98.05</c:v>
                </c:pt>
                <c:pt idx="9">
                  <c:v>98.02</c:v>
                </c:pt>
                <c:pt idx="10">
                  <c:v>98</c:v>
                </c:pt>
                <c:pt idx="11">
                  <c:v>97.97</c:v>
                </c:pt>
                <c:pt idx="12">
                  <c:v>97.944999999999993</c:v>
                </c:pt>
                <c:pt idx="13">
                  <c:v>97.915000000000006</c:v>
                </c:pt>
                <c:pt idx="14">
                  <c:v>97.894999999999996</c:v>
                </c:pt>
                <c:pt idx="15">
                  <c:v>97.864999999999995</c:v>
                </c:pt>
                <c:pt idx="16">
                  <c:v>97.834999999999994</c:v>
                </c:pt>
                <c:pt idx="17">
                  <c:v>97.795000000000002</c:v>
                </c:pt>
                <c:pt idx="18">
                  <c:v>97.765000000000001</c:v>
                </c:pt>
                <c:pt idx="19">
                  <c:v>97.73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52-47E9-ABDD-05220D85E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897720"/>
        <c:axId val="542901248"/>
      </c:lineChart>
      <c:catAx>
        <c:axId val="542897720"/>
        <c:scaling>
          <c:orientation val="minMax"/>
        </c:scaling>
        <c:delete val="1"/>
        <c:axPos val="b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542901248"/>
        <c:crosses val="autoZero"/>
        <c:auto val="1"/>
        <c:lblAlgn val="ctr"/>
        <c:lblOffset val="100"/>
        <c:noMultiLvlLbl val="0"/>
      </c:catAx>
      <c:valAx>
        <c:axId val="542901248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FF0000"/>
            </a:solidFill>
            <a:prstDash val="sysDash"/>
          </a:ln>
        </c:spPr>
        <c:crossAx val="542897720"/>
        <c:crosses val="autoZero"/>
        <c:crossBetween val="between"/>
      </c:valAx>
      <c:spPr>
        <a:noFill/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legend>
      <c:legendPos val="r"/>
      <c:layout>
        <c:manualLayout>
          <c:xMode val="edge"/>
          <c:yMode val="edge"/>
          <c:x val="0.76157249467110988"/>
          <c:y val="0.80495253841002723"/>
          <c:w val="0.23747444368966633"/>
          <c:h val="0.19489896677877866"/>
        </c:manualLayout>
      </c:layout>
      <c:overlay val="0"/>
    </c:legend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7858570927735E-2"/>
          <c:y val="4.640692640692641E-2"/>
          <c:w val="0.96600211722267515"/>
          <c:h val="0.9188743951275156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EDA!$V$35:$V$54</c:f>
              <c:numCache>
                <c:formatCode>0.00</c:formatCode>
                <c:ptCount val="20"/>
                <c:pt idx="0">
                  <c:v>-45.5</c:v>
                </c:pt>
                <c:pt idx="1">
                  <c:v>-33.5</c:v>
                </c:pt>
                <c:pt idx="2">
                  <c:v>-15</c:v>
                </c:pt>
                <c:pt idx="3">
                  <c:v>-3</c:v>
                </c:pt>
                <c:pt idx="4">
                  <c:v>6</c:v>
                </c:pt>
                <c:pt idx="5">
                  <c:v>10</c:v>
                </c:pt>
                <c:pt idx="6">
                  <c:v>14.5</c:v>
                </c:pt>
                <c:pt idx="7">
                  <c:v>15</c:v>
                </c:pt>
                <c:pt idx="8">
                  <c:v>16.5</c:v>
                </c:pt>
                <c:pt idx="9">
                  <c:v>16</c:v>
                </c:pt>
                <c:pt idx="10">
                  <c:v>16</c:v>
                </c:pt>
                <c:pt idx="11">
                  <c:v>15.5</c:v>
                </c:pt>
                <c:pt idx="12">
                  <c:v>15.5</c:v>
                </c:pt>
                <c:pt idx="13">
                  <c:v>16.5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15.5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BE2-A2BA-1B27A74D5FBF}"/>
            </c:ext>
          </c:extLst>
        </c:ser>
        <c:ser>
          <c:idx val="1"/>
          <c:order val="1"/>
          <c:tx>
            <c:v>Yesterday</c:v>
          </c:tx>
          <c:spPr>
            <a:ln w="15875">
              <a:solidFill>
                <a:srgbClr val="00B0F0"/>
              </a:solidFill>
            </a:ln>
          </c:spPr>
          <c:marker>
            <c:symbol val="circle"/>
            <c:size val="3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val>
            <c:numRef>
              <c:f>EDA!$X$35:$X$54</c:f>
              <c:numCache>
                <c:formatCode>0.00</c:formatCode>
                <c:ptCount val="20"/>
                <c:pt idx="0">
                  <c:v>-43.5</c:v>
                </c:pt>
                <c:pt idx="1">
                  <c:v>-33</c:v>
                </c:pt>
                <c:pt idx="2">
                  <c:v>-15.5</c:v>
                </c:pt>
                <c:pt idx="3">
                  <c:v>-3.5</c:v>
                </c:pt>
                <c:pt idx="4">
                  <c:v>5.5</c:v>
                </c:pt>
                <c:pt idx="5">
                  <c:v>9</c:v>
                </c:pt>
                <c:pt idx="6">
                  <c:v>13.5</c:v>
                </c:pt>
                <c:pt idx="7">
                  <c:v>14.5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15.5</c:v>
                </c:pt>
                <c:pt idx="12">
                  <c:v>15.5</c:v>
                </c:pt>
                <c:pt idx="13">
                  <c:v>16</c:v>
                </c:pt>
                <c:pt idx="14">
                  <c:v>17</c:v>
                </c:pt>
                <c:pt idx="15">
                  <c:v>17</c:v>
                </c:pt>
                <c:pt idx="16">
                  <c:v>16.5</c:v>
                </c:pt>
                <c:pt idx="17">
                  <c:v>16.5</c:v>
                </c:pt>
                <c:pt idx="18">
                  <c:v>16</c:v>
                </c:pt>
                <c:pt idx="19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E-4248-B4F5-23A4501AFAE1}"/>
            </c:ext>
          </c:extLst>
        </c:ser>
        <c:ser>
          <c:idx val="2"/>
          <c:order val="2"/>
          <c:tx>
            <c:v>5-Days</c:v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5"/>
          </c:marker>
          <c:val>
            <c:numRef>
              <c:f>EDA!$Y$35:$Y$54</c:f>
              <c:numCache>
                <c:formatCode>0.00</c:formatCode>
                <c:ptCount val="20"/>
                <c:pt idx="0">
                  <c:v>-45</c:v>
                </c:pt>
                <c:pt idx="1">
                  <c:v>-35</c:v>
                </c:pt>
                <c:pt idx="2">
                  <c:v>-19</c:v>
                </c:pt>
                <c:pt idx="3">
                  <c:v>-8</c:v>
                </c:pt>
                <c:pt idx="4">
                  <c:v>1</c:v>
                </c:pt>
                <c:pt idx="5">
                  <c:v>5.5</c:v>
                </c:pt>
                <c:pt idx="6">
                  <c:v>10.5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13.5</c:v>
                </c:pt>
                <c:pt idx="12">
                  <c:v>14</c:v>
                </c:pt>
                <c:pt idx="13">
                  <c:v>14.5</c:v>
                </c:pt>
                <c:pt idx="14">
                  <c:v>15</c:v>
                </c:pt>
                <c:pt idx="15">
                  <c:v>15.5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E-4248-B4F5-23A4501AFAE1}"/>
            </c:ext>
          </c:extLst>
        </c:ser>
        <c:ser>
          <c:idx val="3"/>
          <c:order val="3"/>
          <c:tx>
            <c:v>20-Days</c:v>
          </c:tx>
          <c:spPr>
            <a:ln w="15875"/>
          </c:spPr>
          <c:marker>
            <c:symbol val="circle"/>
            <c:size val="5"/>
          </c:marker>
          <c:val>
            <c:numRef>
              <c:f>EDA!$Z$35:$Z$54</c:f>
              <c:numCache>
                <c:formatCode>0.00</c:formatCode>
                <c:ptCount val="20"/>
                <c:pt idx="0">
                  <c:v>-44.5</c:v>
                </c:pt>
                <c:pt idx="1">
                  <c:v>-36.5</c:v>
                </c:pt>
                <c:pt idx="2">
                  <c:v>-22.5</c:v>
                </c:pt>
                <c:pt idx="3">
                  <c:v>-9</c:v>
                </c:pt>
                <c:pt idx="4">
                  <c:v>-0.5</c:v>
                </c:pt>
                <c:pt idx="5">
                  <c:v>3.5</c:v>
                </c:pt>
                <c:pt idx="6">
                  <c:v>8.5</c:v>
                </c:pt>
                <c:pt idx="7">
                  <c:v>9.5</c:v>
                </c:pt>
                <c:pt idx="8">
                  <c:v>10.5</c:v>
                </c:pt>
                <c:pt idx="9">
                  <c:v>10.5</c:v>
                </c:pt>
                <c:pt idx="10">
                  <c:v>10.5</c:v>
                </c:pt>
                <c:pt idx="11">
                  <c:v>10.5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13.5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E-4248-B4F5-23A4501A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</c:lineChart>
      <c:catAx>
        <c:axId val="410842696"/>
        <c:scaling>
          <c:orientation val="minMax"/>
        </c:scaling>
        <c:delete val="1"/>
        <c:axPos val="b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FF0000"/>
            </a:solidFill>
            <a:prstDash val="sysDash"/>
          </a:ln>
        </c:spPr>
        <c:crossAx val="410842696"/>
        <c:crosses val="autoZero"/>
        <c:crossBetween val="between"/>
      </c:valAx>
      <c:spPr>
        <a:noFill/>
        <a:ln cmpd="thickThin">
          <a:noFill/>
        </a:ln>
      </c:spPr>
    </c:plotArea>
    <c:legend>
      <c:legendPos val="b"/>
      <c:layout>
        <c:manualLayout>
          <c:xMode val="edge"/>
          <c:yMode val="edge"/>
          <c:x val="0.72811751536126779"/>
          <c:y val="0.79934689063248165"/>
          <c:w val="0.25436115561586664"/>
          <c:h val="9.6305330911637149E-2"/>
        </c:manualLayout>
      </c:layout>
      <c:overlay val="0"/>
    </c:legend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049897970283288E-2"/>
          <c:y val="0.24454159682820287"/>
          <c:w val="0.9472579476483235"/>
          <c:h val="0.627365185785595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/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EDA!$E$26:$E$45</c:f>
              <c:numCache>
                <c:formatCode>0.0000</c:formatCode>
                <c:ptCount val="20"/>
                <c:pt idx="0">
                  <c:v>3.0000000000001137E-2</c:v>
                </c:pt>
                <c:pt idx="1">
                  <c:v>4.5000000000001705E-2</c:v>
                </c:pt>
                <c:pt idx="2">
                  <c:v>5.499999999999261E-2</c:v>
                </c:pt>
                <c:pt idx="3">
                  <c:v>5.5000000000006821E-2</c:v>
                </c:pt>
                <c:pt idx="4">
                  <c:v>5.499999999999261E-2</c:v>
                </c:pt>
                <c:pt idx="5">
                  <c:v>5.0000000000011369E-2</c:v>
                </c:pt>
                <c:pt idx="6">
                  <c:v>5.0000000000011369E-2</c:v>
                </c:pt>
                <c:pt idx="7">
                  <c:v>5.0000000000011369E-2</c:v>
                </c:pt>
                <c:pt idx="8">
                  <c:v>4.5000000000001705E-2</c:v>
                </c:pt>
                <c:pt idx="9">
                  <c:v>3.9999999999992042E-2</c:v>
                </c:pt>
                <c:pt idx="10">
                  <c:v>3.4999999999996589E-2</c:v>
                </c:pt>
                <c:pt idx="11">
                  <c:v>3.4999999999996589E-2</c:v>
                </c:pt>
                <c:pt idx="12">
                  <c:v>3.4999999999996589E-2</c:v>
                </c:pt>
                <c:pt idx="13">
                  <c:v>4.0000000000006253E-2</c:v>
                </c:pt>
                <c:pt idx="14">
                  <c:v>3.4999999999996589E-2</c:v>
                </c:pt>
                <c:pt idx="15">
                  <c:v>3.4999999999996589E-2</c:v>
                </c:pt>
                <c:pt idx="16">
                  <c:v>3.50000000000108E-2</c:v>
                </c:pt>
                <c:pt idx="17">
                  <c:v>3.50000000000108E-2</c:v>
                </c:pt>
                <c:pt idx="18">
                  <c:v>3.4999999999996589E-2</c:v>
                </c:pt>
                <c:pt idx="19">
                  <c:v>3.0000000000001137E-2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C-4BFC-B1E3-E9356D987683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EDA!$F$26:$F$45</c:f>
              <c:numCache>
                <c:formatCode>0.0000</c:formatCode>
                <c:ptCount val="20"/>
                <c:pt idx="0">
                  <c:v>0.14499999999999602</c:v>
                </c:pt>
                <c:pt idx="1">
                  <c:v>0.14999999999999147</c:v>
                </c:pt>
                <c:pt idx="2">
                  <c:v>0.15999999999999659</c:v>
                </c:pt>
                <c:pt idx="3">
                  <c:v>0.1600000000000108</c:v>
                </c:pt>
                <c:pt idx="4">
                  <c:v>0.15500000000000114</c:v>
                </c:pt>
                <c:pt idx="5">
                  <c:v>0.13500000000000512</c:v>
                </c:pt>
                <c:pt idx="6">
                  <c:v>0.12000000000000455</c:v>
                </c:pt>
                <c:pt idx="7">
                  <c:v>0.11000000000001364</c:v>
                </c:pt>
                <c:pt idx="8">
                  <c:v>9.9999999999994316E-2</c:v>
                </c:pt>
                <c:pt idx="9">
                  <c:v>8.99999999999892E-2</c:v>
                </c:pt>
                <c:pt idx="10">
                  <c:v>7.5000000000002842E-2</c:v>
                </c:pt>
                <c:pt idx="11">
                  <c:v>6.9999999999993179E-2</c:v>
                </c:pt>
                <c:pt idx="12">
                  <c:v>6.0000000000002274E-2</c:v>
                </c:pt>
                <c:pt idx="13">
                  <c:v>6.0000000000002274E-2</c:v>
                </c:pt>
                <c:pt idx="14">
                  <c:v>5.5000000000006821E-2</c:v>
                </c:pt>
                <c:pt idx="15">
                  <c:v>4.9999999999997158E-2</c:v>
                </c:pt>
                <c:pt idx="16">
                  <c:v>4.5000000000015916E-2</c:v>
                </c:pt>
                <c:pt idx="17">
                  <c:v>4.0000000000006253E-2</c:v>
                </c:pt>
                <c:pt idx="18">
                  <c:v>3.4999999999996589E-2</c:v>
                </c:pt>
                <c:pt idx="19">
                  <c:v>3.0000000000001137E-2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6C-4BFC-B1E3-E9356D987683}"/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tx2"/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EDA!$G$26:$G$45</c:f>
              <c:numCache>
                <c:formatCode>0.0000</c:formatCode>
                <c:ptCount val="20"/>
                <c:pt idx="0">
                  <c:v>0.44500000000000739</c:v>
                </c:pt>
                <c:pt idx="1">
                  <c:v>0.46999999999999886</c:v>
                </c:pt>
                <c:pt idx="2">
                  <c:v>0.5</c:v>
                </c:pt>
                <c:pt idx="3">
                  <c:v>0.47000000000001307</c:v>
                </c:pt>
                <c:pt idx="4">
                  <c:v>0.45999999999999375</c:v>
                </c:pt>
                <c:pt idx="5">
                  <c:v>0.43999999999999773</c:v>
                </c:pt>
                <c:pt idx="6">
                  <c:v>0.42500000000001137</c:v>
                </c:pt>
                <c:pt idx="7">
                  <c:v>0.4100000000000108</c:v>
                </c:pt>
                <c:pt idx="8">
                  <c:v>0.39000000000000057</c:v>
                </c:pt>
                <c:pt idx="9">
                  <c:v>0.375</c:v>
                </c:pt>
                <c:pt idx="10">
                  <c:v>0.35999999999999943</c:v>
                </c:pt>
                <c:pt idx="11">
                  <c:v>0.34499999999999886</c:v>
                </c:pt>
                <c:pt idx="12">
                  <c:v>0.32500000000000284</c:v>
                </c:pt>
                <c:pt idx="13">
                  <c:v>0.31999999999999318</c:v>
                </c:pt>
                <c:pt idx="14">
                  <c:v>0.30500000000000682</c:v>
                </c:pt>
                <c:pt idx="15">
                  <c:v>0.29500000000000171</c:v>
                </c:pt>
                <c:pt idx="16">
                  <c:v>0.28000000000001535</c:v>
                </c:pt>
                <c:pt idx="17">
                  <c:v>0.27500000000000568</c:v>
                </c:pt>
                <c:pt idx="18">
                  <c:v>0.26500000000000057</c:v>
                </c:pt>
                <c:pt idx="19">
                  <c:v>0.25499999999999545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6C-4BFC-B1E3-E9356D987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overlap val="-67"/>
        <c:axId val="1979807487"/>
        <c:axId val="1979809983"/>
      </c:barChart>
      <c:catAx>
        <c:axId val="19798074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majorTickMark val="out"/>
        <c:minorTickMark val="none"/>
        <c:tickLblPos val="nextTo"/>
        <c:crossAx val="1979809983"/>
        <c:crosses val="autoZero"/>
        <c:auto val="1"/>
        <c:lblAlgn val="ctr"/>
        <c:lblOffset val="100"/>
        <c:noMultiLvlLbl val="0"/>
      </c:catAx>
      <c:valAx>
        <c:axId val="19798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798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58572467010077E-2"/>
          <c:y val="0.24454159682820287"/>
          <c:w val="0.95200020578625777"/>
          <c:h val="0.627365185785595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/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EDA!$AA$35:$AA$54</c:f>
              <c:numCache>
                <c:formatCode>0.00</c:formatCode>
                <c:ptCount val="20"/>
                <c:pt idx="0">
                  <c:v>-2</c:v>
                </c:pt>
                <c:pt idx="1">
                  <c:v>-0.5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0.5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-0.5</c:v>
                </c:pt>
                <c:pt idx="18">
                  <c:v>-0.5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7-47D1-B180-DFF47E73DB1F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EDA!$AB$35:$AB$54</c:f>
              <c:numCache>
                <c:formatCode>0.00</c:formatCode>
                <c:ptCount val="20"/>
                <c:pt idx="0">
                  <c:v>-0.5</c:v>
                </c:pt>
                <c:pt idx="1">
                  <c:v>1.5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4.5</c:v>
                </c:pt>
                <c:pt idx="6">
                  <c:v>4</c:v>
                </c:pt>
                <c:pt idx="7">
                  <c:v>3</c:v>
                </c:pt>
                <c:pt idx="8">
                  <c:v>3.5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1.5</c:v>
                </c:pt>
                <c:pt idx="13">
                  <c:v>2</c:v>
                </c:pt>
                <c:pt idx="14">
                  <c:v>2</c:v>
                </c:pt>
                <c:pt idx="15">
                  <c:v>1.5</c:v>
                </c:pt>
                <c:pt idx="16">
                  <c:v>2</c:v>
                </c:pt>
                <c:pt idx="17">
                  <c:v>1</c:v>
                </c:pt>
                <c:pt idx="18">
                  <c:v>0.5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7-47D1-B180-DFF47E73DB1F}"/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tx2"/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EDA!$AC$35:$AC$54</c:f>
              <c:numCache>
                <c:formatCode>0.00</c:formatCode>
                <c:ptCount val="20"/>
                <c:pt idx="0">
                  <c:v>-1</c:v>
                </c:pt>
                <c:pt idx="1">
                  <c:v>3</c:v>
                </c:pt>
                <c:pt idx="2">
                  <c:v>7.5</c:v>
                </c:pt>
                <c:pt idx="3">
                  <c:v>6</c:v>
                </c:pt>
                <c:pt idx="4">
                  <c:v>6.5</c:v>
                </c:pt>
                <c:pt idx="5">
                  <c:v>6.5</c:v>
                </c:pt>
                <c:pt idx="6">
                  <c:v>6</c:v>
                </c:pt>
                <c:pt idx="7">
                  <c:v>5.5</c:v>
                </c:pt>
                <c:pt idx="8">
                  <c:v>6</c:v>
                </c:pt>
                <c:pt idx="9">
                  <c:v>5.5</c:v>
                </c:pt>
                <c:pt idx="10">
                  <c:v>5.5</c:v>
                </c:pt>
                <c:pt idx="11">
                  <c:v>5</c:v>
                </c:pt>
                <c:pt idx="12">
                  <c:v>4.5</c:v>
                </c:pt>
                <c:pt idx="13">
                  <c:v>4.5</c:v>
                </c:pt>
                <c:pt idx="14">
                  <c:v>4</c:v>
                </c:pt>
                <c:pt idx="15">
                  <c:v>3.5</c:v>
                </c:pt>
                <c:pt idx="16">
                  <c:v>3</c:v>
                </c:pt>
                <c:pt idx="17">
                  <c:v>2</c:v>
                </c:pt>
                <c:pt idx="18">
                  <c:v>1.5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7-47D1-B180-DFF47E73D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overlap val="-67"/>
        <c:axId val="1979807487"/>
        <c:axId val="1979809983"/>
      </c:barChart>
      <c:catAx>
        <c:axId val="19798074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majorTickMark val="out"/>
        <c:minorTickMark val="none"/>
        <c:tickLblPos val="nextTo"/>
        <c:crossAx val="1979809983"/>
        <c:crosses val="autoZero"/>
        <c:auto val="1"/>
        <c:lblAlgn val="ctr"/>
        <c:lblOffset val="100"/>
        <c:noMultiLvlLbl val="0"/>
      </c:catAx>
      <c:valAx>
        <c:axId val="19798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798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7858570927735E-2"/>
          <c:y val="4.640692640692641E-2"/>
          <c:w val="0.96600211722267515"/>
          <c:h val="0.9188743951275156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EDA!$AG$35:$AG$54</c:f>
              <c:numCache>
                <c:formatCode>0.00</c:formatCode>
                <c:ptCount val="20"/>
                <c:pt idx="0">
                  <c:v>-11</c:v>
                </c:pt>
                <c:pt idx="1">
                  <c:v>-20</c:v>
                </c:pt>
                <c:pt idx="2">
                  <c:v>-8.5</c:v>
                </c:pt>
                <c:pt idx="3">
                  <c:v>-6</c:v>
                </c:pt>
                <c:pt idx="4">
                  <c:v>0.5</c:v>
                </c:pt>
                <c:pt idx="5">
                  <c:v>-1.5</c:v>
                </c:pt>
                <c:pt idx="6">
                  <c:v>3.5</c:v>
                </c:pt>
                <c:pt idx="7">
                  <c:v>3</c:v>
                </c:pt>
                <c:pt idx="8">
                  <c:v>4.5</c:v>
                </c:pt>
                <c:pt idx="9">
                  <c:v>3</c:v>
                </c:pt>
                <c:pt idx="10">
                  <c:v>4.5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4</c:v>
                </c:pt>
                <c:pt idx="15">
                  <c:v>4</c:v>
                </c:pt>
                <c:pt idx="16">
                  <c:v>4.5</c:v>
                </c:pt>
                <c:pt idx="17">
                  <c:v>4</c:v>
                </c:pt>
                <c:pt idx="18">
                  <c:v>#N/A</c:v>
                </c:pt>
                <c:pt idx="1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4-4E22-B672-D72E4548DBEC}"/>
            </c:ext>
          </c:extLst>
        </c:ser>
        <c:ser>
          <c:idx val="1"/>
          <c:order val="1"/>
          <c:tx>
            <c:v>Yesterday</c:v>
          </c:tx>
          <c:spPr>
            <a:ln w="15875">
              <a:solidFill>
                <a:srgbClr val="00B0F0"/>
              </a:solidFill>
            </a:ln>
          </c:spPr>
          <c:marker>
            <c:symbol val="circle"/>
            <c:size val="3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val>
            <c:numRef>
              <c:f>EDA!$AI$35:$AI$54</c:f>
              <c:numCache>
                <c:formatCode>0.00</c:formatCode>
                <c:ptCount val="20"/>
                <c:pt idx="0">
                  <c:v>-10</c:v>
                </c:pt>
                <c:pt idx="1">
                  <c:v>-19</c:v>
                </c:pt>
                <c:pt idx="2">
                  <c:v>-8.5</c:v>
                </c:pt>
                <c:pt idx="3">
                  <c:v>-6</c:v>
                </c:pt>
                <c:pt idx="4">
                  <c:v>0.5</c:v>
                </c:pt>
                <c:pt idx="5">
                  <c:v>-1.5</c:v>
                </c:pt>
                <c:pt idx="6">
                  <c:v>3.5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4.5</c:v>
                </c:pt>
                <c:pt idx="11">
                  <c:v>4.5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4.5</c:v>
                </c:pt>
                <c:pt idx="16">
                  <c:v>4.5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4-4E22-B672-D72E4548DBEC}"/>
            </c:ext>
          </c:extLst>
        </c:ser>
        <c:ser>
          <c:idx val="2"/>
          <c:order val="2"/>
          <c:tx>
            <c:v>5-Days</c:v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5"/>
          </c:marker>
          <c:val>
            <c:numRef>
              <c:f>EDA!$AJ$35:$AJ$54</c:f>
              <c:numCache>
                <c:formatCode>0.00</c:formatCode>
                <c:ptCount val="20"/>
                <c:pt idx="0">
                  <c:v>-11</c:v>
                </c:pt>
                <c:pt idx="1">
                  <c:v>-19</c:v>
                </c:pt>
                <c:pt idx="2">
                  <c:v>-8.5</c:v>
                </c:pt>
                <c:pt idx="3">
                  <c:v>-6.5</c:v>
                </c:pt>
                <c:pt idx="4">
                  <c:v>-1</c:v>
                </c:pt>
                <c:pt idx="5">
                  <c:v>-3</c:v>
                </c:pt>
                <c:pt idx="6">
                  <c:v>2.5</c:v>
                </c:pt>
                <c:pt idx="7">
                  <c:v>2.5</c:v>
                </c:pt>
                <c:pt idx="8">
                  <c:v>3.5</c:v>
                </c:pt>
                <c:pt idx="9">
                  <c:v>2</c:v>
                </c:pt>
                <c:pt idx="10">
                  <c:v>4</c:v>
                </c:pt>
                <c:pt idx="11">
                  <c:v>3.5</c:v>
                </c:pt>
                <c:pt idx="12">
                  <c:v>3.5</c:v>
                </c:pt>
                <c:pt idx="13">
                  <c:v>3</c:v>
                </c:pt>
                <c:pt idx="14">
                  <c:v>3.5</c:v>
                </c:pt>
                <c:pt idx="15">
                  <c:v>4</c:v>
                </c:pt>
                <c:pt idx="16">
                  <c:v>4</c:v>
                </c:pt>
                <c:pt idx="17">
                  <c:v>3.5</c:v>
                </c:pt>
                <c:pt idx="18">
                  <c:v>4</c:v>
                </c:pt>
                <c:pt idx="1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4-4E22-B672-D72E4548DBEC}"/>
            </c:ext>
          </c:extLst>
        </c:ser>
        <c:ser>
          <c:idx val="3"/>
          <c:order val="3"/>
          <c:tx>
            <c:v>20-Days</c:v>
          </c:tx>
          <c:spPr>
            <a:ln w="15875"/>
          </c:spPr>
          <c:marker>
            <c:symbol val="circle"/>
            <c:size val="5"/>
          </c:marker>
          <c:val>
            <c:numRef>
              <c:f>EDA!$AK$35:$AK$54</c:f>
              <c:numCache>
                <c:formatCode>0.00</c:formatCode>
                <c:ptCount val="20"/>
                <c:pt idx="0">
                  <c:v>-9</c:v>
                </c:pt>
                <c:pt idx="1">
                  <c:v>-17</c:v>
                </c:pt>
                <c:pt idx="2">
                  <c:v>-11.5</c:v>
                </c:pt>
                <c:pt idx="3">
                  <c:v>-7</c:v>
                </c:pt>
                <c:pt idx="4">
                  <c:v>-1</c:v>
                </c:pt>
                <c:pt idx="5">
                  <c:v>-3</c:v>
                </c:pt>
                <c:pt idx="6">
                  <c:v>2</c:v>
                </c:pt>
                <c:pt idx="7">
                  <c:v>1.5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2.5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3.5</c:v>
                </c:pt>
                <c:pt idx="1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54-4E22-B672-D72E4548D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</c:lineChart>
      <c:catAx>
        <c:axId val="410842696"/>
        <c:scaling>
          <c:orientation val="minMax"/>
        </c:scaling>
        <c:delete val="1"/>
        <c:axPos val="b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FF0000"/>
            </a:solidFill>
            <a:prstDash val="sysDash"/>
          </a:ln>
        </c:spPr>
        <c:crossAx val="410842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2811751536126779"/>
          <c:y val="0.79934689063248165"/>
          <c:w val="0.25436115561586664"/>
          <c:h val="9.6305330911637149E-2"/>
        </c:manualLayout>
      </c:layout>
      <c:overlay val="0"/>
    </c:legend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58572467010077E-2"/>
          <c:y val="0.24454159682820287"/>
          <c:w val="0.95294987347360549"/>
          <c:h val="0.5710005355504019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/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EDA!$AL$35:$AL$54</c:f>
              <c:numCache>
                <c:formatCode>0.00</c:formatCode>
                <c:ptCount val="20"/>
                <c:pt idx="0">
                  <c:v>-1</c:v>
                </c:pt>
                <c:pt idx="1">
                  <c:v>-1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  <c:pt idx="11">
                  <c:v>-0.5</c:v>
                </c:pt>
                <c:pt idx="12">
                  <c:v>0</c:v>
                </c:pt>
                <c:pt idx="13">
                  <c:v>#N/A</c:v>
                </c:pt>
                <c:pt idx="14">
                  <c:v>0</c:v>
                </c:pt>
                <c:pt idx="15">
                  <c:v>-0.5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0-43F0-BA1D-A7D63D433B03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EDA!$AM$35:$AM$54</c:f>
              <c:numCache>
                <c:formatCode>0.00</c:formatCode>
                <c:ptCount val="20"/>
                <c:pt idx="0">
                  <c:v>0</c:v>
                </c:pt>
                <c:pt idx="1">
                  <c:v>-1</c:v>
                </c:pt>
                <c:pt idx="2">
                  <c:v>0</c:v>
                </c:pt>
                <c:pt idx="3">
                  <c:v>0.5</c:v>
                </c:pt>
                <c:pt idx="4">
                  <c:v>1.5</c:v>
                </c:pt>
                <c:pt idx="5">
                  <c:v>1.5</c:v>
                </c:pt>
                <c:pt idx="6">
                  <c:v>1</c:v>
                </c:pt>
                <c:pt idx="7">
                  <c:v>0.5</c:v>
                </c:pt>
                <c:pt idx="8">
                  <c:v>1</c:v>
                </c:pt>
                <c:pt idx="9">
                  <c:v>1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#N/A</c:v>
                </c:pt>
                <c:pt idx="14">
                  <c:v>0.5</c:v>
                </c:pt>
                <c:pt idx="15">
                  <c:v>0</c:v>
                </c:pt>
                <c:pt idx="16">
                  <c:v>0.5</c:v>
                </c:pt>
                <c:pt idx="17">
                  <c:v>0.5</c:v>
                </c:pt>
                <c:pt idx="18">
                  <c:v>#N/A</c:v>
                </c:pt>
                <c:pt idx="1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0-43F0-BA1D-A7D63D433B03}"/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tx2"/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EDA!$AN$35:$AN$54</c:f>
              <c:numCache>
                <c:formatCode>0.00</c:formatCode>
                <c:ptCount val="20"/>
                <c:pt idx="0">
                  <c:v>-2</c:v>
                </c:pt>
                <c:pt idx="1">
                  <c:v>-3</c:v>
                </c:pt>
                <c:pt idx="2">
                  <c:v>3</c:v>
                </c:pt>
                <c:pt idx="3">
                  <c:v>1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</c:v>
                </c:pt>
                <c:pt idx="10">
                  <c:v>1.5</c:v>
                </c:pt>
                <c:pt idx="11">
                  <c:v>1.5</c:v>
                </c:pt>
                <c:pt idx="12">
                  <c:v>1</c:v>
                </c:pt>
                <c:pt idx="13">
                  <c:v>#N/A</c:v>
                </c:pt>
                <c:pt idx="14">
                  <c:v>1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#N/A</c:v>
                </c:pt>
                <c:pt idx="1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0-43F0-BA1D-A7D63D43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overlap val="-67"/>
        <c:axId val="1979807487"/>
        <c:axId val="1979809983"/>
      </c:barChart>
      <c:catAx>
        <c:axId val="19798074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majorTickMark val="out"/>
        <c:minorTickMark val="none"/>
        <c:tickLblPos val="nextTo"/>
        <c:crossAx val="1979809983"/>
        <c:crosses val="autoZero"/>
        <c:auto val="1"/>
        <c:lblAlgn val="ctr"/>
        <c:lblOffset val="100"/>
        <c:noMultiLvlLbl val="0"/>
      </c:catAx>
      <c:valAx>
        <c:axId val="19798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798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10</xdr:row>
      <xdr:rowOff>9525</xdr:rowOff>
    </xdr:from>
    <xdr:to>
      <xdr:col>30</xdr:col>
      <xdr:colOff>0</xdr:colOff>
      <xdr:row>21</xdr:row>
      <xdr:rowOff>95251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247650</xdr:colOff>
      <xdr:row>25</xdr:row>
      <xdr:rowOff>142876</xdr:rowOff>
    </xdr:from>
    <xdr:ext cx="470731" cy="112227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4076701"/>
          <a:ext cx="470731" cy="112227"/>
        </a:xfrm>
        <a:prstGeom prst="rect">
          <a:avLst/>
        </a:prstGeom>
      </xdr:spPr>
    </xdr:pic>
    <xdr:clientData/>
  </xdr:oneCellAnchor>
  <xdr:twoCellAnchor>
    <xdr:from>
      <xdr:col>8</xdr:col>
      <xdr:colOff>600076</xdr:colOff>
      <xdr:row>29</xdr:row>
      <xdr:rowOff>9525</xdr:rowOff>
    </xdr:from>
    <xdr:to>
      <xdr:col>30</xdr:col>
      <xdr:colOff>9526</xdr:colOff>
      <xdr:row>37</xdr:row>
      <xdr:rowOff>66675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7</xdr:col>
      <xdr:colOff>438151</xdr:colOff>
      <xdr:row>25</xdr:row>
      <xdr:rowOff>161926</xdr:rowOff>
    </xdr:from>
    <xdr:ext cx="470731" cy="112227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1" y="4095751"/>
          <a:ext cx="470731" cy="112227"/>
        </a:xfrm>
        <a:prstGeom prst="rect">
          <a:avLst/>
        </a:prstGeom>
      </xdr:spPr>
    </xdr:pic>
    <xdr:clientData/>
  </xdr:oneCellAnchor>
  <xdr:twoCellAnchor>
    <xdr:from>
      <xdr:col>8</xdr:col>
      <xdr:colOff>485775</xdr:colOff>
      <xdr:row>20</xdr:row>
      <xdr:rowOff>104775</xdr:rowOff>
    </xdr:from>
    <xdr:to>
      <xdr:col>30</xdr:col>
      <xdr:colOff>133349</xdr:colOff>
      <xdr:row>25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152400</xdr:colOff>
      <xdr:row>41</xdr:row>
      <xdr:rowOff>161926</xdr:rowOff>
    </xdr:from>
    <xdr:ext cx="470731" cy="112227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143751"/>
          <a:ext cx="470731" cy="11222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41</xdr:row>
      <xdr:rowOff>152401</xdr:rowOff>
    </xdr:from>
    <xdr:ext cx="470731" cy="112227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7134226"/>
          <a:ext cx="470731" cy="112227"/>
        </a:xfrm>
        <a:prstGeom prst="rect">
          <a:avLst/>
        </a:prstGeom>
      </xdr:spPr>
    </xdr:pic>
    <xdr:clientData/>
  </xdr:oneCellAnchor>
  <xdr:oneCellAnchor>
    <xdr:from>
      <xdr:col>28</xdr:col>
      <xdr:colOff>304800</xdr:colOff>
      <xdr:row>20</xdr:row>
      <xdr:rowOff>161925</xdr:rowOff>
    </xdr:from>
    <xdr:ext cx="861774" cy="249492"/>
    <xdr:sp macro="" textlink="">
      <xdr:nvSpPr>
        <xdr:cNvPr id="3" name="TextBox 2"/>
        <xdr:cNvSpPr txBox="1"/>
      </xdr:nvSpPr>
      <xdr:spPr>
        <a:xfrm>
          <a:off x="17249775" y="3143250"/>
          <a:ext cx="861774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>
              <a:solidFill>
                <a:schemeClr val="bg1"/>
              </a:solidFill>
              <a:latin typeface="Century Gothic" panose="020B0502020202020204" pitchFamily="34" charset="0"/>
            </a:rPr>
            <a:t>Difiference</a:t>
          </a:r>
        </a:p>
      </xdr:txBody>
    </xdr:sp>
    <xdr:clientData/>
  </xdr:oneCellAnchor>
  <xdr:twoCellAnchor>
    <xdr:from>
      <xdr:col>8</xdr:col>
      <xdr:colOff>590550</xdr:colOff>
      <xdr:row>36</xdr:row>
      <xdr:rowOff>66675</xdr:rowOff>
    </xdr:from>
    <xdr:to>
      <xdr:col>30</xdr:col>
      <xdr:colOff>152399</xdr:colOff>
      <xdr:row>41</xdr:row>
      <xdr:rowOff>47625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44</xdr:row>
      <xdr:rowOff>171449</xdr:rowOff>
    </xdr:from>
    <xdr:to>
      <xdr:col>30</xdr:col>
      <xdr:colOff>0</xdr:colOff>
      <xdr:row>53</xdr:row>
      <xdr:rowOff>9524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581025</xdr:colOff>
      <xdr:row>52</xdr:row>
      <xdr:rowOff>19050</xdr:rowOff>
    </xdr:from>
    <xdr:to>
      <xdr:col>30</xdr:col>
      <xdr:colOff>142875</xdr:colOff>
      <xdr:row>56</xdr:row>
      <xdr:rowOff>104776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10</xdr:col>
      <xdr:colOff>104775</xdr:colOff>
      <xdr:row>11</xdr:row>
      <xdr:rowOff>0</xdr:rowOff>
    </xdr:from>
    <xdr:ext cx="470731" cy="112227"/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1323975"/>
          <a:ext cx="470731" cy="112227"/>
        </a:xfrm>
        <a:prstGeom prst="rect">
          <a:avLst/>
        </a:prstGeom>
      </xdr:spPr>
    </xdr:pic>
    <xdr:clientData/>
  </xdr:oneCellAnchor>
  <xdr:oneCellAnchor>
    <xdr:from>
      <xdr:col>10</xdr:col>
      <xdr:colOff>123825</xdr:colOff>
      <xdr:row>29</xdr:row>
      <xdr:rowOff>161925</xdr:rowOff>
    </xdr:from>
    <xdr:ext cx="470731" cy="112227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4857750"/>
          <a:ext cx="470731" cy="112227"/>
        </a:xfrm>
        <a:prstGeom prst="rect">
          <a:avLst/>
        </a:prstGeom>
      </xdr:spPr>
    </xdr:pic>
    <xdr:clientData/>
  </xdr:oneCellAnchor>
  <xdr:oneCellAnchor>
    <xdr:from>
      <xdr:col>10</xdr:col>
      <xdr:colOff>114300</xdr:colOff>
      <xdr:row>45</xdr:row>
      <xdr:rowOff>152400</xdr:rowOff>
    </xdr:from>
    <xdr:ext cx="470731" cy="112227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7896225"/>
          <a:ext cx="470731" cy="112227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0.91814</cdr:x>
      <cdr:y>0.6025</cdr:y>
    </cdr:from>
    <cdr:to>
      <cdr:x>0.98217</cdr:x>
      <cdr:y>0.88264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2357100" y="536575"/>
          <a:ext cx="861774" cy="24949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bg1"/>
              </a:solidFill>
              <a:latin typeface="Century Gothic" panose="020B0502020202020204" pitchFamily="34" charset="0"/>
            </a:rPr>
            <a:t>Difiference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0.91814</cdr:x>
      <cdr:y>0.6025</cdr:y>
    </cdr:from>
    <cdr:to>
      <cdr:x>0.98217</cdr:x>
      <cdr:y>0.88264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2357100" y="536575"/>
          <a:ext cx="861774" cy="24949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bg1"/>
              </a:solidFill>
              <a:latin typeface="Century Gothic" panose="020B0502020202020204" pitchFamily="34" charset="0"/>
            </a:rPr>
            <a:t>Difiference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535"/>
  <sheetViews>
    <sheetView showGridLines="0" showRowColHeaders="0" tabSelected="1" topLeftCell="A3" zoomScaleNormal="100" workbookViewId="0">
      <selection activeCell="H3" sqref="H3:K3"/>
    </sheetView>
  </sheetViews>
  <sheetFormatPr defaultColWidth="9" defaultRowHeight="12.75" x14ac:dyDescent="0.2"/>
  <cols>
    <col min="1" max="1" width="0.875" style="49" customWidth="1"/>
    <col min="2" max="2" width="11.25" style="1" customWidth="1"/>
    <col min="3" max="6" width="8.125" style="1" customWidth="1"/>
    <col min="7" max="8" width="6.625" style="1" customWidth="1"/>
    <col min="9" max="9" width="8.125" style="1" customWidth="1"/>
    <col min="10" max="10" width="5.625" style="10" customWidth="1"/>
    <col min="11" max="16" width="8.375" style="1" customWidth="1"/>
    <col min="17" max="17" width="8.375" style="10" customWidth="1"/>
    <col min="18" max="22" width="8.375" style="1" customWidth="1"/>
    <col min="23" max="23" width="8.375" style="10" customWidth="1"/>
    <col min="24" max="30" width="8.375" style="11" customWidth="1"/>
    <col min="31" max="39" width="9" style="11"/>
    <col min="40" max="57" width="9" style="10"/>
    <col min="58" max="16384" width="9" style="1"/>
  </cols>
  <sheetData>
    <row r="1" spans="1:55" ht="9" hidden="1" customHeight="1" x14ac:dyDescent="0.2"/>
    <row r="2" spans="1:55" ht="9" hidden="1" customHeight="1" thickBot="1" x14ac:dyDescent="0.25"/>
    <row r="3" spans="1:55" ht="5.0999999999999996" customHeight="1" x14ac:dyDescent="0.3">
      <c r="B3" s="157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42"/>
      <c r="W3" s="38"/>
      <c r="X3" s="38"/>
    </row>
    <row r="4" spans="1:55" ht="14.45" customHeight="1" x14ac:dyDescent="0.2">
      <c r="B4" s="180" t="str">
        <f>"CQG "&amp;RTD("cqg.rtd",,"ContractData",K6,"LongDescription")</f>
        <v>CQG Eurodollar (Globex), Sep 19</v>
      </c>
      <c r="C4" s="181"/>
      <c r="D4" s="181"/>
      <c r="E4" s="181"/>
      <c r="F4" s="181"/>
      <c r="G4" s="181"/>
      <c r="H4" s="181"/>
      <c r="I4" s="181"/>
      <c r="J4" s="182"/>
      <c r="K4" s="167"/>
      <c r="L4" s="168"/>
      <c r="M4" s="176" t="s">
        <v>21</v>
      </c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2">
        <f>RTD("cqg.rtd", ,"SystemInfo", "Linetime")</f>
        <v>43640.403541666667</v>
      </c>
      <c r="AC4" s="172"/>
      <c r="AD4" s="173"/>
    </row>
    <row r="5" spans="1:55" ht="14.45" customHeight="1" x14ac:dyDescent="0.2">
      <c r="B5" s="183"/>
      <c r="C5" s="184"/>
      <c r="D5" s="184"/>
      <c r="E5" s="184"/>
      <c r="F5" s="184"/>
      <c r="G5" s="184"/>
      <c r="H5" s="184"/>
      <c r="I5" s="184"/>
      <c r="J5" s="185"/>
      <c r="K5" s="169"/>
      <c r="L5" s="170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4"/>
      <c r="AC5" s="174"/>
      <c r="AD5" s="175"/>
    </row>
    <row r="6" spans="1:55" ht="14.45" hidden="1" customHeight="1" thickBot="1" x14ac:dyDescent="0.25">
      <c r="B6" s="73"/>
      <c r="C6" s="69"/>
      <c r="D6" s="69"/>
      <c r="E6" s="69"/>
      <c r="F6" s="69"/>
      <c r="G6" s="69"/>
      <c r="H6" s="69"/>
      <c r="I6" s="74"/>
      <c r="J6" s="69"/>
      <c r="K6" s="22" t="str">
        <f>RTD("cqg.rtd", ,"ContractData",EDA!Q2, "Symbol")</f>
        <v>EDAU19</v>
      </c>
      <c r="L6" s="23" t="str">
        <f>RTD("cqg.rtd", ,"ContractData",EDA!Q3, "Symbol")</f>
        <v>EDAZ19</v>
      </c>
      <c r="M6" s="23" t="str">
        <f>RTD("cqg.rtd", ,"ContractData",EDA!Q4, "Symbol")</f>
        <v>EDAH20</v>
      </c>
      <c r="N6" s="23" t="str">
        <f>RTD("cqg.rtd", ,"ContractData",EDA!Q5, "Symbol")</f>
        <v>EDAM20</v>
      </c>
      <c r="O6" s="24" t="str">
        <f>RTD("cqg.rtd", ,"ContractData",EDA!Q6, "Symbol")</f>
        <v>EDAU20</v>
      </c>
      <c r="P6" s="24" t="str">
        <f>RTD("cqg.rtd", ,"ContractData",EDA!Q7, "Symbol")</f>
        <v>EDAZ20</v>
      </c>
      <c r="Q6" s="25" t="str">
        <f>RTD("cqg.rtd", ,"ContractData",EDA!Q8, "Symbol")</f>
        <v>EDAH21</v>
      </c>
      <c r="R6" s="26" t="str">
        <f>RTD("cqg.rtd", ,"ContractData",EDA!Q9, "Symbol")</f>
        <v>EDAM21</v>
      </c>
      <c r="S6" s="26" t="str">
        <f>RTD("cqg.rtd", ,"ContractData",EDA!Q10, "Symbol")</f>
        <v>EDAU21</v>
      </c>
      <c r="T6" s="26" t="str">
        <f>RTD("cqg.rtd", ,"ContractData",EDA!Q11, "Symbol")</f>
        <v>EDAZ21</v>
      </c>
      <c r="U6" s="26" t="str">
        <f>RTD("cqg.rtd", ,"ContractData",EDA!Q12, "Symbol")</f>
        <v>EDAH22</v>
      </c>
      <c r="V6" s="43" t="str">
        <f>RTD("cqg.rtd", ,"ContractData",EDA!Q13, "Symbol")</f>
        <v>EDAM22</v>
      </c>
      <c r="W6" s="59" t="str">
        <f>RTD("cqg.rtd", ,"ContractData",EDA!Q14, "Symbol")</f>
        <v>EDAU22</v>
      </c>
      <c r="X6" s="59" t="str">
        <f>RTD("cqg.rtd", ,"ContractData",EDA!Q15, "Symbol")</f>
        <v>EDAZ22</v>
      </c>
      <c r="Y6" s="10" t="str">
        <f>RTD("cqg.rtd", ,"ContractData",EDA!Q16, "Symbol")</f>
        <v>EDAH23</v>
      </c>
      <c r="Z6" s="10" t="str">
        <f>RTD("cqg.rtd", ,"ContractData",EDA!Q17, "Symbol")</f>
        <v>EDAM23</v>
      </c>
      <c r="AA6" s="10" t="str">
        <f>RTD("cqg.rtd", ,"ContractData",EDA!Q18, "Symbol")</f>
        <v>EDAU23</v>
      </c>
      <c r="AB6" s="10" t="str">
        <f>RTD("cqg.rtd", ,"ContractData",EDA!Q18, "Symbol")</f>
        <v>EDAU23</v>
      </c>
      <c r="AC6" s="10" t="str">
        <f>RTD("cqg.rtd", ,"ContractData",EDA!Q20, "Symbol")</f>
        <v>EDAH24</v>
      </c>
      <c r="AD6" s="10" t="str">
        <f>RTD("cqg.rtd", ,"ContractData",EDA!Q21, "Symbol")</f>
        <v>EDAM24</v>
      </c>
      <c r="AE6" s="10"/>
      <c r="AF6" s="10"/>
      <c r="AG6" s="10"/>
      <c r="AH6" s="10"/>
      <c r="AI6" s="11" t="str">
        <f>LEFT(RIGHT(K6,3),1)</f>
        <v>U</v>
      </c>
      <c r="AJ6" s="11" t="str">
        <f>LEFT(RIGHT(L6,3),1)</f>
        <v>Z</v>
      </c>
      <c r="AK6" s="11" t="str">
        <f t="shared" ref="AK6:AV6" si="0">LEFT(RIGHT(M6,3),1)</f>
        <v>H</v>
      </c>
      <c r="AL6" s="11" t="str">
        <f t="shared" si="0"/>
        <v>M</v>
      </c>
      <c r="AM6" s="11" t="str">
        <f t="shared" si="0"/>
        <v>U</v>
      </c>
      <c r="AN6" s="11" t="str">
        <f t="shared" si="0"/>
        <v>Z</v>
      </c>
      <c r="AO6" s="11" t="str">
        <f t="shared" si="0"/>
        <v>H</v>
      </c>
      <c r="AP6" s="11" t="str">
        <f t="shared" si="0"/>
        <v>M</v>
      </c>
      <c r="AQ6" s="11" t="str">
        <f t="shared" si="0"/>
        <v>U</v>
      </c>
      <c r="AR6" s="11" t="str">
        <f t="shared" si="0"/>
        <v>Z</v>
      </c>
      <c r="AS6" s="11" t="str">
        <f t="shared" si="0"/>
        <v>H</v>
      </c>
      <c r="AT6" s="11" t="str">
        <f t="shared" si="0"/>
        <v>M</v>
      </c>
      <c r="AU6" s="11" t="str">
        <f t="shared" si="0"/>
        <v>U</v>
      </c>
      <c r="AV6" s="11" t="str">
        <f t="shared" si="0"/>
        <v>Z</v>
      </c>
      <c r="AW6" s="11" t="str">
        <f t="shared" ref="AW6" si="1">LEFT(RIGHT(Y6,3),1)</f>
        <v>H</v>
      </c>
      <c r="AX6" s="11" t="str">
        <f t="shared" ref="AX6" si="2">LEFT(RIGHT(Z6,3),1)</f>
        <v>M</v>
      </c>
      <c r="AY6" s="11" t="str">
        <f t="shared" ref="AY6" si="3">LEFT(RIGHT(AA6,3),1)</f>
        <v>U</v>
      </c>
      <c r="AZ6" s="11" t="str">
        <f t="shared" ref="AZ6" si="4">LEFT(RIGHT(AB6,3),1)</f>
        <v>U</v>
      </c>
      <c r="BA6" s="11" t="str">
        <f t="shared" ref="BA6" si="5">LEFT(RIGHT(AC6,3),1)</f>
        <v>H</v>
      </c>
      <c r="BB6" s="11" t="str">
        <f t="shared" ref="BB6" si="6">LEFT(RIGHT(AD6,3),1)</f>
        <v>M</v>
      </c>
      <c r="BC6" s="11"/>
    </row>
    <row r="7" spans="1:55" ht="14.45" customHeight="1" x14ac:dyDescent="0.2">
      <c r="B7" s="203" t="s">
        <v>1</v>
      </c>
      <c r="C7" s="199">
        <f>RTD("cqg.rtd", ,"ContractData",K6, "MT_LastAskVolume")</f>
        <v>4668</v>
      </c>
      <c r="D7" s="199"/>
      <c r="E7" s="191">
        <f>RTD("cqg.rtd", ,"ContractData",K6, "Ask",,"T")</f>
        <v>98.05</v>
      </c>
      <c r="F7" s="192"/>
      <c r="G7" s="186" t="s">
        <v>12</v>
      </c>
      <c r="H7" s="186"/>
      <c r="I7" s="186"/>
      <c r="J7" s="187"/>
      <c r="K7" s="72" t="str">
        <f t="shared" ref="K7:X7" si="7">IF(AI6="F","JAN",IF(AI6="G","FEB",IF(AI6="H","MAR",IF(AI6="J","APR",IF(AI6="K","MAY",IF(AI6="M","JUN",IF(AI6="N","JUL",IF(AI6="Q","AUG",IF(AI6="U","SEP",IF(AI6="V","OCT",IF(AI6="X","NOV",IF(AI6="Z","DEC",))))))))))))&amp;" "&amp;RIGHT(K6,2)</f>
        <v>SEP 19</v>
      </c>
      <c r="L7" s="20" t="str">
        <f t="shared" si="7"/>
        <v>DEC 19</v>
      </c>
      <c r="M7" s="20" t="str">
        <f t="shared" si="7"/>
        <v>MAR 20</v>
      </c>
      <c r="N7" s="20" t="str">
        <f t="shared" si="7"/>
        <v>JUN 20</v>
      </c>
      <c r="O7" s="20" t="str">
        <f t="shared" si="7"/>
        <v>SEP 20</v>
      </c>
      <c r="P7" s="20" t="str">
        <f t="shared" si="7"/>
        <v>DEC 20</v>
      </c>
      <c r="Q7" s="20" t="str">
        <f t="shared" si="7"/>
        <v>MAR 21</v>
      </c>
      <c r="R7" s="20" t="str">
        <f t="shared" si="7"/>
        <v>JUN 21</v>
      </c>
      <c r="S7" s="20" t="str">
        <f t="shared" si="7"/>
        <v>SEP 21</v>
      </c>
      <c r="T7" s="20" t="str">
        <f t="shared" si="7"/>
        <v>DEC 21</v>
      </c>
      <c r="U7" s="20" t="str">
        <f t="shared" si="7"/>
        <v>MAR 22</v>
      </c>
      <c r="V7" s="20" t="str">
        <f t="shared" si="7"/>
        <v>JUN 22</v>
      </c>
      <c r="W7" s="20" t="str">
        <f t="shared" si="7"/>
        <v>SEP 22</v>
      </c>
      <c r="X7" s="20" t="str">
        <f t="shared" si="7"/>
        <v>DEC 22</v>
      </c>
      <c r="Y7" s="20" t="str">
        <f t="shared" ref="Y7:AD7" si="8">IF(AW6="F","JAN",IF(AW6="G","FEB",IF(AW6="H","MAR",IF(AW6="J","APR",IF(AW6="K","MAY",IF(AW6="M","JUN",IF(AW6="N","JUL",IF(AW6="Q","AUG",IF(AW6="U","SEP",IF(AW6="V","OCT",IF(AW6="X","NOV",IF(AW6="Z","DEC",))))))))))))&amp;" "&amp;RIGHT(Y6,2)</f>
        <v>MAR 23</v>
      </c>
      <c r="Z7" s="20" t="str">
        <f t="shared" si="8"/>
        <v>JUN 23</v>
      </c>
      <c r="AA7" s="20" t="str">
        <f t="shared" si="8"/>
        <v>SEP 23</v>
      </c>
      <c r="AB7" s="20" t="str">
        <f t="shared" si="8"/>
        <v>SEP 23</v>
      </c>
      <c r="AC7" s="20" t="str">
        <f t="shared" si="8"/>
        <v>MAR 24</v>
      </c>
      <c r="AD7" s="20" t="str">
        <f t="shared" si="8"/>
        <v>JUN 24</v>
      </c>
    </row>
    <row r="8" spans="1:55" ht="14.45" customHeight="1" x14ac:dyDescent="0.3">
      <c r="B8" s="204"/>
      <c r="C8" s="200"/>
      <c r="D8" s="200"/>
      <c r="E8" s="193"/>
      <c r="F8" s="194"/>
      <c r="G8" s="188"/>
      <c r="H8" s="188"/>
      <c r="I8" s="188"/>
      <c r="J8" s="189"/>
      <c r="K8" s="77" t="str">
        <f>TEXT(RTD("cqg.rtd",,"ContractData",K6,"Ask",,"T"),"#.0000")&amp;" "&amp;"A"</f>
        <v>98.0500 A</v>
      </c>
      <c r="L8" s="78" t="str">
        <f>TEXT(RTD("cqg.rtd",,"ContractData",L6,"Ask",,"T"),"#.000")&amp;" "&amp;"A"</f>
        <v>98.160 A</v>
      </c>
      <c r="M8" s="78" t="str">
        <f>TEXT(RTD("cqg.rtd",,"ContractData",M6,"Ask",,"T"),"#.000")&amp;" "&amp;"A"</f>
        <v>98.360 A</v>
      </c>
      <c r="N8" s="78" t="str">
        <f>TEXT(RTD("cqg.rtd",,"ContractData",N6,"Ask",,"T"),"#.000")&amp;" "&amp;"A"</f>
        <v>98.445 A</v>
      </c>
      <c r="O8" s="78" t="str">
        <f>TEXT(RTD("cqg.rtd",,"ContractData",O6,"Ask",,"T"),"#.000")&amp;" "&amp;"A"</f>
        <v>98.505 A</v>
      </c>
      <c r="P8" s="78" t="str">
        <f>TEXT(RTD("cqg.rtd",,"ContractData",P6,"Ask",,"T"),"#.000")&amp;" "&amp;"A"</f>
        <v>98.500 A</v>
      </c>
      <c r="Q8" s="78" t="str">
        <f>TEXT(RTD("cqg.rtd",,"ContractData",Q6,"Ask",,"T"),"#.000")&amp;" "&amp;"A"</f>
        <v>98.515 A</v>
      </c>
      <c r="R8" s="78" t="str">
        <f>TEXT(RTD("cqg.rtd",,"ContractData",R6,"Ask",,"T"),"#.000")&amp;" "&amp;"A"</f>
        <v>98.475 A</v>
      </c>
      <c r="S8" s="78" t="str">
        <f>TEXT(RTD("cqg.rtd",,"ContractData",S6,"Ask",,"T"),"#.000")&amp;" "&amp;"A"</f>
        <v>98.445 A</v>
      </c>
      <c r="T8" s="78" t="str">
        <f>TEXT(RTD("cqg.rtd",,"ContractData",T6,"Ask",,"T"),"#.000")&amp;" "&amp;"A"</f>
        <v>98.400 A</v>
      </c>
      <c r="U8" s="78" t="str">
        <f>TEXT(RTD("cqg.rtd",,"ContractData",U6,"Ask",,"T"),"#.000")&amp;" "&amp;"A"</f>
        <v>98.365 A</v>
      </c>
      <c r="V8" s="79" t="str">
        <f>TEXT(RTD("cqg.rtd",,"ContractData",V6,"Ask",,"T"),"#.000")&amp;" "&amp;"A"</f>
        <v>98.320 A</v>
      </c>
      <c r="W8" s="79" t="str">
        <f>TEXT(RTD("cqg.rtd",,"ContractData",W6,"Ask",,"T"),"#.000")&amp;" "&amp;"A"</f>
        <v>98.280 A</v>
      </c>
      <c r="X8" s="79" t="str">
        <f>TEXT(RTD("cqg.rtd",,"ContractData",X6,"Ask",,"T"),"#.000")&amp;" "&amp;"A"</f>
        <v>98.240 A</v>
      </c>
      <c r="Y8" s="79" t="str">
        <f>TEXT(RTD("cqg.rtd",,"ContractData",Y6,"Ask",,"T"),"#.000")&amp;" "&amp;"A"</f>
        <v>98.205 A</v>
      </c>
      <c r="Z8" s="79" t="str">
        <f>TEXT(RTD("cqg.rtd",,"ContractData",Z6,"Ask",,"T"),"#.000")&amp;" "&amp;"A"</f>
        <v>98.165 A</v>
      </c>
      <c r="AA8" s="79" t="str">
        <f>TEXT(RTD("cqg.rtd",,"ContractData",AA6,"Ask",,"T"),"#.000")&amp;" "&amp;"A"</f>
        <v>98.120 A</v>
      </c>
      <c r="AB8" s="79" t="str">
        <f>TEXT(RTD("cqg.rtd",,"ContractData",AB6,"Ask",,"T"),"#.000")&amp;" "&amp;"A"</f>
        <v>98.120 A</v>
      </c>
      <c r="AC8" s="79" t="str">
        <f>TEXT(RTD("cqg.rtd",,"ContractData",AC6,"Ask",,"T"),"#.000")&amp;" "&amp;"A"</f>
        <v>98.035 A</v>
      </c>
      <c r="AD8" s="79" t="str">
        <f>TEXT(RTD("cqg.rtd",,"ContractData",AD6,"Ask",,"T"),"#.000")&amp;" "&amp;"A"</f>
        <v>97.990 A</v>
      </c>
    </row>
    <row r="9" spans="1:55" ht="14.45" customHeight="1" x14ac:dyDescent="0.3">
      <c r="B9" s="159" t="s">
        <v>0</v>
      </c>
      <c r="C9" s="201">
        <f>RTD("cqg.rtd", ,"ContractData",K6, "MT_LastBidVolume")</f>
        <v>524</v>
      </c>
      <c r="D9" s="201"/>
      <c r="E9" s="195">
        <f>RTD("cqg.rtd", ,"ContractData",K6, "Bid",,"T")</f>
        <v>98.045000000000002</v>
      </c>
      <c r="F9" s="196"/>
      <c r="G9" s="190">
        <f>RTD("cqg.rtd", ,"ContractData",K6,"LastTradeorSettle",,"T")</f>
        <v>98.045000000000002</v>
      </c>
      <c r="H9" s="190"/>
      <c r="I9" s="178" t="str">
        <f>IF(G13&gt;0,"+"&amp;TEXT(RTD("cqg.rtd",,"ContractData",K6,"NetLastTradeToday",,"T"),"#.0000"),TEXT(G13,"#.0000"))</f>
        <v>+.0300</v>
      </c>
      <c r="J9" s="179"/>
      <c r="K9" s="77" t="str">
        <f>TEXT(RTD("cqg.rtd",,"ContractData",K6,"Bid",,"T"),"#.0000")&amp;" "&amp;"B"</f>
        <v>98.0450 B</v>
      </c>
      <c r="L9" s="78" t="str">
        <f>TEXT(RTD("cqg.rtd",,"ContractData",L6,"Bid",,"T"),"#.000")&amp;" "&amp;"B"</f>
        <v>98.155 B</v>
      </c>
      <c r="M9" s="78" t="str">
        <f>TEXT(RTD("cqg.rtd",,"ContractData",M6,"Bid",,"T"),"#.000")&amp;" "&amp;"B"</f>
        <v>98.355 B</v>
      </c>
      <c r="N9" s="78" t="str">
        <f>TEXT(RTD("cqg.rtd",,"ContractData",N6,"Bid",,"T"),"#.000")&amp;" "&amp;"B"</f>
        <v>98.440 B</v>
      </c>
      <c r="O9" s="78" t="str">
        <f>TEXT(RTD("cqg.rtd",,"ContractData",O6,"Bid",,"T"),"#.000")&amp;" "&amp;"B"</f>
        <v>98.500 B</v>
      </c>
      <c r="P9" s="78" t="str">
        <f>TEXT(RTD("cqg.rtd",,"ContractData",P6,"Bid",,"T"),"#.000")&amp;" "&amp;"B"</f>
        <v>98.490 B</v>
      </c>
      <c r="Q9" s="78" t="str">
        <f>TEXT(RTD("cqg.rtd",,"ContractData",Q6,"Bid",,"T"),"#.000")&amp;" "&amp;"B"</f>
        <v>98.510 B</v>
      </c>
      <c r="R9" s="78" t="str">
        <f>TEXT(RTD("cqg.rtd",,"ContractData",R6,"Bid",,"T"),"#.000")&amp;" "&amp;"B"</f>
        <v>98.470 B</v>
      </c>
      <c r="S9" s="78" t="str">
        <f>TEXT(RTD("cqg.rtd",,"ContractData",S6,"Bid",,"T"),"#.000")&amp;" "&amp;"B"</f>
        <v>98.440 B</v>
      </c>
      <c r="T9" s="78" t="str">
        <f>TEXT(RTD("cqg.rtd",,"ContractData",T6,"Bid",,"T"),"#.000")&amp;" "&amp;"B"</f>
        <v>98.395 B</v>
      </c>
      <c r="U9" s="78" t="str">
        <f>TEXT(RTD("cqg.rtd",,"ContractData",U6,"Bid",,"T"),"#.000")&amp;" "&amp;"B"</f>
        <v>98.360 B</v>
      </c>
      <c r="V9" s="79" t="str">
        <f>TEXT(RTD("cqg.rtd",,"ContractData",V6,"Bid",,"T"),"#.000")&amp;" "&amp;"B"</f>
        <v>98.315 B</v>
      </c>
      <c r="W9" s="79" t="str">
        <f>TEXT(RTD("cqg.rtd",,"ContractData",W6,"Bid",,"T"),"#.000")&amp;" "&amp;"B"</f>
        <v>98.275 B</v>
      </c>
      <c r="X9" s="79" t="str">
        <f>TEXT(RTD("cqg.rtd",,"ContractData",X6,"Bid",,"T"),"#.000")&amp;" "&amp;"B"</f>
        <v>98.235 B</v>
      </c>
      <c r="Y9" s="79" t="str">
        <f>TEXT(RTD("cqg.rtd",,"ContractData",Y6,"Bid",,"T"),"#.000")&amp;" "&amp;"B"</f>
        <v>98.200 B</v>
      </c>
      <c r="Z9" s="79" t="str">
        <f>TEXT(RTD("cqg.rtd",,"ContractData",Z6,"Bid",,"T"),"#.000")&amp;" "&amp;"B"</f>
        <v>98.160 B</v>
      </c>
      <c r="AA9" s="79" t="str">
        <f>TEXT(RTD("cqg.rtd",,"ContractData",AA6,"Bid",,"T"),"#.000")&amp;" "&amp;"B"</f>
        <v>98.115 B</v>
      </c>
      <c r="AB9" s="79" t="str">
        <f>TEXT(RTD("cqg.rtd",,"ContractData",AB6,"Bid",,"T"),"#.000")&amp;" "&amp;"B"</f>
        <v>98.115 B</v>
      </c>
      <c r="AC9" s="79" t="str">
        <f>TEXT(RTD("cqg.rtd",,"ContractData",AC6,"Bid",,"T"),"#.000")&amp;" "&amp;"B"</f>
        <v>98.025 B</v>
      </c>
      <c r="AD9" s="79" t="str">
        <f>TEXT(RTD("cqg.rtd",,"ContractData",AD6,"Bid",,"T"),"#.000")&amp;" "&amp;"B"</f>
        <v>97.985 B</v>
      </c>
    </row>
    <row r="10" spans="1:55" ht="14.45" customHeight="1" x14ac:dyDescent="0.3">
      <c r="B10" s="160"/>
      <c r="C10" s="202"/>
      <c r="D10" s="202"/>
      <c r="E10" s="197"/>
      <c r="F10" s="198"/>
      <c r="G10" s="190"/>
      <c r="H10" s="190"/>
      <c r="I10" s="178"/>
      <c r="J10" s="179"/>
      <c r="K10" s="77" t="str">
        <f>TEXT(RTD("cqg.rtd", ,"ContractData",K6,"LastTradeorSettle",,"T"),"#.0000")&amp;" "&amp;"L"</f>
        <v>98.0450 L</v>
      </c>
      <c r="L10" s="78" t="str">
        <f>TEXT(RTD("cqg.rtd", ,"ContractData",L6,"LastTradeorSettle",,"T"),"#.000")&amp;" "&amp;"L"</f>
        <v>98.160 L</v>
      </c>
      <c r="M10" s="78" t="str">
        <f>TEXT(RTD("cqg.rtd", ,"ContractData",M6,"LastTradeorSettle",,"T"),"#.000")&amp;" "&amp;"L"</f>
        <v>98.360 L</v>
      </c>
      <c r="N10" s="78" t="str">
        <f>TEXT(RTD("cqg.rtd", ,"ContractData",N6,"LastTradeorSettle",,"T"),"#.000")&amp;" "&amp;"L"</f>
        <v>98.445 L</v>
      </c>
      <c r="O10" s="78" t="str">
        <f>TEXT(RTD("cqg.rtd", ,"ContractData",O6,"LastTradeorSettle",,"T"),"#.000")&amp;" "&amp;"L"</f>
        <v>98.505 L</v>
      </c>
      <c r="P10" s="78" t="str">
        <f>TEXT(RTD("cqg.rtd", ,"ContractData",P6,"LastTradeorSettle",,"T"),"#.000")&amp;" "&amp;"L"</f>
        <v>98.495 L</v>
      </c>
      <c r="Q10" s="78" t="str">
        <f>TEXT(RTD("cqg.rtd", ,"ContractData",Q6,"LastTradeorSettle",,"T"),"#.000")&amp;" "&amp;"L"</f>
        <v>98.510 L</v>
      </c>
      <c r="R10" s="78" t="str">
        <f>TEXT(RTD("cqg.rtd", ,"ContractData",R6,"LastTradeorSettle",,"T"),"#.000")&amp;" "&amp;"L"</f>
        <v>98.475 L</v>
      </c>
      <c r="S10" s="78" t="str">
        <f>TEXT(RTD("cqg.rtd", ,"ContractData",S6,"LastTradeorSettle",,"T"),"#.000")&amp;" "&amp;"L"</f>
        <v>98.440 L</v>
      </c>
      <c r="T10" s="78" t="str">
        <f>TEXT(RTD("cqg.rtd", ,"ContractData",T6,"LastTradeorSettle",,"T"),"#.000")&amp;" "&amp;"L"</f>
        <v>98.395 L</v>
      </c>
      <c r="U10" s="78" t="str">
        <f>TEXT(RTD("cqg.rtd", ,"ContractData",U6,"LastTradeorSettle",,"T"),"#.000")&amp;" "&amp;"L"</f>
        <v>98.360 L</v>
      </c>
      <c r="V10" s="79" t="str">
        <f>TEXT(RTD("cqg.rtd", ,"ContractData",V6,"LastTradeorSettle",,"T"),"#.000")&amp;" "&amp;"L"</f>
        <v>98.315 L</v>
      </c>
      <c r="W10" s="79" t="str">
        <f>TEXT(RTD("cqg.rtd", ,"ContractData",W6,"LastTradeorSettle",,"T"),"#.000")&amp;" "&amp;"L"</f>
        <v>98.270 L</v>
      </c>
      <c r="X10" s="79" t="str">
        <f>TEXT(RTD("cqg.rtd", ,"ContractData",X6,"LastTradeorSettle",,"T"),"#.000")&amp;" "&amp;"L"</f>
        <v>98.235 L</v>
      </c>
      <c r="Y10" s="79" t="str">
        <f>TEXT(RTD("cqg.rtd", ,"ContractData",Y6,"LastTradeorSettle",,"T"),"#.000")&amp;" "&amp;"L"</f>
        <v>98.200 L</v>
      </c>
      <c r="Z10" s="79" t="str">
        <f>TEXT(RTD("cqg.rtd", ,"ContractData",Z6,"LastTradeorSettle",,"T"),"#.000")&amp;" "&amp;"L"</f>
        <v>98.160 L</v>
      </c>
      <c r="AA10" s="79" t="str">
        <f>TEXT(RTD("cqg.rtd", ,"ContractData",AA6,"LastTradeorSettle",,"T"),"#.000")&amp;" "&amp;"L"</f>
        <v>98.115 L</v>
      </c>
      <c r="AB10" s="79" t="str">
        <f>TEXT(RTD("cqg.rtd", ,"ContractData",AB6,"LastTradeorSettle",,"T"),"#.000")&amp;" "&amp;"L"</f>
        <v>98.115 L</v>
      </c>
      <c r="AC10" s="79" t="str">
        <f>TEXT(RTD("cqg.rtd", ,"ContractData",AC6,"LastTradeorSettle",,"T"),"#.000")&amp;" "&amp;"L"</f>
        <v>98.030 L</v>
      </c>
      <c r="AD10" s="79" t="str">
        <f>TEXT(RTD("cqg.rtd", ,"ContractData",AD6,"LastTradeorSettle",,"T"),"#.000")&amp;" "&amp;"L"</f>
        <v>97.985 L</v>
      </c>
    </row>
    <row r="11" spans="1:55" ht="14.1" customHeight="1" x14ac:dyDescent="0.3">
      <c r="B11" s="161"/>
      <c r="C11" s="147"/>
      <c r="D11" s="115"/>
      <c r="E11" s="116"/>
      <c r="F11" s="117"/>
      <c r="G11" s="116"/>
      <c r="H11" s="118"/>
      <c r="I11" s="119"/>
      <c r="J11" s="128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1"/>
    </row>
    <row r="12" spans="1:55" ht="14.45" customHeight="1" x14ac:dyDescent="0.3">
      <c r="B12" s="112" t="s">
        <v>13</v>
      </c>
      <c r="C12" s="113" t="s">
        <v>7</v>
      </c>
      <c r="D12" s="113" t="s">
        <v>8</v>
      </c>
      <c r="E12" s="113" t="s">
        <v>9</v>
      </c>
      <c r="F12" s="113" t="s">
        <v>6</v>
      </c>
      <c r="G12" s="113" t="s">
        <v>10</v>
      </c>
      <c r="H12" s="113" t="s">
        <v>10</v>
      </c>
      <c r="I12" s="114" t="s">
        <v>11</v>
      </c>
      <c r="J12" s="70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3"/>
      <c r="AM12" s="10"/>
    </row>
    <row r="13" spans="1:55" ht="14.45" customHeight="1" x14ac:dyDescent="0.3">
      <c r="A13" s="49" t="str">
        <f>RTD("cqg.rtd",,"ContractData","EDA?1", "Symbol")</f>
        <v>EDAU19</v>
      </c>
      <c r="B13" s="54" t="str">
        <f>RIGHT(RTD("cqg.rtd",,"ContractData",A13, "LongDescription"),7)</f>
        <v xml:space="preserve"> Sep 19</v>
      </c>
      <c r="C13" s="75">
        <f>RTD("cqg.rtd", ,"ContractData",A13, "Open",,"T")</f>
        <v>98.015000000000001</v>
      </c>
      <c r="D13" s="75">
        <f>RTD("cqg.rtd", ,"ContractData",A13, "High",,"T")</f>
        <v>98.05</v>
      </c>
      <c r="E13" s="75">
        <f>RTD("cqg.rtd", ,"ContractData",A13, "Low",,"T")</f>
        <v>98.01</v>
      </c>
      <c r="F13" s="75">
        <f>RTD("cqg.rtd", ,"ContractData",A13, "LastTradeorSettle",,"T")</f>
        <v>98.045000000000002</v>
      </c>
      <c r="G13" s="76">
        <f>RTD("cqg.rtd",,"ContractData",A13,"NetLastTradeToday",,"T")</f>
        <v>3.0000000000001137E-2</v>
      </c>
      <c r="H13" s="57">
        <f>RTD("cqg.rtd",,"ContractData",A13,"NetLastTradeToday",,"T")</f>
        <v>3.0000000000001137E-2</v>
      </c>
      <c r="I13" s="58">
        <f>RTD("cqg.rtd", ,"ContractData",A13, "T_CVol")</f>
        <v>144975</v>
      </c>
      <c r="J13" s="70"/>
      <c r="K13" s="165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64"/>
    </row>
    <row r="14" spans="1:55" ht="14.45" customHeight="1" x14ac:dyDescent="0.3">
      <c r="A14" s="49" t="str">
        <f>RTD("cqg.rtd",,"ContractData","EDA?2", "Symbol")</f>
        <v>EDAZ19</v>
      </c>
      <c r="B14" s="54" t="str">
        <f>RIGHT(RTD("cqg.rtd",,"ContractData",A14, "LongDescription"),7)</f>
        <v xml:space="preserve"> Dec 19</v>
      </c>
      <c r="C14" s="55">
        <f>RTD("cqg.rtd", ,"ContractData",A14, "Open",,"T")</f>
        <v>98.12</v>
      </c>
      <c r="D14" s="55">
        <f>RTD("cqg.rtd", ,"ContractData",A14, "High",,"T")</f>
        <v>98.16</v>
      </c>
      <c r="E14" s="55">
        <f>RTD("cqg.rtd", ,"ContractData",A14, "Low",,"T")</f>
        <v>98.115000000000009</v>
      </c>
      <c r="F14" s="55">
        <f>RTD("cqg.rtd", ,"ContractData",A14, "LastTradeorSettle",,"T")</f>
        <v>98.16</v>
      </c>
      <c r="G14" s="56">
        <f>RTD("cqg.rtd",,"ContractData",A14,"NetLastTradeToday",,"T")</f>
        <v>4.4999999999987494E-2</v>
      </c>
      <c r="H14" s="57">
        <f>RTD("cqg.rtd",,"ContractData",A14,"NetLastTradeToday",,"T")</f>
        <v>4.4999999999987494E-2</v>
      </c>
      <c r="I14" s="58">
        <f>RTD("cqg.rtd", ,"ContractData",A14, "T_CVol")</f>
        <v>94683</v>
      </c>
      <c r="J14" s="70"/>
      <c r="K14" s="165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64"/>
    </row>
    <row r="15" spans="1:55" ht="14.45" customHeight="1" x14ac:dyDescent="0.3">
      <c r="A15" s="49" t="str">
        <f>RTD("cqg.rtd",,"ContractData","EDA?3", "Symbol")</f>
        <v>EDAH20</v>
      </c>
      <c r="B15" s="54" t="str">
        <f>RIGHT(RTD("cqg.rtd",,"ContractData",A15, "LongDescription"),7)</f>
        <v xml:space="preserve"> Mar 20</v>
      </c>
      <c r="C15" s="55">
        <f>RTD("cqg.rtd", ,"ContractData",A15, "Open",,"T")</f>
        <v>98.314999999999998</v>
      </c>
      <c r="D15" s="55">
        <f>RTD("cqg.rtd", ,"ContractData",A15, "High",,"T")</f>
        <v>98.36</v>
      </c>
      <c r="E15" s="55">
        <f>RTD("cqg.rtd", ,"ContractData",A15, "Low",,"T")</f>
        <v>98.31</v>
      </c>
      <c r="F15" s="55">
        <f>RTD("cqg.rtd", ,"ContractData",A15, "LastTradeorSettle",,"T")</f>
        <v>98.36</v>
      </c>
      <c r="G15" s="56">
        <f>RTD("cqg.rtd",,"ContractData",A15,"NetLastTradeToday",,"T")</f>
        <v>5.499999999999261E-2</v>
      </c>
      <c r="H15" s="57">
        <f>RTD("cqg.rtd",,"ContractData",A15,"NetLastTradeToday",,"T")</f>
        <v>5.499999999999261E-2</v>
      </c>
      <c r="I15" s="58">
        <f>RTD("cqg.rtd", ,"ContractData",A15, "T_CVol")</f>
        <v>80999</v>
      </c>
      <c r="J15" s="70"/>
      <c r="K15" s="165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64"/>
    </row>
    <row r="16" spans="1:55" ht="14.45" customHeight="1" x14ac:dyDescent="0.3">
      <c r="A16" s="49" t="str">
        <f>RTD("cqg.rtd",,"ContractData","EDA?4", "Symbol")</f>
        <v>EDAM20</v>
      </c>
      <c r="B16" s="54" t="str">
        <f>RIGHT(RTD("cqg.rtd",,"ContractData",A16, "LongDescription"),7)</f>
        <v xml:space="preserve"> Jun 20</v>
      </c>
      <c r="C16" s="55">
        <f>RTD("cqg.rtd", ,"ContractData",A16, "Open",,"T")</f>
        <v>98.4</v>
      </c>
      <c r="D16" s="55">
        <f>RTD("cqg.rtd", ,"ContractData",A16, "High",,"T")</f>
        <v>98.445000000000007</v>
      </c>
      <c r="E16" s="55">
        <f>RTD("cqg.rtd", ,"ContractData",A16, "Low",,"T")</f>
        <v>98.385000000000005</v>
      </c>
      <c r="F16" s="55">
        <f>RTD("cqg.rtd", ,"ContractData",A16, "LastTradeorSettle",,"T")</f>
        <v>98.445000000000007</v>
      </c>
      <c r="G16" s="56">
        <f>RTD("cqg.rtd",,"ContractData",A16,"NetLastTradeToday",,"T")</f>
        <v>5.5000000000006821E-2</v>
      </c>
      <c r="H16" s="57">
        <f>RTD("cqg.rtd",,"ContractData",A16,"NetLastTradeToday",,"T")</f>
        <v>5.5000000000006821E-2</v>
      </c>
      <c r="I16" s="58">
        <f>RTD("cqg.rtd", ,"ContractData",A16, "T_CVol")</f>
        <v>92587</v>
      </c>
      <c r="J16" s="7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65"/>
    </row>
    <row r="17" spans="1:57" ht="14.45" customHeight="1" x14ac:dyDescent="0.3">
      <c r="A17" s="49" t="str">
        <f>RTD("cqg.rtd",,"ContractData","EDA?5", "Symbol")</f>
        <v>EDAU20</v>
      </c>
      <c r="B17" s="54" t="str">
        <f>RIGHT(RTD("cqg.rtd",,"ContractData",A17, "LongDescription"),7)</f>
        <v xml:space="preserve"> Sep 20</v>
      </c>
      <c r="C17" s="55">
        <f>RTD("cqg.rtd", ,"ContractData",A17, "Open",,"T")</f>
        <v>98.454999999999998</v>
      </c>
      <c r="D17" s="55">
        <f>RTD("cqg.rtd", ,"ContractData",A17, "High",,"T")</f>
        <v>98.504999999999995</v>
      </c>
      <c r="E17" s="55">
        <f>RTD("cqg.rtd", ,"ContractData",A17, "Low",,"T")</f>
        <v>98.44</v>
      </c>
      <c r="F17" s="55">
        <f>RTD("cqg.rtd", ,"ContractData",A17, "LastTradeorSettle",,"T")</f>
        <v>98.504999999999995</v>
      </c>
      <c r="G17" s="56">
        <f>RTD("cqg.rtd",,"ContractData",A17,"NetLastTradeToday",,"T")</f>
        <v>5.499999999999261E-2</v>
      </c>
      <c r="H17" s="57">
        <f>RTD("cqg.rtd",,"ContractData",A17,"NetLastTradeToday",,"T")</f>
        <v>5.499999999999261E-2</v>
      </c>
      <c r="I17" s="58">
        <f>RTD("cqg.rtd", ,"ContractData",A17, "T_CVol")</f>
        <v>81557</v>
      </c>
      <c r="J17" s="7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66"/>
    </row>
    <row r="18" spans="1:57" ht="15" customHeight="1" x14ac:dyDescent="0.3">
      <c r="A18" s="49" t="str">
        <f>RTD("cqg.rtd",,"ContractData","EDA?6", "Symbol")</f>
        <v>EDAZ20</v>
      </c>
      <c r="B18" s="54" t="str">
        <f>RIGHT(RTD("cqg.rtd",,"ContractData",A18, "LongDescription"),7)</f>
        <v xml:space="preserve"> Dec 20</v>
      </c>
      <c r="C18" s="55">
        <f>RTD("cqg.rtd", ,"ContractData",A18, "Open",,"T")</f>
        <v>98.45</v>
      </c>
      <c r="D18" s="55">
        <f>RTD("cqg.rtd", ,"ContractData",A18, "High",,"T")</f>
        <v>98.495000000000005</v>
      </c>
      <c r="E18" s="55">
        <f>RTD("cqg.rtd", ,"ContractData",A18, "Low",,"T")</f>
        <v>98.44</v>
      </c>
      <c r="F18" s="55">
        <f>RTD("cqg.rtd", ,"ContractData",A18, "LastTradeorSettle",,"T")</f>
        <v>98.495000000000005</v>
      </c>
      <c r="G18" s="56">
        <f>RTD("cqg.rtd",,"ContractData",A18,"NetLastTradeToday",,"T")</f>
        <v>4.9999999999997158E-2</v>
      </c>
      <c r="H18" s="57">
        <f>RTD("cqg.rtd",,"ContractData",A18,"NetLastTradeToday",,"T")</f>
        <v>4.9999999999997158E-2</v>
      </c>
      <c r="I18" s="58">
        <f>RTD("cqg.rtd", ,"ContractData",A18, "T_CVol")</f>
        <v>77523</v>
      </c>
      <c r="J18" s="70"/>
      <c r="K18" s="3"/>
      <c r="L18" s="3"/>
      <c r="M18" s="3"/>
      <c r="N18" s="3"/>
      <c r="O18" s="3"/>
      <c r="P18" s="3"/>
      <c r="Q18" s="3"/>
      <c r="R18" s="4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7"/>
    </row>
    <row r="19" spans="1:57" ht="15" customHeight="1" x14ac:dyDescent="0.3">
      <c r="A19" s="49" t="str">
        <f>RTD("cqg.rtd",,"ContractData","EDA?7", "Symbol")</f>
        <v>EDAH21</v>
      </c>
      <c r="B19" s="54" t="str">
        <f>RIGHT(RTD("cqg.rtd",,"ContractData",A19, "LongDescription"),7)</f>
        <v xml:space="preserve"> Mar 21</v>
      </c>
      <c r="C19" s="55">
        <f>RTD("cqg.rtd", ,"ContractData",A19, "Open",,"T")</f>
        <v>98.475000000000009</v>
      </c>
      <c r="D19" s="55">
        <f>RTD("cqg.rtd", ,"ContractData",A19, "High",,"T")</f>
        <v>98.51</v>
      </c>
      <c r="E19" s="55">
        <f>RTD("cqg.rtd", ,"ContractData",A19, "Low",,"T")</f>
        <v>98.454999999999998</v>
      </c>
      <c r="F19" s="55">
        <f>RTD("cqg.rtd", ,"ContractData",A19, "LastTradeorSettle",,"T")</f>
        <v>98.51</v>
      </c>
      <c r="G19" s="56">
        <f>RTD("cqg.rtd",,"ContractData",A19,"NetLastTradeToday",,"T")</f>
        <v>4.9999999999997158E-2</v>
      </c>
      <c r="H19" s="57">
        <f>RTD("cqg.rtd",,"ContractData",A19,"NetLastTradeToday",,"T")</f>
        <v>4.9999999999997158E-2</v>
      </c>
      <c r="I19" s="58">
        <f>RTD("cqg.rtd", ,"ContractData",A19, "T_CVol")</f>
        <v>65853</v>
      </c>
      <c r="J19" s="70"/>
      <c r="K19" s="3"/>
      <c r="L19" s="3"/>
      <c r="M19" s="3"/>
      <c r="N19" s="3"/>
      <c r="O19" s="3"/>
      <c r="P19" s="3"/>
      <c r="Q19" s="3"/>
      <c r="R19" s="4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67"/>
    </row>
    <row r="20" spans="1:57" ht="15" customHeight="1" x14ac:dyDescent="0.3">
      <c r="A20" s="49" t="str">
        <f>RTD("cqg.rtd",,"ContractData","EDA?8", "Symbol")</f>
        <v>EDAM21</v>
      </c>
      <c r="B20" s="54" t="str">
        <f>RIGHT(RTD("cqg.rtd",,"ContractData",A20, "LongDescription"),7)</f>
        <v xml:space="preserve"> Jun 21</v>
      </c>
      <c r="C20" s="55">
        <f>RTD("cqg.rtd", ,"ContractData",A20, "Open",,"T")</f>
        <v>98.44</v>
      </c>
      <c r="D20" s="55">
        <f>RTD("cqg.rtd", ,"ContractData",A20, "High",,"T")</f>
        <v>98.475000000000009</v>
      </c>
      <c r="E20" s="55">
        <f>RTD("cqg.rtd", ,"ContractData",A20, "Low",,"T")</f>
        <v>98.424999999999997</v>
      </c>
      <c r="F20" s="55">
        <f>RTD("cqg.rtd", ,"ContractData",A20, "LastTradeorSettle",,"T")</f>
        <v>98.475000000000009</v>
      </c>
      <c r="G20" s="56">
        <f>RTD("cqg.rtd",,"ContractData",A20,"NetLastTradeToday",,"T")</f>
        <v>5.0000000000011369E-2</v>
      </c>
      <c r="H20" s="57">
        <f>RTD("cqg.rtd",,"ContractData",A20,"NetLastTradeToday",,"T")</f>
        <v>5.0000000000011369E-2</v>
      </c>
      <c r="I20" s="58">
        <f>RTD("cqg.rtd", ,"ContractData",A20, "T_CVol")</f>
        <v>51963</v>
      </c>
      <c r="J20" s="70"/>
      <c r="K20" s="3"/>
      <c r="L20" s="3"/>
      <c r="M20" s="3"/>
      <c r="N20" s="3"/>
      <c r="O20" s="3"/>
      <c r="P20" s="3"/>
      <c r="Q20" s="3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67"/>
    </row>
    <row r="21" spans="1:57" ht="15" customHeight="1" x14ac:dyDescent="0.3">
      <c r="A21" s="49" t="str">
        <f>RTD("cqg.rtd",,"ContractData","EDA?9", "Symbol")</f>
        <v>EDAU21</v>
      </c>
      <c r="B21" s="54" t="str">
        <f>RIGHT(RTD("cqg.rtd",,"ContractData",A21, "LongDescription"),7)</f>
        <v xml:space="preserve"> Sep 21</v>
      </c>
      <c r="C21" s="55">
        <f>RTD("cqg.rtd", ,"ContractData",A21, "Open",,"T")</f>
        <v>98.41</v>
      </c>
      <c r="D21" s="55">
        <f>RTD("cqg.rtd", ,"ContractData",A21, "High",,"T")</f>
        <v>98.44</v>
      </c>
      <c r="E21" s="55">
        <f>RTD("cqg.rtd", ,"ContractData",A21, "Low",,"T")</f>
        <v>98.394999999999996</v>
      </c>
      <c r="F21" s="55">
        <f>RTD("cqg.rtd", ,"ContractData",A21, "LastTradeorSettle",,"T")</f>
        <v>98.44</v>
      </c>
      <c r="G21" s="56">
        <f>RTD("cqg.rtd",,"ContractData",A21,"NetLastTradeToday",,"T")</f>
        <v>4.5000000000001705E-2</v>
      </c>
      <c r="H21" s="57">
        <f>RTD("cqg.rtd",,"ContractData",A21,"NetLastTradeToday",,"T")</f>
        <v>4.5000000000001705E-2</v>
      </c>
      <c r="I21" s="58">
        <f>RTD("cqg.rtd", ,"ContractData",A21, "T_CVol")</f>
        <v>37830</v>
      </c>
      <c r="J21" s="70"/>
      <c r="K21" s="3"/>
      <c r="L21" s="3"/>
      <c r="M21" s="3"/>
      <c r="N21" s="3"/>
      <c r="O21" s="3"/>
      <c r="P21" s="3"/>
      <c r="Q21" s="3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67"/>
    </row>
    <row r="22" spans="1:57" s="10" customFormat="1" ht="15" customHeight="1" x14ac:dyDescent="0.3">
      <c r="A22" s="49" t="str">
        <f>RTD("cqg.rtd",,"ContractData","EDA?10", "Symbol")</f>
        <v>EDAZ21</v>
      </c>
      <c r="B22" s="54" t="str">
        <f>RIGHT(RTD("cqg.rtd",,"ContractData",A22, "LongDescription"),7)</f>
        <v xml:space="preserve"> Dec 21</v>
      </c>
      <c r="C22" s="55">
        <f>RTD("cqg.rtd", ,"ContractData",A22, "Open",,"T")</f>
        <v>98.37</v>
      </c>
      <c r="D22" s="55">
        <f>RTD("cqg.rtd", ,"ContractData",A22, "High",,"T")</f>
        <v>98.4</v>
      </c>
      <c r="E22" s="55">
        <f>RTD("cqg.rtd", ,"ContractData",A22, "Low",,"T")</f>
        <v>98.355000000000004</v>
      </c>
      <c r="F22" s="55">
        <f>RTD("cqg.rtd", ,"ContractData",A22, "LastTradeorSettle",,"T")</f>
        <v>98.394999999999996</v>
      </c>
      <c r="G22" s="56">
        <f>RTD("cqg.rtd",,"ContractData",A22,"NetLastTradeToday",,"T")</f>
        <v>3.9999999999992042E-2</v>
      </c>
      <c r="H22" s="57">
        <f>RTD("cqg.rtd",,"ContractData",A22,"NetLastTradeToday",,"T")</f>
        <v>3.9999999999992042E-2</v>
      </c>
      <c r="I22" s="58">
        <f>RTD("cqg.rtd", ,"ContractData",A22, "T_CVol")</f>
        <v>26709</v>
      </c>
      <c r="J22" s="70"/>
      <c r="K22" s="3"/>
      <c r="L22" s="3"/>
      <c r="M22" s="3"/>
      <c r="N22" s="3"/>
      <c r="O22" s="3"/>
      <c r="P22" s="3"/>
      <c r="Q22" s="3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67"/>
      <c r="AE22" s="11"/>
      <c r="AF22" s="11"/>
      <c r="AG22" s="11"/>
      <c r="AH22" s="11"/>
      <c r="AI22" s="11"/>
      <c r="AJ22" s="11"/>
      <c r="AK22" s="11"/>
      <c r="AL22" s="11"/>
      <c r="AM22" s="11"/>
    </row>
    <row r="23" spans="1:57" s="10" customFormat="1" ht="15" customHeight="1" x14ac:dyDescent="0.3">
      <c r="A23" s="49" t="str">
        <f>RTD("cqg.rtd",,"ContractData","EDA?11", "Symbol")</f>
        <v>EDAH22</v>
      </c>
      <c r="B23" s="54" t="str">
        <f>RIGHT(RTD("cqg.rtd",,"ContractData",A23, "LongDescription"),7)</f>
        <v xml:space="preserve"> Mar 22</v>
      </c>
      <c r="C23" s="55">
        <f>RTD("cqg.rtd", ,"ContractData",A23, "Open",,"T")</f>
        <v>98.34</v>
      </c>
      <c r="D23" s="55">
        <f>RTD("cqg.rtd", ,"ContractData",A23, "High",,"T")</f>
        <v>98.365000000000009</v>
      </c>
      <c r="E23" s="55">
        <f>RTD("cqg.rtd", ,"ContractData",A23, "Low",,"T")</f>
        <v>98.325000000000003</v>
      </c>
      <c r="F23" s="55">
        <f>RTD("cqg.rtd", ,"ContractData",A23, "LastTradeorSettle",,"T")</f>
        <v>98.36</v>
      </c>
      <c r="G23" s="56">
        <f>RTD("cqg.rtd",,"ContractData",A23,"NetLastTradeToday",,"T")</f>
        <v>3.4999999999996589E-2</v>
      </c>
      <c r="H23" s="57">
        <f>RTD("cqg.rtd",,"ContractData",A23,"NetLastTradeToday",,"T")</f>
        <v>3.4999999999996589E-2</v>
      </c>
      <c r="I23" s="58">
        <f>RTD("cqg.rtd", ,"ContractData",A23, "T_CVol")</f>
        <v>25416</v>
      </c>
      <c r="J23" s="70"/>
      <c r="K23" s="3"/>
      <c r="L23" s="3"/>
      <c r="M23" s="3"/>
      <c r="N23" s="3"/>
      <c r="O23" s="3"/>
      <c r="P23" s="3"/>
      <c r="Q23" s="3"/>
      <c r="R23" s="4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67"/>
      <c r="AE23" s="11"/>
      <c r="AF23" s="11"/>
      <c r="AG23" s="11"/>
      <c r="AH23" s="11"/>
      <c r="AI23" s="11"/>
      <c r="AJ23" s="11"/>
      <c r="AK23" s="11"/>
      <c r="AL23" s="11"/>
      <c r="AM23" s="11"/>
    </row>
    <row r="24" spans="1:57" s="10" customFormat="1" ht="15" customHeight="1" x14ac:dyDescent="0.3">
      <c r="A24" s="49" t="str">
        <f>RTD("cqg.rtd",,"ContractData","EDA?12", "Symbol")</f>
        <v>EDAM22</v>
      </c>
      <c r="B24" s="107" t="str">
        <f>RIGHT(RTD("cqg.rtd",,"ContractData",A24, "LongDescription"),7)</f>
        <v xml:space="preserve"> Jun 22</v>
      </c>
      <c r="C24" s="108">
        <f>RTD("cqg.rtd", ,"ContractData",A24, "Open",,"T")</f>
        <v>98.295000000000002</v>
      </c>
      <c r="D24" s="108">
        <f>RTD("cqg.rtd", ,"ContractData",A24, "High",,"T")</f>
        <v>98.320000000000007</v>
      </c>
      <c r="E24" s="108">
        <f>RTD("cqg.rtd", ,"ContractData",A24, "Low",,"T")</f>
        <v>98.28</v>
      </c>
      <c r="F24" s="108">
        <f>RTD("cqg.rtd", ,"ContractData",A24, "LastTradeorSettle",,"T")</f>
        <v>98.314999999999998</v>
      </c>
      <c r="G24" s="109">
        <f>RTD("cqg.rtd",,"ContractData",A24,"NetLastTradeToday",,"T")</f>
        <v>3.4999999999996589E-2</v>
      </c>
      <c r="H24" s="110">
        <f>RTD("cqg.rtd",,"ContractData",A24,"NetLastTradeToday",,"T")</f>
        <v>3.4999999999996589E-2</v>
      </c>
      <c r="I24" s="111">
        <f>RTD("cqg.rtd", ,"ContractData",A24, "T_CVol")</f>
        <v>24986</v>
      </c>
      <c r="J24" s="70"/>
      <c r="K24" s="3"/>
      <c r="L24" s="3"/>
      <c r="M24" s="3"/>
      <c r="N24" s="3"/>
      <c r="O24" s="3"/>
      <c r="P24" s="3"/>
      <c r="Q24" s="3"/>
      <c r="R24" s="4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67"/>
      <c r="AE24" s="11"/>
      <c r="AF24" s="11"/>
      <c r="AG24" s="11"/>
      <c r="AH24" s="11"/>
      <c r="AI24" s="11"/>
      <c r="AJ24" s="11"/>
      <c r="AK24" s="11"/>
      <c r="AL24" s="11"/>
      <c r="AM24" s="11"/>
    </row>
    <row r="25" spans="1:57" s="10" customFormat="1" ht="14.1" customHeight="1" x14ac:dyDescent="0.3">
      <c r="A25" s="49"/>
      <c r="B25" s="161"/>
      <c r="C25" s="147"/>
      <c r="D25" s="115"/>
      <c r="E25" s="116"/>
      <c r="F25" s="117"/>
      <c r="G25" s="116"/>
      <c r="H25" s="118"/>
      <c r="I25" s="119"/>
      <c r="J25" s="11"/>
      <c r="K25" s="35"/>
      <c r="L25" s="35"/>
      <c r="M25" s="35"/>
      <c r="N25" s="35"/>
      <c r="O25" s="35"/>
      <c r="P25" s="35"/>
      <c r="Q25" s="35"/>
      <c r="R25" s="3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68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57" s="10" customFormat="1" ht="15" customHeight="1" x14ac:dyDescent="0.3">
      <c r="A26" s="49"/>
      <c r="B26" s="149" t="s">
        <v>18</v>
      </c>
      <c r="C26" s="150"/>
      <c r="D26" s="150"/>
      <c r="E26" s="150"/>
      <c r="F26" s="150"/>
      <c r="G26" s="150"/>
      <c r="H26" s="150"/>
      <c r="I26" s="151"/>
      <c r="J26" s="71"/>
      <c r="K26" s="21" t="str">
        <f>RIGHT(RTD("cqg.rtd",,"ContractData","EDAS12?1", "LongDescription"),15)</f>
        <v xml:space="preserve"> Sep 19, Sep 20</v>
      </c>
      <c r="L26" s="21" t="str">
        <f>RIGHT(RTD("cqg.rtd",,"ContractData","EDAS12?2", "LongDescription"),15)</f>
        <v xml:space="preserve"> Dec 19, Dec 20</v>
      </c>
      <c r="M26" s="21" t="str">
        <f>RIGHT(RTD("cqg.rtd",,"ContractData","EDAS12?3", "LongDescription"),15)</f>
        <v xml:space="preserve"> Mar 20, Mar 21</v>
      </c>
      <c r="N26" s="21" t="str">
        <f>RIGHT(RTD("cqg.rtd",,"ContractData","EDAS12?4", "LongDescription"),15)</f>
        <v xml:space="preserve"> Jun 20, Jun 21</v>
      </c>
      <c r="O26" s="21" t="str">
        <f>RIGHT(RTD("cqg.rtd",,"ContractData","EDAS12?5", "LongDescription"),15)</f>
        <v xml:space="preserve"> Sep 20, Sep 21</v>
      </c>
      <c r="P26" s="21" t="str">
        <f>RIGHT(RTD("cqg.rtd",,"ContractData","EDAS12?6", "LongDescription"),15)</f>
        <v xml:space="preserve"> Dec 20, Dec 21</v>
      </c>
      <c r="Q26" s="21" t="str">
        <f>RIGHT(RTD("cqg.rtd",,"ContractData","EDAS12?7", "LongDescription"),15)</f>
        <v xml:space="preserve"> Mar 21, Mar 22</v>
      </c>
      <c r="R26" s="21" t="str">
        <f>RIGHT(RTD("cqg.rtd",,"ContractData","EDAS12?8", "LongDescription"),15)</f>
        <v xml:space="preserve"> Jun 21, Jun 22</v>
      </c>
      <c r="S26" s="21" t="str">
        <f>RIGHT(RTD("cqg.rtd",,"ContractData","EDAS12?9", "LongDescription"),15)</f>
        <v xml:space="preserve"> Sep 21, Sep 22</v>
      </c>
      <c r="T26" s="21" t="str">
        <f>RIGHT(RTD("cqg.rtd",,"ContractData","EDAS12?10", "LongDescription"),15)</f>
        <v xml:space="preserve"> Dec 21, Dec 22</v>
      </c>
      <c r="U26" s="21" t="str">
        <f>RIGHT(RTD("cqg.rtd",,"ContractData","EDAS12?11", "LongDescription"),15)</f>
        <v xml:space="preserve"> Mar 22, Mar 23</v>
      </c>
      <c r="V26" s="21" t="str">
        <f>RIGHT(RTD("cqg.rtd",,"ContractData","EDAS12?12", "LongDescription"),15)</f>
        <v xml:space="preserve"> Jun 22, Jun 23</v>
      </c>
      <c r="W26" s="21" t="str">
        <f>RIGHT(RTD("cqg.rtd",,"ContractData","EDAS12?13", "LongDescription"),15)</f>
        <v xml:space="preserve"> Sep 22, Sep 23</v>
      </c>
      <c r="X26" s="21" t="str">
        <f>RIGHT(RTD("cqg.rtd",,"ContractData","EDAS12?14", "LongDescription"),15)</f>
        <v xml:space="preserve"> Dec 22, Dec 23</v>
      </c>
      <c r="Y26" s="21" t="str">
        <f>RIGHT(RTD("cqg.rtd",,"ContractData","EDAS12?15", "LongDescription"),15)</f>
        <v xml:space="preserve"> Mar 23, Mar 24</v>
      </c>
      <c r="Z26" s="21" t="str">
        <f>RIGHT(RTD("cqg.rtd",,"ContractData","EDAS12?16", "LongDescription"),15)</f>
        <v xml:space="preserve"> Jun 23, Jun 24</v>
      </c>
      <c r="AA26" s="21" t="str">
        <f>RIGHT(RTD("cqg.rtd",,"ContractData","EDAS12?17", "LongDescription"),15)</f>
        <v xml:space="preserve"> Sep 23, Sep 24</v>
      </c>
      <c r="AB26" s="21" t="str">
        <f>RIGHT(RTD("cqg.rtd",,"ContractData","EDAS12?18", "LongDescription"),15)</f>
        <v xml:space="preserve"> Dec 23, Dec 24</v>
      </c>
      <c r="AC26" s="21" t="str">
        <f>RIGHT(RTD("cqg.rtd",,"ContractData","EDAS12?19", "LongDescription"),15)</f>
        <v xml:space="preserve"> Mar 24, Mar 25</v>
      </c>
      <c r="AD26" s="21" t="str">
        <f>RIGHT(RTD("cqg.rtd",,"ContractData","EDAS12?20", "LongDescription"),15)</f>
        <v xml:space="preserve"> Jun 24, Jun 25</v>
      </c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57" s="10" customFormat="1" ht="15" customHeight="1" x14ac:dyDescent="0.3">
      <c r="A27" s="49"/>
      <c r="B27" s="152"/>
      <c r="C27" s="153"/>
      <c r="D27" s="153"/>
      <c r="E27" s="153"/>
      <c r="F27" s="153"/>
      <c r="G27" s="153"/>
      <c r="H27" s="153"/>
      <c r="I27" s="154"/>
      <c r="J27" s="71"/>
      <c r="K27" s="80" t="str">
        <f>TEXT(RTD("cqg.rtd",,"ContractData","EDAS12?1", "Ask"),"#.00")&amp;" "&amp;"A"</f>
        <v>-45.50 A</v>
      </c>
      <c r="L27" s="80" t="str">
        <f>TEXT(RTD("cqg.rtd",,"ContractData","EDAS12?2", "Ask"),"#.00")&amp;" "&amp;"A"</f>
        <v>-33.50 A</v>
      </c>
      <c r="M27" s="80" t="str">
        <f>TEXT(RTD("cqg.rtd",,"ContractData","EDAS12?3", "Ask"),"#.00")&amp;" "&amp;"A"</f>
        <v>-15.00 A</v>
      </c>
      <c r="N27" s="80" t="str">
        <f>TEXT(RTD("cqg.rtd",,"ContractData","EDAS12?4", "Ask"),"#.00")&amp;" "&amp;"A"</f>
        <v>-2.50 A</v>
      </c>
      <c r="O27" s="80" t="str">
        <f>TEXT(RTD("cqg.rtd",,"ContractData","EDAS12?5", "Ask"),"#.00")&amp;" "&amp;"A"</f>
        <v>6.50 A</v>
      </c>
      <c r="P27" s="80" t="str">
        <f>TEXT(RTD("cqg.rtd",,"ContractData","EDAS12?6", "Ask"),"#.00")&amp;" "&amp;"A"</f>
        <v>10.00 A</v>
      </c>
      <c r="Q27" s="80" t="str">
        <f>TEXT(RTD("cqg.rtd",,"ContractData","EDAS12?7", "Ask"),"#.00")&amp;" "&amp;"A"</f>
        <v>15.00 A</v>
      </c>
      <c r="R27" s="80" t="str">
        <f>TEXT(RTD("cqg.rtd",,"ContractData","EDAS12?8", "Ask"),"#.00")&amp;" "&amp;"A"</f>
        <v>15.50 A</v>
      </c>
      <c r="S27" s="80" t="str">
        <f>TEXT(RTD("cqg.rtd",,"ContractData","EDAS12?9", "Ask"),"#.00")&amp;" "&amp;"A"</f>
        <v>17.00 A</v>
      </c>
      <c r="T27" s="80" t="str">
        <f>TEXT(RTD("cqg.rtd",,"ContractData","EDAS12?10", "Ask"),"#.00")&amp;" "&amp;"A"</f>
        <v>16.50 A</v>
      </c>
      <c r="U27" s="80" t="str">
        <f>TEXT(RTD("cqg.rtd",,"ContractData","EDAS12?11", "Ask"),"#.00")&amp;" "&amp;"A"</f>
        <v>16.50 A</v>
      </c>
      <c r="V27" s="80" t="str">
        <f>TEXT(RTD("cqg.rtd",,"ContractData","EDAS12?12", "Ask"),"#.00")&amp;" "&amp;"A"</f>
        <v>16.00 A</v>
      </c>
      <c r="W27" s="80" t="str">
        <f>TEXT(RTD("cqg.rtd",,"ContractData","EDAS12?13", "Ask"),"#.00")&amp;" "&amp;"A"</f>
        <v>16.00 A</v>
      </c>
      <c r="X27" s="80" t="str">
        <f>TEXT(RTD("cqg.rtd",,"ContractData","EDAS12?14", "Ask"),"#.00")&amp;" "&amp;"A"</f>
        <v>17.00 A</v>
      </c>
      <c r="Y27" s="80" t="str">
        <f>TEXT(RTD("cqg.rtd",,"ContractData","EDAS12?15", "Ask"),"#.00")&amp;" "&amp;"A"</f>
        <v>17.50 A</v>
      </c>
      <c r="Z27" s="80" t="str">
        <f>TEXT(RTD("cqg.rtd",,"ContractData","EDAS12?16", "Ask"),"#.00")&amp;" "&amp;"A"</f>
        <v>17.50 A</v>
      </c>
      <c r="AA27" s="80" t="str">
        <f>TEXT(RTD("cqg.rtd",,"ContractData","EDAS12?17", "Ask"),"#.00")&amp;" "&amp;"A"</f>
        <v>17.50 A</v>
      </c>
      <c r="AB27" s="80" t="str">
        <f>TEXT(RTD("cqg.rtd",,"ContractData","EDAS12?18", "Ask"),"#.00")&amp;" "&amp;"A"</f>
        <v>17.00 A</v>
      </c>
      <c r="AC27" s="80" t="str">
        <f>TEXT(RTD("cqg.rtd",,"ContractData","EDAS12?19", "Ask"),"#.00")&amp;" "&amp;"A"</f>
        <v>16.50 A</v>
      </c>
      <c r="AD27" s="80" t="str">
        <f>TEXT(RTD("cqg.rtd",,"ContractData","EDAS12?20", "Ask"),"#.00")&amp;" "&amp;"A"</f>
        <v>16.00 A</v>
      </c>
      <c r="AE27" s="11"/>
      <c r="AF27" s="11"/>
      <c r="AG27" s="11"/>
      <c r="AH27" s="11"/>
      <c r="AI27" s="11"/>
      <c r="AJ27" s="11"/>
      <c r="AK27" s="11"/>
      <c r="AL27" s="11"/>
    </row>
    <row r="28" spans="1:57" ht="15" customHeight="1" x14ac:dyDescent="0.3">
      <c r="B28" s="50" t="s">
        <v>13</v>
      </c>
      <c r="C28" s="51" t="s">
        <v>7</v>
      </c>
      <c r="D28" s="51" t="s">
        <v>8</v>
      </c>
      <c r="E28" s="51" t="s">
        <v>9</v>
      </c>
      <c r="F28" s="51" t="s">
        <v>6</v>
      </c>
      <c r="G28" s="51" t="s">
        <v>10</v>
      </c>
      <c r="H28" s="51" t="s">
        <v>10</v>
      </c>
      <c r="I28" s="52" t="s">
        <v>11</v>
      </c>
      <c r="J28" s="71"/>
      <c r="K28" s="80" t="str">
        <f>TEXT(RTD("cqg.rtd",,"ContractData","EDAS12?1", "Bid"),"#.00")&amp;" "&amp;"B"</f>
        <v>-46.00 B</v>
      </c>
      <c r="L28" s="80" t="str">
        <f>TEXT(RTD("cqg.rtd",,"ContractData","EDAS12?2", "Bid"),"#.00")&amp;" "&amp;"B"</f>
        <v>-34.00 B</v>
      </c>
      <c r="M28" s="80" t="str">
        <f>TEXT(RTD("cqg.rtd",,"ContractData","EDAS12?3", "Bid"),"#.00")&amp;" "&amp;"A"</f>
        <v>-15.50 A</v>
      </c>
      <c r="N28" s="80" t="str">
        <f>TEXT(RTD("cqg.rtd",,"ContractData","EDAS12?4", "Bid"),"#.00")&amp;" "&amp;"A"</f>
        <v>-3.00 A</v>
      </c>
      <c r="O28" s="80" t="str">
        <f>TEXT(RTD("cqg.rtd",,"ContractData","EDAS12?5", "Bid"),"#.00")&amp;" "&amp;"A"</f>
        <v>6.00 A</v>
      </c>
      <c r="P28" s="80" t="str">
        <f>TEXT(RTD("cqg.rtd",,"ContractData","EDAS12?6", "Bid"),"#.00")&amp;" "&amp;"B"</f>
        <v>9.50 B</v>
      </c>
      <c r="Q28" s="80" t="str">
        <f>TEXT(RTD("cqg.rtd",,"ContractData","EDAS12?7", "Bid"),"#.00")&amp;" "&amp;"B"</f>
        <v>14.50 B</v>
      </c>
      <c r="R28" s="80" t="str">
        <f>TEXT(RTD("cqg.rtd",,"ContractData","EDAS12?8", "Bid"),"#.00")&amp;" "&amp;"B"</f>
        <v>15.00 B</v>
      </c>
      <c r="S28" s="80" t="str">
        <f>TEXT(RTD("cqg.rtd",,"ContractData","EDAS12?9", "Bid"),"#.00")&amp;" "&amp;"B"</f>
        <v>16.00 B</v>
      </c>
      <c r="T28" s="80" t="str">
        <f>TEXT(RTD("cqg.rtd",,"ContractData","EDAS12?10", "Bid"),"#.00")&amp;" "&amp;"B"</f>
        <v>15.50 B</v>
      </c>
      <c r="U28" s="80" t="str">
        <f>TEXT(RTD("cqg.rtd",,"ContractData","EDAS12?11", "Bid"),"#.00")&amp;" "&amp;"B"</f>
        <v>16.00 B</v>
      </c>
      <c r="V28" s="80" t="str">
        <f>TEXT(RTD("cqg.rtd",,"ContractData","EDAS12?12", "Bid"),"#.00")&amp;" "&amp;"B"</f>
        <v>15.50 B</v>
      </c>
      <c r="W28" s="80" t="str">
        <f>TEXT(RTD("cqg.rtd",,"ContractData","EDAS12?13", "Bid"),"#.00")&amp;" "&amp;"B"</f>
        <v>15.50 B</v>
      </c>
      <c r="X28" s="80" t="str">
        <f>TEXT(RTD("cqg.rtd",,"ContractData","EDAS12?14", "Bid"),"#.00")&amp;" "&amp;"B"</f>
        <v>16.00 B</v>
      </c>
      <c r="Y28" s="80" t="str">
        <f>TEXT(RTD("cqg.rtd",,"ContractData","EDAS12?15", "Bid"),"#.00")&amp;" "&amp;"B"</f>
        <v>17.00 B</v>
      </c>
      <c r="Z28" s="80" t="str">
        <f>TEXT(RTD("cqg.rtd",,"ContractData","EDAS12?16", "Bid"),"#.00")&amp;" "&amp;"B"</f>
        <v>17.00 B</v>
      </c>
      <c r="AA28" s="80" t="str">
        <f>TEXT(RTD("cqg.rtd",,"ContractData","EDAS12?17", "Bid"),"#.00")&amp;" "&amp;"B"</f>
        <v>16.50 B</v>
      </c>
      <c r="AB28" s="80" t="str">
        <f>TEXT(RTD("cqg.rtd",,"ContractData","EDAS12?18", "Bid"),"#.00")&amp;" "&amp;"B"</f>
        <v>16.00 B</v>
      </c>
      <c r="AC28" s="80" t="str">
        <f>TEXT(RTD("cqg.rtd",,"ContractData","EDAS12?19", "Bid"),"#.00")&amp;" "&amp;"B"</f>
        <v>15.50 B</v>
      </c>
      <c r="AD28" s="80" t="str">
        <f>TEXT(RTD("cqg.rtd",,"ContractData","EDAS12?20", "Bid"),"#.00")&amp;" "&amp;"B"</f>
        <v>15.50 B</v>
      </c>
      <c r="AM28" s="10"/>
      <c r="BE28" s="1"/>
    </row>
    <row r="29" spans="1:57" ht="15" customHeight="1" x14ac:dyDescent="0.3">
      <c r="A29" s="49" t="str">
        <f>RTD("cqg.rtd",,"ContractData","EDAS12?1", "Symbol")</f>
        <v>EDAS12U19</v>
      </c>
      <c r="B29" s="16" t="str">
        <f>RIGHT(RTD("cqg.rtd",,"ContractData",A29, "LongDescription"),15)</f>
        <v xml:space="preserve"> Sep 19, Sep 20</v>
      </c>
      <c r="C29" s="45">
        <f>RTD("cqg.rtd", ,"ContractData",A29, "Open",,"T")</f>
        <v>-43</v>
      </c>
      <c r="D29" s="45">
        <f>RTD("cqg.rtd", ,"ContractData",A29, "High",,"T")</f>
        <v>-43</v>
      </c>
      <c r="E29" s="45">
        <f>RTD("cqg.rtd", ,"ContractData",A29, "Low",,"T")</f>
        <v>-45.5</v>
      </c>
      <c r="F29" s="45">
        <f>RTD("cqg.rtd", ,"ContractData",A29, "LastTradeorSettle",,"T")</f>
        <v>-45.5</v>
      </c>
      <c r="G29" s="46">
        <f>RTD("cqg.rtd",,"ContractData",A29,"NetLastTradeToday",,"T")</f>
        <v>-2</v>
      </c>
      <c r="H29" s="13">
        <f>RTD("cqg.rtd",,"ContractData",A29,"NetLastTradeToday",,"T")</f>
        <v>-2</v>
      </c>
      <c r="I29" s="18">
        <f>RTD("cqg.rtd", ,"ContractData",A29, "T_CVol")</f>
        <v>3689</v>
      </c>
      <c r="J29" s="71"/>
      <c r="K29" s="80" t="str">
        <f>TEXT(RTD("cqg.rtd", ,"ContractData","EDAS12?1","LastTradeorSettle",,"T"),"#.00")&amp;" "&amp;"L"</f>
        <v>-45.50 L</v>
      </c>
      <c r="L29" s="80" t="str">
        <f>TEXT(RTD("cqg.rtd", ,"ContractData","EDAS12?2","LastTradeorSettle",,"T"),"#.00")&amp;" "&amp;"L"</f>
        <v>-33.50 L</v>
      </c>
      <c r="M29" s="80" t="str">
        <f>TEXT(RTD("cqg.rtd", ,"ContractData","EDAS12?3","LastTradeorSettle",,"T"),"#.00")&amp;" "&amp;"L"</f>
        <v>-15.00 L</v>
      </c>
      <c r="N29" s="80" t="str">
        <f>TEXT(RTD("cqg.rtd", ,"ContractData","EDAS12?4","LastTradeorSettle",,"T"),"#.00")&amp;" "&amp;"L"</f>
        <v>-3.00 L</v>
      </c>
      <c r="O29" s="80" t="str">
        <f>TEXT(RTD("cqg.rtd", ,"ContractData","EDAS12?5","LastTradeorSettle",,"T"),"#.00")&amp;" "&amp;"L"</f>
        <v>6.00 L</v>
      </c>
      <c r="P29" s="80" t="str">
        <f>TEXT(RTD("cqg.rtd", ,"ContractData","EDAS12?6","LastTradeorSettle",,"T"),"#.00")&amp;" "&amp;"L"</f>
        <v>10.00 L</v>
      </c>
      <c r="Q29" s="80" t="str">
        <f>TEXT(RTD("cqg.rtd", ,"ContractData","EDAS12?7","LastTradeorSettle",,"T"),"#.00")&amp;" "&amp;"L"</f>
        <v>14.50 L</v>
      </c>
      <c r="R29" s="80" t="str">
        <f>TEXT(RTD("cqg.rtd", ,"ContractData","EDAS12?8","LastTradeorSettle",,"T"),"#.00")&amp;" "&amp;"L"</f>
        <v>15.00 L</v>
      </c>
      <c r="S29" s="80" t="str">
        <f>TEXT(RTD("cqg.rtd", ,"ContractData","EDAS12?9","LastTradeorSettle",,"T"),"#.00")&amp;" "&amp;"L"</f>
        <v>16.50 L</v>
      </c>
      <c r="T29" s="80" t="str">
        <f>TEXT(RTD("cqg.rtd", ,"ContractData","EDAS12?10","LastTradeorSettle",,"T"),"#.00")&amp;" "&amp;"L"</f>
        <v>16.00 L</v>
      </c>
      <c r="U29" s="80" t="str">
        <f>TEXT(RTD("cqg.rtd", ,"ContractData","EDAS12?11","LastTradeorSettle",,"T"),"#.00")&amp;" "&amp;"L"</f>
        <v>16.00 L</v>
      </c>
      <c r="V29" s="80" t="str">
        <f>TEXT(RTD("cqg.rtd", ,"ContractData","EDAS12?12","LastTradeorSettle",,"T"),"#.00")&amp;" "&amp;"L"</f>
        <v>15.50 L</v>
      </c>
      <c r="W29" s="80" t="str">
        <f>TEXT(RTD("cqg.rtd", ,"ContractData","EDAS12?13","LastTradeorSettle",,"T"),"#.00")&amp;" "&amp;"L"</f>
        <v>15.50 L</v>
      </c>
      <c r="X29" s="80" t="str">
        <f>TEXT(RTD("cqg.rtd", ,"ContractData","EDAS12?14","LastTradeorSettle",,"T"),"#.00")&amp;" "&amp;"L"</f>
        <v>16.50 L</v>
      </c>
      <c r="Y29" s="80" t="str">
        <f>TEXT(RTD("cqg.rtd", ,"ContractData","EDAS12?15","LastTradeorSettle",,"T"),"#.00")&amp;" "&amp;"L"</f>
        <v>17.00 L</v>
      </c>
      <c r="Z29" s="80" t="str">
        <f>TEXT(RTD("cqg.rtd", ,"ContractData","EDAS12?16","LastTradeorSettle",,"T"),"#.00")&amp;" "&amp;"L"</f>
        <v>17.00 L</v>
      </c>
      <c r="AA29" s="80" t="str">
        <f>TEXT(RTD("cqg.rtd", ,"ContractData","EDAS12?17","LastTradeorSettle",,"T"),"#.00")&amp;" "&amp;"L"</f>
        <v>17.00 L</v>
      </c>
      <c r="AB29" s="80" t="str">
        <f>TEXT(RTD("cqg.rtd", ,"ContractData","EDAS12?18","LastTradeorSettle",,"T"),"#.00")&amp;" "&amp;"L"</f>
        <v>16.00 L</v>
      </c>
      <c r="AC29" s="80" t="str">
        <f>TEXT(RTD("cqg.rtd", ,"ContractData","EDAS12?19","LastTradeorSettle",,"T"),"#.00")&amp;" "&amp;"L"</f>
        <v>15.50 L</v>
      </c>
      <c r="AD29" s="80" t="str">
        <f>TEXT(RTD("cqg.rtd", ,"ContractData","EDAS12?20","LastTradeorSettle",,"T"),"#.00")&amp;" "&amp;"L"</f>
        <v xml:space="preserve"> L</v>
      </c>
      <c r="AM29" s="10"/>
      <c r="BE29" s="1"/>
    </row>
    <row r="30" spans="1:57" ht="15" customHeight="1" x14ac:dyDescent="0.3">
      <c r="A30" s="49" t="str">
        <f>RTD("cqg.rtd",,"ContractData","EDAS12?2", "Symbol")</f>
        <v>EDAS12Z19</v>
      </c>
      <c r="B30" s="16" t="str">
        <f>RIGHT(RTD("cqg.rtd",,"ContractData",A30, "LongDescription"),15)</f>
        <v xml:space="preserve"> Dec 19, Dec 20</v>
      </c>
      <c r="C30" s="45">
        <f>RTD("cqg.rtd", ,"ContractData",A30, "Open",,"T")</f>
        <v>-33</v>
      </c>
      <c r="D30" s="45">
        <f>RTD("cqg.rtd", ,"ContractData",A30, "High",,"T")</f>
        <v>-32.5</v>
      </c>
      <c r="E30" s="45">
        <f>RTD("cqg.rtd", ,"ContractData",A30, "Low",,"T")</f>
        <v>-34</v>
      </c>
      <c r="F30" s="45">
        <f>RTD("cqg.rtd", ,"ContractData",A30, "LastTradeorSettle",,"T")</f>
        <v>-33.5</v>
      </c>
      <c r="G30" s="46">
        <f>RTD("cqg.rtd",,"ContractData",A30,"NetLastTradeToday",,"T")</f>
        <v>-0.5</v>
      </c>
      <c r="H30" s="13">
        <f>RTD("cqg.rtd",,"ContractData",A30,"NetLastTradeToday",,"T")</f>
        <v>-0.5</v>
      </c>
      <c r="I30" s="18">
        <f>RTD("cqg.rtd", ,"ContractData",A30, "T_CVol")</f>
        <v>5574</v>
      </c>
      <c r="J30" s="71"/>
      <c r="K30" s="127"/>
      <c r="L30" s="7"/>
      <c r="M30" s="7"/>
      <c r="N30" s="7"/>
      <c r="O30" s="7"/>
      <c r="P30" s="7"/>
      <c r="Q30" s="7"/>
      <c r="R30" s="6"/>
      <c r="S30" s="5"/>
      <c r="T30" s="5"/>
      <c r="U30" s="5"/>
      <c r="V30" s="126"/>
      <c r="W30" s="27"/>
      <c r="AE30" s="106"/>
    </row>
    <row r="31" spans="1:57" ht="15" customHeight="1" x14ac:dyDescent="0.3">
      <c r="A31" s="49" t="str">
        <f>RTD("cqg.rtd",,"ContractData","EDAS12?3", "Symbol")</f>
        <v>EDAS12H20</v>
      </c>
      <c r="B31" s="16" t="str">
        <f>RIGHT(RTD("cqg.rtd",,"ContractData",A31, "LongDescription"),15)</f>
        <v xml:space="preserve"> Mar 20, Mar 21</v>
      </c>
      <c r="C31" s="45">
        <f>RTD("cqg.rtd", ,"ContractData",A31, "Open",,"T")</f>
        <v>-15.5</v>
      </c>
      <c r="D31" s="45">
        <f>RTD("cqg.rtd", ,"ContractData",A31, "High",,"T")</f>
        <v>-15</v>
      </c>
      <c r="E31" s="45">
        <f>RTD("cqg.rtd", ,"ContractData",A31, "Low",,"T")</f>
        <v>-15.5</v>
      </c>
      <c r="F31" s="45">
        <f>RTD("cqg.rtd", ,"ContractData",A31, "LastTradeorSettle",,"T")</f>
        <v>-15</v>
      </c>
      <c r="G31" s="46">
        <f>RTD("cqg.rtd",,"ContractData",A31,"NetLastTradeToday",,"T")</f>
        <v>0.5</v>
      </c>
      <c r="H31" s="13">
        <f>RTD("cqg.rtd",,"ContractData",A31,"NetLastTradeToday",,"T")</f>
        <v>0.5</v>
      </c>
      <c r="I31" s="18">
        <f>RTD("cqg.rtd", ,"ContractData",A31, "T_CVol")</f>
        <v>4741</v>
      </c>
      <c r="J31" s="71"/>
      <c r="K31" s="8"/>
      <c r="L31" s="8"/>
      <c r="M31" s="8"/>
      <c r="N31" s="8"/>
      <c r="O31" s="8"/>
      <c r="P31" s="8"/>
      <c r="Q31" s="8"/>
      <c r="R31" s="30"/>
      <c r="S31" s="27"/>
      <c r="T31" s="27"/>
      <c r="U31" s="27"/>
      <c r="V31" s="27"/>
      <c r="W31" s="27"/>
      <c r="AE31" s="106"/>
    </row>
    <row r="32" spans="1:57" ht="15" customHeight="1" x14ac:dyDescent="0.3">
      <c r="A32" s="49" t="str">
        <f>RTD("cqg.rtd",,"ContractData","EDAS12?4", "Symbol")</f>
        <v>EDAS12M20</v>
      </c>
      <c r="B32" s="16" t="str">
        <f>RIGHT(RTD("cqg.rtd",,"ContractData",A32, "LongDescription"),15)</f>
        <v xml:space="preserve"> Jun 20, Jun 21</v>
      </c>
      <c r="C32" s="45">
        <f>RTD("cqg.rtd", ,"ContractData",A32, "Open",,"T")</f>
        <v>-3.5</v>
      </c>
      <c r="D32" s="45">
        <f>RTD("cqg.rtd", ,"ContractData",A32, "High",,"T")</f>
        <v>-3</v>
      </c>
      <c r="E32" s="45">
        <f>RTD("cqg.rtd", ,"ContractData",A32, "Low",,"T")</f>
        <v>-4</v>
      </c>
      <c r="F32" s="45">
        <f>RTD("cqg.rtd", ,"ContractData",A32, "LastTradeorSettle",,"T")</f>
        <v>-3</v>
      </c>
      <c r="G32" s="46">
        <f>RTD("cqg.rtd",,"ContractData",A32,"NetLastTradeToday",,"T")</f>
        <v>0.5</v>
      </c>
      <c r="H32" s="13">
        <f>RTD("cqg.rtd",,"ContractData",A32,"NetLastTradeToday",,"T")</f>
        <v>0.5</v>
      </c>
      <c r="I32" s="18">
        <f>RTD("cqg.rtd", ,"ContractData",A32, "T_CVol")</f>
        <v>5493</v>
      </c>
      <c r="J32" s="71"/>
      <c r="K32" s="8"/>
      <c r="L32" s="8"/>
      <c r="M32" s="8"/>
      <c r="N32" s="8"/>
      <c r="O32" s="8"/>
      <c r="P32" s="8"/>
      <c r="Q32" s="8"/>
      <c r="R32" s="30"/>
      <c r="S32" s="27"/>
      <c r="T32" s="27"/>
      <c r="U32" s="27"/>
      <c r="V32" s="27"/>
      <c r="W32" s="27"/>
      <c r="AE32" s="106"/>
    </row>
    <row r="33" spans="1:39" ht="15" customHeight="1" x14ac:dyDescent="0.3">
      <c r="A33" s="49" t="str">
        <f>RTD("cqg.rtd",,"ContractData","EDAS12?5", "Symbol")</f>
        <v>EDAS12U20</v>
      </c>
      <c r="B33" s="16" t="str">
        <f>RIGHT(RTD("cqg.rtd",,"ContractData",A33, "LongDescription"),15)</f>
        <v xml:space="preserve"> Sep 20, Sep 21</v>
      </c>
      <c r="C33" s="45">
        <f>RTD("cqg.rtd", ,"ContractData",A33, "Open",,"T")</f>
        <v>5</v>
      </c>
      <c r="D33" s="45">
        <f>RTD("cqg.rtd", ,"ContractData",A33, "High",,"T")</f>
        <v>6</v>
      </c>
      <c r="E33" s="45">
        <f>RTD("cqg.rtd", ,"ContractData",A33, "Low",,"T")</f>
        <v>4.5</v>
      </c>
      <c r="F33" s="45">
        <f>RTD("cqg.rtd", ,"ContractData",A33, "LastTradeorSettle",,"T")</f>
        <v>6</v>
      </c>
      <c r="G33" s="46">
        <f>RTD("cqg.rtd",,"ContractData",A33,"NetLastTradeToday",,"T")</f>
        <v>0.5</v>
      </c>
      <c r="H33" s="13">
        <f>RTD("cqg.rtd",,"ContractData",A33,"NetLastTradeToday",,"T")</f>
        <v>0.5</v>
      </c>
      <c r="I33" s="18">
        <f>RTD("cqg.rtd", ,"ContractData",A33, "T_CVol")</f>
        <v>7242</v>
      </c>
      <c r="J33" s="71"/>
      <c r="K33" s="8"/>
      <c r="L33" s="8"/>
      <c r="M33" s="8"/>
      <c r="N33" s="8"/>
      <c r="O33" s="8"/>
      <c r="P33" s="8"/>
      <c r="Q33" s="8"/>
      <c r="R33" s="30"/>
      <c r="S33" s="27"/>
      <c r="T33" s="27"/>
      <c r="U33" s="27"/>
      <c r="V33" s="27"/>
      <c r="W33" s="27"/>
      <c r="AE33" s="106"/>
    </row>
    <row r="34" spans="1:39" s="10" customFormat="1" ht="15" customHeight="1" x14ac:dyDescent="0.3">
      <c r="A34" s="49" t="str">
        <f>RTD("cqg.rtd",,"ContractData","EDAS12?6", "Symbol")</f>
        <v>EDAS12Z20</v>
      </c>
      <c r="B34" s="17" t="str">
        <f>RIGHT(RTD("cqg.rtd",,"ContractData",A34, "LongDescription"),15)</f>
        <v xml:space="preserve"> Dec 20, Dec 21</v>
      </c>
      <c r="C34" s="47">
        <f>RTD("cqg.rtd", ,"ContractData",A34, "Open",,"T")</f>
        <v>8.5</v>
      </c>
      <c r="D34" s="47">
        <f>RTD("cqg.rtd", ,"ContractData",A34, "High",,"T")</f>
        <v>10</v>
      </c>
      <c r="E34" s="47">
        <f>RTD("cqg.rtd", ,"ContractData",A34, "Low",,"T")</f>
        <v>8</v>
      </c>
      <c r="F34" s="47">
        <f>RTD("cqg.rtd", ,"ContractData",A34, "LastTradeorSettle",,"T")</f>
        <v>10</v>
      </c>
      <c r="G34" s="46">
        <f>RTD("cqg.rtd",,"ContractData",A34,"NetLastTradeToday",,"T")</f>
        <v>1</v>
      </c>
      <c r="H34" s="14">
        <f>RTD("cqg.rtd",,"ContractData",A34,"NetLastTradeToday",,"T")</f>
        <v>1</v>
      </c>
      <c r="I34" s="18">
        <f>RTD("cqg.rtd", ,"ContractData",A34, "T_CVol")</f>
        <v>3431</v>
      </c>
      <c r="J34" s="71"/>
      <c r="K34" s="8"/>
      <c r="L34" s="8"/>
      <c r="M34" s="8"/>
      <c r="N34" s="8"/>
      <c r="O34" s="8"/>
      <c r="P34" s="8"/>
      <c r="Q34" s="8"/>
      <c r="R34" s="30"/>
      <c r="S34" s="27"/>
      <c r="T34" s="27"/>
      <c r="U34" s="27"/>
      <c r="V34" s="27"/>
      <c r="W34" s="27"/>
      <c r="X34" s="11"/>
      <c r="Y34" s="11"/>
      <c r="Z34" s="11"/>
      <c r="AA34" s="11"/>
      <c r="AB34" s="11"/>
      <c r="AC34" s="11"/>
      <c r="AD34" s="11"/>
      <c r="AE34" s="106"/>
      <c r="AF34" s="11"/>
      <c r="AG34" s="11"/>
      <c r="AH34" s="11"/>
      <c r="AI34" s="11"/>
      <c r="AJ34" s="11"/>
      <c r="AK34" s="11"/>
      <c r="AL34" s="11"/>
      <c r="AM34" s="11"/>
    </row>
    <row r="35" spans="1:39" ht="15" customHeight="1" x14ac:dyDescent="0.3">
      <c r="A35" s="49" t="str">
        <f>RTD("cqg.rtd",,"ContractData","EDAS12?7", "Symbol")</f>
        <v>EDAS12H21</v>
      </c>
      <c r="B35" s="17" t="str">
        <f>RIGHT(RTD("cqg.rtd",,"ContractData",A35, "LongDescription"),15)</f>
        <v xml:space="preserve"> Mar 21, Mar 22</v>
      </c>
      <c r="C35" s="47">
        <f>RTD("cqg.rtd", ,"ContractData",A35, "Open",,"T")</f>
        <v>13.5</v>
      </c>
      <c r="D35" s="47">
        <f>RTD("cqg.rtd", ,"ContractData",A35, "High",,"T")</f>
        <v>14.5</v>
      </c>
      <c r="E35" s="47">
        <f>RTD("cqg.rtd", ,"ContractData",A35, "Low",,"T")</f>
        <v>13</v>
      </c>
      <c r="F35" s="47">
        <f>RTD("cqg.rtd", ,"ContractData",A35, "LastTradeorSettle",,"T")</f>
        <v>14.5</v>
      </c>
      <c r="G35" s="48">
        <f>RTD("cqg.rtd",,"ContractData",A35,"NetLastTradeToday",,"T")</f>
        <v>1</v>
      </c>
      <c r="H35" s="14">
        <f>RTD("cqg.rtd",,"ContractData",A35,"NetLastTradeToday",,"T")</f>
        <v>1</v>
      </c>
      <c r="I35" s="18">
        <f>RTD("cqg.rtd", ,"ContractData",A35, "T_CVol")</f>
        <v>3288</v>
      </c>
      <c r="J35" s="71"/>
      <c r="K35" s="7"/>
      <c r="L35" s="7"/>
      <c r="M35" s="7"/>
      <c r="N35" s="7"/>
      <c r="O35" s="7"/>
      <c r="P35" s="7"/>
      <c r="Q35" s="7"/>
      <c r="R35" s="31"/>
      <c r="S35" s="27"/>
      <c r="T35" s="27"/>
      <c r="U35" s="27"/>
      <c r="V35" s="27"/>
      <c r="W35" s="27"/>
      <c r="AE35" s="106"/>
    </row>
    <row r="36" spans="1:39" ht="15" customHeight="1" x14ac:dyDescent="0.3">
      <c r="A36" s="49" t="str">
        <f>RTD("cqg.rtd",,"ContractData","EDAS12?8", "Symbol")</f>
        <v>EDAS12M21</v>
      </c>
      <c r="B36" s="17" t="str">
        <f>RIGHT(RTD("cqg.rtd",,"ContractData",A36, "LongDescription"),15)</f>
        <v xml:space="preserve"> Jun 21, Jun 22</v>
      </c>
      <c r="C36" s="47">
        <f>RTD("cqg.rtd", ,"ContractData",A36, "Open",,"T")</f>
        <v>14.5</v>
      </c>
      <c r="D36" s="47">
        <f>RTD("cqg.rtd", ,"ContractData",A36, "High",,"T")</f>
        <v>15</v>
      </c>
      <c r="E36" s="47">
        <f>RTD("cqg.rtd", ,"ContractData",A36, "Low",,"T")</f>
        <v>14</v>
      </c>
      <c r="F36" s="47">
        <f>RTD("cqg.rtd", ,"ContractData",A36, "LastTradeorSettle",,"T")</f>
        <v>15</v>
      </c>
      <c r="G36" s="46">
        <f>RTD("cqg.rtd",,"ContractData",A36,"NetLastTradeToday",,"T")</f>
        <v>0.5</v>
      </c>
      <c r="H36" s="14">
        <f>RTD("cqg.rtd",,"ContractData",A36,"NetLastTradeToday",,"T")</f>
        <v>0.5</v>
      </c>
      <c r="I36" s="18">
        <f>RTD("cqg.rtd", ,"ContractData",A36, "T_CVol")</f>
        <v>1566</v>
      </c>
      <c r="J36" s="71"/>
      <c r="K36" s="8"/>
      <c r="L36" s="8"/>
      <c r="M36" s="8"/>
      <c r="N36" s="8"/>
      <c r="O36" s="8"/>
      <c r="P36" s="8"/>
      <c r="Q36" s="8"/>
      <c r="R36" s="30"/>
      <c r="S36" s="27"/>
      <c r="T36" s="27"/>
      <c r="U36" s="27"/>
      <c r="V36" s="27"/>
      <c r="W36" s="27"/>
      <c r="AE36" s="106"/>
    </row>
    <row r="37" spans="1:39" ht="15" customHeight="1" x14ac:dyDescent="0.3">
      <c r="A37" s="49" t="str">
        <f>RTD("cqg.rtd",,"ContractData","EDAS12?9", "Symbol")</f>
        <v>EDAS12U21</v>
      </c>
      <c r="B37" s="17" t="str">
        <f>RIGHT(RTD("cqg.rtd",,"ContractData",A37, "LongDescription"),15)</f>
        <v xml:space="preserve"> Sep 21, Sep 22</v>
      </c>
      <c r="C37" s="47">
        <f>RTD("cqg.rtd", ,"ContractData",A37, "Open",,"T")</f>
        <v>15.5</v>
      </c>
      <c r="D37" s="47">
        <f>RTD("cqg.rtd", ,"ContractData",A37, "High",,"T")</f>
        <v>16.5</v>
      </c>
      <c r="E37" s="47">
        <f>RTD("cqg.rtd", ,"ContractData",A37, "Low",,"T")</f>
        <v>15.5</v>
      </c>
      <c r="F37" s="47">
        <f>RTD("cqg.rtd", ,"ContractData",A37, "LastTradeorSettle",,"T")</f>
        <v>16.5</v>
      </c>
      <c r="G37" s="48">
        <f>RTD("cqg.rtd",,"ContractData",A37,"NetLastTradeToday",,"T")</f>
        <v>0.5</v>
      </c>
      <c r="H37" s="14">
        <f>RTD("cqg.rtd",,"ContractData",A37,"NetLastTradeToday",,"T")</f>
        <v>0.5</v>
      </c>
      <c r="I37" s="18">
        <f>RTD("cqg.rtd", ,"ContractData",A37, "T_CVol")</f>
        <v>992</v>
      </c>
      <c r="J37" s="71"/>
      <c r="K37" s="8"/>
      <c r="L37" s="8"/>
      <c r="M37" s="8"/>
      <c r="N37" s="8"/>
      <c r="O37" s="8"/>
      <c r="P37" s="8"/>
      <c r="Q37" s="8"/>
      <c r="R37" s="30"/>
      <c r="S37" s="27"/>
      <c r="T37" s="27"/>
      <c r="U37" s="27"/>
      <c r="V37" s="27"/>
      <c r="W37" s="27"/>
      <c r="AE37" s="106"/>
    </row>
    <row r="38" spans="1:39" ht="15" customHeight="1" x14ac:dyDescent="0.3">
      <c r="A38" s="49" t="str">
        <f>RTD("cqg.rtd",,"ContractData","EDAS12?10", "Symbol")</f>
        <v>EDAS12Z21</v>
      </c>
      <c r="B38" s="17" t="str">
        <f>RIGHT(RTD("cqg.rtd",,"ContractData",A38, "LongDescription"),15)</f>
        <v xml:space="preserve"> Dec 21, Dec 22</v>
      </c>
      <c r="C38" s="47">
        <f>RTD("cqg.rtd", ,"ContractData",A38, "Open",,"T")</f>
        <v>15</v>
      </c>
      <c r="D38" s="47">
        <f>RTD("cqg.rtd", ,"ContractData",A38, "High",,"T")</f>
        <v>16</v>
      </c>
      <c r="E38" s="47">
        <f>RTD("cqg.rtd", ,"ContractData",A38, "Low",,"T")</f>
        <v>15</v>
      </c>
      <c r="F38" s="47">
        <f>RTD("cqg.rtd", ,"ContractData",A38, "LastTradeorSettle",,"T")</f>
        <v>16</v>
      </c>
      <c r="G38" s="48">
        <f>RTD("cqg.rtd",,"ContractData",A38,"NetLastTradeToday",,"T")</f>
        <v>0</v>
      </c>
      <c r="H38" s="14">
        <f>RTD("cqg.rtd",,"ContractData",A38,"NetLastTradeToday",,"T")</f>
        <v>0</v>
      </c>
      <c r="I38" s="18">
        <f>RTD("cqg.rtd", ,"ContractData",A38, "T_CVol")</f>
        <v>375</v>
      </c>
      <c r="J38" s="71"/>
      <c r="K38" s="8"/>
      <c r="L38" s="8"/>
      <c r="M38" s="8"/>
      <c r="N38" s="8"/>
      <c r="O38" s="8"/>
      <c r="P38" s="8"/>
      <c r="Q38" s="8"/>
      <c r="R38" s="30"/>
      <c r="S38" s="27"/>
      <c r="T38" s="27"/>
      <c r="U38" s="27"/>
      <c r="V38" s="27"/>
      <c r="W38" s="27"/>
      <c r="AE38" s="106"/>
    </row>
    <row r="39" spans="1:39" s="10" customFormat="1" ht="15" customHeight="1" x14ac:dyDescent="0.3">
      <c r="A39" s="49" t="str">
        <f>RTD("cqg.rtd",,"ContractData","EDAS12?10", "Symbol")</f>
        <v>EDAS12Z21</v>
      </c>
      <c r="B39" s="17" t="str">
        <f>RIGHT(RTD("cqg.rtd",,"ContractData",A39, "LongDescription"),15)</f>
        <v xml:space="preserve"> Dec 21, Dec 22</v>
      </c>
      <c r="C39" s="47">
        <f>RTD("cqg.rtd", ,"ContractData",A39, "Open",,"T")</f>
        <v>15</v>
      </c>
      <c r="D39" s="47">
        <f>RTD("cqg.rtd", ,"ContractData",A39, "High",,"T")</f>
        <v>16</v>
      </c>
      <c r="E39" s="47">
        <f>RTD("cqg.rtd", ,"ContractData",A39, "Low",,"T")</f>
        <v>15</v>
      </c>
      <c r="F39" s="47">
        <f>RTD("cqg.rtd", ,"ContractData",A39, "LastTradeorSettle",,"T")</f>
        <v>16</v>
      </c>
      <c r="G39" s="48">
        <f>RTD("cqg.rtd",,"ContractData",A39,"NetLastTradeToday",,"T")</f>
        <v>0</v>
      </c>
      <c r="H39" s="14">
        <f>RTD("cqg.rtd",,"ContractData",A39,"NetLastTradeToday",,"T")</f>
        <v>0</v>
      </c>
      <c r="I39" s="18">
        <f>RTD("cqg.rtd", ,"ContractData",A39, "T_CVol")</f>
        <v>375</v>
      </c>
      <c r="J39" s="71"/>
      <c r="K39" s="8"/>
      <c r="L39" s="8"/>
      <c r="M39" s="8"/>
      <c r="N39" s="8"/>
      <c r="O39" s="8"/>
      <c r="P39" s="8"/>
      <c r="Q39" s="8"/>
      <c r="R39" s="30"/>
      <c r="S39" s="27"/>
      <c r="T39" s="27"/>
      <c r="U39" s="27"/>
      <c r="V39" s="27"/>
      <c r="W39" s="27"/>
      <c r="X39" s="11"/>
      <c r="Y39" s="11"/>
      <c r="Z39" s="11"/>
      <c r="AA39" s="11"/>
      <c r="AB39" s="11"/>
      <c r="AC39" s="11"/>
      <c r="AD39" s="11"/>
      <c r="AE39" s="106"/>
      <c r="AF39" s="11"/>
      <c r="AG39" s="11"/>
      <c r="AH39" s="11"/>
      <c r="AI39" s="11"/>
      <c r="AJ39" s="11"/>
      <c r="AK39" s="11"/>
      <c r="AL39" s="11"/>
      <c r="AM39" s="11"/>
    </row>
    <row r="40" spans="1:39" s="10" customFormat="1" ht="15" customHeight="1" x14ac:dyDescent="0.3">
      <c r="A40" s="49" t="str">
        <f>RTD("cqg.rtd",,"ContractData","EDAS12?12", "Symbol")</f>
        <v>EDAS12M22</v>
      </c>
      <c r="B40" s="17" t="str">
        <f>RIGHT(RTD("cqg.rtd",,"ContractData",A40, "LongDescription"),15)</f>
        <v xml:space="preserve"> Jun 22, Jun 23</v>
      </c>
      <c r="C40" s="47">
        <f>RTD("cqg.rtd", ,"ContractData",A40, "Open",,"T")</f>
        <v>15.5</v>
      </c>
      <c r="D40" s="47">
        <f>RTD("cqg.rtd", ,"ContractData",A40, "High",,"T")</f>
        <v>15.5</v>
      </c>
      <c r="E40" s="47">
        <f>RTD("cqg.rtd", ,"ContractData",A40, "Low",,"T")</f>
        <v>15</v>
      </c>
      <c r="F40" s="47">
        <f>RTD("cqg.rtd", ,"ContractData",A40, "LastTradeorSettle",,"T")</f>
        <v>15.5</v>
      </c>
      <c r="G40" s="48">
        <f>RTD("cqg.rtd",,"ContractData",A40,"NetLastTradeToday",,"T")</f>
        <v>0</v>
      </c>
      <c r="H40" s="14">
        <f>RTD("cqg.rtd",,"ContractData",A40,"NetLastTradeToday",,"T")</f>
        <v>0</v>
      </c>
      <c r="I40" s="19">
        <f>RTD("cqg.rtd", ,"ContractData",A40, "T_CVol")</f>
        <v>1185</v>
      </c>
      <c r="J40" s="71"/>
      <c r="K40" s="8"/>
      <c r="L40" s="8"/>
      <c r="M40" s="8"/>
      <c r="N40" s="8"/>
      <c r="O40" s="8"/>
      <c r="P40" s="8"/>
      <c r="Q40" s="8"/>
      <c r="R40" s="30"/>
      <c r="S40" s="27"/>
      <c r="T40" s="27"/>
      <c r="U40" s="27"/>
      <c r="V40" s="27"/>
      <c r="W40" s="27"/>
      <c r="X40" s="11"/>
      <c r="Y40" s="11"/>
      <c r="Z40" s="11"/>
      <c r="AA40" s="11"/>
      <c r="AB40" s="11"/>
      <c r="AC40" s="11"/>
      <c r="AD40" s="11"/>
      <c r="AE40" s="106"/>
      <c r="AF40" s="11"/>
      <c r="AG40" s="11"/>
      <c r="AH40" s="11"/>
      <c r="AI40" s="11"/>
      <c r="AJ40" s="11"/>
      <c r="AK40" s="11"/>
      <c r="AL40" s="11"/>
      <c r="AM40" s="11"/>
    </row>
    <row r="41" spans="1:39" s="10" customFormat="1" ht="14.1" customHeight="1" x14ac:dyDescent="0.3">
      <c r="A41" s="49"/>
      <c r="B41" s="161"/>
      <c r="C41" s="147"/>
      <c r="D41" s="115"/>
      <c r="E41" s="116"/>
      <c r="F41" s="117"/>
      <c r="G41" s="116"/>
      <c r="H41" s="118"/>
      <c r="I41" s="119"/>
      <c r="J41" s="71"/>
      <c r="K41" s="32"/>
      <c r="L41" s="32"/>
      <c r="M41" s="32"/>
      <c r="N41" s="32"/>
      <c r="O41" s="32"/>
      <c r="P41" s="32"/>
      <c r="Q41" s="32"/>
      <c r="R41" s="33"/>
      <c r="S41" s="28"/>
      <c r="T41" s="28"/>
      <c r="U41" s="28"/>
      <c r="V41" s="28"/>
      <c r="W41" s="27"/>
      <c r="X41" s="11"/>
      <c r="Y41" s="11"/>
      <c r="Z41" s="11"/>
      <c r="AA41" s="11"/>
      <c r="AB41" s="11"/>
      <c r="AC41" s="11"/>
      <c r="AD41" s="11"/>
      <c r="AE41" s="106"/>
      <c r="AF41" s="11"/>
      <c r="AG41" s="11"/>
      <c r="AH41" s="11"/>
      <c r="AI41" s="11"/>
      <c r="AJ41" s="11"/>
      <c r="AK41" s="11"/>
      <c r="AL41" s="11"/>
      <c r="AM41" s="11"/>
    </row>
    <row r="42" spans="1:39" s="10" customFormat="1" ht="15" customHeight="1" x14ac:dyDescent="0.3">
      <c r="A42" s="49"/>
      <c r="B42" s="149" t="s">
        <v>22</v>
      </c>
      <c r="C42" s="150"/>
      <c r="D42" s="150"/>
      <c r="E42" s="150"/>
      <c r="F42" s="150"/>
      <c r="G42" s="150"/>
      <c r="H42" s="150"/>
      <c r="I42" s="151"/>
      <c r="J42" s="71"/>
      <c r="K42" s="29" t="str">
        <f>RIGHT(RTD("cqg.rtd",,"ContractData","EDAS3?1", "LongDescription"),15)</f>
        <v xml:space="preserve"> Sep 19, Dec 19</v>
      </c>
      <c r="L42" s="29" t="str">
        <f>RIGHT(RTD("cqg.rtd",,"ContractData","EDAS3?2", "LongDescription"),15)</f>
        <v xml:space="preserve"> Dec 19, Mar 20</v>
      </c>
      <c r="M42" s="29" t="str">
        <f>RIGHT(RTD("cqg.rtd",,"ContractData","EDAS3?3", "LongDescription"),15)</f>
        <v xml:space="preserve"> Mar 20, Jun 20</v>
      </c>
      <c r="N42" s="29" t="str">
        <f>RIGHT(RTD("cqg.rtd",,"ContractData","EDAS3?4", "LongDescription"),15)</f>
        <v xml:space="preserve"> Jun 20, Sep 20</v>
      </c>
      <c r="O42" s="29" t="str">
        <f>RIGHT(RTD("cqg.rtd",,"ContractData","EDAS3?5", "LongDescription"),15)</f>
        <v xml:space="preserve"> Sep 20, Dec 20</v>
      </c>
      <c r="P42" s="29" t="str">
        <f>RIGHT(RTD("cqg.rtd",,"ContractData","EDAS3?6", "LongDescription"),15)</f>
        <v xml:space="preserve"> Dec 20, Mar 21</v>
      </c>
      <c r="Q42" s="29" t="str">
        <f>RIGHT(RTD("cqg.rtd",,"ContractData","EDAS3?7", "LongDescription"),15)</f>
        <v xml:space="preserve"> Mar 21, Jun 21</v>
      </c>
      <c r="R42" s="29" t="str">
        <f>RIGHT(RTD("cqg.rtd",,"ContractData","EDAS3?8", "LongDescription"),15)</f>
        <v xml:space="preserve"> Jun 21, Sep 21</v>
      </c>
      <c r="S42" s="29" t="str">
        <f>RIGHT(RTD("cqg.rtd",,"ContractData","EDAS3?9", "LongDescription"),15)</f>
        <v xml:space="preserve"> Sep 21, Dec 21</v>
      </c>
      <c r="T42" s="29" t="str">
        <f>RIGHT(RTD("cqg.rtd",,"ContractData","EDAS3?10", "LongDescription"),15)</f>
        <v xml:space="preserve"> Dec 21, Mar 22</v>
      </c>
      <c r="U42" s="29" t="str">
        <f>RIGHT(RTD("cqg.rtd",,"ContractData","EDAS3?11", "LongDescription"),15)</f>
        <v xml:space="preserve"> Mar 22, Jun 22</v>
      </c>
      <c r="V42" s="29" t="str">
        <f>RIGHT(RTD("cqg.rtd",,"ContractData","EDAS3?12", "LongDescription"),15)</f>
        <v xml:space="preserve"> Jun 22, Sep 22</v>
      </c>
      <c r="W42" s="29" t="str">
        <f>RIGHT(RTD("cqg.rtd",,"ContractData","EDAS3?13", "LongDescription"),15)</f>
        <v xml:space="preserve"> Sep 22, Dec 22</v>
      </c>
      <c r="X42" s="29" t="str">
        <f>RIGHT(RTD("cqg.rtd",,"ContractData","EDAS3?14", "LongDescription"),15)</f>
        <v xml:space="preserve"> Dec 22, Mar 23</v>
      </c>
      <c r="Y42" s="29" t="str">
        <f>RIGHT(RTD("cqg.rtd",,"ContractData","EDAS3?15", "LongDescription"),15)</f>
        <v xml:space="preserve"> Mar 23, Jun 23</v>
      </c>
      <c r="Z42" s="29" t="str">
        <f>RIGHT(RTD("cqg.rtd",,"ContractData","EDAS3?16", "LongDescription"),15)</f>
        <v xml:space="preserve"> Jun 23, Sep 23</v>
      </c>
      <c r="AA42" s="29" t="str">
        <f>RIGHT(RTD("cqg.rtd",,"ContractData","EDAS3?17", "LongDescription"),15)</f>
        <v xml:space="preserve"> Sep 23, Dec 23</v>
      </c>
      <c r="AB42" s="29" t="str">
        <f>RIGHT(RTD("cqg.rtd",,"ContractData","EDAS3?18", "LongDescription"),15)</f>
        <v xml:space="preserve"> Dec 23, Mar 24</v>
      </c>
      <c r="AC42" s="29" t="str">
        <f>RIGHT(RTD("cqg.rtd",,"ContractData","EDAS3?19", "LongDescription"),15)</f>
        <v xml:space="preserve"> Mar 24, Jun 24</v>
      </c>
      <c r="AD42" s="143" t="str">
        <f>RIGHT(RTD("cqg.rtd",,"ContractData","EDAS3?20", "LongDescription"),15)</f>
        <v xml:space="preserve"> Jun 24, Sep 24</v>
      </c>
      <c r="AE42" s="106"/>
      <c r="AF42" s="11"/>
      <c r="AG42" s="11"/>
      <c r="AH42" s="11"/>
      <c r="AI42" s="11"/>
      <c r="AJ42" s="11"/>
      <c r="AK42" s="11"/>
      <c r="AL42" s="11"/>
    </row>
    <row r="43" spans="1:39" s="10" customFormat="1" ht="15" customHeight="1" x14ac:dyDescent="0.3">
      <c r="A43" s="49"/>
      <c r="B43" s="152"/>
      <c r="C43" s="153"/>
      <c r="D43" s="153"/>
      <c r="E43" s="153"/>
      <c r="F43" s="153"/>
      <c r="G43" s="153"/>
      <c r="H43" s="153"/>
      <c r="I43" s="154"/>
      <c r="J43" s="71"/>
      <c r="K43" s="80" t="str">
        <f>TEXT(RTD("cqg.rtd",,"ContractData","EDAS3?1", "Ask"),"#.00")&amp;" "&amp;"A"</f>
        <v>-11.00 A</v>
      </c>
      <c r="L43" s="80" t="str">
        <f>TEXT(RTD("cqg.rtd",,"ContractData","EDAS3?2", "Ask"),"#.00")&amp;" "&amp;"A"</f>
        <v>-19.50 A</v>
      </c>
      <c r="M43" s="80" t="str">
        <f>TEXT(RTD("cqg.rtd",,"ContractData","EDAS3?3", "Ask"),"#.00")&amp;" "&amp;"A"</f>
        <v>-8.50 A</v>
      </c>
      <c r="N43" s="80" t="str">
        <f>TEXT(RTD("cqg.rtd",,"ContractData","EDAS3?4", "Ask"),"#.00")&amp;" "&amp;"A"</f>
        <v>-5.50 A</v>
      </c>
      <c r="O43" s="80" t="str">
        <f>TEXT(RTD("cqg.rtd",,"ContractData","EDAS3?5", "Ask"),"#.00")&amp;" "&amp;"A"</f>
        <v>1.00 A</v>
      </c>
      <c r="P43" s="80" t="str">
        <f>TEXT(RTD("cqg.rtd",,"ContractData","EDAS3?6", "Ask"),"#.00")&amp;" "&amp;"A"</f>
        <v>-1.50 A</v>
      </c>
      <c r="Q43" s="80" t="str">
        <f>TEXT(RTD("cqg.rtd",,"ContractData","EDAS3?7", "Ask"),"#.00")&amp;" "&amp;"A"</f>
        <v>4.00 A</v>
      </c>
      <c r="R43" s="80" t="str">
        <f>TEXT(RTD("cqg.rtd",,"ContractData","EDAS3?8", "Ask"),"#.00")&amp;" "&amp;"A"</f>
        <v>3.50 A</v>
      </c>
      <c r="S43" s="80" t="str">
        <f>TEXT(RTD("cqg.rtd",,"ContractData","EDAS3?9", "Ask"),"#.00")&amp;" "&amp;"A"</f>
        <v>4.50 A</v>
      </c>
      <c r="T43" s="80" t="str">
        <f>TEXT(RTD("cqg.rtd",,"ContractData","EDAS3?10", "Ask"),"#.00")&amp;" "&amp;"A"</f>
        <v>3.50 A</v>
      </c>
      <c r="U43" s="80" t="str">
        <f>TEXT(RTD("cqg.rtd",,"ContractData","EDAS3?11", "Ask"),"#.00")&amp;" "&amp;"A"</f>
        <v>5.00 A</v>
      </c>
      <c r="V43" s="80" t="str">
        <f>TEXT(RTD("cqg.rtd",,"ContractData","EDAS3?12", "Ask"),"#.00")&amp;" "&amp;"A"</f>
        <v>4.50 A</v>
      </c>
      <c r="W43" s="80" t="str">
        <f>TEXT(RTD("cqg.rtd",,"ContractData","EDAS3?13", "Ask"),"#.00")&amp;" "&amp;"A"</f>
        <v>4.00 A</v>
      </c>
      <c r="X43" s="80" t="str">
        <f>TEXT(RTD("cqg.rtd",,"ContractData","EDAS3?14", "Ask"),"#.00")&amp;" "&amp;"A"</f>
        <v>3.50 A</v>
      </c>
      <c r="Y43" s="80" t="str">
        <f>TEXT(RTD("cqg.rtd",,"ContractData","EDAS3?15", "Ask"),"#.00")&amp;" "&amp;"A"</f>
        <v>4.50 A</v>
      </c>
      <c r="Z43" s="80" t="str">
        <f>TEXT(RTD("cqg.rtd",,"ContractData","EDAS3?16", "Ask"),"#.00")&amp;" "&amp;"A"</f>
        <v>4.50 A</v>
      </c>
      <c r="AA43" s="80" t="str">
        <f>TEXT(RTD("cqg.rtd",,"ContractData","EDAS3?17", "Ask"),"#.00")&amp;" "&amp;"A"</f>
        <v>5.00 A</v>
      </c>
      <c r="AB43" s="80" t="str">
        <f>TEXT(RTD("cqg.rtd",,"ContractData","EDAS3?18", "Ask"),"#.00")&amp;" "&amp;"A"</f>
        <v>4.00 A</v>
      </c>
      <c r="AC43" s="80" t="str">
        <f>TEXT(RTD("cqg.rtd",,"ContractData","EDAS3?19", "Ask"),"#.00")&amp;" "&amp;"A"</f>
        <v>4.50 A</v>
      </c>
      <c r="AD43" s="144" t="str">
        <f>TEXT(RTD("cqg.rtd",,"ContractData","EDAS3?20", "Ask"),"#.00")&amp;" "&amp;"A"</f>
        <v>4.50 A</v>
      </c>
      <c r="AE43" s="106"/>
      <c r="AF43" s="11"/>
      <c r="AG43" s="11"/>
      <c r="AH43" s="11"/>
      <c r="AI43" s="11"/>
      <c r="AJ43" s="11"/>
      <c r="AK43" s="11"/>
      <c r="AL43" s="11"/>
    </row>
    <row r="44" spans="1:39" s="10" customFormat="1" ht="15" customHeight="1" x14ac:dyDescent="0.3">
      <c r="A44" s="49"/>
      <c r="B44" s="50" t="s">
        <v>13</v>
      </c>
      <c r="C44" s="51" t="s">
        <v>7</v>
      </c>
      <c r="D44" s="51" t="s">
        <v>8</v>
      </c>
      <c r="E44" s="51" t="s">
        <v>9</v>
      </c>
      <c r="F44" s="51" t="s">
        <v>6</v>
      </c>
      <c r="G44" s="51" t="s">
        <v>10</v>
      </c>
      <c r="H44" s="51" t="s">
        <v>10</v>
      </c>
      <c r="I44" s="52" t="s">
        <v>11</v>
      </c>
      <c r="J44" s="71"/>
      <c r="K44" s="12" t="str">
        <f>TEXT(RTD("cqg.rtd",,"ContractData","EDAS3?1", "Bid"),"#.00")&amp;" "&amp;"B"</f>
        <v>-11.50 B</v>
      </c>
      <c r="L44" s="12" t="str">
        <f>TEXT(RTD("cqg.rtd",,"ContractData","EDAS3?2", "Bid"),"#.00")&amp;" "&amp;"B"</f>
        <v>-20.00 B</v>
      </c>
      <c r="M44" s="12" t="str">
        <f>TEXT(RTD("cqg.rtd",,"ContractData","EDAS3?3", "Bid"),"#.00")&amp;" "&amp;"B"</f>
        <v>-9.00 B</v>
      </c>
      <c r="N44" s="12" t="str">
        <f>TEXT(RTD("cqg.rtd",,"ContractData","EDAS3?4", "Bid"),"#.00")&amp;" "&amp;"B"</f>
        <v>-6.00 B</v>
      </c>
      <c r="O44" s="12" t="str">
        <f>TEXT(RTD("cqg.rtd",,"ContractData","EDAS3?5", "Bid"),"#.00")&amp;" "&amp;"B"</f>
        <v>.50 B</v>
      </c>
      <c r="P44" s="12" t="str">
        <f>TEXT(RTD("cqg.rtd",,"ContractData","EDAS3?6", "Bid"),"#.00")&amp;" "&amp;"B"</f>
        <v>-2.00 B</v>
      </c>
      <c r="Q44" s="12" t="str">
        <f>TEXT(RTD("cqg.rtd",,"ContractData","EDAS3?7", "Bid"),"#.00")&amp;" "&amp;"B"</f>
        <v>3.50 B</v>
      </c>
      <c r="R44" s="12" t="str">
        <f>TEXT(RTD("cqg.rtd",,"ContractData","EDAS3?8", "Bid"),"#.00")&amp;" "&amp;"B"</f>
        <v>3.00 B</v>
      </c>
      <c r="S44" s="12" t="str">
        <f>TEXT(RTD("cqg.rtd",,"ContractData","EDAS3?9", "Bid"),"#.00")&amp;" "&amp;"B"</f>
        <v>4.00 B</v>
      </c>
      <c r="T44" s="12" t="str">
        <f>TEXT(RTD("cqg.rtd",,"ContractData","EDAS3?10", "Bid"),"#.00")&amp;" "&amp;"B"</f>
        <v>3.00 B</v>
      </c>
      <c r="U44" s="12" t="str">
        <f>TEXT(RTD("cqg.rtd",,"ContractData","EDAS3?11", "Bid"),"#.00")&amp;" "&amp;"B"</f>
        <v>4.50 B</v>
      </c>
      <c r="V44" s="12" t="str">
        <f>TEXT(RTD("cqg.rtd",,"ContractData","EDAS3?12", "Bid"),"#.00")&amp;" "&amp;"B"</f>
        <v>4.00 B</v>
      </c>
      <c r="W44" s="12" t="str">
        <f>TEXT(RTD("cqg.rtd",,"ContractData","EDAS3?13", "Bid"),"#.00")&amp;" "&amp;"B"</f>
        <v>3.50 B</v>
      </c>
      <c r="X44" s="12" t="str">
        <f>TEXT(RTD("cqg.rtd",,"ContractData","EDAS3?14", "Bid"),"#.00")&amp;" "&amp;"B"</f>
        <v>3.00 B</v>
      </c>
      <c r="Y44" s="12" t="str">
        <f>TEXT(RTD("cqg.rtd",,"ContractData","EDAS3?15", "Bid"),"#.00")&amp;" "&amp;"B"</f>
        <v>4.00 B</v>
      </c>
      <c r="Z44" s="12" t="str">
        <f>TEXT(RTD("cqg.rtd",,"ContractData","EDAS3?16", "Bid"),"#.00")&amp;" "&amp;"B"</f>
        <v>4.00 B</v>
      </c>
      <c r="AA44" s="12" t="str">
        <f>TEXT(RTD("cqg.rtd",,"ContractData","EDAS3?17", "Bid"),"#.00")&amp;" "&amp;"B"</f>
        <v>4.50 B</v>
      </c>
      <c r="AB44" s="12" t="str">
        <f>TEXT(RTD("cqg.rtd",,"ContractData","EDAS3?18", "Bid"),"#.00")&amp;" "&amp;"B"</f>
        <v>3.50 B</v>
      </c>
      <c r="AC44" s="12" t="str">
        <f>TEXT(RTD("cqg.rtd",,"ContractData","EDAS3?19", "Bid"),"#.00")&amp;" "&amp;"B"</f>
        <v>4.00 B</v>
      </c>
      <c r="AD44" s="145" t="str">
        <f>TEXT(RTD("cqg.rtd",,"ContractData","EDAS3?20", "Bid"),"#.00")&amp;" "&amp;"B"</f>
        <v>3.50 B</v>
      </c>
      <c r="AE44" s="106"/>
      <c r="AF44" s="11"/>
      <c r="AG44" s="11"/>
      <c r="AH44" s="11"/>
      <c r="AI44" s="11"/>
      <c r="AJ44" s="11"/>
      <c r="AK44" s="11"/>
      <c r="AL44" s="11"/>
    </row>
    <row r="45" spans="1:39" s="10" customFormat="1" ht="15" customHeight="1" x14ac:dyDescent="0.3">
      <c r="A45" s="49" t="str">
        <f>RTD("cqg.rtd",,"ContractData","EDAS3?1", "Symbol")</f>
        <v>EDAS3U19</v>
      </c>
      <c r="B45" s="16" t="str">
        <f>RIGHT(RTD("cqg.rtd",,"ContractData",A45, "LongDescription"),15)</f>
        <v xml:space="preserve"> Sep 19, Dec 19</v>
      </c>
      <c r="C45" s="45">
        <f>RTD("cqg.rtd", ,"ContractData",A45, "Open",,"T")</f>
        <v>-10.5</v>
      </c>
      <c r="D45" s="45">
        <f>RTD("cqg.rtd", ,"ContractData",A45, "High",,"T")</f>
        <v>-10</v>
      </c>
      <c r="E45" s="45">
        <f>RTD("cqg.rtd", ,"ContractData",A45, "Low",,"T")</f>
        <v>-11</v>
      </c>
      <c r="F45" s="45">
        <f>RTD("cqg.rtd", ,"ContractData",A45, "LastTradeorSettle",,"T")</f>
        <v>-11</v>
      </c>
      <c r="G45" s="46">
        <f>RTD("cqg.rtd",,"ContractData",A45,"NetLastTradeToday",,"T")</f>
        <v>-1</v>
      </c>
      <c r="H45" s="13">
        <f>RTD("cqg.rtd",,"ContractData",A45,"NetLastTradeToday",,"T")</f>
        <v>-1</v>
      </c>
      <c r="I45" s="18">
        <f>RTD("cqg.rtd", ,"ContractData",A45, "T_CVol")</f>
        <v>13958</v>
      </c>
      <c r="J45" s="71"/>
      <c r="K45" s="80" t="str">
        <f>TEXT(RTD("cqg.rtd", ,"ContractData","EDAS3?1","LastTradeorSettle",,"T"),"#.00")&amp;" "&amp;"L"</f>
        <v>-11.00 L</v>
      </c>
      <c r="L45" s="80" t="str">
        <f>TEXT(RTD("cqg.rtd", ,"ContractData","EDAS3?2","LastTradeorSettle",,"T"),"#.00")&amp;" "&amp;"L"</f>
        <v>-20.00 L</v>
      </c>
      <c r="M45" s="80" t="str">
        <f>TEXT(RTD("cqg.rtd", ,"ContractData","EDAS3?3","LastTradeorSettle",,"T"),"#.00")&amp;" "&amp;"L"</f>
        <v>-8.50 L</v>
      </c>
      <c r="N45" s="80" t="str">
        <f>TEXT(RTD("cqg.rtd", ,"ContractData","EDAS3?4","LastTradeorSettle",,"T"),"#.00")&amp;" "&amp;"L"</f>
        <v>-6.00 L</v>
      </c>
      <c r="O45" s="80" t="str">
        <f>TEXT(RTD("cqg.rtd", ,"ContractData","EDAS3?5","LastTradeorSettle",,"T"),"#.00")&amp;" "&amp;"L"</f>
        <v>.50 L</v>
      </c>
      <c r="P45" s="80" t="str">
        <f>TEXT(RTD("cqg.rtd", ,"ContractData","EDAS3?6","LastTradeorSettle",,"T"),"#.00")&amp;" "&amp;"L"</f>
        <v>-1.50 L</v>
      </c>
      <c r="Q45" s="80" t="str">
        <f>TEXT(RTD("cqg.rtd", ,"ContractData","EDAS3?7","LastTradeorSettle",,"T"),"#.00")&amp;" "&amp;"L"</f>
        <v>3.50 L</v>
      </c>
      <c r="R45" s="80" t="str">
        <f>TEXT(RTD("cqg.rtd", ,"ContractData","EDAS3?8","LastTradeorSettle",,"T"),"#.00")&amp;" "&amp;"L"</f>
        <v>3.00 L</v>
      </c>
      <c r="S45" s="80" t="str">
        <f>TEXT(RTD("cqg.rtd", ,"ContractData","EDAS3?9","LastTradeorSettle",,"T"),"#.00")&amp;" "&amp;"L"</f>
        <v>4.50 L</v>
      </c>
      <c r="T45" s="80" t="str">
        <f>TEXT(RTD("cqg.rtd", ,"ContractData","EDAS3?10","LastTradeorSettle",,"T"),"#.00")&amp;" "&amp;"L"</f>
        <v>3.00 L</v>
      </c>
      <c r="U45" s="80" t="str">
        <f>TEXT(RTD("cqg.rtd", ,"ContractData","EDAS3?11","LastTradeorSettle",,"T"),"#.00")&amp;" "&amp;"L"</f>
        <v>4.50 L</v>
      </c>
      <c r="V45" s="80" t="str">
        <f>TEXT(RTD("cqg.rtd", ,"ContractData","EDAS3?12","LastTradeorSettle",,"T"),"#.00")&amp;" "&amp;"L"</f>
        <v>4.00 L</v>
      </c>
      <c r="W45" s="80" t="str">
        <f>TEXT(RTD("cqg.rtd", ,"ContractData","EDAS3?13","LastTradeorSettle",,"T"),"#.00")&amp;" "&amp;"L"</f>
        <v>4.00 L</v>
      </c>
      <c r="X45" s="80" t="str">
        <f>TEXT(RTD("cqg.rtd", ,"ContractData","EDAS3?14","LastTradeorSettle",,"T"),"#.00")&amp;" "&amp;"L"</f>
        <v xml:space="preserve"> L</v>
      </c>
      <c r="Y45" s="80" t="str">
        <f>TEXT(RTD("cqg.rtd", ,"ContractData","EDAS3?15","LastTradeorSettle",,"T"),"#.00")&amp;" "&amp;"L"</f>
        <v>4.00 L</v>
      </c>
      <c r="Z45" s="80" t="str">
        <f>TEXT(RTD("cqg.rtd", ,"ContractData","EDAS3?16","LastTradeorSettle",,"T"),"#.00")&amp;" "&amp;"L"</f>
        <v>4.00 L</v>
      </c>
      <c r="AA45" s="80" t="str">
        <f>TEXT(RTD("cqg.rtd", ,"ContractData","EDAS3?17","LastTradeorSettle",,"T"),"#.00")&amp;" "&amp;"L"</f>
        <v>4.50 L</v>
      </c>
      <c r="AB45" s="80" t="str">
        <f>TEXT(RTD("cqg.rtd", ,"ContractData","EDAS3?18","LastTradeorSettle",,"T"),"#.00")&amp;" "&amp;"L"</f>
        <v>4.00 L</v>
      </c>
      <c r="AC45" s="80" t="str">
        <f>TEXT(RTD("cqg.rtd", ,"ContractData","EDAS3?19","LastTradeorSettle",,"T"),"#.00")&amp;" "&amp;"L"</f>
        <v xml:space="preserve"> L</v>
      </c>
      <c r="AD45" s="144" t="str">
        <f>TEXT(RTD("cqg.rtd", ,"ContractData","EDAS3?20","LastTradeorSettle",,"T"),"#.00")&amp;" "&amp;"L"</f>
        <v>4.00 L</v>
      </c>
      <c r="AE45" s="106"/>
      <c r="AF45" s="11"/>
      <c r="AG45" s="11"/>
      <c r="AH45" s="11"/>
      <c r="AI45" s="11"/>
      <c r="AJ45" s="11"/>
      <c r="AK45" s="11"/>
      <c r="AL45" s="11"/>
    </row>
    <row r="46" spans="1:39" s="10" customFormat="1" ht="15" customHeight="1" x14ac:dyDescent="0.3">
      <c r="A46" s="49" t="str">
        <f>RTD("cqg.rtd",,"ContractData","EDAS3?2", "Symbol")</f>
        <v>EDAS3Z19</v>
      </c>
      <c r="B46" s="16" t="str">
        <f>RIGHT(RTD("cqg.rtd",,"ContractData",A46, "LongDescription"),15)</f>
        <v xml:space="preserve"> Dec 19, Mar 20</v>
      </c>
      <c r="C46" s="45">
        <f>RTD("cqg.rtd", ,"ContractData",A46, "Open",,"T")</f>
        <v>-20</v>
      </c>
      <c r="D46" s="45">
        <f>RTD("cqg.rtd", ,"ContractData",A46, "High",,"T")</f>
        <v>-19</v>
      </c>
      <c r="E46" s="45">
        <f>RTD("cqg.rtd", ,"ContractData",A46, "Low",,"T")</f>
        <v>-20</v>
      </c>
      <c r="F46" s="45">
        <f>RTD("cqg.rtd", ,"ContractData",A46, "LastTradeorSettle",,"T")</f>
        <v>-20</v>
      </c>
      <c r="G46" s="46">
        <f>RTD("cqg.rtd",,"ContractData",A46,"NetLastTradeToday",,"T")</f>
        <v>-1</v>
      </c>
      <c r="H46" s="13">
        <f>RTD("cqg.rtd",,"ContractData",A46,"NetLastTradeToday",,"T")</f>
        <v>-1</v>
      </c>
      <c r="I46" s="18">
        <f>RTD("cqg.rtd", ,"ContractData",A46, "T_CVol")</f>
        <v>2736</v>
      </c>
      <c r="J46" s="71"/>
      <c r="K46" s="8"/>
      <c r="L46" s="8"/>
      <c r="M46" s="8"/>
      <c r="N46" s="8"/>
      <c r="O46" s="8"/>
      <c r="P46" s="8"/>
      <c r="Q46" s="8"/>
      <c r="R46" s="30"/>
      <c r="S46" s="27"/>
      <c r="T46" s="27"/>
      <c r="U46" s="27"/>
      <c r="V46" s="125"/>
      <c r="W46" s="27"/>
      <c r="X46" s="11"/>
      <c r="Y46" s="11"/>
      <c r="Z46" s="11"/>
      <c r="AA46" s="11"/>
      <c r="AB46" s="11"/>
      <c r="AC46" s="11"/>
      <c r="AD46" s="11"/>
      <c r="AE46" s="106"/>
      <c r="AF46" s="11"/>
      <c r="AG46" s="11"/>
      <c r="AH46" s="11"/>
      <c r="AI46" s="11"/>
      <c r="AJ46" s="11"/>
      <c r="AK46" s="11"/>
      <c r="AL46" s="11"/>
      <c r="AM46" s="11"/>
    </row>
    <row r="47" spans="1:39" s="10" customFormat="1" ht="15" customHeight="1" x14ac:dyDescent="0.3">
      <c r="A47" s="49" t="str">
        <f>RTD("cqg.rtd",,"ContractData","EDAS3?3", "Symbol")</f>
        <v>EDAS3H20</v>
      </c>
      <c r="B47" s="16" t="str">
        <f>RIGHT(RTD("cqg.rtd",,"ContractData",A47, "LongDescription"),15)</f>
        <v xml:space="preserve"> Mar 20, Jun 20</v>
      </c>
      <c r="C47" s="45">
        <f>RTD("cqg.rtd", ,"ContractData",A47, "Open",,"T")</f>
        <v>-8.5</v>
      </c>
      <c r="D47" s="45">
        <f>RTD("cqg.rtd", ,"ContractData",A47, "High",,"T")</f>
        <v>-8</v>
      </c>
      <c r="E47" s="45">
        <f>RTD("cqg.rtd", ,"ContractData",A47, "Low",,"T")</f>
        <v>-8.5</v>
      </c>
      <c r="F47" s="45">
        <f>RTD("cqg.rtd", ,"ContractData",A47, "LastTradeorSettle",,"T")</f>
        <v>-8.5</v>
      </c>
      <c r="G47" s="46">
        <f>RTD("cqg.rtd",,"ContractData",A47,"NetLastTradeToday",,"T")</f>
        <v>0</v>
      </c>
      <c r="H47" s="13">
        <f>RTD("cqg.rtd",,"ContractData",A47,"NetLastTradeToday",,"T")</f>
        <v>0</v>
      </c>
      <c r="I47" s="18">
        <f>RTD("cqg.rtd", ,"ContractData",A47, "T_CVol")</f>
        <v>4672</v>
      </c>
      <c r="J47" s="71"/>
      <c r="K47" s="8"/>
      <c r="L47" s="8"/>
      <c r="M47" s="8"/>
      <c r="N47" s="8"/>
      <c r="O47" s="8"/>
      <c r="P47" s="8"/>
      <c r="Q47" s="8"/>
      <c r="R47" s="30"/>
      <c r="S47" s="27"/>
      <c r="T47" s="27"/>
      <c r="U47" s="27"/>
      <c r="V47" s="27"/>
      <c r="W47" s="27"/>
      <c r="X47" s="11"/>
      <c r="Y47" s="11"/>
      <c r="Z47" s="11"/>
      <c r="AA47" s="11"/>
      <c r="AB47" s="11"/>
      <c r="AC47" s="11"/>
      <c r="AD47" s="11"/>
      <c r="AE47" s="106"/>
      <c r="AF47" s="11"/>
      <c r="AG47" s="11"/>
      <c r="AH47" s="11"/>
      <c r="AI47" s="11"/>
      <c r="AJ47" s="11"/>
      <c r="AK47" s="11"/>
      <c r="AL47" s="11"/>
      <c r="AM47" s="11"/>
    </row>
    <row r="48" spans="1:39" s="10" customFormat="1" ht="15" customHeight="1" x14ac:dyDescent="0.3">
      <c r="A48" s="49" t="str">
        <f>RTD("cqg.rtd",,"ContractData","EDAS3?4", "Symbol")</f>
        <v>EDAS3M20</v>
      </c>
      <c r="B48" s="16" t="str">
        <f>RIGHT(RTD("cqg.rtd",,"ContractData",A48, "LongDescription"),15)</f>
        <v xml:space="preserve"> Jun 20, Sep 20</v>
      </c>
      <c r="C48" s="45">
        <f>RTD("cqg.rtd", ,"ContractData",A48, "Open",,"T")</f>
        <v>-5.5</v>
      </c>
      <c r="D48" s="45">
        <f>RTD("cqg.rtd", ,"ContractData",A48, "High",,"T")</f>
        <v>-5.5</v>
      </c>
      <c r="E48" s="45">
        <f>RTD("cqg.rtd", ,"ContractData",A48, "Low",,"T")</f>
        <v>-6</v>
      </c>
      <c r="F48" s="45">
        <f>RTD("cqg.rtd", ,"ContractData",A48, "LastTradeorSettle",,"T")</f>
        <v>-6</v>
      </c>
      <c r="G48" s="46">
        <f>RTD("cqg.rtd",,"ContractData",A48,"NetLastTradeToday",,"T")</f>
        <v>0</v>
      </c>
      <c r="H48" s="13">
        <f>RTD("cqg.rtd",,"ContractData",A48,"NetLastTradeToday",,"T")</f>
        <v>0</v>
      </c>
      <c r="I48" s="18">
        <f>RTD("cqg.rtd", ,"ContractData",A48, "T_CVol")</f>
        <v>1878</v>
      </c>
      <c r="J48" s="71"/>
      <c r="K48" s="8"/>
      <c r="L48" s="8"/>
      <c r="M48" s="8"/>
      <c r="N48" s="8"/>
      <c r="O48" s="8"/>
      <c r="P48" s="8"/>
      <c r="Q48" s="8"/>
      <c r="R48" s="30"/>
      <c r="S48" s="27"/>
      <c r="T48" s="27"/>
      <c r="U48" s="27"/>
      <c r="V48" s="27"/>
      <c r="W48" s="27"/>
      <c r="X48" s="11"/>
      <c r="Y48" s="11"/>
      <c r="Z48" s="11"/>
      <c r="AA48" s="11"/>
      <c r="AB48" s="11"/>
      <c r="AC48" s="11"/>
      <c r="AD48" s="11"/>
      <c r="AE48" s="106"/>
      <c r="AF48" s="11"/>
      <c r="AG48" s="11"/>
      <c r="AH48" s="11"/>
      <c r="AI48" s="11"/>
      <c r="AJ48" s="11"/>
      <c r="AK48" s="11"/>
      <c r="AL48" s="11"/>
      <c r="AM48" s="11"/>
    </row>
    <row r="49" spans="1:42" s="10" customFormat="1" ht="15" customHeight="1" x14ac:dyDescent="0.3">
      <c r="A49" s="49" t="str">
        <f>RTD("cqg.rtd",,"ContractData","EDAS3?5", "Symbol")</f>
        <v>EDAS3U20</v>
      </c>
      <c r="B49" s="16" t="str">
        <f>RIGHT(RTD("cqg.rtd",,"ContractData",A49, "LongDescription"),15)</f>
        <v xml:space="preserve"> Sep 20, Dec 20</v>
      </c>
      <c r="C49" s="45">
        <f>RTD("cqg.rtd", ,"ContractData",A49, "Open",,"T")</f>
        <v>0.5</v>
      </c>
      <c r="D49" s="45">
        <f>RTD("cqg.rtd", ,"ContractData",A49, "High",,"T")</f>
        <v>1</v>
      </c>
      <c r="E49" s="45">
        <f>RTD("cqg.rtd", ,"ContractData",A49, "Low",,"T")</f>
        <v>0.5</v>
      </c>
      <c r="F49" s="45">
        <f>RTD("cqg.rtd", ,"ContractData",A49, "LastTradeorSettle",,"T")</f>
        <v>0.5</v>
      </c>
      <c r="G49" s="46">
        <f>RTD("cqg.rtd",,"ContractData",A49,"NetLastTradeToday",,"T")</f>
        <v>0</v>
      </c>
      <c r="H49" s="13">
        <f>RTD("cqg.rtd",,"ContractData",A49,"NetLastTradeToday",,"T")</f>
        <v>0</v>
      </c>
      <c r="I49" s="18">
        <f>RTD("cqg.rtd", ,"ContractData",A49, "T_CVol")</f>
        <v>3565</v>
      </c>
      <c r="J49" s="71"/>
      <c r="K49" s="8"/>
      <c r="L49" s="8"/>
      <c r="M49" s="8"/>
      <c r="N49" s="8"/>
      <c r="O49" s="8"/>
      <c r="P49" s="8"/>
      <c r="Q49" s="8"/>
      <c r="R49" s="30"/>
      <c r="S49" s="27"/>
      <c r="T49" s="27"/>
      <c r="U49" s="27"/>
      <c r="V49" s="27"/>
      <c r="W49" s="27"/>
      <c r="X49" s="11"/>
      <c r="Y49" s="11"/>
      <c r="Z49" s="11"/>
      <c r="AA49" s="11"/>
      <c r="AB49" s="11"/>
      <c r="AC49" s="11"/>
      <c r="AD49" s="11"/>
      <c r="AE49" s="106"/>
      <c r="AF49" s="11"/>
      <c r="AG49" s="11"/>
      <c r="AH49" s="11"/>
      <c r="AI49" s="11"/>
      <c r="AJ49" s="11"/>
      <c r="AK49" s="11"/>
      <c r="AL49" s="11"/>
      <c r="AM49" s="11"/>
    </row>
    <row r="50" spans="1:42" s="10" customFormat="1" ht="15" customHeight="1" x14ac:dyDescent="0.3">
      <c r="A50" s="49" t="str">
        <f>RTD("cqg.rtd",,"ContractData","EDAS3?6", "Symbol")</f>
        <v>EDAS3Z20</v>
      </c>
      <c r="B50" s="17" t="str">
        <f>RIGHT(RTD("cqg.rtd",,"ContractData",A50, "LongDescription"),15)</f>
        <v xml:space="preserve"> Dec 20, Mar 21</v>
      </c>
      <c r="C50" s="47">
        <f>RTD("cqg.rtd", ,"ContractData",A50, "Open",,"T")</f>
        <v>-2</v>
      </c>
      <c r="D50" s="47">
        <f>RTD("cqg.rtd", ,"ContractData",A50, "High",,"T")</f>
        <v>-1.5</v>
      </c>
      <c r="E50" s="47">
        <f>RTD("cqg.rtd", ,"ContractData",A50, "Low",,"T")</f>
        <v>-2</v>
      </c>
      <c r="F50" s="47">
        <f>RTD("cqg.rtd", ,"ContractData",A50, "LastTradeorSettle",,"T")</f>
        <v>-1.5</v>
      </c>
      <c r="G50" s="46">
        <f>RTD("cqg.rtd",,"ContractData",A50,"NetLastTradeToday",,"T")</f>
        <v>0</v>
      </c>
      <c r="H50" s="14">
        <f>RTD("cqg.rtd",,"ContractData",A50,"NetLastTradeToday",,"T")</f>
        <v>0</v>
      </c>
      <c r="I50" s="18">
        <f>RTD("cqg.rtd", ,"ContractData",A50, "T_CVol")</f>
        <v>7984</v>
      </c>
      <c r="J50" s="71"/>
      <c r="K50" s="8"/>
      <c r="L50" s="8"/>
      <c r="M50" s="8"/>
      <c r="N50" s="8"/>
      <c r="O50" s="8"/>
      <c r="P50" s="8"/>
      <c r="Q50" s="8"/>
      <c r="R50" s="30"/>
      <c r="S50" s="27"/>
      <c r="T50" s="27"/>
      <c r="U50" s="27"/>
      <c r="V50" s="27"/>
      <c r="W50" s="27"/>
      <c r="X50" s="11"/>
      <c r="Y50" s="11"/>
      <c r="Z50" s="11"/>
      <c r="AA50" s="11"/>
      <c r="AB50" s="11"/>
      <c r="AC50" s="11"/>
      <c r="AD50" s="11"/>
      <c r="AE50" s="106"/>
      <c r="AF50" s="11"/>
      <c r="AG50" s="11"/>
      <c r="AH50" s="11"/>
      <c r="AI50" s="11"/>
      <c r="AJ50" s="11"/>
      <c r="AK50" s="11"/>
      <c r="AL50" s="11"/>
      <c r="AM50" s="11"/>
    </row>
    <row r="51" spans="1:42" s="10" customFormat="1" ht="15" customHeight="1" x14ac:dyDescent="0.3">
      <c r="A51" s="49" t="str">
        <f>RTD("cqg.rtd",,"ContractData","EDAS3?7", "Symbol")</f>
        <v>EDAS3H21</v>
      </c>
      <c r="B51" s="17" t="str">
        <f>RIGHT(RTD("cqg.rtd",,"ContractData",A51, "LongDescription"),15)</f>
        <v xml:space="preserve"> Mar 21, Jun 21</v>
      </c>
      <c r="C51" s="47">
        <f>RTD("cqg.rtd", ,"ContractData",A51, "Open",,"T")</f>
        <v>3.5</v>
      </c>
      <c r="D51" s="47">
        <f>RTD("cqg.rtd", ,"ContractData",A51, "High",,"T")</f>
        <v>3.5</v>
      </c>
      <c r="E51" s="47">
        <f>RTD("cqg.rtd", ,"ContractData",A51, "Low",,"T")</f>
        <v>3</v>
      </c>
      <c r="F51" s="47">
        <f>RTD("cqg.rtd", ,"ContractData",A51, "LastTradeorSettle",,"T")</f>
        <v>3.5</v>
      </c>
      <c r="G51" s="48">
        <f>RTD("cqg.rtd",,"ContractData",A51,"NetLastTradeToday",,"T")</f>
        <v>0</v>
      </c>
      <c r="H51" s="14">
        <f>RTD("cqg.rtd",,"ContractData",A51,"NetLastTradeToday",,"T")</f>
        <v>0</v>
      </c>
      <c r="I51" s="18">
        <f>RTD("cqg.rtd", ,"ContractData",A51, "T_CVol")</f>
        <v>1639</v>
      </c>
      <c r="J51" s="71"/>
      <c r="K51" s="8"/>
      <c r="L51" s="8"/>
      <c r="M51" s="8"/>
      <c r="N51" s="8"/>
      <c r="O51" s="8"/>
      <c r="P51" s="8"/>
      <c r="Q51" s="8"/>
      <c r="R51" s="30"/>
      <c r="S51" s="27"/>
      <c r="T51" s="27"/>
      <c r="U51" s="27"/>
      <c r="V51" s="27"/>
      <c r="W51" s="27"/>
      <c r="X51" s="11"/>
      <c r="Y51" s="11"/>
      <c r="Z51" s="11"/>
      <c r="AA51" s="11"/>
      <c r="AB51" s="11"/>
      <c r="AC51" s="11"/>
      <c r="AD51" s="11"/>
      <c r="AE51" s="106"/>
      <c r="AF51" s="11"/>
      <c r="AG51" s="11"/>
      <c r="AH51" s="11"/>
      <c r="AI51" s="11"/>
      <c r="AJ51" s="11"/>
      <c r="AK51" s="11"/>
      <c r="AL51" s="11"/>
      <c r="AM51" s="11"/>
    </row>
    <row r="52" spans="1:42" s="10" customFormat="1" ht="15" customHeight="1" x14ac:dyDescent="0.3">
      <c r="A52" s="49" t="str">
        <f>RTD("cqg.rtd",,"ContractData","EDAS3?8", "Symbol")</f>
        <v>EDAS3M21</v>
      </c>
      <c r="B52" s="17" t="str">
        <f>RIGHT(RTD("cqg.rtd",,"ContractData",A52, "LongDescription"),15)</f>
        <v xml:space="preserve"> Jun 21, Sep 21</v>
      </c>
      <c r="C52" s="47">
        <f>RTD("cqg.rtd", ,"ContractData",A52, "Open",,"T")</f>
        <v>3</v>
      </c>
      <c r="D52" s="47">
        <f>RTD("cqg.rtd", ,"ContractData",A52, "High",,"T")</f>
        <v>3</v>
      </c>
      <c r="E52" s="47">
        <f>RTD("cqg.rtd", ,"ContractData",A52, "Low",,"T")</f>
        <v>3</v>
      </c>
      <c r="F52" s="47">
        <f>RTD("cqg.rtd", ,"ContractData",A52, "LastTradeorSettle",,"T")</f>
        <v>3</v>
      </c>
      <c r="G52" s="46">
        <f>RTD("cqg.rtd",,"ContractData",A52,"NetLastTradeToday",,"T")</f>
        <v>0</v>
      </c>
      <c r="H52" s="14">
        <f>RTD("cqg.rtd",,"ContractData",A52,"NetLastTradeToday",,"T")</f>
        <v>0</v>
      </c>
      <c r="I52" s="18">
        <f>RTD("cqg.rtd", ,"ContractData",A52, "T_CVol")</f>
        <v>528</v>
      </c>
      <c r="J52" s="71"/>
      <c r="K52" s="8"/>
      <c r="L52" s="8"/>
      <c r="M52" s="8"/>
      <c r="N52" s="8"/>
      <c r="O52" s="8"/>
      <c r="P52" s="8"/>
      <c r="Q52" s="8"/>
      <c r="R52" s="30"/>
      <c r="S52" s="27"/>
      <c r="T52" s="27"/>
      <c r="U52" s="27"/>
      <c r="V52" s="27"/>
      <c r="W52" s="27"/>
      <c r="X52" s="11"/>
      <c r="Y52" s="11"/>
      <c r="Z52" s="11"/>
      <c r="AA52" s="11"/>
      <c r="AB52" s="11"/>
      <c r="AC52" s="11"/>
      <c r="AD52" s="11"/>
      <c r="AE52" s="106"/>
      <c r="AF52" s="11"/>
      <c r="AG52" s="11"/>
      <c r="AH52" s="11"/>
      <c r="AI52" s="11"/>
      <c r="AJ52" s="11"/>
      <c r="AK52" s="11"/>
      <c r="AL52" s="11"/>
      <c r="AM52" s="11"/>
    </row>
    <row r="53" spans="1:42" s="10" customFormat="1" ht="15" customHeight="1" x14ac:dyDescent="0.3">
      <c r="A53" s="49" t="str">
        <f>RTD("cqg.rtd",,"ContractData","EDAS3?9", "Symbol")</f>
        <v>EDAS3U21</v>
      </c>
      <c r="B53" s="17" t="str">
        <f>RIGHT(RTD("cqg.rtd",,"ContractData",A53, "LongDescription"),15)</f>
        <v xml:space="preserve"> Sep 21, Dec 21</v>
      </c>
      <c r="C53" s="47">
        <f>RTD("cqg.rtd", ,"ContractData",A53, "Open",,"T")</f>
        <v>4.5</v>
      </c>
      <c r="D53" s="47">
        <f>RTD("cqg.rtd", ,"ContractData",A53, "High",,"T")</f>
        <v>4.5</v>
      </c>
      <c r="E53" s="47">
        <f>RTD("cqg.rtd", ,"ContractData",A53, "Low",,"T")</f>
        <v>4</v>
      </c>
      <c r="F53" s="47">
        <f>RTD("cqg.rtd", ,"ContractData",A53, "LastTradeorSettle",,"T")</f>
        <v>4.5</v>
      </c>
      <c r="G53" s="48">
        <f>RTD("cqg.rtd",,"ContractData",A53,"NetLastTradeToday",,"T")</f>
        <v>0.5</v>
      </c>
      <c r="H53" s="14">
        <f>RTD("cqg.rtd",,"ContractData",A53,"NetLastTradeToday",,"T")</f>
        <v>0.5</v>
      </c>
      <c r="I53" s="18">
        <f>RTD("cqg.rtd", ,"ContractData",A53, "T_CVol")</f>
        <v>330</v>
      </c>
      <c r="J53" s="71"/>
      <c r="K53" s="8"/>
      <c r="L53" s="8"/>
      <c r="M53" s="8"/>
      <c r="N53" s="8"/>
      <c r="O53" s="8"/>
      <c r="P53" s="8"/>
      <c r="Q53" s="8"/>
      <c r="R53" s="30"/>
      <c r="S53" s="27"/>
      <c r="T53" s="27"/>
      <c r="U53" s="27"/>
      <c r="V53" s="27"/>
      <c r="W53" s="27"/>
      <c r="X53" s="11"/>
      <c r="Y53" s="11"/>
      <c r="Z53" s="11"/>
      <c r="AA53" s="11"/>
      <c r="AB53" s="11"/>
      <c r="AC53" s="11"/>
      <c r="AD53" s="11"/>
      <c r="AE53" s="106"/>
      <c r="AF53" s="11"/>
      <c r="AG53" s="11"/>
      <c r="AH53" s="11"/>
      <c r="AI53" s="11"/>
      <c r="AJ53" s="11"/>
      <c r="AK53" s="11"/>
      <c r="AL53" s="11"/>
      <c r="AM53" s="11"/>
    </row>
    <row r="54" spans="1:42" s="10" customFormat="1" ht="15" customHeight="1" x14ac:dyDescent="0.3">
      <c r="A54" s="49" t="str">
        <f>RTD("cqg.rtd",,"ContractData","EDAS3?10", "Symbol")</f>
        <v>EDAS3Z21</v>
      </c>
      <c r="B54" s="17" t="str">
        <f>RIGHT(RTD("cqg.rtd",,"ContractData",A54, "LongDescription"),15)</f>
        <v xml:space="preserve"> Dec 21, Mar 22</v>
      </c>
      <c r="C54" s="47">
        <f>RTD("cqg.rtd", ,"ContractData",A54, "Open",,"T")</f>
        <v>3</v>
      </c>
      <c r="D54" s="47">
        <f>RTD("cqg.rtd", ,"ContractData",A54, "High",,"T")</f>
        <v>3</v>
      </c>
      <c r="E54" s="47">
        <f>RTD("cqg.rtd", ,"ContractData",A54, "Low",,"T")</f>
        <v>3</v>
      </c>
      <c r="F54" s="47">
        <f>RTD("cqg.rtd", ,"ContractData",A54, "LastTradeorSettle",,"T")</f>
        <v>3</v>
      </c>
      <c r="G54" s="48">
        <f>RTD("cqg.rtd",,"ContractData",A54,"NetLastTradeToday",,"T")</f>
        <v>0</v>
      </c>
      <c r="H54" s="14">
        <f>RTD("cqg.rtd",,"ContractData",A54,"NetLastTradeToday",,"T")</f>
        <v>0</v>
      </c>
      <c r="I54" s="18">
        <f>RTD("cqg.rtd", ,"ContractData",A54, "T_CVol")</f>
        <v>476</v>
      </c>
      <c r="J54" s="71"/>
      <c r="K54" s="8"/>
      <c r="L54" s="8"/>
      <c r="M54" s="8"/>
      <c r="N54" s="8"/>
      <c r="O54" s="8"/>
      <c r="P54" s="8"/>
      <c r="Q54" s="8"/>
      <c r="R54" s="30"/>
      <c r="S54" s="27"/>
      <c r="T54" s="27"/>
      <c r="U54" s="27"/>
      <c r="V54" s="27"/>
      <c r="W54" s="27"/>
      <c r="X54" s="11"/>
      <c r="Y54" s="11"/>
      <c r="Z54" s="11"/>
      <c r="AA54" s="11"/>
      <c r="AB54" s="11"/>
      <c r="AC54" s="11"/>
      <c r="AD54" s="11"/>
      <c r="AE54" s="106"/>
      <c r="AF54" s="11"/>
      <c r="AG54" s="11"/>
      <c r="AH54" s="11"/>
      <c r="AI54" s="11"/>
      <c r="AJ54" s="11"/>
      <c r="AK54" s="11"/>
      <c r="AL54" s="11"/>
      <c r="AM54" s="11"/>
    </row>
    <row r="55" spans="1:42" s="10" customFormat="1" ht="15" customHeight="1" x14ac:dyDescent="0.3">
      <c r="A55" s="49" t="str">
        <f>RTD("cqg.rtd",,"ContractData","EDAS3?11", "Symbol")</f>
        <v>EDAS3H22</v>
      </c>
      <c r="B55" s="17" t="str">
        <f>RIGHT(RTD("cqg.rtd",,"ContractData",A55, "LongDescription"),15)</f>
        <v xml:space="preserve"> Mar 22, Jun 22</v>
      </c>
      <c r="C55" s="47">
        <f>RTD("cqg.rtd", ,"ContractData",A55, "Open",,"T")</f>
        <v>4.5</v>
      </c>
      <c r="D55" s="47">
        <f>RTD("cqg.rtd", ,"ContractData",A55, "High",,"T")</f>
        <v>4.5</v>
      </c>
      <c r="E55" s="47">
        <f>RTD("cqg.rtd", ,"ContractData",A55, "Low",,"T")</f>
        <v>4</v>
      </c>
      <c r="F55" s="47">
        <f>RTD("cqg.rtd", ,"ContractData",A55, "LastTradeorSettle",,"T")</f>
        <v>4.5</v>
      </c>
      <c r="G55" s="48">
        <f>RTD("cqg.rtd",,"ContractData",A55,"NetLastTradeToday",,"T")</f>
        <v>0</v>
      </c>
      <c r="H55" s="14">
        <f>RTD("cqg.rtd",,"ContractData",A55,"NetLastTradeToday",,"T")</f>
        <v>0</v>
      </c>
      <c r="I55" s="18">
        <f>RTD("cqg.rtd", ,"ContractData",A55, "T_CVol")</f>
        <v>500</v>
      </c>
      <c r="J55" s="71"/>
      <c r="K55" s="8"/>
      <c r="L55" s="8"/>
      <c r="M55" s="8"/>
      <c r="N55" s="8"/>
      <c r="O55" s="8"/>
      <c r="P55" s="8"/>
      <c r="Q55" s="8"/>
      <c r="R55" s="30"/>
      <c r="S55" s="27"/>
      <c r="T55" s="27"/>
      <c r="U55" s="27"/>
      <c r="V55" s="27"/>
      <c r="W55" s="27"/>
      <c r="X55" s="11"/>
      <c r="Y55" s="11"/>
      <c r="Z55" s="11"/>
      <c r="AA55" s="11"/>
      <c r="AB55" s="11"/>
      <c r="AC55" s="11"/>
      <c r="AD55" s="11"/>
      <c r="AE55" s="106"/>
      <c r="AF55" s="11"/>
      <c r="AG55" s="11"/>
      <c r="AH55" s="11"/>
      <c r="AI55" s="11"/>
      <c r="AJ55" s="11"/>
      <c r="AK55" s="11"/>
      <c r="AL55" s="11"/>
      <c r="AM55" s="11"/>
    </row>
    <row r="56" spans="1:42" s="10" customFormat="1" ht="15" customHeight="1" x14ac:dyDescent="0.3">
      <c r="A56" s="49" t="str">
        <f>RTD("cqg.rtd",,"ContractData","EDAS3?12", "Symbol")</f>
        <v>EDAS3M22</v>
      </c>
      <c r="B56" s="120" t="str">
        <f>RIGHT(RTD("cqg.rtd",,"ContractData",A56, "LongDescription"),15)</f>
        <v xml:space="preserve"> Jun 22, Sep 22</v>
      </c>
      <c r="C56" s="121">
        <f>RTD("cqg.rtd", ,"ContractData",A56, "Open",,"T")</f>
        <v>4</v>
      </c>
      <c r="D56" s="121">
        <f>RTD("cqg.rtd", ,"ContractData",A56, "High",,"T")</f>
        <v>4</v>
      </c>
      <c r="E56" s="121">
        <f>RTD("cqg.rtd", ,"ContractData",A56, "Low",,"T")</f>
        <v>4</v>
      </c>
      <c r="F56" s="121">
        <f>RTD("cqg.rtd", ,"ContractData",A56, "LastTradeorSettle",,"T")</f>
        <v>4</v>
      </c>
      <c r="G56" s="122">
        <f>RTD("cqg.rtd",,"ContractData",A56,"NetLastTradeToday",,"T")</f>
        <v>-0.5</v>
      </c>
      <c r="H56" s="123">
        <f>RTD("cqg.rtd",,"ContractData",A56,"NetLastTradeToday",,"T")</f>
        <v>-0.5</v>
      </c>
      <c r="I56" s="124">
        <f>RTD("cqg.rtd", ,"ContractData",A56, "T_CVol")</f>
        <v>773</v>
      </c>
      <c r="J56" s="71"/>
      <c r="K56" s="8"/>
      <c r="L56" s="8"/>
      <c r="M56" s="8"/>
      <c r="N56" s="8"/>
      <c r="O56" s="8"/>
      <c r="P56" s="8"/>
      <c r="Q56" s="8"/>
      <c r="R56" s="30"/>
      <c r="S56" s="27"/>
      <c r="T56" s="27"/>
      <c r="U56" s="27"/>
      <c r="V56" s="27"/>
      <c r="W56" s="27"/>
      <c r="X56" s="11"/>
      <c r="Y56" s="11"/>
      <c r="Z56" s="11"/>
      <c r="AA56" s="11"/>
      <c r="AB56" s="11"/>
      <c r="AC56" s="11"/>
      <c r="AD56" s="11"/>
      <c r="AE56" s="106"/>
      <c r="AF56" s="11"/>
      <c r="AG56" s="11"/>
      <c r="AH56" s="11"/>
      <c r="AI56" s="11"/>
      <c r="AJ56" s="11"/>
      <c r="AK56" s="11"/>
      <c r="AL56" s="11"/>
      <c r="AM56" s="11"/>
    </row>
    <row r="57" spans="1:42" s="10" customFormat="1" ht="15" customHeight="1" x14ac:dyDescent="0.3">
      <c r="A57" s="81"/>
      <c r="B57" s="205" t="s">
        <v>19</v>
      </c>
      <c r="C57" s="206"/>
      <c r="D57" s="115"/>
      <c r="E57" s="171" t="s">
        <v>20</v>
      </c>
      <c r="F57" s="171"/>
      <c r="G57" s="171"/>
      <c r="H57" s="171"/>
      <c r="I57" s="116"/>
      <c r="J57" s="147"/>
      <c r="K57" s="147"/>
      <c r="L57" s="115"/>
      <c r="M57" s="116"/>
      <c r="N57" s="117"/>
      <c r="O57" s="116"/>
      <c r="P57" s="118"/>
      <c r="Q57" s="116"/>
      <c r="R57" s="147"/>
      <c r="S57" s="147"/>
      <c r="T57" s="115"/>
      <c r="U57" s="116"/>
      <c r="V57" s="117"/>
      <c r="W57" s="116"/>
      <c r="X57" s="118"/>
      <c r="Y57" s="118"/>
      <c r="Z57" s="116"/>
      <c r="AA57" s="147"/>
      <c r="AB57" s="147"/>
      <c r="AC57" s="116"/>
      <c r="AD57" s="116"/>
      <c r="AE57" s="106"/>
      <c r="AF57" s="86"/>
      <c r="AG57" s="86"/>
      <c r="AH57" s="86"/>
      <c r="AI57" s="86"/>
      <c r="AJ57" s="86"/>
      <c r="AK57" s="86"/>
      <c r="AL57" s="86"/>
      <c r="AM57" s="86"/>
      <c r="AN57" s="27"/>
      <c r="AO57" s="27"/>
      <c r="AP57" s="27"/>
    </row>
    <row r="58" spans="1:42" s="10" customFormat="1" ht="15" customHeight="1" x14ac:dyDescent="0.2">
      <c r="A58" s="81"/>
      <c r="B58" s="105"/>
      <c r="C58" s="105"/>
      <c r="D58" s="105"/>
      <c r="E58" s="105"/>
      <c r="F58" s="105"/>
      <c r="G58" s="105"/>
      <c r="H58" s="105"/>
      <c r="I58" s="105"/>
      <c r="J58" s="105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27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27"/>
      <c r="AO58" s="27"/>
      <c r="AP58" s="27"/>
    </row>
    <row r="59" spans="1:42" s="10" customFormat="1" ht="15" customHeight="1" x14ac:dyDescent="0.3">
      <c r="A59" s="81"/>
      <c r="B59" s="105"/>
      <c r="C59" s="105"/>
      <c r="D59" s="105"/>
      <c r="E59" s="105"/>
      <c r="F59" s="105"/>
      <c r="G59" s="105"/>
      <c r="H59" s="105"/>
      <c r="I59" s="105"/>
      <c r="J59" s="105"/>
      <c r="K59" s="104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27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27"/>
      <c r="AO59" s="27"/>
      <c r="AP59" s="27"/>
    </row>
    <row r="60" spans="1:42" s="10" customFormat="1" ht="15" customHeight="1" x14ac:dyDescent="0.3">
      <c r="A60" s="81"/>
      <c r="B60" s="89"/>
      <c r="C60" s="90"/>
      <c r="D60" s="90"/>
      <c r="E60" s="90"/>
      <c r="F60" s="90"/>
      <c r="G60" s="90"/>
      <c r="H60" s="90"/>
      <c r="I60" s="91"/>
      <c r="J60" s="91"/>
      <c r="K60" s="104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27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27"/>
      <c r="AO60" s="27"/>
      <c r="AP60" s="27"/>
    </row>
    <row r="61" spans="1:42" s="10" customFormat="1" ht="15" customHeight="1" x14ac:dyDescent="0.3">
      <c r="A61" s="81"/>
      <c r="B61" s="92"/>
      <c r="C61" s="93"/>
      <c r="D61" s="93"/>
      <c r="E61" s="93"/>
      <c r="F61" s="93"/>
      <c r="G61" s="94"/>
      <c r="H61" s="95"/>
      <c r="I61" s="71"/>
      <c r="J61" s="71"/>
      <c r="K61" s="104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27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27"/>
      <c r="AO61" s="27"/>
      <c r="AP61" s="27"/>
    </row>
    <row r="62" spans="1:42" s="10" customFormat="1" ht="15" customHeight="1" x14ac:dyDescent="0.3">
      <c r="A62" s="81"/>
      <c r="B62" s="92"/>
      <c r="C62" s="93"/>
      <c r="D62" s="93"/>
      <c r="E62" s="93"/>
      <c r="F62" s="93"/>
      <c r="G62" s="94"/>
      <c r="H62" s="95"/>
      <c r="I62" s="71"/>
      <c r="J62" s="71"/>
      <c r="K62" s="8"/>
      <c r="L62" s="8"/>
      <c r="M62" s="8"/>
      <c r="N62" s="8"/>
      <c r="O62" s="8"/>
      <c r="P62" s="8"/>
      <c r="Q62" s="8"/>
      <c r="R62" s="30"/>
      <c r="S62" s="27"/>
      <c r="T62" s="27"/>
      <c r="U62" s="27"/>
      <c r="V62" s="27"/>
      <c r="W62" s="27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27"/>
      <c r="AO62" s="27"/>
      <c r="AP62" s="27"/>
    </row>
    <row r="63" spans="1:42" s="10" customFormat="1" ht="15" customHeight="1" x14ac:dyDescent="0.3">
      <c r="A63" s="81"/>
      <c r="B63" s="92"/>
      <c r="C63" s="93"/>
      <c r="D63" s="93"/>
      <c r="E63" s="93"/>
      <c r="F63" s="93"/>
      <c r="G63" s="94"/>
      <c r="H63" s="95"/>
      <c r="I63" s="71"/>
      <c r="J63" s="71"/>
      <c r="K63" s="8"/>
      <c r="L63" s="8"/>
      <c r="M63" s="8"/>
      <c r="N63" s="8"/>
      <c r="O63" s="8"/>
      <c r="P63" s="8"/>
      <c r="Q63" s="8"/>
      <c r="R63" s="30"/>
      <c r="S63" s="27"/>
      <c r="T63" s="27"/>
      <c r="U63" s="27"/>
      <c r="V63" s="27"/>
      <c r="W63" s="27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27"/>
      <c r="AO63" s="27"/>
      <c r="AP63" s="27"/>
    </row>
    <row r="64" spans="1:42" s="10" customFormat="1" ht="15" customHeight="1" x14ac:dyDescent="0.3">
      <c r="A64" s="81"/>
      <c r="B64" s="92"/>
      <c r="C64" s="93"/>
      <c r="D64" s="93"/>
      <c r="E64" s="93"/>
      <c r="F64" s="93"/>
      <c r="G64" s="94"/>
      <c r="H64" s="95"/>
      <c r="I64" s="71"/>
      <c r="J64" s="71"/>
      <c r="K64" s="8"/>
      <c r="L64" s="8"/>
      <c r="M64" s="8"/>
      <c r="N64" s="8"/>
      <c r="O64" s="8"/>
      <c r="P64" s="8"/>
      <c r="Q64" s="8"/>
      <c r="R64" s="30"/>
      <c r="S64" s="27"/>
      <c r="T64" s="27"/>
      <c r="U64" s="27"/>
      <c r="V64" s="27"/>
      <c r="W64" s="27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27"/>
      <c r="AO64" s="27"/>
      <c r="AP64" s="27"/>
    </row>
    <row r="65" spans="1:42" s="10" customFormat="1" ht="15" customHeight="1" x14ac:dyDescent="0.3">
      <c r="A65" s="81"/>
      <c r="B65" s="92"/>
      <c r="C65" s="93"/>
      <c r="D65" s="93"/>
      <c r="E65" s="93"/>
      <c r="F65" s="93"/>
      <c r="G65" s="94"/>
      <c r="H65" s="95"/>
      <c r="I65" s="71"/>
      <c r="J65" s="71"/>
      <c r="K65" s="8"/>
      <c r="L65" s="8"/>
      <c r="M65" s="8"/>
      <c r="N65" s="8"/>
      <c r="O65" s="8"/>
      <c r="P65" s="8"/>
      <c r="Q65" s="8"/>
      <c r="R65" s="30"/>
      <c r="S65" s="27"/>
      <c r="T65" s="27"/>
      <c r="U65" s="27"/>
      <c r="V65" s="27"/>
      <c r="W65" s="27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27"/>
      <c r="AO65" s="27"/>
      <c r="AP65" s="27"/>
    </row>
    <row r="66" spans="1:42" s="10" customFormat="1" ht="15" customHeight="1" x14ac:dyDescent="0.3">
      <c r="A66" s="81"/>
      <c r="B66" s="92"/>
      <c r="C66" s="93"/>
      <c r="D66" s="93"/>
      <c r="E66" s="93"/>
      <c r="F66" s="93"/>
      <c r="G66" s="94"/>
      <c r="H66" s="95"/>
      <c r="I66" s="71"/>
      <c r="J66" s="71"/>
      <c r="K66" s="8"/>
      <c r="L66" s="8"/>
      <c r="M66" s="8"/>
      <c r="N66" s="8"/>
      <c r="O66" s="8"/>
      <c r="P66" s="8"/>
      <c r="Q66" s="8"/>
      <c r="R66" s="30"/>
      <c r="S66" s="27"/>
      <c r="T66" s="27"/>
      <c r="U66" s="27"/>
      <c r="V66" s="27"/>
      <c r="W66" s="27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27"/>
      <c r="AO66" s="27"/>
      <c r="AP66" s="27"/>
    </row>
    <row r="67" spans="1:42" s="10" customFormat="1" ht="15" customHeight="1" x14ac:dyDescent="0.3">
      <c r="A67" s="81"/>
      <c r="B67" s="92"/>
      <c r="C67" s="93"/>
      <c r="D67" s="93"/>
      <c r="E67" s="93"/>
      <c r="F67" s="93"/>
      <c r="G67" s="94"/>
      <c r="H67" s="95"/>
      <c r="I67" s="71"/>
      <c r="J67" s="71"/>
      <c r="K67" s="8"/>
      <c r="L67" s="8"/>
      <c r="M67" s="8"/>
      <c r="N67" s="8"/>
      <c r="O67" s="8"/>
      <c r="P67" s="8"/>
      <c r="Q67" s="8"/>
      <c r="R67" s="30"/>
      <c r="S67" s="27"/>
      <c r="T67" s="27"/>
      <c r="U67" s="27"/>
      <c r="V67" s="27"/>
      <c r="W67" s="27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27"/>
      <c r="AO67" s="27"/>
      <c r="AP67" s="27"/>
    </row>
    <row r="68" spans="1:42" s="10" customFormat="1" ht="15" customHeight="1" x14ac:dyDescent="0.3">
      <c r="A68" s="81"/>
      <c r="B68" s="92"/>
      <c r="C68" s="93"/>
      <c r="D68" s="93"/>
      <c r="E68" s="93"/>
      <c r="F68" s="93"/>
      <c r="G68" s="94"/>
      <c r="H68" s="95"/>
      <c r="I68" s="71"/>
      <c r="J68" s="71"/>
      <c r="K68" s="8"/>
      <c r="L68" s="8"/>
      <c r="M68" s="8"/>
      <c r="N68" s="8"/>
      <c r="O68" s="8"/>
      <c r="P68" s="8"/>
      <c r="Q68" s="8"/>
      <c r="R68" s="30"/>
      <c r="S68" s="27"/>
      <c r="T68" s="27"/>
      <c r="U68" s="27"/>
      <c r="V68" s="27"/>
      <c r="W68" s="27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27"/>
      <c r="AO68" s="27"/>
      <c r="AP68" s="27"/>
    </row>
    <row r="69" spans="1:42" s="10" customFormat="1" ht="15" customHeight="1" x14ac:dyDescent="0.3">
      <c r="A69" s="81"/>
      <c r="B69" s="92"/>
      <c r="C69" s="93"/>
      <c r="D69" s="93"/>
      <c r="E69" s="93"/>
      <c r="F69" s="93"/>
      <c r="G69" s="94"/>
      <c r="H69" s="95"/>
      <c r="I69" s="71"/>
      <c r="J69" s="71"/>
      <c r="K69" s="8"/>
      <c r="L69" s="8"/>
      <c r="M69" s="8"/>
      <c r="N69" s="8"/>
      <c r="O69" s="8"/>
      <c r="P69" s="8"/>
      <c r="Q69" s="8"/>
      <c r="R69" s="30"/>
      <c r="S69" s="27"/>
      <c r="T69" s="27"/>
      <c r="U69" s="27"/>
      <c r="V69" s="27"/>
      <c r="W69" s="27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27"/>
      <c r="AO69" s="27"/>
      <c r="AP69" s="27"/>
    </row>
    <row r="70" spans="1:42" s="10" customFormat="1" ht="15" customHeight="1" x14ac:dyDescent="0.3">
      <c r="A70" s="81"/>
      <c r="B70" s="92"/>
      <c r="C70" s="93"/>
      <c r="D70" s="93"/>
      <c r="E70" s="93"/>
      <c r="F70" s="93"/>
      <c r="G70" s="94"/>
      <c r="H70" s="95"/>
      <c r="I70" s="71"/>
      <c r="J70" s="71"/>
      <c r="K70" s="8"/>
      <c r="L70" s="8"/>
      <c r="M70" s="8"/>
      <c r="N70" s="8"/>
      <c r="O70" s="8"/>
      <c r="P70" s="8"/>
      <c r="Q70" s="8"/>
      <c r="R70" s="30"/>
      <c r="S70" s="27"/>
      <c r="T70" s="27"/>
      <c r="U70" s="27"/>
      <c r="V70" s="27"/>
      <c r="W70" s="27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27"/>
      <c r="AO70" s="27"/>
      <c r="AP70" s="27"/>
    </row>
    <row r="71" spans="1:42" s="10" customFormat="1" ht="15" customHeight="1" x14ac:dyDescent="0.3">
      <c r="A71" s="81"/>
      <c r="B71" s="92"/>
      <c r="C71" s="93"/>
      <c r="D71" s="93"/>
      <c r="E71" s="93"/>
      <c r="F71" s="93"/>
      <c r="G71" s="94"/>
      <c r="H71" s="95"/>
      <c r="I71" s="71"/>
      <c r="J71" s="71"/>
      <c r="K71" s="8"/>
      <c r="L71" s="8"/>
      <c r="M71" s="8"/>
      <c r="N71" s="8"/>
      <c r="O71" s="8"/>
      <c r="P71" s="8"/>
      <c r="Q71" s="8"/>
      <c r="R71" s="30"/>
      <c r="S71" s="27"/>
      <c r="T71" s="27"/>
      <c r="U71" s="27"/>
      <c r="V71" s="27"/>
      <c r="W71" s="27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27"/>
      <c r="AO71" s="27"/>
      <c r="AP71" s="27"/>
    </row>
    <row r="72" spans="1:42" s="10" customFormat="1" ht="15" customHeight="1" x14ac:dyDescent="0.3">
      <c r="A72" s="81"/>
      <c r="B72" s="92"/>
      <c r="C72" s="93"/>
      <c r="D72" s="93"/>
      <c r="E72" s="93"/>
      <c r="F72" s="93"/>
      <c r="G72" s="94"/>
      <c r="H72" s="95"/>
      <c r="I72" s="71"/>
      <c r="J72" s="71"/>
      <c r="K72" s="8"/>
      <c r="L72" s="8"/>
      <c r="M72" s="8"/>
      <c r="N72" s="8"/>
      <c r="O72" s="8"/>
      <c r="P72" s="8"/>
      <c r="Q72" s="8"/>
      <c r="R72" s="30"/>
      <c r="S72" s="27"/>
      <c r="T72" s="27"/>
      <c r="U72" s="27"/>
      <c r="V72" s="27"/>
      <c r="W72" s="27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27"/>
      <c r="AO72" s="27"/>
      <c r="AP72" s="27"/>
    </row>
    <row r="73" spans="1:42" s="10" customFormat="1" ht="15" customHeight="1" x14ac:dyDescent="0.3">
      <c r="A73" s="81"/>
      <c r="B73" s="146"/>
      <c r="C73" s="146"/>
      <c r="D73" s="82"/>
      <c r="E73" s="83"/>
      <c r="F73" s="84"/>
      <c r="G73" s="83"/>
      <c r="H73" s="85"/>
      <c r="I73" s="83"/>
      <c r="J73" s="83"/>
      <c r="K73" s="8"/>
      <c r="L73" s="8"/>
      <c r="M73" s="8"/>
      <c r="N73" s="8"/>
      <c r="O73" s="8"/>
      <c r="P73" s="8"/>
      <c r="Q73" s="8"/>
      <c r="R73" s="30"/>
      <c r="S73" s="27"/>
      <c r="T73" s="27"/>
      <c r="U73" s="27"/>
      <c r="V73" s="27"/>
      <c r="W73" s="27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27"/>
      <c r="AO73" s="27"/>
      <c r="AP73" s="27"/>
    </row>
    <row r="74" spans="1:42" s="10" customFormat="1" ht="15" customHeight="1" x14ac:dyDescent="0.2">
      <c r="A74" s="81"/>
      <c r="B74" s="155"/>
      <c r="C74" s="155"/>
      <c r="D74" s="155"/>
      <c r="E74" s="155"/>
      <c r="F74" s="155"/>
      <c r="G74" s="155"/>
      <c r="H74" s="155"/>
      <c r="I74" s="155"/>
      <c r="J74" s="87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27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27"/>
      <c r="AO74" s="27"/>
      <c r="AP74" s="27"/>
    </row>
    <row r="75" spans="1:42" s="10" customFormat="1" ht="15" customHeight="1" x14ac:dyDescent="0.3">
      <c r="A75" s="81"/>
      <c r="B75" s="155"/>
      <c r="C75" s="155"/>
      <c r="D75" s="155"/>
      <c r="E75" s="155"/>
      <c r="F75" s="155"/>
      <c r="G75" s="155"/>
      <c r="H75" s="155"/>
      <c r="I75" s="155"/>
      <c r="J75" s="87"/>
      <c r="K75" s="156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27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27"/>
      <c r="AO75" s="27"/>
      <c r="AP75" s="27"/>
    </row>
    <row r="76" spans="1:42" s="10" customFormat="1" ht="15" customHeight="1" x14ac:dyDescent="0.3">
      <c r="A76" s="81"/>
      <c r="B76" s="89"/>
      <c r="C76" s="90"/>
      <c r="D76" s="90"/>
      <c r="E76" s="90"/>
      <c r="F76" s="90"/>
      <c r="G76" s="90"/>
      <c r="H76" s="90"/>
      <c r="I76" s="91"/>
      <c r="J76" s="91"/>
      <c r="K76" s="156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27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27"/>
      <c r="AO76" s="27"/>
      <c r="AP76" s="27"/>
    </row>
    <row r="77" spans="1:42" s="10" customFormat="1" ht="15" customHeight="1" x14ac:dyDescent="0.3">
      <c r="A77" s="81"/>
      <c r="B77" s="92"/>
      <c r="C77" s="93"/>
      <c r="D77" s="93"/>
      <c r="E77" s="93"/>
      <c r="F77" s="93"/>
      <c r="G77" s="94"/>
      <c r="H77" s="95"/>
      <c r="I77" s="71"/>
      <c r="J77" s="71"/>
      <c r="K77" s="156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27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27"/>
      <c r="AO77" s="27"/>
      <c r="AP77" s="27"/>
    </row>
    <row r="78" spans="1:42" s="10" customFormat="1" ht="15" customHeight="1" x14ac:dyDescent="0.3">
      <c r="A78" s="81"/>
      <c r="B78" s="92"/>
      <c r="C78" s="93"/>
      <c r="D78" s="93"/>
      <c r="E78" s="93"/>
      <c r="F78" s="93"/>
      <c r="G78" s="94"/>
      <c r="H78" s="95"/>
      <c r="I78" s="71"/>
      <c r="J78" s="71"/>
      <c r="K78" s="8"/>
      <c r="L78" s="8"/>
      <c r="M78" s="8"/>
      <c r="N78" s="8"/>
      <c r="O78" s="8"/>
      <c r="P78" s="8"/>
      <c r="Q78" s="8"/>
      <c r="R78" s="30"/>
      <c r="S78" s="27"/>
      <c r="T78" s="27"/>
      <c r="U78" s="27"/>
      <c r="V78" s="27"/>
      <c r="W78" s="27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27"/>
      <c r="AO78" s="27"/>
      <c r="AP78" s="27"/>
    </row>
    <row r="79" spans="1:42" s="10" customFormat="1" ht="15" customHeight="1" x14ac:dyDescent="0.3">
      <c r="A79" s="81"/>
      <c r="B79" s="92"/>
      <c r="C79" s="93"/>
      <c r="D79" s="93"/>
      <c r="E79" s="93"/>
      <c r="F79" s="93"/>
      <c r="G79" s="94"/>
      <c r="H79" s="95"/>
      <c r="I79" s="71"/>
      <c r="J79" s="71"/>
      <c r="K79" s="8"/>
      <c r="L79" s="8"/>
      <c r="M79" s="8"/>
      <c r="N79" s="8"/>
      <c r="O79" s="8"/>
      <c r="P79" s="8"/>
      <c r="Q79" s="8"/>
      <c r="R79" s="30"/>
      <c r="S79" s="27"/>
      <c r="T79" s="27"/>
      <c r="U79" s="27"/>
      <c r="V79" s="27"/>
      <c r="W79" s="27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27"/>
      <c r="AO79" s="27"/>
      <c r="AP79" s="27"/>
    </row>
    <row r="80" spans="1:42" s="10" customFormat="1" ht="15" customHeight="1" x14ac:dyDescent="0.3">
      <c r="A80" s="81"/>
      <c r="B80" s="92"/>
      <c r="C80" s="93"/>
      <c r="D80" s="93"/>
      <c r="E80" s="93"/>
      <c r="F80" s="93"/>
      <c r="G80" s="94"/>
      <c r="H80" s="95"/>
      <c r="I80" s="71"/>
      <c r="J80" s="71"/>
      <c r="K80" s="8"/>
      <c r="L80" s="8"/>
      <c r="M80" s="8"/>
      <c r="N80" s="8"/>
      <c r="O80" s="8"/>
      <c r="P80" s="8"/>
      <c r="Q80" s="8"/>
      <c r="R80" s="30"/>
      <c r="S80" s="27"/>
      <c r="T80" s="27"/>
      <c r="U80" s="27"/>
      <c r="V80" s="27"/>
      <c r="W80" s="27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27"/>
      <c r="AO80" s="27"/>
      <c r="AP80" s="27"/>
    </row>
    <row r="81" spans="1:42" s="10" customFormat="1" ht="15" customHeight="1" x14ac:dyDescent="0.3">
      <c r="A81" s="81"/>
      <c r="B81" s="92"/>
      <c r="C81" s="93"/>
      <c r="D81" s="93"/>
      <c r="E81" s="93"/>
      <c r="F81" s="93"/>
      <c r="G81" s="94"/>
      <c r="H81" s="95"/>
      <c r="I81" s="71"/>
      <c r="J81" s="71"/>
      <c r="K81" s="8"/>
      <c r="L81" s="8"/>
      <c r="M81" s="8"/>
      <c r="N81" s="8"/>
      <c r="O81" s="8"/>
      <c r="P81" s="8"/>
      <c r="Q81" s="8"/>
      <c r="R81" s="30"/>
      <c r="S81" s="27"/>
      <c r="T81" s="27"/>
      <c r="U81" s="27"/>
      <c r="V81" s="27"/>
      <c r="W81" s="27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27"/>
      <c r="AO81" s="27"/>
      <c r="AP81" s="27"/>
    </row>
    <row r="82" spans="1:42" s="10" customFormat="1" ht="15" customHeight="1" x14ac:dyDescent="0.3">
      <c r="A82" s="81"/>
      <c r="B82" s="92"/>
      <c r="C82" s="93"/>
      <c r="D82" s="93"/>
      <c r="E82" s="93"/>
      <c r="F82" s="93"/>
      <c r="G82" s="94"/>
      <c r="H82" s="95"/>
      <c r="I82" s="71"/>
      <c r="J82" s="71"/>
      <c r="K82" s="8"/>
      <c r="L82" s="8"/>
      <c r="M82" s="8"/>
      <c r="N82" s="8"/>
      <c r="O82" s="8"/>
      <c r="P82" s="8"/>
      <c r="Q82" s="8"/>
      <c r="R82" s="30"/>
      <c r="S82" s="27"/>
      <c r="T82" s="27"/>
      <c r="U82" s="27"/>
      <c r="V82" s="27"/>
      <c r="W82" s="27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27"/>
      <c r="AO82" s="27"/>
      <c r="AP82" s="27"/>
    </row>
    <row r="83" spans="1:42" s="10" customFormat="1" ht="15" customHeight="1" x14ac:dyDescent="0.3">
      <c r="A83" s="81"/>
      <c r="B83" s="92"/>
      <c r="C83" s="93"/>
      <c r="D83" s="93"/>
      <c r="E83" s="93"/>
      <c r="F83" s="93"/>
      <c r="G83" s="94"/>
      <c r="H83" s="95"/>
      <c r="I83" s="71"/>
      <c r="J83" s="71"/>
      <c r="K83" s="8"/>
      <c r="L83" s="8"/>
      <c r="M83" s="8"/>
      <c r="N83" s="8"/>
      <c r="O83" s="8"/>
      <c r="P83" s="8"/>
      <c r="Q83" s="8"/>
      <c r="R83" s="30"/>
      <c r="S83" s="27"/>
      <c r="T83" s="27"/>
      <c r="U83" s="27"/>
      <c r="V83" s="27"/>
      <c r="W83" s="27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27"/>
      <c r="AO83" s="27"/>
      <c r="AP83" s="27"/>
    </row>
    <row r="84" spans="1:42" s="10" customFormat="1" ht="15" customHeight="1" x14ac:dyDescent="0.3">
      <c r="A84" s="81"/>
      <c r="B84" s="92"/>
      <c r="C84" s="93"/>
      <c r="D84" s="93"/>
      <c r="E84" s="93"/>
      <c r="F84" s="93"/>
      <c r="G84" s="94"/>
      <c r="H84" s="95"/>
      <c r="I84" s="71"/>
      <c r="J84" s="71"/>
      <c r="K84" s="8"/>
      <c r="L84" s="8"/>
      <c r="M84" s="8"/>
      <c r="N84" s="8"/>
      <c r="O84" s="8"/>
      <c r="P84" s="8"/>
      <c r="Q84" s="8"/>
      <c r="R84" s="30"/>
      <c r="S84" s="27"/>
      <c r="T84" s="27"/>
      <c r="U84" s="27"/>
      <c r="V84" s="27"/>
      <c r="W84" s="27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27"/>
      <c r="AO84" s="27"/>
      <c r="AP84" s="27"/>
    </row>
    <row r="85" spans="1:42" s="10" customFormat="1" ht="15" customHeight="1" x14ac:dyDescent="0.3">
      <c r="A85" s="81"/>
      <c r="B85" s="92"/>
      <c r="C85" s="93"/>
      <c r="D85" s="93"/>
      <c r="E85" s="93"/>
      <c r="F85" s="93"/>
      <c r="G85" s="94"/>
      <c r="H85" s="95"/>
      <c r="I85" s="71"/>
      <c r="J85" s="71"/>
      <c r="K85" s="8"/>
      <c r="L85" s="8"/>
      <c r="M85" s="8"/>
      <c r="N85" s="8"/>
      <c r="O85" s="8"/>
      <c r="P85" s="8"/>
      <c r="Q85" s="8"/>
      <c r="R85" s="30"/>
      <c r="S85" s="27"/>
      <c r="T85" s="27"/>
      <c r="U85" s="27"/>
      <c r="V85" s="27"/>
      <c r="W85" s="27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27"/>
      <c r="AO85" s="27"/>
      <c r="AP85" s="27"/>
    </row>
    <row r="86" spans="1:42" s="10" customFormat="1" ht="15" customHeight="1" x14ac:dyDescent="0.3">
      <c r="A86" s="81"/>
      <c r="B86" s="92"/>
      <c r="C86" s="93"/>
      <c r="D86" s="93"/>
      <c r="E86" s="93"/>
      <c r="F86" s="93"/>
      <c r="G86" s="94"/>
      <c r="H86" s="95"/>
      <c r="I86" s="71"/>
      <c r="J86" s="71"/>
      <c r="K86" s="8"/>
      <c r="L86" s="8"/>
      <c r="M86" s="8"/>
      <c r="N86" s="8"/>
      <c r="O86" s="8"/>
      <c r="P86" s="8"/>
      <c r="Q86" s="8"/>
      <c r="R86" s="30"/>
      <c r="S86" s="27"/>
      <c r="T86" s="27"/>
      <c r="U86" s="27"/>
      <c r="V86" s="27"/>
      <c r="W86" s="27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27"/>
      <c r="AO86" s="27"/>
      <c r="AP86" s="27"/>
    </row>
    <row r="87" spans="1:42" s="10" customFormat="1" ht="15" customHeight="1" x14ac:dyDescent="0.3">
      <c r="A87" s="81"/>
      <c r="B87" s="92"/>
      <c r="C87" s="93"/>
      <c r="D87" s="93"/>
      <c r="E87" s="93"/>
      <c r="F87" s="93"/>
      <c r="G87" s="94"/>
      <c r="H87" s="95"/>
      <c r="I87" s="71"/>
      <c r="J87" s="71"/>
      <c r="K87" s="8"/>
      <c r="L87" s="8"/>
      <c r="M87" s="8"/>
      <c r="N87" s="8"/>
      <c r="O87" s="8"/>
      <c r="P87" s="8"/>
      <c r="Q87" s="8"/>
      <c r="R87" s="30"/>
      <c r="S87" s="27"/>
      <c r="T87" s="27"/>
      <c r="U87" s="27"/>
      <c r="V87" s="27"/>
      <c r="W87" s="27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27"/>
      <c r="AO87" s="27"/>
      <c r="AP87" s="27"/>
    </row>
    <row r="88" spans="1:42" s="10" customFormat="1" ht="15" customHeight="1" x14ac:dyDescent="0.3">
      <c r="A88" s="81"/>
      <c r="B88" s="92"/>
      <c r="C88" s="93"/>
      <c r="D88" s="93"/>
      <c r="E88" s="93"/>
      <c r="F88" s="93"/>
      <c r="G88" s="94"/>
      <c r="H88" s="95"/>
      <c r="I88" s="71"/>
      <c r="J88" s="71"/>
      <c r="K88" s="8"/>
      <c r="L88" s="8"/>
      <c r="M88" s="8"/>
      <c r="N88" s="8"/>
      <c r="O88" s="8"/>
      <c r="P88" s="8"/>
      <c r="Q88" s="8"/>
      <c r="R88" s="30"/>
      <c r="S88" s="27"/>
      <c r="T88" s="27"/>
      <c r="U88" s="27"/>
      <c r="V88" s="27"/>
      <c r="W88" s="27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27"/>
      <c r="AO88" s="27"/>
      <c r="AP88" s="27"/>
    </row>
    <row r="89" spans="1:42" s="10" customFormat="1" ht="15" customHeight="1" x14ac:dyDescent="0.3">
      <c r="A89" s="81"/>
      <c r="B89" s="146"/>
      <c r="C89" s="146"/>
      <c r="D89" s="82"/>
      <c r="E89" s="83"/>
      <c r="F89" s="84"/>
      <c r="G89" s="83"/>
      <c r="H89" s="85"/>
      <c r="I89" s="83"/>
      <c r="J89" s="83"/>
      <c r="K89" s="8"/>
      <c r="L89" s="8"/>
      <c r="M89" s="8"/>
      <c r="N89" s="8"/>
      <c r="O89" s="8"/>
      <c r="P89" s="8"/>
      <c r="Q89" s="8"/>
      <c r="R89" s="30"/>
      <c r="S89" s="27"/>
      <c r="T89" s="27"/>
      <c r="U89" s="27"/>
      <c r="V89" s="27"/>
      <c r="W89" s="27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27"/>
      <c r="AO89" s="27"/>
      <c r="AP89" s="27"/>
    </row>
    <row r="90" spans="1:42" s="10" customFormat="1" ht="15" customHeight="1" x14ac:dyDescent="0.2">
      <c r="A90" s="81"/>
      <c r="B90" s="155"/>
      <c r="C90" s="155"/>
      <c r="D90" s="155"/>
      <c r="E90" s="155"/>
      <c r="F90" s="155"/>
      <c r="G90" s="155"/>
      <c r="H90" s="155"/>
      <c r="I90" s="155"/>
      <c r="J90" s="87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27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27"/>
      <c r="AO90" s="27"/>
      <c r="AP90" s="27"/>
    </row>
    <row r="91" spans="1:42" s="10" customFormat="1" ht="15" customHeight="1" x14ac:dyDescent="0.3">
      <c r="A91" s="81"/>
      <c r="B91" s="155"/>
      <c r="C91" s="155"/>
      <c r="D91" s="155"/>
      <c r="E91" s="155"/>
      <c r="F91" s="155"/>
      <c r="G91" s="155"/>
      <c r="H91" s="155"/>
      <c r="I91" s="155"/>
      <c r="J91" s="87"/>
      <c r="K91" s="156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27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27"/>
      <c r="AO91" s="27"/>
      <c r="AP91" s="27"/>
    </row>
    <row r="92" spans="1:42" s="10" customFormat="1" ht="15" customHeight="1" x14ac:dyDescent="0.3">
      <c r="A92" s="81"/>
      <c r="B92" s="89"/>
      <c r="C92" s="90"/>
      <c r="D92" s="90"/>
      <c r="E92" s="90"/>
      <c r="F92" s="90"/>
      <c r="G92" s="90"/>
      <c r="H92" s="90"/>
      <c r="I92" s="91"/>
      <c r="J92" s="91"/>
      <c r="K92" s="156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27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27"/>
      <c r="AO92" s="27"/>
      <c r="AP92" s="27"/>
    </row>
    <row r="93" spans="1:42" s="10" customFormat="1" ht="15" customHeight="1" x14ac:dyDescent="0.3">
      <c r="A93" s="81"/>
      <c r="B93" s="92"/>
      <c r="C93" s="93"/>
      <c r="D93" s="93"/>
      <c r="E93" s="93"/>
      <c r="F93" s="93"/>
      <c r="G93" s="94"/>
      <c r="H93" s="95"/>
      <c r="I93" s="71"/>
      <c r="J93" s="71"/>
      <c r="K93" s="156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27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27"/>
      <c r="AO93" s="27"/>
      <c r="AP93" s="27"/>
    </row>
    <row r="94" spans="1:42" s="10" customFormat="1" ht="15" customHeight="1" x14ac:dyDescent="0.3">
      <c r="A94" s="81"/>
      <c r="B94" s="92"/>
      <c r="C94" s="93"/>
      <c r="D94" s="93"/>
      <c r="E94" s="93"/>
      <c r="F94" s="93"/>
      <c r="G94" s="94"/>
      <c r="H94" s="95"/>
      <c r="I94" s="71"/>
      <c r="J94" s="71"/>
      <c r="K94" s="8"/>
      <c r="L94" s="8"/>
      <c r="M94" s="8"/>
      <c r="N94" s="8"/>
      <c r="O94" s="8"/>
      <c r="P94" s="8"/>
      <c r="Q94" s="8"/>
      <c r="R94" s="30"/>
      <c r="S94" s="27"/>
      <c r="T94" s="27"/>
      <c r="U94" s="27"/>
      <c r="V94" s="27"/>
      <c r="W94" s="27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27"/>
      <c r="AO94" s="27"/>
      <c r="AP94" s="27"/>
    </row>
    <row r="95" spans="1:42" s="10" customFormat="1" ht="15" customHeight="1" x14ac:dyDescent="0.3">
      <c r="A95" s="81"/>
      <c r="B95" s="92"/>
      <c r="C95" s="93"/>
      <c r="D95" s="93"/>
      <c r="E95" s="93"/>
      <c r="F95" s="93"/>
      <c r="G95" s="94"/>
      <c r="H95" s="95"/>
      <c r="I95" s="71"/>
      <c r="J95" s="71"/>
      <c r="K95" s="8"/>
      <c r="L95" s="8"/>
      <c r="M95" s="8"/>
      <c r="N95" s="8"/>
      <c r="O95" s="8"/>
      <c r="P95" s="8"/>
      <c r="Q95" s="8"/>
      <c r="R95" s="30"/>
      <c r="S95" s="27"/>
      <c r="T95" s="27"/>
      <c r="U95" s="27"/>
      <c r="V95" s="27"/>
      <c r="W95" s="27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27"/>
      <c r="AO95" s="27"/>
      <c r="AP95" s="27"/>
    </row>
    <row r="96" spans="1:42" s="10" customFormat="1" ht="15" customHeight="1" x14ac:dyDescent="0.3">
      <c r="A96" s="81"/>
      <c r="B96" s="92"/>
      <c r="C96" s="93"/>
      <c r="D96" s="93"/>
      <c r="E96" s="93"/>
      <c r="F96" s="93"/>
      <c r="G96" s="94"/>
      <c r="H96" s="95"/>
      <c r="I96" s="71"/>
      <c r="J96" s="71"/>
      <c r="K96" s="8"/>
      <c r="L96" s="8"/>
      <c r="M96" s="8"/>
      <c r="N96" s="8"/>
      <c r="O96" s="8"/>
      <c r="P96" s="8"/>
      <c r="Q96" s="8"/>
      <c r="R96" s="30"/>
      <c r="S96" s="27"/>
      <c r="T96" s="27"/>
      <c r="U96" s="27"/>
      <c r="V96" s="27"/>
      <c r="W96" s="27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27"/>
      <c r="AO96" s="27"/>
      <c r="AP96" s="27"/>
    </row>
    <row r="97" spans="1:42" s="10" customFormat="1" ht="15" customHeight="1" x14ac:dyDescent="0.3">
      <c r="A97" s="81"/>
      <c r="B97" s="92"/>
      <c r="C97" s="93"/>
      <c r="D97" s="93"/>
      <c r="E97" s="93"/>
      <c r="F97" s="93"/>
      <c r="G97" s="94"/>
      <c r="H97" s="95"/>
      <c r="I97" s="71"/>
      <c r="J97" s="71"/>
      <c r="K97" s="8"/>
      <c r="L97" s="8"/>
      <c r="M97" s="8"/>
      <c r="N97" s="8"/>
      <c r="O97" s="8"/>
      <c r="P97" s="8"/>
      <c r="Q97" s="8"/>
      <c r="R97" s="30"/>
      <c r="S97" s="27"/>
      <c r="T97" s="27"/>
      <c r="U97" s="27"/>
      <c r="V97" s="27"/>
      <c r="W97" s="27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27"/>
      <c r="AO97" s="27"/>
      <c r="AP97" s="27"/>
    </row>
    <row r="98" spans="1:42" s="10" customFormat="1" ht="15" customHeight="1" x14ac:dyDescent="0.3">
      <c r="A98" s="81"/>
      <c r="B98" s="92"/>
      <c r="C98" s="93"/>
      <c r="D98" s="93"/>
      <c r="E98" s="93"/>
      <c r="F98" s="93"/>
      <c r="G98" s="94"/>
      <c r="H98" s="95"/>
      <c r="I98" s="71"/>
      <c r="J98" s="71"/>
      <c r="K98" s="8"/>
      <c r="L98" s="8"/>
      <c r="M98" s="8"/>
      <c r="N98" s="8"/>
      <c r="O98" s="8"/>
      <c r="P98" s="8"/>
      <c r="Q98" s="8"/>
      <c r="R98" s="30"/>
      <c r="S98" s="27"/>
      <c r="T98" s="27"/>
      <c r="U98" s="27"/>
      <c r="V98" s="27"/>
      <c r="W98" s="27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27"/>
      <c r="AO98" s="27"/>
      <c r="AP98" s="27"/>
    </row>
    <row r="99" spans="1:42" s="10" customFormat="1" ht="15" customHeight="1" x14ac:dyDescent="0.3">
      <c r="A99" s="81"/>
      <c r="B99" s="92"/>
      <c r="C99" s="93"/>
      <c r="D99" s="93"/>
      <c r="E99" s="93"/>
      <c r="F99" s="93"/>
      <c r="G99" s="94"/>
      <c r="H99" s="95"/>
      <c r="I99" s="71"/>
      <c r="J99" s="71"/>
      <c r="K99" s="8"/>
      <c r="L99" s="8"/>
      <c r="M99" s="8"/>
      <c r="N99" s="8"/>
      <c r="O99" s="8"/>
      <c r="P99" s="8"/>
      <c r="Q99" s="8"/>
      <c r="R99" s="30"/>
      <c r="S99" s="27"/>
      <c r="T99" s="27"/>
      <c r="U99" s="27"/>
      <c r="V99" s="27"/>
      <c r="W99" s="27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27"/>
      <c r="AO99" s="27"/>
      <c r="AP99" s="27"/>
    </row>
    <row r="100" spans="1:42" s="10" customFormat="1" ht="15" customHeight="1" x14ac:dyDescent="0.3">
      <c r="A100" s="81"/>
      <c r="B100" s="92"/>
      <c r="C100" s="93"/>
      <c r="D100" s="93"/>
      <c r="E100" s="93"/>
      <c r="F100" s="93"/>
      <c r="G100" s="94"/>
      <c r="H100" s="95"/>
      <c r="I100" s="71"/>
      <c r="J100" s="71"/>
      <c r="K100" s="8"/>
      <c r="L100" s="8"/>
      <c r="M100" s="8"/>
      <c r="N100" s="8"/>
      <c r="O100" s="8"/>
      <c r="P100" s="8"/>
      <c r="Q100" s="8"/>
      <c r="R100" s="30"/>
      <c r="S100" s="27"/>
      <c r="T100" s="27"/>
      <c r="U100" s="27"/>
      <c r="V100" s="27"/>
      <c r="W100" s="27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27"/>
      <c r="AO100" s="27"/>
      <c r="AP100" s="27"/>
    </row>
    <row r="101" spans="1:42" s="10" customFormat="1" ht="15" customHeight="1" x14ac:dyDescent="0.3">
      <c r="A101" s="81"/>
      <c r="B101" s="92"/>
      <c r="C101" s="93"/>
      <c r="D101" s="93"/>
      <c r="E101" s="93"/>
      <c r="F101" s="93"/>
      <c r="G101" s="94"/>
      <c r="H101" s="95"/>
      <c r="I101" s="71"/>
      <c r="J101" s="71"/>
      <c r="K101" s="8"/>
      <c r="L101" s="8"/>
      <c r="M101" s="8"/>
      <c r="N101" s="8"/>
      <c r="O101" s="8"/>
      <c r="P101" s="8"/>
      <c r="Q101" s="8"/>
      <c r="R101" s="30"/>
      <c r="S101" s="27"/>
      <c r="T101" s="27"/>
      <c r="U101" s="27"/>
      <c r="V101" s="27"/>
      <c r="W101" s="27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27"/>
      <c r="AO101" s="27"/>
      <c r="AP101" s="27"/>
    </row>
    <row r="102" spans="1:42" s="10" customFormat="1" ht="15" customHeight="1" x14ac:dyDescent="0.3">
      <c r="A102" s="81"/>
      <c r="B102" s="92"/>
      <c r="C102" s="93"/>
      <c r="D102" s="93"/>
      <c r="E102" s="93"/>
      <c r="F102" s="93"/>
      <c r="G102" s="94"/>
      <c r="H102" s="95"/>
      <c r="I102" s="71"/>
      <c r="J102" s="71"/>
      <c r="K102" s="8"/>
      <c r="L102" s="8"/>
      <c r="M102" s="8"/>
      <c r="N102" s="8"/>
      <c r="O102" s="8"/>
      <c r="P102" s="8"/>
      <c r="Q102" s="8"/>
      <c r="R102" s="30"/>
      <c r="S102" s="27"/>
      <c r="T102" s="27"/>
      <c r="U102" s="27"/>
      <c r="V102" s="27"/>
      <c r="W102" s="27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27"/>
      <c r="AO102" s="27"/>
      <c r="AP102" s="27"/>
    </row>
    <row r="103" spans="1:42" s="10" customFormat="1" ht="15" customHeight="1" x14ac:dyDescent="0.3">
      <c r="A103" s="81"/>
      <c r="B103" s="92"/>
      <c r="C103" s="93"/>
      <c r="D103" s="93"/>
      <c r="E103" s="93"/>
      <c r="F103" s="93"/>
      <c r="G103" s="94"/>
      <c r="H103" s="95"/>
      <c r="I103" s="71"/>
      <c r="J103" s="71"/>
      <c r="K103" s="8"/>
      <c r="L103" s="8"/>
      <c r="M103" s="8"/>
      <c r="N103" s="8"/>
      <c r="O103" s="8"/>
      <c r="P103" s="8"/>
      <c r="Q103" s="8"/>
      <c r="R103" s="30"/>
      <c r="S103" s="27"/>
      <c r="T103" s="27"/>
      <c r="U103" s="27"/>
      <c r="V103" s="27"/>
      <c r="W103" s="27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27"/>
      <c r="AO103" s="27"/>
      <c r="AP103" s="27"/>
    </row>
    <row r="104" spans="1:42" s="10" customFormat="1" ht="15" customHeight="1" x14ac:dyDescent="0.3">
      <c r="A104" s="81"/>
      <c r="B104" s="92"/>
      <c r="C104" s="93"/>
      <c r="D104" s="93"/>
      <c r="E104" s="93"/>
      <c r="F104" s="93"/>
      <c r="G104" s="94"/>
      <c r="H104" s="95"/>
      <c r="I104" s="71"/>
      <c r="J104" s="71"/>
      <c r="K104" s="8"/>
      <c r="L104" s="8"/>
      <c r="M104" s="8"/>
      <c r="N104" s="8"/>
      <c r="O104" s="8"/>
      <c r="P104" s="8"/>
      <c r="Q104" s="8"/>
      <c r="R104" s="30"/>
      <c r="S104" s="27"/>
      <c r="T104" s="27"/>
      <c r="U104" s="27"/>
      <c r="V104" s="27"/>
      <c r="W104" s="27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27"/>
      <c r="AO104" s="27"/>
      <c r="AP104" s="27"/>
    </row>
    <row r="105" spans="1:42" s="10" customFormat="1" ht="15" customHeight="1" x14ac:dyDescent="0.3">
      <c r="A105" s="81"/>
      <c r="B105" s="96"/>
      <c r="C105" s="96"/>
      <c r="D105" s="82"/>
      <c r="E105" s="83"/>
      <c r="F105" s="84"/>
      <c r="G105" s="83"/>
      <c r="H105" s="85"/>
      <c r="I105" s="83"/>
      <c r="J105" s="83"/>
      <c r="K105" s="8"/>
      <c r="L105" s="8"/>
      <c r="M105" s="8"/>
      <c r="N105" s="8"/>
      <c r="O105" s="8"/>
      <c r="P105" s="8"/>
      <c r="Q105" s="8"/>
      <c r="R105" s="30"/>
      <c r="S105" s="27"/>
      <c r="T105" s="27"/>
      <c r="U105" s="27"/>
      <c r="V105" s="27"/>
      <c r="W105" s="27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27"/>
      <c r="AO105" s="27"/>
      <c r="AP105" s="27"/>
    </row>
    <row r="106" spans="1:42" ht="15" customHeight="1" x14ac:dyDescent="0.2">
      <c r="A106" s="81"/>
      <c r="B106" s="155"/>
      <c r="C106" s="155"/>
      <c r="D106" s="155"/>
      <c r="E106" s="155"/>
      <c r="F106" s="155"/>
      <c r="G106" s="155"/>
      <c r="H106" s="155"/>
      <c r="I106" s="155"/>
      <c r="J106" s="87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27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27"/>
      <c r="AO106" s="27"/>
      <c r="AP106" s="27"/>
    </row>
    <row r="107" spans="1:42" ht="15" customHeight="1" x14ac:dyDescent="0.3">
      <c r="A107" s="81"/>
      <c r="B107" s="155"/>
      <c r="C107" s="155"/>
      <c r="D107" s="155"/>
      <c r="E107" s="155"/>
      <c r="F107" s="155"/>
      <c r="G107" s="155"/>
      <c r="H107" s="155"/>
      <c r="I107" s="155"/>
      <c r="J107" s="87"/>
      <c r="K107" s="156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27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27"/>
      <c r="AO107" s="27"/>
      <c r="AP107" s="27"/>
    </row>
    <row r="108" spans="1:42" ht="15" customHeight="1" x14ac:dyDescent="0.3">
      <c r="A108" s="81"/>
      <c r="B108" s="97"/>
      <c r="C108" s="97"/>
      <c r="D108" s="90"/>
      <c r="E108" s="90"/>
      <c r="F108" s="90"/>
      <c r="G108" s="90"/>
      <c r="H108" s="90"/>
      <c r="I108" s="91"/>
      <c r="J108" s="91"/>
      <c r="K108" s="156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27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27"/>
      <c r="AO108" s="27"/>
      <c r="AP108" s="27"/>
    </row>
    <row r="109" spans="1:42" ht="15" customHeight="1" x14ac:dyDescent="0.3">
      <c r="A109" s="81"/>
      <c r="B109" s="146"/>
      <c r="C109" s="146"/>
      <c r="D109" s="93"/>
      <c r="E109" s="93"/>
      <c r="F109" s="93"/>
      <c r="G109" s="93"/>
      <c r="H109" s="94"/>
      <c r="I109" s="71"/>
      <c r="J109" s="71"/>
      <c r="K109" s="156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27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27"/>
      <c r="AO109" s="27"/>
      <c r="AP109" s="27"/>
    </row>
    <row r="110" spans="1:42" ht="15" customHeight="1" x14ac:dyDescent="0.3">
      <c r="A110" s="81"/>
      <c r="B110" s="146"/>
      <c r="C110" s="146"/>
      <c r="D110" s="93"/>
      <c r="E110" s="93"/>
      <c r="F110" s="93"/>
      <c r="G110" s="93"/>
      <c r="H110" s="94"/>
      <c r="I110" s="71"/>
      <c r="J110" s="71"/>
      <c r="K110" s="9"/>
      <c r="L110" s="9"/>
      <c r="M110" s="9"/>
      <c r="N110" s="9"/>
      <c r="O110" s="9"/>
      <c r="P110" s="9"/>
      <c r="Q110" s="9"/>
      <c r="R110" s="27"/>
      <c r="S110" s="27"/>
      <c r="T110" s="27"/>
      <c r="U110" s="27"/>
      <c r="V110" s="27"/>
      <c r="W110" s="27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27"/>
      <c r="AO110" s="27"/>
      <c r="AP110" s="27"/>
    </row>
    <row r="111" spans="1:42" ht="15" customHeight="1" x14ac:dyDescent="0.3">
      <c r="A111" s="81"/>
      <c r="B111" s="146"/>
      <c r="C111" s="146"/>
      <c r="D111" s="93"/>
      <c r="E111" s="93"/>
      <c r="F111" s="93"/>
      <c r="G111" s="93"/>
      <c r="H111" s="94"/>
      <c r="I111" s="71"/>
      <c r="J111" s="71"/>
      <c r="K111" s="8"/>
      <c r="L111" s="8"/>
      <c r="M111" s="8"/>
      <c r="N111" s="8"/>
      <c r="O111" s="8"/>
      <c r="P111" s="8"/>
      <c r="Q111" s="8"/>
      <c r="R111" s="27"/>
      <c r="S111" s="27"/>
      <c r="T111" s="27"/>
      <c r="U111" s="27"/>
      <c r="V111" s="27"/>
      <c r="W111" s="27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27"/>
      <c r="AO111" s="27"/>
      <c r="AP111" s="27"/>
    </row>
    <row r="112" spans="1:42" ht="15" customHeight="1" x14ac:dyDescent="0.3">
      <c r="A112" s="81"/>
      <c r="B112" s="146"/>
      <c r="C112" s="146"/>
      <c r="D112" s="93"/>
      <c r="E112" s="93"/>
      <c r="F112" s="93"/>
      <c r="G112" s="93"/>
      <c r="H112" s="94"/>
      <c r="I112" s="71"/>
      <c r="J112" s="71"/>
      <c r="K112" s="8"/>
      <c r="L112" s="8"/>
      <c r="M112" s="8"/>
      <c r="N112" s="8"/>
      <c r="O112" s="8"/>
      <c r="P112" s="8"/>
      <c r="Q112" s="8"/>
      <c r="R112" s="27"/>
      <c r="S112" s="27"/>
      <c r="T112" s="27"/>
      <c r="U112" s="27"/>
      <c r="V112" s="27"/>
      <c r="W112" s="27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27"/>
      <c r="AO112" s="27"/>
      <c r="AP112" s="27"/>
    </row>
    <row r="113" spans="1:42" ht="15" customHeight="1" x14ac:dyDescent="0.3">
      <c r="A113" s="81"/>
      <c r="B113" s="146"/>
      <c r="C113" s="146"/>
      <c r="D113" s="93"/>
      <c r="E113" s="93"/>
      <c r="F113" s="93"/>
      <c r="G113" s="93"/>
      <c r="H113" s="94"/>
      <c r="I113" s="71"/>
      <c r="J113" s="71"/>
      <c r="K113" s="8"/>
      <c r="L113" s="8"/>
      <c r="M113" s="8"/>
      <c r="N113" s="8"/>
      <c r="O113" s="8"/>
      <c r="P113" s="8"/>
      <c r="Q113" s="8"/>
      <c r="R113" s="27"/>
      <c r="S113" s="27"/>
      <c r="T113" s="27"/>
      <c r="U113" s="27"/>
      <c r="V113" s="27"/>
      <c r="W113" s="27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27"/>
      <c r="AO113" s="27"/>
      <c r="AP113" s="27"/>
    </row>
    <row r="114" spans="1:42" ht="15" customHeight="1" x14ac:dyDescent="0.3">
      <c r="A114" s="81"/>
      <c r="B114" s="146"/>
      <c r="C114" s="146"/>
      <c r="D114" s="93"/>
      <c r="E114" s="93"/>
      <c r="F114" s="93"/>
      <c r="G114" s="93"/>
      <c r="H114" s="94"/>
      <c r="I114" s="71"/>
      <c r="J114" s="71"/>
      <c r="K114" s="2"/>
      <c r="L114" s="9"/>
      <c r="M114" s="9"/>
      <c r="N114" s="9"/>
      <c r="O114" s="9"/>
      <c r="P114" s="9"/>
      <c r="Q114" s="9"/>
      <c r="R114" s="27"/>
      <c r="S114" s="27"/>
      <c r="T114" s="27"/>
      <c r="U114" s="27"/>
      <c r="V114" s="27"/>
      <c r="W114" s="27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27"/>
      <c r="AO114" s="27"/>
      <c r="AP114" s="27"/>
    </row>
    <row r="115" spans="1:42" ht="15" customHeight="1" x14ac:dyDescent="0.3">
      <c r="A115" s="81"/>
      <c r="B115" s="146"/>
      <c r="C115" s="146"/>
      <c r="D115" s="93"/>
      <c r="E115" s="93"/>
      <c r="F115" s="93"/>
      <c r="G115" s="93"/>
      <c r="H115" s="94"/>
      <c r="I115" s="71"/>
      <c r="J115" s="71"/>
      <c r="K115" s="8"/>
      <c r="L115" s="8"/>
      <c r="M115" s="8"/>
      <c r="N115" s="8"/>
      <c r="O115" s="8"/>
      <c r="P115" s="8"/>
      <c r="Q115" s="8"/>
      <c r="R115" s="27"/>
      <c r="S115" s="27"/>
      <c r="T115" s="27"/>
      <c r="U115" s="27"/>
      <c r="V115" s="27"/>
      <c r="W115" s="27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27"/>
      <c r="AO115" s="27"/>
      <c r="AP115" s="27"/>
    </row>
    <row r="116" spans="1:42" ht="15" customHeight="1" x14ac:dyDescent="0.3">
      <c r="A116" s="81"/>
      <c r="B116" s="146"/>
      <c r="C116" s="146"/>
      <c r="D116" s="93"/>
      <c r="E116" s="93"/>
      <c r="F116" s="93"/>
      <c r="G116" s="93"/>
      <c r="H116" s="94"/>
      <c r="I116" s="71"/>
      <c r="J116" s="71"/>
      <c r="K116" s="8"/>
      <c r="L116" s="8"/>
      <c r="M116" s="8"/>
      <c r="N116" s="8"/>
      <c r="O116" s="8"/>
      <c r="P116" s="8"/>
      <c r="Q116" s="8"/>
      <c r="R116" s="27"/>
      <c r="S116" s="27"/>
      <c r="T116" s="27"/>
      <c r="U116" s="27"/>
      <c r="V116" s="27"/>
      <c r="W116" s="27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27"/>
      <c r="AO116" s="27"/>
      <c r="AP116" s="27"/>
    </row>
    <row r="117" spans="1:42" ht="15" customHeight="1" x14ac:dyDescent="0.3">
      <c r="A117" s="81"/>
      <c r="B117" s="146"/>
      <c r="C117" s="146"/>
      <c r="D117" s="93"/>
      <c r="E117" s="93"/>
      <c r="F117" s="93"/>
      <c r="G117" s="93"/>
      <c r="H117" s="94"/>
      <c r="I117" s="71"/>
      <c r="J117" s="71"/>
      <c r="K117" s="8"/>
      <c r="L117" s="8"/>
      <c r="M117" s="8"/>
      <c r="N117" s="8"/>
      <c r="O117" s="8"/>
      <c r="P117" s="8"/>
      <c r="Q117" s="8"/>
      <c r="R117" s="27"/>
      <c r="S117" s="27"/>
      <c r="T117" s="27"/>
      <c r="U117" s="27"/>
      <c r="V117" s="27"/>
      <c r="W117" s="27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27"/>
      <c r="AO117" s="27"/>
      <c r="AP117" s="27"/>
    </row>
    <row r="118" spans="1:42" ht="15" customHeight="1" x14ac:dyDescent="0.3">
      <c r="A118" s="81"/>
      <c r="B118" s="146"/>
      <c r="C118" s="146"/>
      <c r="D118" s="93"/>
      <c r="E118" s="93"/>
      <c r="F118" s="93"/>
      <c r="G118" s="93"/>
      <c r="H118" s="94"/>
      <c r="I118" s="71"/>
      <c r="J118" s="71"/>
      <c r="K118" s="40"/>
      <c r="L118" s="2"/>
      <c r="M118" s="9"/>
      <c r="N118" s="9"/>
      <c r="O118" s="9"/>
      <c r="P118" s="9"/>
      <c r="Q118" s="9"/>
      <c r="R118" s="27"/>
      <c r="S118" s="27"/>
      <c r="T118" s="27"/>
      <c r="U118" s="27"/>
      <c r="V118" s="27"/>
      <c r="W118" s="27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27"/>
      <c r="AO118" s="27"/>
      <c r="AP118" s="27"/>
    </row>
    <row r="119" spans="1:42" ht="15" customHeight="1" x14ac:dyDescent="0.3">
      <c r="A119" s="81"/>
      <c r="B119" s="146"/>
      <c r="C119" s="146"/>
      <c r="D119" s="93"/>
      <c r="E119" s="93"/>
      <c r="F119" s="93"/>
      <c r="G119" s="93"/>
      <c r="H119" s="94"/>
      <c r="I119" s="71"/>
      <c r="J119" s="71"/>
      <c r="K119" s="40"/>
      <c r="L119" s="8"/>
      <c r="M119" s="8"/>
      <c r="N119" s="8"/>
      <c r="O119" s="8"/>
      <c r="P119" s="8"/>
      <c r="Q119" s="8"/>
      <c r="R119" s="27"/>
      <c r="S119" s="27"/>
      <c r="T119" s="27"/>
      <c r="U119" s="27"/>
      <c r="V119" s="27"/>
      <c r="W119" s="27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27"/>
      <c r="AO119" s="27"/>
      <c r="AP119" s="27"/>
    </row>
    <row r="120" spans="1:42" ht="15" customHeight="1" x14ac:dyDescent="0.3">
      <c r="A120" s="81"/>
      <c r="B120" s="146"/>
      <c r="C120" s="146"/>
      <c r="D120" s="93"/>
      <c r="E120" s="93"/>
      <c r="F120" s="93"/>
      <c r="G120" s="93"/>
      <c r="H120" s="94"/>
      <c r="I120" s="71"/>
      <c r="J120" s="71"/>
      <c r="K120" s="40"/>
      <c r="L120" s="8"/>
      <c r="M120" s="8"/>
      <c r="N120" s="8"/>
      <c r="O120" s="8"/>
      <c r="P120" s="8"/>
      <c r="Q120" s="8"/>
      <c r="R120" s="27"/>
      <c r="S120" s="27"/>
      <c r="T120" s="27"/>
      <c r="U120" s="27"/>
      <c r="V120" s="27"/>
      <c r="W120" s="27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27"/>
      <c r="AO120" s="27"/>
      <c r="AP120" s="27"/>
    </row>
    <row r="121" spans="1:42" ht="15" customHeight="1" x14ac:dyDescent="0.2">
      <c r="A121" s="81"/>
      <c r="B121" s="41"/>
      <c r="C121" s="53"/>
      <c r="D121" s="53"/>
      <c r="E121" s="44"/>
      <c r="F121" s="44"/>
      <c r="G121" s="44"/>
      <c r="H121" s="44"/>
      <c r="I121" s="44"/>
      <c r="J121" s="44"/>
      <c r="K121" s="40"/>
      <c r="L121" s="8"/>
      <c r="M121" s="8"/>
      <c r="N121" s="8"/>
      <c r="O121" s="8"/>
      <c r="P121" s="8"/>
      <c r="Q121" s="8"/>
      <c r="R121" s="27"/>
      <c r="S121" s="27"/>
      <c r="T121" s="27"/>
      <c r="U121" s="27"/>
      <c r="V121" s="27"/>
      <c r="W121" s="27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27"/>
      <c r="AO121" s="27"/>
      <c r="AP121" s="27"/>
    </row>
    <row r="122" spans="1:42" ht="15.95" customHeight="1" x14ac:dyDescent="0.2">
      <c r="A122" s="81"/>
      <c r="B122" s="98"/>
      <c r="C122" s="98"/>
      <c r="D122" s="98"/>
      <c r="E122" s="98"/>
      <c r="F122" s="98"/>
      <c r="G122" s="98"/>
      <c r="H122" s="98"/>
      <c r="I122" s="164"/>
      <c r="J122" s="164"/>
      <c r="K122" s="164"/>
      <c r="L122" s="99"/>
      <c r="M122" s="100"/>
      <c r="N122" s="162"/>
      <c r="O122" s="162"/>
      <c r="P122" s="166"/>
      <c r="Q122" s="166"/>
      <c r="R122" s="163"/>
      <c r="S122" s="163"/>
      <c r="T122" s="100"/>
      <c r="U122" s="162"/>
      <c r="V122" s="162"/>
      <c r="W122" s="27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27"/>
      <c r="AO122" s="27"/>
      <c r="AP122" s="27"/>
    </row>
    <row r="123" spans="1:42" ht="15.95" customHeight="1" x14ac:dyDescent="0.2">
      <c r="A123" s="81"/>
      <c r="B123" s="3"/>
      <c r="C123" s="3"/>
      <c r="D123" s="3"/>
      <c r="E123" s="3"/>
      <c r="F123" s="8"/>
      <c r="G123" s="8"/>
      <c r="H123" s="27"/>
      <c r="I123" s="27"/>
      <c r="J123" s="27"/>
      <c r="K123" s="27"/>
      <c r="L123" s="27"/>
      <c r="M123" s="27"/>
      <c r="N123" s="27"/>
      <c r="O123" s="8"/>
      <c r="P123" s="8"/>
      <c r="Q123" s="8"/>
      <c r="R123" s="27"/>
      <c r="S123" s="27"/>
      <c r="T123" s="27"/>
      <c r="U123" s="27"/>
      <c r="V123" s="27"/>
      <c r="W123" s="27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27"/>
      <c r="AO123" s="27"/>
      <c r="AP123" s="27"/>
    </row>
    <row r="124" spans="1:42" ht="15.95" customHeight="1" x14ac:dyDescent="0.2">
      <c r="A124" s="81"/>
      <c r="B124" s="41"/>
      <c r="C124" s="148"/>
      <c r="D124" s="148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27"/>
      <c r="AO124" s="27"/>
      <c r="AP124" s="27"/>
    </row>
    <row r="125" spans="1:42" ht="15.95" customHeight="1" x14ac:dyDescent="0.2">
      <c r="A125" s="81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27"/>
      <c r="AO125" s="27"/>
      <c r="AP125" s="27"/>
    </row>
    <row r="126" spans="1:42" ht="15.95" customHeight="1" x14ac:dyDescent="0.2">
      <c r="A126" s="81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27"/>
      <c r="AO126" s="27"/>
      <c r="AP126" s="27"/>
    </row>
    <row r="127" spans="1:42" ht="15.95" customHeight="1" x14ac:dyDescent="0.2">
      <c r="A127" s="81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27"/>
      <c r="AO127" s="27"/>
      <c r="AP127" s="27"/>
    </row>
    <row r="128" spans="1:42" s="15" customFormat="1" ht="20.100000000000001" customHeight="1" x14ac:dyDescent="0.25">
      <c r="A128" s="101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39"/>
      <c r="X128" s="39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3"/>
      <c r="AO128" s="103"/>
      <c r="AP128" s="103"/>
    </row>
    <row r="129" spans="1:42" ht="15.95" customHeight="1" x14ac:dyDescent="0.2">
      <c r="A129" s="81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27"/>
      <c r="AO129" s="27"/>
      <c r="AP129" s="27"/>
    </row>
    <row r="130" spans="1:42" ht="15.95" customHeight="1" x14ac:dyDescent="0.2">
      <c r="A130" s="81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27"/>
      <c r="AO130" s="27"/>
      <c r="AP130" s="27"/>
    </row>
    <row r="131" spans="1:42" ht="15" customHeight="1" x14ac:dyDescent="0.2">
      <c r="A131" s="81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27"/>
      <c r="AO131" s="27"/>
      <c r="AP131" s="27"/>
    </row>
    <row r="132" spans="1:42" x14ac:dyDescent="0.2">
      <c r="A132" s="81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27"/>
      <c r="AO132" s="27"/>
      <c r="AP132" s="27"/>
    </row>
    <row r="133" spans="1:42" x14ac:dyDescent="0.2">
      <c r="A133" s="81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27"/>
      <c r="AO133" s="27"/>
      <c r="AP133" s="27"/>
    </row>
    <row r="134" spans="1:42" x14ac:dyDescent="0.2">
      <c r="A134" s="81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27"/>
      <c r="AO134" s="27"/>
      <c r="AP134" s="27"/>
    </row>
    <row r="135" spans="1:42" x14ac:dyDescent="0.2">
      <c r="A135" s="81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27"/>
      <c r="AO135" s="27"/>
      <c r="AP135" s="27"/>
    </row>
    <row r="136" spans="1:42" x14ac:dyDescent="0.2">
      <c r="A136" s="81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27"/>
      <c r="AO136" s="27"/>
      <c r="AP136" s="27"/>
    </row>
    <row r="137" spans="1:42" x14ac:dyDescent="0.2">
      <c r="A137" s="81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27"/>
      <c r="AO137" s="27"/>
      <c r="AP137" s="27"/>
    </row>
    <row r="138" spans="1:42" x14ac:dyDescent="0.2">
      <c r="A138" s="81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27"/>
      <c r="AO138" s="27"/>
      <c r="AP138" s="27"/>
    </row>
    <row r="139" spans="1:42" x14ac:dyDescent="0.2">
      <c r="A139" s="81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27"/>
      <c r="AO139" s="27"/>
      <c r="AP139" s="27"/>
    </row>
    <row r="140" spans="1:42" x14ac:dyDescent="0.2">
      <c r="A140" s="81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27"/>
      <c r="AO140" s="27"/>
      <c r="AP140" s="27"/>
    </row>
    <row r="141" spans="1:42" x14ac:dyDescent="0.2">
      <c r="A141" s="81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27"/>
      <c r="AO141" s="27"/>
      <c r="AP141" s="27"/>
    </row>
    <row r="142" spans="1:42" x14ac:dyDescent="0.2">
      <c r="A142" s="81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27"/>
      <c r="AO142" s="27"/>
      <c r="AP142" s="27"/>
    </row>
    <row r="143" spans="1:42" x14ac:dyDescent="0.2">
      <c r="A143" s="81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27"/>
      <c r="AO143" s="27"/>
      <c r="AP143" s="27"/>
    </row>
    <row r="144" spans="1:42" x14ac:dyDescent="0.2">
      <c r="A144" s="81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27"/>
      <c r="AO144" s="27"/>
      <c r="AP144" s="27"/>
    </row>
    <row r="145" spans="1:42" x14ac:dyDescent="0.2">
      <c r="A145" s="81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27"/>
      <c r="AO145" s="27"/>
      <c r="AP145" s="27"/>
    </row>
    <row r="146" spans="1:42" x14ac:dyDescent="0.2">
      <c r="A146" s="81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27"/>
      <c r="AO146" s="27"/>
      <c r="AP146" s="27"/>
    </row>
    <row r="147" spans="1:42" x14ac:dyDescent="0.2">
      <c r="A147" s="81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27"/>
      <c r="AO147" s="27"/>
      <c r="AP147" s="27"/>
    </row>
    <row r="148" spans="1:42" x14ac:dyDescent="0.2">
      <c r="A148" s="81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27"/>
      <c r="AO148" s="27"/>
      <c r="AP148" s="27"/>
    </row>
    <row r="149" spans="1:42" x14ac:dyDescent="0.2">
      <c r="A149" s="81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27"/>
      <c r="AO149" s="27"/>
      <c r="AP149" s="27"/>
    </row>
    <row r="150" spans="1:42" x14ac:dyDescent="0.2">
      <c r="A150" s="81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27"/>
      <c r="AO150" s="27"/>
      <c r="AP150" s="27"/>
    </row>
    <row r="151" spans="1:42" x14ac:dyDescent="0.2">
      <c r="A151" s="81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27"/>
      <c r="AO151" s="27"/>
      <c r="AP151" s="27"/>
    </row>
    <row r="152" spans="1:42" x14ac:dyDescent="0.2">
      <c r="A152" s="81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27"/>
      <c r="AO152" s="27"/>
      <c r="AP152" s="27"/>
    </row>
    <row r="153" spans="1:42" x14ac:dyDescent="0.2">
      <c r="A153" s="81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27"/>
      <c r="AO153" s="27"/>
      <c r="AP153" s="27"/>
    </row>
    <row r="154" spans="1:42" x14ac:dyDescent="0.2">
      <c r="A154" s="81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27"/>
      <c r="AO154" s="27"/>
      <c r="AP154" s="27"/>
    </row>
    <row r="155" spans="1:42" x14ac:dyDescent="0.2">
      <c r="A155" s="81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27"/>
      <c r="AO155" s="27"/>
      <c r="AP155" s="27"/>
    </row>
    <row r="156" spans="1:42" x14ac:dyDescent="0.2">
      <c r="A156" s="81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27"/>
      <c r="AO156" s="27"/>
      <c r="AP156" s="27"/>
    </row>
    <row r="157" spans="1:42" x14ac:dyDescent="0.2">
      <c r="A157" s="81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27"/>
      <c r="AO157" s="27"/>
      <c r="AP157" s="27"/>
    </row>
    <row r="158" spans="1:42" x14ac:dyDescent="0.2">
      <c r="A158" s="81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27"/>
      <c r="AO158" s="27"/>
      <c r="AP158" s="27"/>
    </row>
    <row r="159" spans="1:42" x14ac:dyDescent="0.2">
      <c r="A159" s="81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27"/>
      <c r="AO159" s="27"/>
      <c r="AP159" s="27"/>
    </row>
    <row r="160" spans="1:42" x14ac:dyDescent="0.2">
      <c r="A160" s="81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27"/>
      <c r="AO160" s="27"/>
      <c r="AP160" s="27"/>
    </row>
    <row r="161" spans="1:42" x14ac:dyDescent="0.2">
      <c r="A161" s="81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27"/>
      <c r="AO161" s="27"/>
      <c r="AP161" s="27"/>
    </row>
    <row r="162" spans="1:42" x14ac:dyDescent="0.2">
      <c r="A162" s="81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27"/>
      <c r="AO162" s="27"/>
      <c r="AP162" s="27"/>
    </row>
    <row r="163" spans="1:42" x14ac:dyDescent="0.2">
      <c r="A163" s="81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27"/>
      <c r="AO163" s="27"/>
      <c r="AP163" s="27"/>
    </row>
    <row r="164" spans="1:42" x14ac:dyDescent="0.2">
      <c r="A164" s="81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27"/>
      <c r="AO164" s="27"/>
      <c r="AP164" s="27"/>
    </row>
    <row r="165" spans="1:42" x14ac:dyDescent="0.2">
      <c r="A165" s="81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27"/>
      <c r="AO165" s="27"/>
      <c r="AP165" s="27"/>
    </row>
    <row r="166" spans="1:42" x14ac:dyDescent="0.2">
      <c r="A166" s="81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27"/>
      <c r="AO166" s="27"/>
      <c r="AP166" s="27"/>
    </row>
    <row r="167" spans="1:42" x14ac:dyDescent="0.2">
      <c r="A167" s="81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27"/>
      <c r="AO167" s="27"/>
      <c r="AP167" s="27"/>
    </row>
    <row r="168" spans="1:42" x14ac:dyDescent="0.2">
      <c r="A168" s="81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27"/>
      <c r="AO168" s="27"/>
      <c r="AP168" s="27"/>
    </row>
    <row r="169" spans="1:42" x14ac:dyDescent="0.2">
      <c r="A169" s="81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27"/>
      <c r="AO169" s="27"/>
      <c r="AP169" s="27"/>
    </row>
    <row r="170" spans="1:42" x14ac:dyDescent="0.2">
      <c r="A170" s="81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27"/>
      <c r="AO170" s="27"/>
      <c r="AP170" s="27"/>
    </row>
    <row r="171" spans="1:42" x14ac:dyDescent="0.2">
      <c r="A171" s="81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27"/>
      <c r="AO171" s="27"/>
      <c r="AP171" s="27"/>
    </row>
    <row r="172" spans="1:42" x14ac:dyDescent="0.2">
      <c r="A172" s="81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27"/>
      <c r="AO172" s="27"/>
      <c r="AP172" s="27"/>
    </row>
    <row r="173" spans="1:42" x14ac:dyDescent="0.2">
      <c r="A173" s="81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27"/>
      <c r="AO173" s="27"/>
      <c r="AP173" s="27"/>
    </row>
    <row r="174" spans="1:42" x14ac:dyDescent="0.2">
      <c r="A174" s="81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27"/>
      <c r="AO174" s="27"/>
      <c r="AP174" s="27"/>
    </row>
    <row r="175" spans="1:42" x14ac:dyDescent="0.2">
      <c r="A175" s="81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27"/>
      <c r="AO175" s="27"/>
      <c r="AP175" s="27"/>
    </row>
    <row r="176" spans="1:42" x14ac:dyDescent="0.2">
      <c r="A176" s="81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27"/>
      <c r="AO176" s="27"/>
      <c r="AP176" s="27"/>
    </row>
    <row r="177" spans="1:42" x14ac:dyDescent="0.2">
      <c r="A177" s="81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27"/>
      <c r="AO177" s="27"/>
      <c r="AP177" s="27"/>
    </row>
    <row r="178" spans="1:42" x14ac:dyDescent="0.2">
      <c r="A178" s="81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27"/>
      <c r="AO178" s="27"/>
      <c r="AP178" s="27"/>
    </row>
    <row r="179" spans="1:42" x14ac:dyDescent="0.2">
      <c r="A179" s="81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27"/>
      <c r="AO179" s="27"/>
      <c r="AP179" s="27"/>
    </row>
    <row r="180" spans="1:42" x14ac:dyDescent="0.2">
      <c r="A180" s="81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27"/>
      <c r="AO180" s="27"/>
      <c r="AP180" s="27"/>
    </row>
    <row r="181" spans="1:42" x14ac:dyDescent="0.2">
      <c r="A181" s="81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27"/>
      <c r="AO181" s="27"/>
      <c r="AP181" s="27"/>
    </row>
    <row r="182" spans="1:42" x14ac:dyDescent="0.2">
      <c r="A182" s="81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27"/>
      <c r="AO182" s="27"/>
      <c r="AP182" s="27"/>
    </row>
    <row r="183" spans="1:42" x14ac:dyDescent="0.2">
      <c r="A183" s="81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27"/>
      <c r="AO183" s="27"/>
      <c r="AP183" s="27"/>
    </row>
    <row r="184" spans="1:42" x14ac:dyDescent="0.2">
      <c r="A184" s="81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27"/>
      <c r="AO184" s="27"/>
      <c r="AP184" s="27"/>
    </row>
    <row r="185" spans="1:42" x14ac:dyDescent="0.2">
      <c r="A185" s="81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27"/>
      <c r="AO185" s="27"/>
      <c r="AP185" s="27"/>
    </row>
    <row r="186" spans="1:42" x14ac:dyDescent="0.2">
      <c r="A186" s="81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27"/>
      <c r="AO186" s="27"/>
      <c r="AP186" s="27"/>
    </row>
    <row r="187" spans="1:42" x14ac:dyDescent="0.2">
      <c r="A187" s="81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27"/>
      <c r="AO187" s="27"/>
      <c r="AP187" s="27"/>
    </row>
    <row r="188" spans="1:42" x14ac:dyDescent="0.2">
      <c r="A188" s="81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27"/>
      <c r="AO188" s="27"/>
      <c r="AP188" s="27"/>
    </row>
    <row r="189" spans="1:42" x14ac:dyDescent="0.2">
      <c r="A189" s="81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27"/>
      <c r="AO189" s="27"/>
      <c r="AP189" s="27"/>
    </row>
    <row r="190" spans="1:42" x14ac:dyDescent="0.2">
      <c r="A190" s="81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27"/>
      <c r="AO190" s="27"/>
      <c r="AP190" s="27"/>
    </row>
    <row r="191" spans="1:42" x14ac:dyDescent="0.2">
      <c r="A191" s="81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27"/>
      <c r="AO191" s="27"/>
      <c r="AP191" s="27"/>
    </row>
    <row r="192" spans="1:42" x14ac:dyDescent="0.2">
      <c r="A192" s="81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27"/>
      <c r="AO192" s="27"/>
      <c r="AP192" s="27"/>
    </row>
    <row r="193" spans="1:42" x14ac:dyDescent="0.2">
      <c r="A193" s="81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27"/>
      <c r="AO193" s="27"/>
      <c r="AP193" s="27"/>
    </row>
    <row r="194" spans="1:42" x14ac:dyDescent="0.2">
      <c r="A194" s="81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27"/>
      <c r="AO194" s="27"/>
      <c r="AP194" s="27"/>
    </row>
    <row r="195" spans="1:42" x14ac:dyDescent="0.2">
      <c r="A195" s="81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27"/>
      <c r="AO195" s="27"/>
      <c r="AP195" s="27"/>
    </row>
    <row r="196" spans="1:42" x14ac:dyDescent="0.2">
      <c r="A196" s="81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27"/>
      <c r="AO196" s="27"/>
      <c r="AP196" s="27"/>
    </row>
    <row r="197" spans="1:42" x14ac:dyDescent="0.2">
      <c r="A197" s="81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27"/>
      <c r="AO197" s="27"/>
      <c r="AP197" s="27"/>
    </row>
    <row r="198" spans="1:42" x14ac:dyDescent="0.2">
      <c r="A198" s="81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27"/>
      <c r="AO198" s="27"/>
      <c r="AP198" s="27"/>
    </row>
    <row r="199" spans="1:42" x14ac:dyDescent="0.2">
      <c r="A199" s="81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27"/>
      <c r="AO199" s="27"/>
      <c r="AP199" s="27"/>
    </row>
    <row r="200" spans="1:42" x14ac:dyDescent="0.2">
      <c r="A200" s="81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27"/>
      <c r="AO200" s="27"/>
      <c r="AP200" s="27"/>
    </row>
    <row r="201" spans="1:42" x14ac:dyDescent="0.2">
      <c r="A201" s="81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27"/>
      <c r="AO201" s="27"/>
      <c r="AP201" s="27"/>
    </row>
    <row r="202" spans="1:42" x14ac:dyDescent="0.2">
      <c r="A202" s="81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27"/>
      <c r="AO202" s="27"/>
      <c r="AP202" s="27"/>
    </row>
    <row r="203" spans="1:42" x14ac:dyDescent="0.2">
      <c r="A203" s="81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27"/>
      <c r="AO203" s="27"/>
      <c r="AP203" s="27"/>
    </row>
    <row r="204" spans="1:42" x14ac:dyDescent="0.2">
      <c r="A204" s="81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27"/>
      <c r="AO204" s="27"/>
      <c r="AP204" s="27"/>
    </row>
    <row r="205" spans="1:42" x14ac:dyDescent="0.2">
      <c r="A205" s="81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27"/>
      <c r="AO205" s="27"/>
      <c r="AP205" s="27"/>
    </row>
    <row r="206" spans="1:42" x14ac:dyDescent="0.2">
      <c r="A206" s="81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27"/>
      <c r="AO206" s="27"/>
      <c r="AP206" s="27"/>
    </row>
    <row r="207" spans="1:42" x14ac:dyDescent="0.2">
      <c r="A207" s="81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27"/>
      <c r="AO207" s="27"/>
      <c r="AP207" s="27"/>
    </row>
    <row r="208" spans="1:42" x14ac:dyDescent="0.2">
      <c r="A208" s="81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27"/>
      <c r="AO208" s="27"/>
      <c r="AP208" s="27"/>
    </row>
    <row r="209" spans="1:42" x14ac:dyDescent="0.2">
      <c r="A209" s="81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27"/>
      <c r="AO209" s="27"/>
      <c r="AP209" s="27"/>
    </row>
    <row r="210" spans="1:42" x14ac:dyDescent="0.2">
      <c r="A210" s="81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27"/>
      <c r="AO210" s="27"/>
      <c r="AP210" s="27"/>
    </row>
    <row r="211" spans="1:42" x14ac:dyDescent="0.2">
      <c r="A211" s="81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27"/>
      <c r="AO211" s="27"/>
      <c r="AP211" s="27"/>
    </row>
    <row r="212" spans="1:42" x14ac:dyDescent="0.2">
      <c r="A212" s="81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27"/>
      <c r="AO212" s="27"/>
      <c r="AP212" s="27"/>
    </row>
    <row r="213" spans="1:42" x14ac:dyDescent="0.2">
      <c r="A213" s="81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27"/>
      <c r="AO213" s="27"/>
      <c r="AP213" s="27"/>
    </row>
    <row r="214" spans="1:42" x14ac:dyDescent="0.2">
      <c r="A214" s="81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27"/>
      <c r="AO214" s="27"/>
      <c r="AP214" s="27"/>
    </row>
    <row r="215" spans="1:42" x14ac:dyDescent="0.2">
      <c r="A215" s="81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27"/>
      <c r="AO215" s="27"/>
      <c r="AP215" s="27"/>
    </row>
    <row r="216" spans="1:42" x14ac:dyDescent="0.2">
      <c r="A216" s="81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27"/>
      <c r="AO216" s="27"/>
      <c r="AP216" s="27"/>
    </row>
    <row r="217" spans="1:42" x14ac:dyDescent="0.2">
      <c r="A217" s="81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27"/>
      <c r="AO217" s="27"/>
      <c r="AP217" s="27"/>
    </row>
    <row r="218" spans="1:42" x14ac:dyDescent="0.2">
      <c r="A218" s="81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27"/>
      <c r="AO218" s="27"/>
      <c r="AP218" s="27"/>
    </row>
    <row r="219" spans="1:42" x14ac:dyDescent="0.2">
      <c r="A219" s="81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27"/>
      <c r="AO219" s="27"/>
      <c r="AP219" s="27"/>
    </row>
    <row r="220" spans="1:42" x14ac:dyDescent="0.2">
      <c r="A220" s="81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27"/>
      <c r="AO220" s="27"/>
      <c r="AP220" s="27"/>
    </row>
    <row r="221" spans="1:42" x14ac:dyDescent="0.2">
      <c r="A221" s="81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27"/>
      <c r="AO221" s="27"/>
      <c r="AP221" s="27"/>
    </row>
    <row r="222" spans="1:42" x14ac:dyDescent="0.2">
      <c r="A222" s="81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27"/>
      <c r="AO222" s="27"/>
      <c r="AP222" s="27"/>
    </row>
    <row r="223" spans="1:42" x14ac:dyDescent="0.2">
      <c r="A223" s="81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27"/>
      <c r="AO223" s="27"/>
      <c r="AP223" s="27"/>
    </row>
    <row r="224" spans="1:42" x14ac:dyDescent="0.2">
      <c r="A224" s="81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27"/>
      <c r="AO224" s="27"/>
      <c r="AP224" s="27"/>
    </row>
    <row r="225" spans="1:42" x14ac:dyDescent="0.2">
      <c r="A225" s="81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27"/>
      <c r="AO225" s="27"/>
      <c r="AP225" s="27"/>
    </row>
    <row r="226" spans="1:42" x14ac:dyDescent="0.2">
      <c r="A226" s="81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27"/>
      <c r="AO226" s="27"/>
      <c r="AP226" s="27"/>
    </row>
    <row r="227" spans="1:42" x14ac:dyDescent="0.2">
      <c r="A227" s="81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27"/>
      <c r="AO227" s="27"/>
      <c r="AP227" s="27"/>
    </row>
    <row r="228" spans="1:42" x14ac:dyDescent="0.2">
      <c r="A228" s="81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27"/>
      <c r="AO228" s="27"/>
      <c r="AP228" s="27"/>
    </row>
    <row r="229" spans="1:42" x14ac:dyDescent="0.2">
      <c r="A229" s="81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27"/>
      <c r="AO229" s="27"/>
      <c r="AP229" s="27"/>
    </row>
    <row r="230" spans="1:42" x14ac:dyDescent="0.2">
      <c r="A230" s="81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27"/>
      <c r="AO230" s="27"/>
      <c r="AP230" s="27"/>
    </row>
    <row r="231" spans="1:42" x14ac:dyDescent="0.2">
      <c r="A231" s="81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27"/>
      <c r="AO231" s="27"/>
      <c r="AP231" s="27"/>
    </row>
    <row r="232" spans="1:42" x14ac:dyDescent="0.2">
      <c r="A232" s="81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27"/>
      <c r="AO232" s="27"/>
      <c r="AP232" s="27"/>
    </row>
    <row r="233" spans="1:42" x14ac:dyDescent="0.2">
      <c r="A233" s="81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27"/>
      <c r="AO233" s="27"/>
      <c r="AP233" s="27"/>
    </row>
    <row r="234" spans="1:42" x14ac:dyDescent="0.2">
      <c r="A234" s="81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27"/>
      <c r="AO234" s="27"/>
      <c r="AP234" s="27"/>
    </row>
    <row r="235" spans="1:42" x14ac:dyDescent="0.2">
      <c r="A235" s="81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27"/>
      <c r="AO235" s="27"/>
      <c r="AP235" s="27"/>
    </row>
    <row r="236" spans="1:42" x14ac:dyDescent="0.2">
      <c r="A236" s="81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27"/>
      <c r="AO236" s="27"/>
      <c r="AP236" s="27"/>
    </row>
    <row r="237" spans="1:42" x14ac:dyDescent="0.2">
      <c r="A237" s="81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27"/>
      <c r="AO237" s="27"/>
      <c r="AP237" s="27"/>
    </row>
    <row r="238" spans="1:42" x14ac:dyDescent="0.2">
      <c r="A238" s="81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27"/>
      <c r="AO238" s="27"/>
      <c r="AP238" s="27"/>
    </row>
    <row r="239" spans="1:42" x14ac:dyDescent="0.2">
      <c r="A239" s="81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27"/>
      <c r="AO239" s="27"/>
      <c r="AP239" s="27"/>
    </row>
    <row r="240" spans="1:42" x14ac:dyDescent="0.2">
      <c r="A240" s="81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27"/>
      <c r="AO240" s="27"/>
      <c r="AP240" s="27"/>
    </row>
    <row r="241" spans="1:42" x14ac:dyDescent="0.2">
      <c r="A241" s="81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27"/>
      <c r="AO241" s="27"/>
      <c r="AP241" s="27"/>
    </row>
    <row r="242" spans="1:42" x14ac:dyDescent="0.2">
      <c r="A242" s="81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27"/>
      <c r="AO242" s="27"/>
      <c r="AP242" s="27"/>
    </row>
    <row r="243" spans="1:42" x14ac:dyDescent="0.2">
      <c r="A243" s="81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27"/>
      <c r="AO243" s="27"/>
      <c r="AP243" s="27"/>
    </row>
    <row r="244" spans="1:42" x14ac:dyDescent="0.2">
      <c r="A244" s="81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27"/>
      <c r="AO244" s="27"/>
      <c r="AP244" s="27"/>
    </row>
    <row r="245" spans="1:42" x14ac:dyDescent="0.2">
      <c r="A245" s="81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27"/>
      <c r="AO245" s="27"/>
      <c r="AP245" s="27"/>
    </row>
    <row r="246" spans="1:42" x14ac:dyDescent="0.2">
      <c r="A246" s="81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27"/>
      <c r="AO246" s="27"/>
      <c r="AP246" s="27"/>
    </row>
    <row r="247" spans="1:42" x14ac:dyDescent="0.2">
      <c r="A247" s="81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27"/>
      <c r="AO247" s="27"/>
      <c r="AP247" s="27"/>
    </row>
    <row r="248" spans="1:42" x14ac:dyDescent="0.2">
      <c r="A248" s="81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27"/>
      <c r="AO248" s="27"/>
      <c r="AP248" s="27"/>
    </row>
    <row r="249" spans="1:42" x14ac:dyDescent="0.2">
      <c r="A249" s="81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27"/>
      <c r="AO249" s="27"/>
      <c r="AP249" s="27"/>
    </row>
    <row r="250" spans="1:42" x14ac:dyDescent="0.2">
      <c r="A250" s="81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27"/>
      <c r="AO250" s="27"/>
      <c r="AP250" s="27"/>
    </row>
    <row r="251" spans="1:42" x14ac:dyDescent="0.2">
      <c r="A251" s="81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27"/>
      <c r="AO251" s="27"/>
      <c r="AP251" s="27"/>
    </row>
    <row r="252" spans="1:42" x14ac:dyDescent="0.2">
      <c r="A252" s="81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27"/>
      <c r="AO252" s="27"/>
      <c r="AP252" s="27"/>
    </row>
    <row r="253" spans="1:42" x14ac:dyDescent="0.2">
      <c r="A253" s="81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27"/>
      <c r="AO253" s="27"/>
      <c r="AP253" s="27"/>
    </row>
    <row r="254" spans="1:42" x14ac:dyDescent="0.2">
      <c r="A254" s="81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27"/>
      <c r="AO254" s="27"/>
      <c r="AP254" s="27"/>
    </row>
    <row r="255" spans="1:42" x14ac:dyDescent="0.2">
      <c r="A255" s="81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27"/>
      <c r="AO255" s="27"/>
      <c r="AP255" s="27"/>
    </row>
    <row r="256" spans="1:42" x14ac:dyDescent="0.2">
      <c r="A256" s="81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27"/>
      <c r="AO256" s="27"/>
      <c r="AP256" s="27"/>
    </row>
    <row r="257" spans="1:42" x14ac:dyDescent="0.2">
      <c r="A257" s="81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27"/>
      <c r="AO257" s="27"/>
      <c r="AP257" s="27"/>
    </row>
    <row r="258" spans="1:42" x14ac:dyDescent="0.2">
      <c r="A258" s="81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27"/>
      <c r="AO258" s="27"/>
      <c r="AP258" s="27"/>
    </row>
    <row r="259" spans="1:42" x14ac:dyDescent="0.2">
      <c r="A259" s="81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27"/>
      <c r="AO259" s="27"/>
      <c r="AP259" s="27"/>
    </row>
    <row r="260" spans="1:42" x14ac:dyDescent="0.2">
      <c r="A260" s="81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27"/>
      <c r="AO260" s="27"/>
      <c r="AP260" s="27"/>
    </row>
    <row r="261" spans="1:42" x14ac:dyDescent="0.2">
      <c r="A261" s="81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27"/>
      <c r="AO261" s="27"/>
      <c r="AP261" s="27"/>
    </row>
    <row r="262" spans="1:42" x14ac:dyDescent="0.2">
      <c r="A262" s="81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27"/>
      <c r="AO262" s="27"/>
      <c r="AP262" s="27"/>
    </row>
    <row r="263" spans="1:42" x14ac:dyDescent="0.2">
      <c r="A263" s="81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27"/>
      <c r="AO263" s="27"/>
      <c r="AP263" s="27"/>
    </row>
    <row r="264" spans="1:42" x14ac:dyDescent="0.2">
      <c r="A264" s="81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86"/>
      <c r="AM264" s="86"/>
      <c r="AN264" s="27"/>
      <c r="AO264" s="27"/>
      <c r="AP264" s="27"/>
    </row>
    <row r="265" spans="1:42" x14ac:dyDescent="0.2">
      <c r="A265" s="81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27"/>
      <c r="AO265" s="27"/>
      <c r="AP265" s="27"/>
    </row>
    <row r="266" spans="1:42" x14ac:dyDescent="0.2">
      <c r="A266" s="81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27"/>
      <c r="AO266" s="27"/>
      <c r="AP266" s="27"/>
    </row>
    <row r="267" spans="1:42" x14ac:dyDescent="0.2">
      <c r="A267" s="81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86"/>
      <c r="AM267" s="86"/>
      <c r="AN267" s="27"/>
      <c r="AO267" s="27"/>
      <c r="AP267" s="27"/>
    </row>
    <row r="268" spans="1:42" x14ac:dyDescent="0.2">
      <c r="A268" s="81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86"/>
      <c r="AM268" s="86"/>
      <c r="AN268" s="27"/>
      <c r="AO268" s="27"/>
      <c r="AP268" s="27"/>
    </row>
    <row r="269" spans="1:42" x14ac:dyDescent="0.2">
      <c r="A269" s="81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27"/>
      <c r="AO269" s="27"/>
      <c r="AP269" s="27"/>
    </row>
    <row r="270" spans="1:42" x14ac:dyDescent="0.2">
      <c r="A270" s="81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86"/>
      <c r="AM270" s="86"/>
      <c r="AN270" s="27"/>
      <c r="AO270" s="27"/>
      <c r="AP270" s="27"/>
    </row>
    <row r="271" spans="1:42" x14ac:dyDescent="0.2">
      <c r="A271" s="81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  <c r="AL271" s="86"/>
      <c r="AM271" s="86"/>
      <c r="AN271" s="27"/>
      <c r="AO271" s="27"/>
      <c r="AP271" s="27"/>
    </row>
    <row r="272" spans="1:42" x14ac:dyDescent="0.2">
      <c r="A272" s="81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  <c r="AL272" s="86"/>
      <c r="AM272" s="86"/>
      <c r="AN272" s="27"/>
      <c r="AO272" s="27"/>
      <c r="AP272" s="27"/>
    </row>
    <row r="273" spans="1:42" x14ac:dyDescent="0.2">
      <c r="A273" s="81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86"/>
      <c r="AM273" s="86"/>
      <c r="AN273" s="27"/>
      <c r="AO273" s="27"/>
      <c r="AP273" s="27"/>
    </row>
    <row r="274" spans="1:42" x14ac:dyDescent="0.2">
      <c r="A274" s="81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  <c r="AL274" s="86"/>
      <c r="AM274" s="86"/>
      <c r="AN274" s="27"/>
      <c r="AO274" s="27"/>
      <c r="AP274" s="27"/>
    </row>
    <row r="275" spans="1:42" x14ac:dyDescent="0.2">
      <c r="A275" s="81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27"/>
      <c r="AO275" s="27"/>
      <c r="AP275" s="27"/>
    </row>
    <row r="276" spans="1:42" x14ac:dyDescent="0.2">
      <c r="A276" s="81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86"/>
      <c r="AM276" s="86"/>
      <c r="AN276" s="27"/>
      <c r="AO276" s="27"/>
      <c r="AP276" s="27"/>
    </row>
    <row r="277" spans="1:42" x14ac:dyDescent="0.2">
      <c r="A277" s="81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6"/>
      <c r="AI277" s="86"/>
      <c r="AJ277" s="86"/>
      <c r="AK277" s="86"/>
      <c r="AL277" s="86"/>
      <c r="AM277" s="86"/>
      <c r="AN277" s="27"/>
      <c r="AO277" s="27"/>
      <c r="AP277" s="27"/>
    </row>
    <row r="278" spans="1:42" x14ac:dyDescent="0.2">
      <c r="A278" s="81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  <c r="AI278" s="86"/>
      <c r="AJ278" s="86"/>
      <c r="AK278" s="86"/>
      <c r="AL278" s="86"/>
      <c r="AM278" s="86"/>
      <c r="AN278" s="27"/>
      <c r="AO278" s="27"/>
      <c r="AP278" s="27"/>
    </row>
    <row r="279" spans="1:42" x14ac:dyDescent="0.2">
      <c r="A279" s="81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  <c r="AK279" s="86"/>
      <c r="AL279" s="86"/>
      <c r="AM279" s="86"/>
      <c r="AN279" s="27"/>
      <c r="AO279" s="27"/>
      <c r="AP279" s="27"/>
    </row>
    <row r="280" spans="1:42" x14ac:dyDescent="0.2">
      <c r="A280" s="81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86"/>
      <c r="AM280" s="86"/>
      <c r="AN280" s="27"/>
      <c r="AO280" s="27"/>
      <c r="AP280" s="27"/>
    </row>
    <row r="281" spans="1:42" x14ac:dyDescent="0.2">
      <c r="A281" s="81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  <c r="AL281" s="86"/>
      <c r="AM281" s="86"/>
      <c r="AN281" s="27"/>
      <c r="AO281" s="27"/>
      <c r="AP281" s="27"/>
    </row>
    <row r="282" spans="1:42" x14ac:dyDescent="0.2">
      <c r="A282" s="81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  <c r="AL282" s="86"/>
      <c r="AM282" s="86"/>
      <c r="AN282" s="27"/>
      <c r="AO282" s="27"/>
      <c r="AP282" s="27"/>
    </row>
    <row r="283" spans="1:42" x14ac:dyDescent="0.2">
      <c r="A283" s="81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  <c r="AL283" s="86"/>
      <c r="AM283" s="86"/>
      <c r="AN283" s="27"/>
      <c r="AO283" s="27"/>
      <c r="AP283" s="27"/>
    </row>
    <row r="284" spans="1:42" x14ac:dyDescent="0.2">
      <c r="A284" s="81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/>
      <c r="AL284" s="86"/>
      <c r="AM284" s="86"/>
      <c r="AN284" s="27"/>
      <c r="AO284" s="27"/>
      <c r="AP284" s="27"/>
    </row>
    <row r="285" spans="1:42" x14ac:dyDescent="0.2">
      <c r="A285" s="81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86"/>
      <c r="AM285" s="86"/>
      <c r="AN285" s="27"/>
      <c r="AO285" s="27"/>
      <c r="AP285" s="27"/>
    </row>
    <row r="286" spans="1:42" x14ac:dyDescent="0.2">
      <c r="A286" s="81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86"/>
      <c r="AM286" s="86"/>
      <c r="AN286" s="27"/>
      <c r="AO286" s="27"/>
      <c r="AP286" s="27"/>
    </row>
    <row r="287" spans="1:42" x14ac:dyDescent="0.2">
      <c r="A287" s="81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86"/>
      <c r="AM287" s="86"/>
      <c r="AN287" s="27"/>
      <c r="AO287" s="27"/>
      <c r="AP287" s="27"/>
    </row>
    <row r="288" spans="1:42" x14ac:dyDescent="0.2">
      <c r="A288" s="81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  <c r="AK288" s="86"/>
      <c r="AL288" s="86"/>
      <c r="AM288" s="86"/>
      <c r="AN288" s="27"/>
      <c r="AO288" s="27"/>
      <c r="AP288" s="27"/>
    </row>
    <row r="289" spans="1:42" x14ac:dyDescent="0.2">
      <c r="A289" s="81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  <c r="AL289" s="86"/>
      <c r="AM289" s="86"/>
      <c r="AN289" s="27"/>
      <c r="AO289" s="27"/>
      <c r="AP289" s="27"/>
    </row>
    <row r="290" spans="1:42" x14ac:dyDescent="0.2">
      <c r="A290" s="81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86"/>
      <c r="AM290" s="86"/>
      <c r="AN290" s="27"/>
      <c r="AO290" s="27"/>
      <c r="AP290" s="27"/>
    </row>
    <row r="291" spans="1:42" x14ac:dyDescent="0.2">
      <c r="A291" s="81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86"/>
      <c r="AM291" s="86"/>
      <c r="AN291" s="27"/>
      <c r="AO291" s="27"/>
      <c r="AP291" s="27"/>
    </row>
    <row r="292" spans="1:42" x14ac:dyDescent="0.2">
      <c r="A292" s="81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  <c r="AL292" s="86"/>
      <c r="AM292" s="86"/>
      <c r="AN292" s="27"/>
      <c r="AO292" s="27"/>
      <c r="AP292" s="27"/>
    </row>
    <row r="293" spans="1:42" x14ac:dyDescent="0.2">
      <c r="A293" s="81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  <c r="AL293" s="86"/>
      <c r="AM293" s="86"/>
      <c r="AN293" s="27"/>
      <c r="AO293" s="27"/>
      <c r="AP293" s="27"/>
    </row>
    <row r="294" spans="1:42" x14ac:dyDescent="0.2">
      <c r="A294" s="81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  <c r="AK294" s="86"/>
      <c r="AL294" s="86"/>
      <c r="AM294" s="86"/>
      <c r="AN294" s="27"/>
      <c r="AO294" s="27"/>
      <c r="AP294" s="27"/>
    </row>
    <row r="295" spans="1:42" x14ac:dyDescent="0.2">
      <c r="A295" s="81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86"/>
      <c r="AI295" s="86"/>
      <c r="AJ295" s="86"/>
      <c r="AK295" s="86"/>
      <c r="AL295" s="86"/>
      <c r="AM295" s="86"/>
      <c r="AN295" s="27"/>
      <c r="AO295" s="27"/>
      <c r="AP295" s="27"/>
    </row>
    <row r="296" spans="1:42" x14ac:dyDescent="0.2">
      <c r="A296" s="81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6"/>
      <c r="AI296" s="86"/>
      <c r="AJ296" s="86"/>
      <c r="AK296" s="86"/>
      <c r="AL296" s="86"/>
      <c r="AM296" s="86"/>
      <c r="AN296" s="27"/>
      <c r="AO296" s="27"/>
      <c r="AP296" s="27"/>
    </row>
    <row r="297" spans="1:42" x14ac:dyDescent="0.2">
      <c r="A297" s="81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6"/>
      <c r="AI297" s="86"/>
      <c r="AJ297" s="86"/>
      <c r="AK297" s="86"/>
      <c r="AL297" s="86"/>
      <c r="AM297" s="86"/>
      <c r="AN297" s="27"/>
      <c r="AO297" s="27"/>
      <c r="AP297" s="27"/>
    </row>
    <row r="298" spans="1:42" x14ac:dyDescent="0.2">
      <c r="A298" s="81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  <c r="AK298" s="86"/>
      <c r="AL298" s="86"/>
      <c r="AM298" s="86"/>
      <c r="AN298" s="27"/>
      <c r="AO298" s="27"/>
      <c r="AP298" s="27"/>
    </row>
    <row r="299" spans="1:42" x14ac:dyDescent="0.2">
      <c r="A299" s="81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86"/>
      <c r="AM299" s="86"/>
      <c r="AN299" s="27"/>
      <c r="AO299" s="27"/>
      <c r="AP299" s="27"/>
    </row>
    <row r="300" spans="1:42" x14ac:dyDescent="0.2">
      <c r="A300" s="81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  <c r="AL300" s="86"/>
      <c r="AM300" s="86"/>
      <c r="AN300" s="27"/>
      <c r="AO300" s="27"/>
      <c r="AP300" s="27"/>
    </row>
    <row r="301" spans="1:42" x14ac:dyDescent="0.2">
      <c r="A301" s="81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  <c r="AL301" s="86"/>
      <c r="AM301" s="86"/>
      <c r="AN301" s="27"/>
      <c r="AO301" s="27"/>
      <c r="AP301" s="27"/>
    </row>
    <row r="302" spans="1:42" x14ac:dyDescent="0.2">
      <c r="A302" s="81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  <c r="AL302" s="86"/>
      <c r="AM302" s="86"/>
      <c r="AN302" s="27"/>
      <c r="AO302" s="27"/>
      <c r="AP302" s="27"/>
    </row>
    <row r="303" spans="1:42" x14ac:dyDescent="0.2">
      <c r="A303" s="81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6"/>
      <c r="AI303" s="86"/>
      <c r="AJ303" s="86"/>
      <c r="AK303" s="86"/>
      <c r="AL303" s="86"/>
      <c r="AM303" s="86"/>
      <c r="AN303" s="27"/>
      <c r="AO303" s="27"/>
      <c r="AP303" s="27"/>
    </row>
    <row r="304" spans="1:42" x14ac:dyDescent="0.2">
      <c r="A304" s="81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  <c r="AK304" s="86"/>
      <c r="AL304" s="86"/>
      <c r="AM304" s="86"/>
      <c r="AN304" s="27"/>
      <c r="AO304" s="27"/>
      <c r="AP304" s="27"/>
    </row>
    <row r="305" spans="1:42" x14ac:dyDescent="0.2">
      <c r="A305" s="81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86"/>
      <c r="AK305" s="86"/>
      <c r="AL305" s="86"/>
      <c r="AM305" s="86"/>
      <c r="AN305" s="27"/>
      <c r="AO305" s="27"/>
      <c r="AP305" s="27"/>
    </row>
    <row r="306" spans="1:42" x14ac:dyDescent="0.2">
      <c r="A306" s="81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86"/>
      <c r="AI306" s="86"/>
      <c r="AJ306" s="86"/>
      <c r="AK306" s="86"/>
      <c r="AL306" s="86"/>
      <c r="AM306" s="86"/>
      <c r="AN306" s="27"/>
      <c r="AO306" s="27"/>
      <c r="AP306" s="27"/>
    </row>
    <row r="307" spans="1:42" x14ac:dyDescent="0.2">
      <c r="A307" s="81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86"/>
      <c r="AI307" s="86"/>
      <c r="AJ307" s="86"/>
      <c r="AK307" s="86"/>
      <c r="AL307" s="86"/>
      <c r="AM307" s="86"/>
      <c r="AN307" s="27"/>
      <c r="AO307" s="27"/>
      <c r="AP307" s="27"/>
    </row>
    <row r="308" spans="1:42" x14ac:dyDescent="0.2">
      <c r="A308" s="81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86"/>
      <c r="Y308" s="86"/>
      <c r="Z308" s="86"/>
      <c r="AA308" s="86"/>
      <c r="AB308" s="86"/>
      <c r="AC308" s="86"/>
      <c r="AD308" s="86"/>
      <c r="AE308" s="86"/>
      <c r="AF308" s="86"/>
      <c r="AG308" s="86"/>
      <c r="AH308" s="86"/>
      <c r="AI308" s="86"/>
      <c r="AJ308" s="86"/>
      <c r="AK308" s="86"/>
      <c r="AL308" s="86"/>
      <c r="AM308" s="86"/>
      <c r="AN308" s="27"/>
      <c r="AO308" s="27"/>
      <c r="AP308" s="27"/>
    </row>
    <row r="309" spans="1:42" x14ac:dyDescent="0.2">
      <c r="A309" s="81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86"/>
      <c r="Y309" s="86"/>
      <c r="Z309" s="86"/>
      <c r="AA309" s="86"/>
      <c r="AB309" s="86"/>
      <c r="AC309" s="86"/>
      <c r="AD309" s="86"/>
      <c r="AE309" s="86"/>
      <c r="AF309" s="86"/>
      <c r="AG309" s="86"/>
      <c r="AH309" s="86"/>
      <c r="AI309" s="86"/>
      <c r="AJ309" s="86"/>
      <c r="AK309" s="86"/>
      <c r="AL309" s="86"/>
      <c r="AM309" s="86"/>
      <c r="AN309" s="27"/>
      <c r="AO309" s="27"/>
      <c r="AP309" s="27"/>
    </row>
    <row r="310" spans="1:42" x14ac:dyDescent="0.2">
      <c r="A310" s="81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86"/>
      <c r="AI310" s="86"/>
      <c r="AJ310" s="86"/>
      <c r="AK310" s="86"/>
      <c r="AL310" s="86"/>
      <c r="AM310" s="86"/>
      <c r="AN310" s="27"/>
      <c r="AO310" s="27"/>
      <c r="AP310" s="27"/>
    </row>
    <row r="311" spans="1:42" x14ac:dyDescent="0.2">
      <c r="A311" s="81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86"/>
      <c r="Y311" s="86"/>
      <c r="Z311" s="86"/>
      <c r="AA311" s="86"/>
      <c r="AB311" s="86"/>
      <c r="AC311" s="86"/>
      <c r="AD311" s="86"/>
      <c r="AE311" s="86"/>
      <c r="AF311" s="86"/>
      <c r="AG311" s="86"/>
      <c r="AH311" s="86"/>
      <c r="AI311" s="86"/>
      <c r="AJ311" s="86"/>
      <c r="AK311" s="86"/>
      <c r="AL311" s="86"/>
      <c r="AM311" s="86"/>
      <c r="AN311" s="27"/>
      <c r="AO311" s="27"/>
      <c r="AP311" s="27"/>
    </row>
    <row r="312" spans="1:42" x14ac:dyDescent="0.2">
      <c r="A312" s="81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86"/>
      <c r="AI312" s="86"/>
      <c r="AJ312" s="86"/>
      <c r="AK312" s="86"/>
      <c r="AL312" s="86"/>
      <c r="AM312" s="86"/>
      <c r="AN312" s="27"/>
      <c r="AO312" s="27"/>
      <c r="AP312" s="27"/>
    </row>
    <row r="313" spans="1:42" x14ac:dyDescent="0.2">
      <c r="A313" s="81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6"/>
      <c r="AI313" s="86"/>
      <c r="AJ313" s="86"/>
      <c r="AK313" s="86"/>
      <c r="AL313" s="86"/>
      <c r="AM313" s="86"/>
      <c r="AN313" s="27"/>
      <c r="AO313" s="27"/>
      <c r="AP313" s="27"/>
    </row>
    <row r="314" spans="1:42" x14ac:dyDescent="0.2">
      <c r="A314" s="81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6"/>
      <c r="AI314" s="86"/>
      <c r="AJ314" s="86"/>
      <c r="AK314" s="86"/>
      <c r="AL314" s="86"/>
      <c r="AM314" s="86"/>
      <c r="AN314" s="27"/>
      <c r="AO314" s="27"/>
      <c r="AP314" s="27"/>
    </row>
    <row r="315" spans="1:42" x14ac:dyDescent="0.2">
      <c r="A315" s="81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6"/>
      <c r="AI315" s="86"/>
      <c r="AJ315" s="86"/>
      <c r="AK315" s="86"/>
      <c r="AL315" s="86"/>
      <c r="AM315" s="86"/>
      <c r="AN315" s="27"/>
      <c r="AO315" s="27"/>
      <c r="AP315" s="27"/>
    </row>
    <row r="316" spans="1:42" x14ac:dyDescent="0.2">
      <c r="A316" s="81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6"/>
      <c r="AI316" s="86"/>
      <c r="AJ316" s="86"/>
      <c r="AK316" s="86"/>
      <c r="AL316" s="86"/>
      <c r="AM316" s="86"/>
      <c r="AN316" s="27"/>
      <c r="AO316" s="27"/>
      <c r="AP316" s="27"/>
    </row>
    <row r="317" spans="1:42" x14ac:dyDescent="0.2">
      <c r="A317" s="81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  <c r="AL317" s="86"/>
      <c r="AM317" s="86"/>
      <c r="AN317" s="27"/>
      <c r="AO317" s="27"/>
      <c r="AP317" s="27"/>
    </row>
    <row r="318" spans="1:42" x14ac:dyDescent="0.2">
      <c r="A318" s="81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6"/>
      <c r="AI318" s="86"/>
      <c r="AJ318" s="86"/>
      <c r="AK318" s="86"/>
      <c r="AL318" s="86"/>
      <c r="AM318" s="86"/>
      <c r="AN318" s="27"/>
      <c r="AO318" s="27"/>
      <c r="AP318" s="27"/>
    </row>
    <row r="319" spans="1:42" x14ac:dyDescent="0.2">
      <c r="A319" s="81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86"/>
      <c r="AI319" s="86"/>
      <c r="AJ319" s="86"/>
      <c r="AK319" s="86"/>
      <c r="AL319" s="86"/>
      <c r="AM319" s="86"/>
      <c r="AN319" s="27"/>
      <c r="AO319" s="27"/>
      <c r="AP319" s="27"/>
    </row>
    <row r="320" spans="1:42" x14ac:dyDescent="0.2">
      <c r="A320" s="81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  <c r="AL320" s="86"/>
      <c r="AM320" s="86"/>
      <c r="AN320" s="27"/>
      <c r="AO320" s="27"/>
      <c r="AP320" s="27"/>
    </row>
    <row r="321" spans="1:42" x14ac:dyDescent="0.2">
      <c r="A321" s="81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/>
      <c r="AJ321" s="86"/>
      <c r="AK321" s="86"/>
      <c r="AL321" s="86"/>
      <c r="AM321" s="86"/>
      <c r="AN321" s="27"/>
      <c r="AO321" s="27"/>
      <c r="AP321" s="27"/>
    </row>
    <row r="322" spans="1:42" x14ac:dyDescent="0.2">
      <c r="A322" s="81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6"/>
      <c r="AI322" s="86"/>
      <c r="AJ322" s="86"/>
      <c r="AK322" s="86"/>
      <c r="AL322" s="86"/>
      <c r="AM322" s="86"/>
      <c r="AN322" s="27"/>
      <c r="AO322" s="27"/>
      <c r="AP322" s="27"/>
    </row>
    <row r="323" spans="1:42" x14ac:dyDescent="0.2">
      <c r="A323" s="81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27"/>
      <c r="AO323" s="27"/>
      <c r="AP323" s="27"/>
    </row>
    <row r="324" spans="1:42" x14ac:dyDescent="0.2">
      <c r="A324" s="81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6"/>
      <c r="AI324" s="86"/>
      <c r="AJ324" s="86"/>
      <c r="AK324" s="86"/>
      <c r="AL324" s="86"/>
      <c r="AM324" s="86"/>
      <c r="AN324" s="27"/>
      <c r="AO324" s="27"/>
      <c r="AP324" s="27"/>
    </row>
    <row r="325" spans="1:42" x14ac:dyDescent="0.2">
      <c r="A325" s="81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6"/>
      <c r="AI325" s="86"/>
      <c r="AJ325" s="86"/>
      <c r="AK325" s="86"/>
      <c r="AL325" s="86"/>
      <c r="AM325" s="86"/>
      <c r="AN325" s="27"/>
      <c r="AO325" s="27"/>
      <c r="AP325" s="27"/>
    </row>
    <row r="326" spans="1:42" x14ac:dyDescent="0.2">
      <c r="A326" s="81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  <c r="AL326" s="86"/>
      <c r="AM326" s="86"/>
      <c r="AN326" s="27"/>
      <c r="AO326" s="27"/>
      <c r="AP326" s="27"/>
    </row>
    <row r="327" spans="1:42" x14ac:dyDescent="0.2">
      <c r="A327" s="81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86"/>
      <c r="AI327" s="86"/>
      <c r="AJ327" s="86"/>
      <c r="AK327" s="86"/>
      <c r="AL327" s="86"/>
      <c r="AM327" s="86"/>
      <c r="AN327" s="27"/>
      <c r="AO327" s="27"/>
      <c r="AP327" s="27"/>
    </row>
    <row r="328" spans="1:42" x14ac:dyDescent="0.2">
      <c r="A328" s="81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86"/>
      <c r="AI328" s="86"/>
      <c r="AJ328" s="86"/>
      <c r="AK328" s="86"/>
      <c r="AL328" s="86"/>
      <c r="AM328" s="86"/>
      <c r="AN328" s="27"/>
      <c r="AO328" s="27"/>
      <c r="AP328" s="27"/>
    </row>
    <row r="329" spans="1:42" x14ac:dyDescent="0.2">
      <c r="A329" s="81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86"/>
      <c r="AI329" s="86"/>
      <c r="AJ329" s="86"/>
      <c r="AK329" s="86"/>
      <c r="AL329" s="86"/>
      <c r="AM329" s="86"/>
      <c r="AN329" s="27"/>
      <c r="AO329" s="27"/>
      <c r="AP329" s="27"/>
    </row>
    <row r="330" spans="1:42" x14ac:dyDescent="0.2">
      <c r="A330" s="81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  <c r="AL330" s="86"/>
      <c r="AM330" s="86"/>
      <c r="AN330" s="27"/>
      <c r="AO330" s="27"/>
      <c r="AP330" s="27"/>
    </row>
    <row r="331" spans="1:42" x14ac:dyDescent="0.2">
      <c r="A331" s="81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6"/>
      <c r="AJ331" s="86"/>
      <c r="AK331" s="86"/>
      <c r="AL331" s="86"/>
      <c r="AM331" s="86"/>
      <c r="AN331" s="27"/>
      <c r="AO331" s="27"/>
      <c r="AP331" s="27"/>
    </row>
    <row r="332" spans="1:42" x14ac:dyDescent="0.2">
      <c r="A332" s="81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86"/>
      <c r="AI332" s="86"/>
      <c r="AJ332" s="86"/>
      <c r="AK332" s="86"/>
      <c r="AL332" s="86"/>
      <c r="AM332" s="86"/>
      <c r="AN332" s="27"/>
      <c r="AO332" s="27"/>
      <c r="AP332" s="27"/>
    </row>
    <row r="333" spans="1:42" x14ac:dyDescent="0.2">
      <c r="A333" s="81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86"/>
      <c r="AI333" s="86"/>
      <c r="AJ333" s="86"/>
      <c r="AK333" s="86"/>
      <c r="AL333" s="86"/>
      <c r="AM333" s="86"/>
      <c r="AN333" s="27"/>
      <c r="AO333" s="27"/>
      <c r="AP333" s="27"/>
    </row>
    <row r="334" spans="1:42" x14ac:dyDescent="0.2">
      <c r="A334" s="81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6"/>
      <c r="AI334" s="86"/>
      <c r="AJ334" s="86"/>
      <c r="AK334" s="86"/>
      <c r="AL334" s="86"/>
      <c r="AM334" s="86"/>
      <c r="AN334" s="27"/>
      <c r="AO334" s="27"/>
      <c r="AP334" s="27"/>
    </row>
    <row r="335" spans="1:42" x14ac:dyDescent="0.2">
      <c r="A335" s="81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86"/>
      <c r="AI335" s="86"/>
      <c r="AJ335" s="86"/>
      <c r="AK335" s="86"/>
      <c r="AL335" s="86"/>
      <c r="AM335" s="86"/>
      <c r="AN335" s="27"/>
      <c r="AO335" s="27"/>
      <c r="AP335" s="27"/>
    </row>
    <row r="336" spans="1:42" x14ac:dyDescent="0.2">
      <c r="A336" s="81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  <c r="AL336" s="86"/>
      <c r="AM336" s="86"/>
      <c r="AN336" s="27"/>
      <c r="AO336" s="27"/>
      <c r="AP336" s="27"/>
    </row>
    <row r="337" spans="1:42" x14ac:dyDescent="0.2">
      <c r="A337" s="81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27"/>
      <c r="AO337" s="27"/>
      <c r="AP337" s="27"/>
    </row>
    <row r="338" spans="1:42" x14ac:dyDescent="0.2">
      <c r="A338" s="81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6"/>
      <c r="AI338" s="86"/>
      <c r="AJ338" s="86"/>
      <c r="AK338" s="86"/>
      <c r="AL338" s="86"/>
      <c r="AM338" s="86"/>
      <c r="AN338" s="27"/>
      <c r="AO338" s="27"/>
      <c r="AP338" s="27"/>
    </row>
    <row r="339" spans="1:42" x14ac:dyDescent="0.2">
      <c r="A339" s="81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86"/>
      <c r="AI339" s="86"/>
      <c r="AJ339" s="86"/>
      <c r="AK339" s="86"/>
      <c r="AL339" s="86"/>
      <c r="AM339" s="86"/>
      <c r="AN339" s="27"/>
      <c r="AO339" s="27"/>
      <c r="AP339" s="27"/>
    </row>
    <row r="340" spans="1:42" x14ac:dyDescent="0.2">
      <c r="A340" s="81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6"/>
      <c r="AI340" s="86"/>
      <c r="AJ340" s="86"/>
      <c r="AK340" s="86"/>
      <c r="AL340" s="86"/>
      <c r="AM340" s="86"/>
      <c r="AN340" s="27"/>
      <c r="AO340" s="27"/>
      <c r="AP340" s="27"/>
    </row>
    <row r="341" spans="1:42" x14ac:dyDescent="0.2">
      <c r="A341" s="81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86"/>
      <c r="AJ341" s="86"/>
      <c r="AK341" s="86"/>
      <c r="AL341" s="86"/>
      <c r="AM341" s="86"/>
      <c r="AN341" s="27"/>
      <c r="AO341" s="27"/>
      <c r="AP341" s="27"/>
    </row>
    <row r="342" spans="1:42" x14ac:dyDescent="0.2">
      <c r="A342" s="81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86"/>
      <c r="AI342" s="86"/>
      <c r="AJ342" s="86"/>
      <c r="AK342" s="86"/>
      <c r="AL342" s="86"/>
      <c r="AM342" s="86"/>
      <c r="AN342" s="27"/>
      <c r="AO342" s="27"/>
      <c r="AP342" s="27"/>
    </row>
    <row r="343" spans="1:42" x14ac:dyDescent="0.2">
      <c r="A343" s="81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86"/>
      <c r="AI343" s="86"/>
      <c r="AJ343" s="86"/>
      <c r="AK343" s="86"/>
      <c r="AL343" s="86"/>
      <c r="AM343" s="86"/>
      <c r="AN343" s="27"/>
      <c r="AO343" s="27"/>
      <c r="AP343" s="27"/>
    </row>
    <row r="344" spans="1:42" x14ac:dyDescent="0.2">
      <c r="A344" s="81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6"/>
      <c r="AI344" s="86"/>
      <c r="AJ344" s="86"/>
      <c r="AK344" s="86"/>
      <c r="AL344" s="86"/>
      <c r="AM344" s="86"/>
      <c r="AN344" s="27"/>
      <c r="AO344" s="27"/>
      <c r="AP344" s="27"/>
    </row>
    <row r="345" spans="1:42" x14ac:dyDescent="0.2">
      <c r="A345" s="81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86"/>
      <c r="AJ345" s="86"/>
      <c r="AK345" s="86"/>
      <c r="AL345" s="86"/>
      <c r="AM345" s="86"/>
      <c r="AN345" s="27"/>
      <c r="AO345" s="27"/>
      <c r="AP345" s="27"/>
    </row>
    <row r="346" spans="1:42" x14ac:dyDescent="0.2">
      <c r="A346" s="81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6"/>
      <c r="AI346" s="86"/>
      <c r="AJ346" s="86"/>
      <c r="AK346" s="86"/>
      <c r="AL346" s="86"/>
      <c r="AM346" s="86"/>
      <c r="AN346" s="27"/>
      <c r="AO346" s="27"/>
      <c r="AP346" s="27"/>
    </row>
    <row r="347" spans="1:42" x14ac:dyDescent="0.2">
      <c r="A347" s="81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6"/>
      <c r="AI347" s="86"/>
      <c r="AJ347" s="86"/>
      <c r="AK347" s="86"/>
      <c r="AL347" s="86"/>
      <c r="AM347" s="86"/>
      <c r="AN347" s="27"/>
      <c r="AO347" s="27"/>
      <c r="AP347" s="27"/>
    </row>
    <row r="348" spans="1:42" x14ac:dyDescent="0.2">
      <c r="A348" s="81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6"/>
      <c r="AI348" s="86"/>
      <c r="AJ348" s="86"/>
      <c r="AK348" s="86"/>
      <c r="AL348" s="86"/>
      <c r="AM348" s="86"/>
      <c r="AN348" s="27"/>
      <c r="AO348" s="27"/>
      <c r="AP348" s="27"/>
    </row>
    <row r="349" spans="1:42" x14ac:dyDescent="0.2">
      <c r="A349" s="81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6"/>
      <c r="AI349" s="86"/>
      <c r="AJ349" s="86"/>
      <c r="AK349" s="86"/>
      <c r="AL349" s="86"/>
      <c r="AM349" s="86"/>
      <c r="AN349" s="27"/>
      <c r="AO349" s="27"/>
      <c r="AP349" s="27"/>
    </row>
    <row r="350" spans="1:42" x14ac:dyDescent="0.2">
      <c r="A350" s="81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6"/>
      <c r="AI350" s="86"/>
      <c r="AJ350" s="86"/>
      <c r="AK350" s="86"/>
      <c r="AL350" s="86"/>
      <c r="AM350" s="86"/>
      <c r="AN350" s="27"/>
      <c r="AO350" s="27"/>
      <c r="AP350" s="27"/>
    </row>
    <row r="351" spans="1:42" x14ac:dyDescent="0.2">
      <c r="A351" s="81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86"/>
      <c r="AI351" s="86"/>
      <c r="AJ351" s="86"/>
      <c r="AK351" s="86"/>
      <c r="AL351" s="86"/>
      <c r="AM351" s="86"/>
      <c r="AN351" s="27"/>
      <c r="AO351" s="27"/>
      <c r="AP351" s="27"/>
    </row>
    <row r="352" spans="1:42" x14ac:dyDescent="0.2">
      <c r="A352" s="81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  <c r="AL352" s="86"/>
      <c r="AM352" s="86"/>
      <c r="AN352" s="27"/>
      <c r="AO352" s="27"/>
      <c r="AP352" s="27"/>
    </row>
    <row r="353" spans="1:42" x14ac:dyDescent="0.2">
      <c r="A353" s="81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  <c r="AL353" s="86"/>
      <c r="AM353" s="86"/>
      <c r="AN353" s="27"/>
      <c r="AO353" s="27"/>
      <c r="AP353" s="27"/>
    </row>
    <row r="354" spans="1:42" x14ac:dyDescent="0.2">
      <c r="A354" s="81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86"/>
      <c r="AI354" s="86"/>
      <c r="AJ354" s="86"/>
      <c r="AK354" s="86"/>
      <c r="AL354" s="86"/>
      <c r="AM354" s="86"/>
      <c r="AN354" s="27"/>
      <c r="AO354" s="27"/>
      <c r="AP354" s="27"/>
    </row>
    <row r="355" spans="1:42" x14ac:dyDescent="0.2">
      <c r="A355" s="81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86"/>
      <c r="AI355" s="86"/>
      <c r="AJ355" s="86"/>
      <c r="AK355" s="86"/>
      <c r="AL355" s="86"/>
      <c r="AM355" s="86"/>
      <c r="AN355" s="27"/>
      <c r="AO355" s="27"/>
      <c r="AP355" s="27"/>
    </row>
    <row r="356" spans="1:42" x14ac:dyDescent="0.2">
      <c r="A356" s="81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6"/>
      <c r="AI356" s="86"/>
      <c r="AJ356" s="86"/>
      <c r="AK356" s="86"/>
      <c r="AL356" s="86"/>
      <c r="AM356" s="86"/>
      <c r="AN356" s="27"/>
      <c r="AO356" s="27"/>
      <c r="AP356" s="27"/>
    </row>
    <row r="357" spans="1:42" x14ac:dyDescent="0.2">
      <c r="A357" s="81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86"/>
      <c r="AI357" s="86"/>
      <c r="AJ357" s="86"/>
      <c r="AK357" s="86"/>
      <c r="AL357" s="86"/>
      <c r="AM357" s="86"/>
      <c r="AN357" s="27"/>
      <c r="AO357" s="27"/>
      <c r="AP357" s="27"/>
    </row>
    <row r="358" spans="1:42" x14ac:dyDescent="0.2">
      <c r="A358" s="81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86"/>
      <c r="AL358" s="86"/>
      <c r="AM358" s="86"/>
      <c r="AN358" s="27"/>
      <c r="AO358" s="27"/>
      <c r="AP358" s="27"/>
    </row>
    <row r="359" spans="1:42" x14ac:dyDescent="0.2">
      <c r="A359" s="81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86"/>
      <c r="AI359" s="86"/>
      <c r="AJ359" s="86"/>
      <c r="AK359" s="86"/>
      <c r="AL359" s="86"/>
      <c r="AM359" s="86"/>
      <c r="AN359" s="27"/>
      <c r="AO359" s="27"/>
      <c r="AP359" s="27"/>
    </row>
    <row r="360" spans="1:42" x14ac:dyDescent="0.2">
      <c r="A360" s="81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86"/>
      <c r="AI360" s="86"/>
      <c r="AJ360" s="86"/>
      <c r="AK360" s="86"/>
      <c r="AL360" s="86"/>
      <c r="AM360" s="86"/>
      <c r="AN360" s="27"/>
      <c r="AO360" s="27"/>
      <c r="AP360" s="27"/>
    </row>
    <row r="361" spans="1:42" x14ac:dyDescent="0.2">
      <c r="A361" s="81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86"/>
      <c r="AI361" s="86"/>
      <c r="AJ361" s="86"/>
      <c r="AK361" s="86"/>
      <c r="AL361" s="86"/>
      <c r="AM361" s="86"/>
      <c r="AN361" s="27"/>
      <c r="AO361" s="27"/>
      <c r="AP361" s="27"/>
    </row>
    <row r="362" spans="1:42" x14ac:dyDescent="0.2">
      <c r="A362" s="81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86"/>
      <c r="AL362" s="86"/>
      <c r="AM362" s="86"/>
      <c r="AN362" s="27"/>
      <c r="AO362" s="27"/>
      <c r="AP362" s="27"/>
    </row>
    <row r="363" spans="1:42" x14ac:dyDescent="0.2">
      <c r="A363" s="81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86"/>
      <c r="AI363" s="86"/>
      <c r="AJ363" s="86"/>
      <c r="AK363" s="86"/>
      <c r="AL363" s="86"/>
      <c r="AM363" s="86"/>
      <c r="AN363" s="27"/>
      <c r="AO363" s="27"/>
      <c r="AP363" s="27"/>
    </row>
    <row r="364" spans="1:42" x14ac:dyDescent="0.2">
      <c r="A364" s="81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6"/>
      <c r="AI364" s="86"/>
      <c r="AJ364" s="86"/>
      <c r="AK364" s="86"/>
      <c r="AL364" s="86"/>
      <c r="AM364" s="86"/>
      <c r="AN364" s="27"/>
      <c r="AO364" s="27"/>
      <c r="AP364" s="27"/>
    </row>
    <row r="365" spans="1:42" x14ac:dyDescent="0.2">
      <c r="A365" s="81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6"/>
      <c r="AI365" s="86"/>
      <c r="AJ365" s="86"/>
      <c r="AK365" s="86"/>
      <c r="AL365" s="86"/>
      <c r="AM365" s="86"/>
      <c r="AN365" s="27"/>
      <c r="AO365" s="27"/>
      <c r="AP365" s="27"/>
    </row>
    <row r="366" spans="1:42" x14ac:dyDescent="0.2">
      <c r="A366" s="81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86"/>
      <c r="AI366" s="86"/>
      <c r="AJ366" s="86"/>
      <c r="AK366" s="86"/>
      <c r="AL366" s="86"/>
      <c r="AM366" s="86"/>
      <c r="AN366" s="27"/>
      <c r="AO366" s="27"/>
      <c r="AP366" s="27"/>
    </row>
    <row r="367" spans="1:42" x14ac:dyDescent="0.2">
      <c r="A367" s="81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6"/>
      <c r="AI367" s="86"/>
      <c r="AJ367" s="86"/>
      <c r="AK367" s="86"/>
      <c r="AL367" s="86"/>
      <c r="AM367" s="86"/>
      <c r="AN367" s="27"/>
      <c r="AO367" s="27"/>
      <c r="AP367" s="27"/>
    </row>
    <row r="368" spans="1:42" x14ac:dyDescent="0.2">
      <c r="A368" s="81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86"/>
      <c r="AI368" s="86"/>
      <c r="AJ368" s="86"/>
      <c r="AK368" s="86"/>
      <c r="AL368" s="86"/>
      <c r="AM368" s="86"/>
      <c r="AN368" s="27"/>
      <c r="AO368" s="27"/>
      <c r="AP368" s="27"/>
    </row>
    <row r="369" spans="1:42" x14ac:dyDescent="0.2">
      <c r="A369" s="81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86"/>
      <c r="AI369" s="86"/>
      <c r="AJ369" s="86"/>
      <c r="AK369" s="86"/>
      <c r="AL369" s="86"/>
      <c r="AM369" s="86"/>
      <c r="AN369" s="27"/>
      <c r="AO369" s="27"/>
      <c r="AP369" s="27"/>
    </row>
    <row r="370" spans="1:42" x14ac:dyDescent="0.2">
      <c r="A370" s="81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6"/>
      <c r="AI370" s="86"/>
      <c r="AJ370" s="86"/>
      <c r="AK370" s="86"/>
      <c r="AL370" s="86"/>
      <c r="AM370" s="86"/>
      <c r="AN370" s="27"/>
      <c r="AO370" s="27"/>
      <c r="AP370" s="27"/>
    </row>
    <row r="371" spans="1:42" x14ac:dyDescent="0.2">
      <c r="A371" s="81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86"/>
      <c r="AJ371" s="86"/>
      <c r="AK371" s="86"/>
      <c r="AL371" s="86"/>
      <c r="AM371" s="86"/>
      <c r="AN371" s="27"/>
      <c r="AO371" s="27"/>
      <c r="AP371" s="27"/>
    </row>
    <row r="372" spans="1:42" x14ac:dyDescent="0.2">
      <c r="A372" s="81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6"/>
      <c r="AI372" s="86"/>
      <c r="AJ372" s="86"/>
      <c r="AK372" s="86"/>
      <c r="AL372" s="86"/>
      <c r="AM372" s="86"/>
      <c r="AN372" s="27"/>
      <c r="AO372" s="27"/>
      <c r="AP372" s="27"/>
    </row>
    <row r="373" spans="1:42" x14ac:dyDescent="0.2">
      <c r="A373" s="81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6"/>
      <c r="AI373" s="86"/>
      <c r="AJ373" s="86"/>
      <c r="AK373" s="86"/>
      <c r="AL373" s="86"/>
      <c r="AM373" s="86"/>
      <c r="AN373" s="27"/>
      <c r="AO373" s="27"/>
      <c r="AP373" s="27"/>
    </row>
    <row r="374" spans="1:42" x14ac:dyDescent="0.2">
      <c r="A374" s="81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86"/>
      <c r="AI374" s="86"/>
      <c r="AJ374" s="86"/>
      <c r="AK374" s="86"/>
      <c r="AL374" s="86"/>
      <c r="AM374" s="86"/>
      <c r="AN374" s="27"/>
      <c r="AO374" s="27"/>
      <c r="AP374" s="27"/>
    </row>
    <row r="375" spans="1:42" x14ac:dyDescent="0.2">
      <c r="A375" s="81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86"/>
      <c r="AI375" s="86"/>
      <c r="AJ375" s="86"/>
      <c r="AK375" s="86"/>
      <c r="AL375" s="86"/>
      <c r="AM375" s="86"/>
      <c r="AN375" s="27"/>
      <c r="AO375" s="27"/>
      <c r="AP375" s="27"/>
    </row>
    <row r="376" spans="1:42" x14ac:dyDescent="0.2">
      <c r="A376" s="81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86"/>
      <c r="AI376" s="86"/>
      <c r="AJ376" s="86"/>
      <c r="AK376" s="86"/>
      <c r="AL376" s="86"/>
      <c r="AM376" s="86"/>
      <c r="AN376" s="27"/>
      <c r="AO376" s="27"/>
      <c r="AP376" s="27"/>
    </row>
    <row r="377" spans="1:42" x14ac:dyDescent="0.2">
      <c r="A377" s="81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86"/>
      <c r="AI377" s="86"/>
      <c r="AJ377" s="86"/>
      <c r="AK377" s="86"/>
      <c r="AL377" s="86"/>
      <c r="AM377" s="86"/>
      <c r="AN377" s="27"/>
      <c r="AO377" s="27"/>
      <c r="AP377" s="27"/>
    </row>
    <row r="378" spans="1:42" x14ac:dyDescent="0.2">
      <c r="A378" s="81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86"/>
      <c r="Y378" s="86"/>
      <c r="Z378" s="86"/>
      <c r="AA378" s="86"/>
      <c r="AB378" s="86"/>
      <c r="AC378" s="86"/>
      <c r="AD378" s="86"/>
      <c r="AE378" s="86"/>
      <c r="AF378" s="86"/>
      <c r="AG378" s="86"/>
      <c r="AH378" s="86"/>
      <c r="AI378" s="86"/>
      <c r="AJ378" s="86"/>
      <c r="AK378" s="86"/>
      <c r="AL378" s="86"/>
      <c r="AM378" s="86"/>
      <c r="AN378" s="27"/>
      <c r="AO378" s="27"/>
      <c r="AP378" s="27"/>
    </row>
    <row r="379" spans="1:42" x14ac:dyDescent="0.2">
      <c r="A379" s="81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86"/>
      <c r="Y379" s="86"/>
      <c r="Z379" s="86"/>
      <c r="AA379" s="86"/>
      <c r="AB379" s="86"/>
      <c r="AC379" s="86"/>
      <c r="AD379" s="86"/>
      <c r="AE379" s="86"/>
      <c r="AF379" s="86"/>
      <c r="AG379" s="86"/>
      <c r="AH379" s="86"/>
      <c r="AI379" s="86"/>
      <c r="AJ379" s="86"/>
      <c r="AK379" s="86"/>
      <c r="AL379" s="86"/>
      <c r="AM379" s="86"/>
      <c r="AN379" s="27"/>
      <c r="AO379" s="27"/>
      <c r="AP379" s="27"/>
    </row>
    <row r="380" spans="1:42" x14ac:dyDescent="0.2">
      <c r="A380" s="81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86"/>
      <c r="AI380" s="86"/>
      <c r="AJ380" s="86"/>
      <c r="AK380" s="86"/>
      <c r="AL380" s="86"/>
      <c r="AM380" s="86"/>
      <c r="AN380" s="27"/>
      <c r="AO380" s="27"/>
      <c r="AP380" s="27"/>
    </row>
    <row r="381" spans="1:42" x14ac:dyDescent="0.2">
      <c r="A381" s="81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86"/>
      <c r="AI381" s="86"/>
      <c r="AJ381" s="86"/>
      <c r="AK381" s="86"/>
      <c r="AL381" s="86"/>
      <c r="AM381" s="86"/>
      <c r="AN381" s="27"/>
      <c r="AO381" s="27"/>
      <c r="AP381" s="27"/>
    </row>
    <row r="382" spans="1:42" x14ac:dyDescent="0.2">
      <c r="A382" s="81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86"/>
      <c r="AI382" s="86"/>
      <c r="AJ382" s="86"/>
      <c r="AK382" s="86"/>
      <c r="AL382" s="86"/>
      <c r="AM382" s="86"/>
      <c r="AN382" s="27"/>
      <c r="AO382" s="27"/>
      <c r="AP382" s="27"/>
    </row>
    <row r="383" spans="1:42" x14ac:dyDescent="0.2">
      <c r="A383" s="81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  <c r="AL383" s="86"/>
      <c r="AM383" s="86"/>
      <c r="AN383" s="27"/>
      <c r="AO383" s="27"/>
      <c r="AP383" s="27"/>
    </row>
    <row r="384" spans="1:42" x14ac:dyDescent="0.2">
      <c r="A384" s="81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86"/>
      <c r="AI384" s="86"/>
      <c r="AJ384" s="86"/>
      <c r="AK384" s="86"/>
      <c r="AL384" s="86"/>
      <c r="AM384" s="86"/>
      <c r="AN384" s="27"/>
      <c r="AO384" s="27"/>
      <c r="AP384" s="27"/>
    </row>
    <row r="385" spans="1:42" x14ac:dyDescent="0.2">
      <c r="A385" s="81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86"/>
      <c r="AI385" s="86"/>
      <c r="AJ385" s="86"/>
      <c r="AK385" s="86"/>
      <c r="AL385" s="86"/>
      <c r="AM385" s="86"/>
      <c r="AN385" s="27"/>
      <c r="AO385" s="27"/>
      <c r="AP385" s="27"/>
    </row>
    <row r="386" spans="1:42" x14ac:dyDescent="0.2">
      <c r="A386" s="81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86"/>
      <c r="AI386" s="86"/>
      <c r="AJ386" s="86"/>
      <c r="AK386" s="86"/>
      <c r="AL386" s="86"/>
      <c r="AM386" s="86"/>
      <c r="AN386" s="27"/>
      <c r="AO386" s="27"/>
      <c r="AP386" s="27"/>
    </row>
    <row r="387" spans="1:42" x14ac:dyDescent="0.2">
      <c r="A387" s="81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86"/>
      <c r="AI387" s="86"/>
      <c r="AJ387" s="86"/>
      <c r="AK387" s="86"/>
      <c r="AL387" s="86"/>
      <c r="AM387" s="86"/>
      <c r="AN387" s="27"/>
      <c r="AO387" s="27"/>
      <c r="AP387" s="27"/>
    </row>
    <row r="388" spans="1:42" x14ac:dyDescent="0.2">
      <c r="A388" s="81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86"/>
      <c r="AI388" s="86"/>
      <c r="AJ388" s="86"/>
      <c r="AK388" s="86"/>
      <c r="AL388" s="86"/>
      <c r="AM388" s="86"/>
      <c r="AN388" s="27"/>
      <c r="AO388" s="27"/>
      <c r="AP388" s="27"/>
    </row>
    <row r="389" spans="1:42" x14ac:dyDescent="0.2">
      <c r="A389" s="81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86"/>
      <c r="AI389" s="86"/>
      <c r="AJ389" s="86"/>
      <c r="AK389" s="86"/>
      <c r="AL389" s="86"/>
      <c r="AM389" s="86"/>
      <c r="AN389" s="27"/>
      <c r="AO389" s="27"/>
      <c r="AP389" s="27"/>
    </row>
    <row r="390" spans="1:42" x14ac:dyDescent="0.2">
      <c r="A390" s="81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86"/>
      <c r="AI390" s="86"/>
      <c r="AJ390" s="86"/>
      <c r="AK390" s="86"/>
      <c r="AL390" s="86"/>
      <c r="AM390" s="86"/>
      <c r="AN390" s="27"/>
      <c r="AO390" s="27"/>
      <c r="AP390" s="27"/>
    </row>
    <row r="391" spans="1:42" x14ac:dyDescent="0.2">
      <c r="A391" s="81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86"/>
      <c r="AI391" s="86"/>
      <c r="AJ391" s="86"/>
      <c r="AK391" s="86"/>
      <c r="AL391" s="86"/>
      <c r="AM391" s="86"/>
      <c r="AN391" s="27"/>
      <c r="AO391" s="27"/>
      <c r="AP391" s="27"/>
    </row>
    <row r="392" spans="1:42" x14ac:dyDescent="0.2">
      <c r="A392" s="81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86"/>
      <c r="AI392" s="86"/>
      <c r="AJ392" s="86"/>
      <c r="AK392" s="86"/>
      <c r="AL392" s="86"/>
      <c r="AM392" s="86"/>
      <c r="AN392" s="27"/>
      <c r="AO392" s="27"/>
      <c r="AP392" s="27"/>
    </row>
    <row r="393" spans="1:42" x14ac:dyDescent="0.2">
      <c r="A393" s="81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86"/>
      <c r="AI393" s="86"/>
      <c r="AJ393" s="86"/>
      <c r="AK393" s="86"/>
      <c r="AL393" s="86"/>
      <c r="AM393" s="86"/>
      <c r="AN393" s="27"/>
      <c r="AO393" s="27"/>
      <c r="AP393" s="27"/>
    </row>
    <row r="394" spans="1:42" x14ac:dyDescent="0.2">
      <c r="A394" s="81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86"/>
      <c r="AI394" s="86"/>
      <c r="AJ394" s="86"/>
      <c r="AK394" s="86"/>
      <c r="AL394" s="86"/>
      <c r="AM394" s="86"/>
      <c r="AN394" s="27"/>
      <c r="AO394" s="27"/>
      <c r="AP394" s="27"/>
    </row>
    <row r="395" spans="1:42" x14ac:dyDescent="0.2">
      <c r="A395" s="81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86"/>
      <c r="AI395" s="86"/>
      <c r="AJ395" s="86"/>
      <c r="AK395" s="86"/>
      <c r="AL395" s="86"/>
      <c r="AM395" s="86"/>
      <c r="AN395" s="27"/>
      <c r="AO395" s="27"/>
      <c r="AP395" s="27"/>
    </row>
    <row r="396" spans="1:42" x14ac:dyDescent="0.2">
      <c r="A396" s="81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86"/>
      <c r="AI396" s="86"/>
      <c r="AJ396" s="86"/>
      <c r="AK396" s="86"/>
      <c r="AL396" s="86"/>
      <c r="AM396" s="86"/>
      <c r="AN396" s="27"/>
      <c r="AO396" s="27"/>
      <c r="AP396" s="27"/>
    </row>
    <row r="397" spans="1:42" x14ac:dyDescent="0.2">
      <c r="A397" s="81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86"/>
      <c r="AI397" s="86"/>
      <c r="AJ397" s="86"/>
      <c r="AK397" s="86"/>
      <c r="AL397" s="86"/>
      <c r="AM397" s="86"/>
      <c r="AN397" s="27"/>
      <c r="AO397" s="27"/>
      <c r="AP397" s="27"/>
    </row>
    <row r="398" spans="1:42" x14ac:dyDescent="0.2">
      <c r="A398" s="81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86"/>
      <c r="AI398" s="86"/>
      <c r="AJ398" s="86"/>
      <c r="AK398" s="86"/>
      <c r="AL398" s="86"/>
      <c r="AM398" s="86"/>
      <c r="AN398" s="27"/>
      <c r="AO398" s="27"/>
      <c r="AP398" s="27"/>
    </row>
    <row r="399" spans="1:42" x14ac:dyDescent="0.2">
      <c r="A399" s="81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86"/>
      <c r="AI399" s="86"/>
      <c r="AJ399" s="86"/>
      <c r="AK399" s="86"/>
      <c r="AL399" s="86"/>
      <c r="AM399" s="86"/>
      <c r="AN399" s="27"/>
      <c r="AO399" s="27"/>
      <c r="AP399" s="27"/>
    </row>
    <row r="400" spans="1:42" x14ac:dyDescent="0.2">
      <c r="A400" s="81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86"/>
      <c r="AI400" s="86"/>
      <c r="AJ400" s="86"/>
      <c r="AK400" s="86"/>
      <c r="AL400" s="86"/>
      <c r="AM400" s="86"/>
      <c r="AN400" s="27"/>
      <c r="AO400" s="27"/>
      <c r="AP400" s="27"/>
    </row>
    <row r="401" spans="1:42" x14ac:dyDescent="0.2">
      <c r="A401" s="81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86"/>
      <c r="Y401" s="86"/>
      <c r="Z401" s="86"/>
      <c r="AA401" s="86"/>
      <c r="AB401" s="86"/>
      <c r="AC401" s="86"/>
      <c r="AD401" s="86"/>
      <c r="AE401" s="86"/>
      <c r="AF401" s="86"/>
      <c r="AG401" s="86"/>
      <c r="AH401" s="86"/>
      <c r="AI401" s="86"/>
      <c r="AJ401" s="86"/>
      <c r="AK401" s="86"/>
      <c r="AL401" s="86"/>
      <c r="AM401" s="86"/>
      <c r="AN401" s="27"/>
      <c r="AO401" s="27"/>
      <c r="AP401" s="27"/>
    </row>
    <row r="402" spans="1:42" x14ac:dyDescent="0.2">
      <c r="A402" s="81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86"/>
      <c r="Y402" s="86"/>
      <c r="Z402" s="86"/>
      <c r="AA402" s="86"/>
      <c r="AB402" s="86"/>
      <c r="AC402" s="86"/>
      <c r="AD402" s="86"/>
      <c r="AE402" s="86"/>
      <c r="AF402" s="86"/>
      <c r="AG402" s="86"/>
      <c r="AH402" s="86"/>
      <c r="AI402" s="86"/>
      <c r="AJ402" s="86"/>
      <c r="AK402" s="86"/>
      <c r="AL402" s="86"/>
      <c r="AM402" s="86"/>
      <c r="AN402" s="27"/>
      <c r="AO402" s="27"/>
      <c r="AP402" s="27"/>
    </row>
    <row r="403" spans="1:42" x14ac:dyDescent="0.2">
      <c r="A403" s="81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86"/>
      <c r="AI403" s="86"/>
      <c r="AJ403" s="86"/>
      <c r="AK403" s="86"/>
      <c r="AL403" s="86"/>
      <c r="AM403" s="86"/>
      <c r="AN403" s="27"/>
      <c r="AO403" s="27"/>
      <c r="AP403" s="27"/>
    </row>
    <row r="404" spans="1:42" x14ac:dyDescent="0.2">
      <c r="A404" s="81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86"/>
      <c r="Y404" s="86"/>
      <c r="Z404" s="86"/>
      <c r="AA404" s="86"/>
      <c r="AB404" s="86"/>
      <c r="AC404" s="86"/>
      <c r="AD404" s="86"/>
      <c r="AE404" s="86"/>
      <c r="AF404" s="86"/>
      <c r="AG404" s="86"/>
      <c r="AH404" s="86"/>
      <c r="AI404" s="86"/>
      <c r="AJ404" s="86"/>
      <c r="AK404" s="86"/>
      <c r="AL404" s="86"/>
      <c r="AM404" s="86"/>
      <c r="AN404" s="27"/>
      <c r="AO404" s="27"/>
      <c r="AP404" s="27"/>
    </row>
    <row r="405" spans="1:42" x14ac:dyDescent="0.2">
      <c r="A405" s="81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86"/>
      <c r="Y405" s="86"/>
      <c r="Z405" s="86"/>
      <c r="AA405" s="86"/>
      <c r="AB405" s="86"/>
      <c r="AC405" s="86"/>
      <c r="AD405" s="86"/>
      <c r="AE405" s="86"/>
      <c r="AF405" s="86"/>
      <c r="AG405" s="86"/>
      <c r="AH405" s="86"/>
      <c r="AI405" s="86"/>
      <c r="AJ405" s="86"/>
      <c r="AK405" s="86"/>
      <c r="AL405" s="86"/>
      <c r="AM405" s="86"/>
      <c r="AN405" s="27"/>
      <c r="AO405" s="27"/>
      <c r="AP405" s="27"/>
    </row>
    <row r="406" spans="1:42" x14ac:dyDescent="0.2">
      <c r="A406" s="81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86"/>
      <c r="Y406" s="86"/>
      <c r="Z406" s="86"/>
      <c r="AA406" s="86"/>
      <c r="AB406" s="86"/>
      <c r="AC406" s="86"/>
      <c r="AD406" s="86"/>
      <c r="AE406" s="86"/>
      <c r="AF406" s="86"/>
      <c r="AG406" s="86"/>
      <c r="AH406" s="86"/>
      <c r="AI406" s="86"/>
      <c r="AJ406" s="86"/>
      <c r="AK406" s="86"/>
      <c r="AL406" s="86"/>
      <c r="AM406" s="86"/>
      <c r="AN406" s="27"/>
      <c r="AO406" s="27"/>
      <c r="AP406" s="27"/>
    </row>
    <row r="407" spans="1:42" x14ac:dyDescent="0.2">
      <c r="A407" s="81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6"/>
      <c r="AI407" s="86"/>
      <c r="AJ407" s="86"/>
      <c r="AK407" s="86"/>
      <c r="AL407" s="86"/>
      <c r="AM407" s="86"/>
      <c r="AN407" s="27"/>
      <c r="AO407" s="27"/>
      <c r="AP407" s="27"/>
    </row>
    <row r="408" spans="1:42" x14ac:dyDescent="0.2">
      <c r="A408" s="81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86"/>
      <c r="AI408" s="86"/>
      <c r="AJ408" s="86"/>
      <c r="AK408" s="86"/>
      <c r="AL408" s="86"/>
      <c r="AM408" s="86"/>
      <c r="AN408" s="27"/>
      <c r="AO408" s="27"/>
      <c r="AP408" s="27"/>
    </row>
    <row r="409" spans="1:42" x14ac:dyDescent="0.2">
      <c r="A409" s="81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86"/>
      <c r="AI409" s="86"/>
      <c r="AJ409" s="86"/>
      <c r="AK409" s="86"/>
      <c r="AL409" s="86"/>
      <c r="AM409" s="86"/>
      <c r="AN409" s="27"/>
      <c r="AO409" s="27"/>
      <c r="AP409" s="27"/>
    </row>
    <row r="410" spans="1:42" x14ac:dyDescent="0.2">
      <c r="A410" s="81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86"/>
      <c r="AI410" s="86"/>
      <c r="AJ410" s="86"/>
      <c r="AK410" s="86"/>
      <c r="AL410" s="86"/>
      <c r="AM410" s="86"/>
      <c r="AN410" s="27"/>
      <c r="AO410" s="27"/>
      <c r="AP410" s="27"/>
    </row>
    <row r="411" spans="1:42" x14ac:dyDescent="0.2">
      <c r="A411" s="81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86"/>
      <c r="AI411" s="86"/>
      <c r="AJ411" s="86"/>
      <c r="AK411" s="86"/>
      <c r="AL411" s="86"/>
      <c r="AM411" s="86"/>
      <c r="AN411" s="27"/>
      <c r="AO411" s="27"/>
      <c r="AP411" s="27"/>
    </row>
    <row r="412" spans="1:42" x14ac:dyDescent="0.2">
      <c r="A412" s="81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86"/>
      <c r="Y412" s="86"/>
      <c r="Z412" s="86"/>
      <c r="AA412" s="86"/>
      <c r="AB412" s="86"/>
      <c r="AC412" s="86"/>
      <c r="AD412" s="86"/>
      <c r="AE412" s="86"/>
      <c r="AF412" s="86"/>
      <c r="AG412" s="86"/>
      <c r="AH412" s="86"/>
      <c r="AI412" s="86"/>
      <c r="AJ412" s="86"/>
      <c r="AK412" s="86"/>
      <c r="AL412" s="86"/>
      <c r="AM412" s="86"/>
      <c r="AN412" s="27"/>
      <c r="AO412" s="27"/>
      <c r="AP412" s="27"/>
    </row>
    <row r="413" spans="1:42" x14ac:dyDescent="0.2">
      <c r="A413" s="81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86"/>
      <c r="Y413" s="86"/>
      <c r="Z413" s="86"/>
      <c r="AA413" s="86"/>
      <c r="AB413" s="86"/>
      <c r="AC413" s="86"/>
      <c r="AD413" s="86"/>
      <c r="AE413" s="86"/>
      <c r="AF413" s="86"/>
      <c r="AG413" s="86"/>
      <c r="AH413" s="86"/>
      <c r="AI413" s="86"/>
      <c r="AJ413" s="86"/>
      <c r="AK413" s="86"/>
      <c r="AL413" s="86"/>
      <c r="AM413" s="86"/>
      <c r="AN413" s="27"/>
      <c r="AO413" s="27"/>
      <c r="AP413" s="27"/>
    </row>
    <row r="414" spans="1:42" x14ac:dyDescent="0.2">
      <c r="A414" s="81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86"/>
      <c r="Y414" s="86"/>
      <c r="Z414" s="86"/>
      <c r="AA414" s="86"/>
      <c r="AB414" s="86"/>
      <c r="AC414" s="86"/>
      <c r="AD414" s="86"/>
      <c r="AE414" s="86"/>
      <c r="AF414" s="86"/>
      <c r="AG414" s="86"/>
      <c r="AH414" s="86"/>
      <c r="AI414" s="86"/>
      <c r="AJ414" s="86"/>
      <c r="AK414" s="86"/>
      <c r="AL414" s="86"/>
      <c r="AM414" s="86"/>
      <c r="AN414" s="27"/>
      <c r="AO414" s="27"/>
      <c r="AP414" s="27"/>
    </row>
    <row r="415" spans="1:42" x14ac:dyDescent="0.2">
      <c r="A415" s="81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86"/>
      <c r="Y415" s="86"/>
      <c r="Z415" s="86"/>
      <c r="AA415" s="86"/>
      <c r="AB415" s="86"/>
      <c r="AC415" s="86"/>
      <c r="AD415" s="86"/>
      <c r="AE415" s="86"/>
      <c r="AF415" s="86"/>
      <c r="AG415" s="86"/>
      <c r="AH415" s="86"/>
      <c r="AI415" s="86"/>
      <c r="AJ415" s="86"/>
      <c r="AK415" s="86"/>
      <c r="AL415" s="86"/>
      <c r="AM415" s="86"/>
      <c r="AN415" s="27"/>
      <c r="AO415" s="27"/>
      <c r="AP415" s="27"/>
    </row>
    <row r="416" spans="1:42" x14ac:dyDescent="0.2">
      <c r="A416" s="81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86"/>
      <c r="Y416" s="86"/>
      <c r="Z416" s="86"/>
      <c r="AA416" s="86"/>
      <c r="AB416" s="86"/>
      <c r="AC416" s="86"/>
      <c r="AD416" s="86"/>
      <c r="AE416" s="86"/>
      <c r="AF416" s="86"/>
      <c r="AG416" s="86"/>
      <c r="AH416" s="86"/>
      <c r="AI416" s="86"/>
      <c r="AJ416" s="86"/>
      <c r="AK416" s="86"/>
      <c r="AL416" s="86"/>
      <c r="AM416" s="86"/>
      <c r="AN416" s="27"/>
      <c r="AO416" s="27"/>
      <c r="AP416" s="27"/>
    </row>
    <row r="417" spans="1:42" x14ac:dyDescent="0.2">
      <c r="A417" s="81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86"/>
      <c r="AI417" s="86"/>
      <c r="AJ417" s="86"/>
      <c r="AK417" s="86"/>
      <c r="AL417" s="86"/>
      <c r="AM417" s="86"/>
      <c r="AN417" s="27"/>
      <c r="AO417" s="27"/>
      <c r="AP417" s="27"/>
    </row>
    <row r="418" spans="1:42" x14ac:dyDescent="0.2">
      <c r="A418" s="81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86"/>
      <c r="AI418" s="86"/>
      <c r="AJ418" s="86"/>
      <c r="AK418" s="86"/>
      <c r="AL418" s="86"/>
      <c r="AM418" s="86"/>
      <c r="AN418" s="27"/>
      <c r="AO418" s="27"/>
      <c r="AP418" s="27"/>
    </row>
    <row r="419" spans="1:42" x14ac:dyDescent="0.2">
      <c r="A419" s="81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86"/>
      <c r="Y419" s="86"/>
      <c r="Z419" s="86"/>
      <c r="AA419" s="86"/>
      <c r="AB419" s="86"/>
      <c r="AC419" s="86"/>
      <c r="AD419" s="86"/>
      <c r="AE419" s="86"/>
      <c r="AF419" s="86"/>
      <c r="AG419" s="86"/>
      <c r="AH419" s="86"/>
      <c r="AI419" s="86"/>
      <c r="AJ419" s="86"/>
      <c r="AK419" s="86"/>
      <c r="AL419" s="86"/>
      <c r="AM419" s="86"/>
      <c r="AN419" s="27"/>
      <c r="AO419" s="27"/>
      <c r="AP419" s="27"/>
    </row>
    <row r="420" spans="1:42" x14ac:dyDescent="0.2">
      <c r="A420" s="81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86"/>
      <c r="Y420" s="86"/>
      <c r="Z420" s="86"/>
      <c r="AA420" s="86"/>
      <c r="AB420" s="86"/>
      <c r="AC420" s="86"/>
      <c r="AD420" s="86"/>
      <c r="AE420" s="86"/>
      <c r="AF420" s="86"/>
      <c r="AG420" s="86"/>
      <c r="AH420" s="86"/>
      <c r="AI420" s="86"/>
      <c r="AJ420" s="86"/>
      <c r="AK420" s="86"/>
      <c r="AL420" s="86"/>
      <c r="AM420" s="86"/>
      <c r="AN420" s="27"/>
      <c r="AO420" s="27"/>
      <c r="AP420" s="27"/>
    </row>
    <row r="421" spans="1:42" x14ac:dyDescent="0.2">
      <c r="A421" s="81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86"/>
      <c r="Y421" s="86"/>
      <c r="Z421" s="86"/>
      <c r="AA421" s="86"/>
      <c r="AB421" s="86"/>
      <c r="AC421" s="86"/>
      <c r="AD421" s="86"/>
      <c r="AE421" s="86"/>
      <c r="AF421" s="86"/>
      <c r="AG421" s="86"/>
      <c r="AH421" s="86"/>
      <c r="AI421" s="86"/>
      <c r="AJ421" s="86"/>
      <c r="AK421" s="86"/>
      <c r="AL421" s="86"/>
      <c r="AM421" s="86"/>
      <c r="AN421" s="27"/>
      <c r="AO421" s="27"/>
      <c r="AP421" s="27"/>
    </row>
    <row r="422" spans="1:42" x14ac:dyDescent="0.2">
      <c r="A422" s="81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86"/>
      <c r="Y422" s="86"/>
      <c r="Z422" s="86"/>
      <c r="AA422" s="86"/>
      <c r="AB422" s="86"/>
      <c r="AC422" s="86"/>
      <c r="AD422" s="86"/>
      <c r="AE422" s="86"/>
      <c r="AF422" s="86"/>
      <c r="AG422" s="86"/>
      <c r="AH422" s="86"/>
      <c r="AI422" s="86"/>
      <c r="AJ422" s="86"/>
      <c r="AK422" s="86"/>
      <c r="AL422" s="86"/>
      <c r="AM422" s="86"/>
      <c r="AN422" s="27"/>
      <c r="AO422" s="27"/>
      <c r="AP422" s="27"/>
    </row>
    <row r="423" spans="1:42" x14ac:dyDescent="0.2">
      <c r="A423" s="81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86"/>
      <c r="Y423" s="86"/>
      <c r="Z423" s="86"/>
      <c r="AA423" s="86"/>
      <c r="AB423" s="86"/>
      <c r="AC423" s="86"/>
      <c r="AD423" s="86"/>
      <c r="AE423" s="86"/>
      <c r="AF423" s="86"/>
      <c r="AG423" s="86"/>
      <c r="AH423" s="86"/>
      <c r="AI423" s="86"/>
      <c r="AJ423" s="86"/>
      <c r="AK423" s="86"/>
      <c r="AL423" s="86"/>
      <c r="AM423" s="86"/>
      <c r="AN423" s="27"/>
      <c r="AO423" s="27"/>
      <c r="AP423" s="27"/>
    </row>
    <row r="424" spans="1:42" x14ac:dyDescent="0.2">
      <c r="A424" s="81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86"/>
      <c r="Y424" s="86"/>
      <c r="Z424" s="86"/>
      <c r="AA424" s="86"/>
      <c r="AB424" s="86"/>
      <c r="AC424" s="86"/>
      <c r="AD424" s="86"/>
      <c r="AE424" s="86"/>
      <c r="AF424" s="86"/>
      <c r="AG424" s="86"/>
      <c r="AH424" s="86"/>
      <c r="AI424" s="86"/>
      <c r="AJ424" s="86"/>
      <c r="AK424" s="86"/>
      <c r="AL424" s="86"/>
      <c r="AM424" s="86"/>
      <c r="AN424" s="27"/>
      <c r="AO424" s="27"/>
      <c r="AP424" s="27"/>
    </row>
    <row r="425" spans="1:42" x14ac:dyDescent="0.2">
      <c r="A425" s="81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86"/>
      <c r="Y425" s="86"/>
      <c r="Z425" s="86"/>
      <c r="AA425" s="86"/>
      <c r="AB425" s="86"/>
      <c r="AC425" s="86"/>
      <c r="AD425" s="86"/>
      <c r="AE425" s="86"/>
      <c r="AF425" s="86"/>
      <c r="AG425" s="86"/>
      <c r="AH425" s="86"/>
      <c r="AI425" s="86"/>
      <c r="AJ425" s="86"/>
      <c r="AK425" s="86"/>
      <c r="AL425" s="86"/>
      <c r="AM425" s="86"/>
      <c r="AN425" s="27"/>
      <c r="AO425" s="27"/>
      <c r="AP425" s="27"/>
    </row>
    <row r="426" spans="1:42" x14ac:dyDescent="0.2">
      <c r="A426" s="81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86"/>
      <c r="Y426" s="86"/>
      <c r="Z426" s="86"/>
      <c r="AA426" s="86"/>
      <c r="AB426" s="86"/>
      <c r="AC426" s="86"/>
      <c r="AD426" s="86"/>
      <c r="AE426" s="86"/>
      <c r="AF426" s="86"/>
      <c r="AG426" s="86"/>
      <c r="AH426" s="86"/>
      <c r="AI426" s="86"/>
      <c r="AJ426" s="86"/>
      <c r="AK426" s="86"/>
      <c r="AL426" s="86"/>
      <c r="AM426" s="86"/>
      <c r="AN426" s="27"/>
      <c r="AO426" s="27"/>
      <c r="AP426" s="27"/>
    </row>
    <row r="427" spans="1:42" x14ac:dyDescent="0.2">
      <c r="A427" s="81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86"/>
      <c r="Y427" s="86"/>
      <c r="Z427" s="86"/>
      <c r="AA427" s="86"/>
      <c r="AB427" s="86"/>
      <c r="AC427" s="86"/>
      <c r="AD427" s="86"/>
      <c r="AE427" s="86"/>
      <c r="AF427" s="86"/>
      <c r="AG427" s="86"/>
      <c r="AH427" s="86"/>
      <c r="AI427" s="86"/>
      <c r="AJ427" s="86"/>
      <c r="AK427" s="86"/>
      <c r="AL427" s="86"/>
      <c r="AM427" s="86"/>
      <c r="AN427" s="27"/>
      <c r="AO427" s="27"/>
      <c r="AP427" s="27"/>
    </row>
    <row r="428" spans="1:42" x14ac:dyDescent="0.2">
      <c r="A428" s="81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86"/>
      <c r="Y428" s="86"/>
      <c r="Z428" s="86"/>
      <c r="AA428" s="86"/>
      <c r="AB428" s="86"/>
      <c r="AC428" s="86"/>
      <c r="AD428" s="86"/>
      <c r="AE428" s="86"/>
      <c r="AF428" s="86"/>
      <c r="AG428" s="86"/>
      <c r="AH428" s="86"/>
      <c r="AI428" s="86"/>
      <c r="AJ428" s="86"/>
      <c r="AK428" s="86"/>
      <c r="AL428" s="86"/>
      <c r="AM428" s="86"/>
      <c r="AN428" s="27"/>
      <c r="AO428" s="27"/>
      <c r="AP428" s="27"/>
    </row>
    <row r="429" spans="1:42" x14ac:dyDescent="0.2">
      <c r="A429" s="81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6"/>
      <c r="AI429" s="86"/>
      <c r="AJ429" s="86"/>
      <c r="AK429" s="86"/>
      <c r="AL429" s="86"/>
      <c r="AM429" s="86"/>
      <c r="AN429" s="27"/>
      <c r="AO429" s="27"/>
      <c r="AP429" s="27"/>
    </row>
    <row r="430" spans="1:42" x14ac:dyDescent="0.2">
      <c r="A430" s="81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86"/>
      <c r="AI430" s="86"/>
      <c r="AJ430" s="86"/>
      <c r="AK430" s="86"/>
      <c r="AL430" s="86"/>
      <c r="AM430" s="86"/>
      <c r="AN430" s="27"/>
      <c r="AO430" s="27"/>
      <c r="AP430" s="27"/>
    </row>
    <row r="431" spans="1:42" x14ac:dyDescent="0.2">
      <c r="A431" s="81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86"/>
      <c r="AI431" s="86"/>
      <c r="AJ431" s="86"/>
      <c r="AK431" s="86"/>
      <c r="AL431" s="86"/>
      <c r="AM431" s="86"/>
      <c r="AN431" s="27"/>
      <c r="AO431" s="27"/>
      <c r="AP431" s="27"/>
    </row>
    <row r="432" spans="1:42" x14ac:dyDescent="0.2">
      <c r="A432" s="81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86"/>
      <c r="AI432" s="86"/>
      <c r="AJ432" s="86"/>
      <c r="AK432" s="86"/>
      <c r="AL432" s="86"/>
      <c r="AM432" s="86"/>
      <c r="AN432" s="27"/>
      <c r="AO432" s="27"/>
      <c r="AP432" s="27"/>
    </row>
    <row r="433" spans="1:42" x14ac:dyDescent="0.2">
      <c r="A433" s="81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86"/>
      <c r="AI433" s="86"/>
      <c r="AJ433" s="86"/>
      <c r="AK433" s="86"/>
      <c r="AL433" s="86"/>
      <c r="AM433" s="86"/>
      <c r="AN433" s="27"/>
      <c r="AO433" s="27"/>
      <c r="AP433" s="27"/>
    </row>
    <row r="434" spans="1:42" x14ac:dyDescent="0.2">
      <c r="A434" s="81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86"/>
      <c r="Y434" s="86"/>
      <c r="Z434" s="86"/>
      <c r="AA434" s="86"/>
      <c r="AB434" s="86"/>
      <c r="AC434" s="86"/>
      <c r="AD434" s="86"/>
      <c r="AE434" s="86"/>
      <c r="AF434" s="86"/>
      <c r="AG434" s="86"/>
      <c r="AH434" s="86"/>
      <c r="AI434" s="86"/>
      <c r="AJ434" s="86"/>
      <c r="AK434" s="86"/>
      <c r="AL434" s="86"/>
      <c r="AM434" s="86"/>
      <c r="AN434" s="27"/>
      <c r="AO434" s="27"/>
      <c r="AP434" s="27"/>
    </row>
    <row r="435" spans="1:42" x14ac:dyDescent="0.2">
      <c r="A435" s="81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86"/>
      <c r="AJ435" s="86"/>
      <c r="AK435" s="86"/>
      <c r="AL435" s="86"/>
      <c r="AM435" s="86"/>
      <c r="AN435" s="27"/>
      <c r="AO435" s="27"/>
      <c r="AP435" s="27"/>
    </row>
    <row r="436" spans="1:42" x14ac:dyDescent="0.2">
      <c r="A436" s="81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86"/>
      <c r="AJ436" s="86"/>
      <c r="AK436" s="86"/>
      <c r="AL436" s="86"/>
      <c r="AM436" s="86"/>
      <c r="AN436" s="27"/>
      <c r="AO436" s="27"/>
      <c r="AP436" s="27"/>
    </row>
    <row r="437" spans="1:42" x14ac:dyDescent="0.2">
      <c r="A437" s="81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6"/>
      <c r="AI437" s="86"/>
      <c r="AJ437" s="86"/>
      <c r="AK437" s="86"/>
      <c r="AL437" s="86"/>
      <c r="AM437" s="86"/>
      <c r="AN437" s="27"/>
      <c r="AO437" s="27"/>
      <c r="AP437" s="27"/>
    </row>
    <row r="438" spans="1:42" x14ac:dyDescent="0.2">
      <c r="A438" s="81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6"/>
      <c r="AI438" s="86"/>
      <c r="AJ438" s="86"/>
      <c r="AK438" s="86"/>
      <c r="AL438" s="86"/>
      <c r="AM438" s="86"/>
      <c r="AN438" s="27"/>
      <c r="AO438" s="27"/>
      <c r="AP438" s="27"/>
    </row>
    <row r="439" spans="1:42" x14ac:dyDescent="0.2">
      <c r="A439" s="81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86"/>
      <c r="AI439" s="86"/>
      <c r="AJ439" s="86"/>
      <c r="AK439" s="86"/>
      <c r="AL439" s="86"/>
      <c r="AM439" s="86"/>
      <c r="AN439" s="27"/>
      <c r="AO439" s="27"/>
      <c r="AP439" s="27"/>
    </row>
    <row r="440" spans="1:42" x14ac:dyDescent="0.2">
      <c r="A440" s="81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86"/>
      <c r="AI440" s="86"/>
      <c r="AJ440" s="86"/>
      <c r="AK440" s="86"/>
      <c r="AL440" s="86"/>
      <c r="AM440" s="86"/>
      <c r="AN440" s="27"/>
      <c r="AO440" s="27"/>
      <c r="AP440" s="27"/>
    </row>
    <row r="441" spans="1:42" x14ac:dyDescent="0.2">
      <c r="A441" s="81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86"/>
      <c r="Y441" s="86"/>
      <c r="Z441" s="86"/>
      <c r="AA441" s="86"/>
      <c r="AB441" s="86"/>
      <c r="AC441" s="86"/>
      <c r="AD441" s="86"/>
      <c r="AE441" s="86"/>
      <c r="AF441" s="86"/>
      <c r="AG441" s="86"/>
      <c r="AH441" s="86"/>
      <c r="AI441" s="86"/>
      <c r="AJ441" s="86"/>
      <c r="AK441" s="86"/>
      <c r="AL441" s="86"/>
      <c r="AM441" s="86"/>
      <c r="AN441" s="27"/>
      <c r="AO441" s="27"/>
      <c r="AP441" s="27"/>
    </row>
    <row r="442" spans="1:42" x14ac:dyDescent="0.2">
      <c r="A442" s="81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86"/>
      <c r="AI442" s="86"/>
      <c r="AJ442" s="86"/>
      <c r="AK442" s="86"/>
      <c r="AL442" s="86"/>
      <c r="AM442" s="86"/>
      <c r="AN442" s="27"/>
      <c r="AO442" s="27"/>
      <c r="AP442" s="27"/>
    </row>
    <row r="443" spans="1:42" x14ac:dyDescent="0.2">
      <c r="A443" s="81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86"/>
      <c r="AI443" s="86"/>
      <c r="AJ443" s="86"/>
      <c r="AK443" s="86"/>
      <c r="AL443" s="86"/>
      <c r="AM443" s="86"/>
      <c r="AN443" s="27"/>
      <c r="AO443" s="27"/>
      <c r="AP443" s="27"/>
    </row>
    <row r="444" spans="1:42" x14ac:dyDescent="0.2">
      <c r="A444" s="81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86"/>
      <c r="AI444" s="86"/>
      <c r="AJ444" s="86"/>
      <c r="AK444" s="86"/>
      <c r="AL444" s="86"/>
      <c r="AM444" s="86"/>
      <c r="AN444" s="27"/>
      <c r="AO444" s="27"/>
      <c r="AP444" s="27"/>
    </row>
    <row r="445" spans="1:42" x14ac:dyDescent="0.2">
      <c r="A445" s="81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86"/>
      <c r="AL445" s="86"/>
      <c r="AM445" s="86"/>
      <c r="AN445" s="27"/>
      <c r="AO445" s="27"/>
      <c r="AP445" s="27"/>
    </row>
    <row r="446" spans="1:42" x14ac:dyDescent="0.2">
      <c r="A446" s="81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6"/>
      <c r="AI446" s="86"/>
      <c r="AJ446" s="86"/>
      <c r="AK446" s="86"/>
      <c r="AL446" s="86"/>
      <c r="AM446" s="86"/>
      <c r="AN446" s="27"/>
      <c r="AO446" s="27"/>
      <c r="AP446" s="27"/>
    </row>
    <row r="447" spans="1:42" x14ac:dyDescent="0.2">
      <c r="A447" s="81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86"/>
      <c r="AI447" s="86"/>
      <c r="AJ447" s="86"/>
      <c r="AK447" s="86"/>
      <c r="AL447" s="86"/>
      <c r="AM447" s="86"/>
      <c r="AN447" s="27"/>
      <c r="AO447" s="27"/>
      <c r="AP447" s="27"/>
    </row>
    <row r="448" spans="1:42" x14ac:dyDescent="0.2">
      <c r="A448" s="81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86"/>
      <c r="Y448" s="86"/>
      <c r="Z448" s="86"/>
      <c r="AA448" s="86"/>
      <c r="AB448" s="86"/>
      <c r="AC448" s="86"/>
      <c r="AD448" s="86"/>
      <c r="AE448" s="86"/>
      <c r="AF448" s="86"/>
      <c r="AG448" s="86"/>
      <c r="AH448" s="86"/>
      <c r="AI448" s="86"/>
      <c r="AJ448" s="86"/>
      <c r="AK448" s="86"/>
      <c r="AL448" s="86"/>
      <c r="AM448" s="86"/>
      <c r="AN448" s="27"/>
      <c r="AO448" s="27"/>
      <c r="AP448" s="27"/>
    </row>
    <row r="449" spans="1:42" x14ac:dyDescent="0.2">
      <c r="A449" s="81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86"/>
      <c r="AI449" s="86"/>
      <c r="AJ449" s="86"/>
      <c r="AK449" s="86"/>
      <c r="AL449" s="86"/>
      <c r="AM449" s="86"/>
      <c r="AN449" s="27"/>
      <c r="AO449" s="27"/>
      <c r="AP449" s="27"/>
    </row>
    <row r="450" spans="1:42" x14ac:dyDescent="0.2">
      <c r="A450" s="81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86"/>
      <c r="Y450" s="86"/>
      <c r="Z450" s="86"/>
      <c r="AA450" s="86"/>
      <c r="AB450" s="86"/>
      <c r="AC450" s="86"/>
      <c r="AD450" s="86"/>
      <c r="AE450" s="86"/>
      <c r="AF450" s="86"/>
      <c r="AG450" s="86"/>
      <c r="AH450" s="86"/>
      <c r="AI450" s="86"/>
      <c r="AJ450" s="86"/>
      <c r="AK450" s="86"/>
      <c r="AL450" s="86"/>
      <c r="AM450" s="86"/>
      <c r="AN450" s="27"/>
      <c r="AO450" s="27"/>
      <c r="AP450" s="27"/>
    </row>
    <row r="451" spans="1:42" x14ac:dyDescent="0.2">
      <c r="A451" s="81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86"/>
      <c r="Y451" s="86"/>
      <c r="Z451" s="86"/>
      <c r="AA451" s="86"/>
      <c r="AB451" s="86"/>
      <c r="AC451" s="86"/>
      <c r="AD451" s="86"/>
      <c r="AE451" s="86"/>
      <c r="AF451" s="86"/>
      <c r="AG451" s="86"/>
      <c r="AH451" s="86"/>
      <c r="AI451" s="86"/>
      <c r="AJ451" s="86"/>
      <c r="AK451" s="86"/>
      <c r="AL451" s="86"/>
      <c r="AM451" s="86"/>
      <c r="AN451" s="27"/>
      <c r="AO451" s="27"/>
      <c r="AP451" s="27"/>
    </row>
    <row r="452" spans="1:42" x14ac:dyDescent="0.2">
      <c r="A452" s="81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86"/>
      <c r="Y452" s="86"/>
      <c r="Z452" s="86"/>
      <c r="AA452" s="86"/>
      <c r="AB452" s="86"/>
      <c r="AC452" s="86"/>
      <c r="AD452" s="86"/>
      <c r="AE452" s="86"/>
      <c r="AF452" s="86"/>
      <c r="AG452" s="86"/>
      <c r="AH452" s="86"/>
      <c r="AI452" s="86"/>
      <c r="AJ452" s="86"/>
      <c r="AK452" s="86"/>
      <c r="AL452" s="86"/>
      <c r="AM452" s="86"/>
      <c r="AN452" s="27"/>
      <c r="AO452" s="27"/>
      <c r="AP452" s="27"/>
    </row>
    <row r="453" spans="1:42" x14ac:dyDescent="0.2">
      <c r="A453" s="81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86"/>
      <c r="Y453" s="86"/>
      <c r="Z453" s="86"/>
      <c r="AA453" s="86"/>
      <c r="AB453" s="86"/>
      <c r="AC453" s="86"/>
      <c r="AD453" s="86"/>
      <c r="AE453" s="86"/>
      <c r="AF453" s="86"/>
      <c r="AG453" s="86"/>
      <c r="AH453" s="86"/>
      <c r="AI453" s="86"/>
      <c r="AJ453" s="86"/>
      <c r="AK453" s="86"/>
      <c r="AL453" s="86"/>
      <c r="AM453" s="86"/>
      <c r="AN453" s="27"/>
      <c r="AO453" s="27"/>
      <c r="AP453" s="27"/>
    </row>
    <row r="454" spans="1:42" x14ac:dyDescent="0.2">
      <c r="A454" s="81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86"/>
      <c r="AI454" s="86"/>
      <c r="AJ454" s="86"/>
      <c r="AK454" s="86"/>
      <c r="AL454" s="86"/>
      <c r="AM454" s="86"/>
      <c r="AN454" s="27"/>
      <c r="AO454" s="27"/>
      <c r="AP454" s="27"/>
    </row>
    <row r="455" spans="1:42" x14ac:dyDescent="0.2">
      <c r="A455" s="81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86"/>
      <c r="AI455" s="86"/>
      <c r="AJ455" s="86"/>
      <c r="AK455" s="86"/>
      <c r="AL455" s="86"/>
      <c r="AM455" s="86"/>
      <c r="AN455" s="27"/>
      <c r="AO455" s="27"/>
      <c r="AP455" s="27"/>
    </row>
    <row r="456" spans="1:42" x14ac:dyDescent="0.2">
      <c r="A456" s="81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86"/>
      <c r="AI456" s="86"/>
      <c r="AJ456" s="86"/>
      <c r="AK456" s="86"/>
      <c r="AL456" s="86"/>
      <c r="AM456" s="86"/>
      <c r="AN456" s="27"/>
      <c r="AO456" s="27"/>
      <c r="AP456" s="27"/>
    </row>
    <row r="457" spans="1:42" x14ac:dyDescent="0.2">
      <c r="A457" s="81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  <c r="AL457" s="86"/>
      <c r="AM457" s="86"/>
      <c r="AN457" s="27"/>
      <c r="AO457" s="27"/>
      <c r="AP457" s="27"/>
    </row>
    <row r="458" spans="1:42" x14ac:dyDescent="0.2">
      <c r="A458" s="81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86"/>
      <c r="AI458" s="86"/>
      <c r="AJ458" s="86"/>
      <c r="AK458" s="86"/>
      <c r="AL458" s="86"/>
      <c r="AM458" s="86"/>
      <c r="AN458" s="27"/>
      <c r="AO458" s="27"/>
      <c r="AP458" s="27"/>
    </row>
    <row r="459" spans="1:42" x14ac:dyDescent="0.2">
      <c r="A459" s="81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86"/>
      <c r="Y459" s="86"/>
      <c r="Z459" s="86"/>
      <c r="AA459" s="86"/>
      <c r="AB459" s="86"/>
      <c r="AC459" s="86"/>
      <c r="AD459" s="86"/>
      <c r="AE459" s="86"/>
      <c r="AF459" s="86"/>
      <c r="AG459" s="86"/>
      <c r="AH459" s="86"/>
      <c r="AI459" s="86"/>
      <c r="AJ459" s="86"/>
      <c r="AK459" s="86"/>
      <c r="AL459" s="86"/>
      <c r="AM459" s="86"/>
      <c r="AN459" s="27"/>
      <c r="AO459" s="27"/>
      <c r="AP459" s="27"/>
    </row>
    <row r="460" spans="1:42" x14ac:dyDescent="0.2">
      <c r="A460" s="81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86"/>
      <c r="Y460" s="86"/>
      <c r="Z460" s="86"/>
      <c r="AA460" s="86"/>
      <c r="AB460" s="86"/>
      <c r="AC460" s="86"/>
      <c r="AD460" s="86"/>
      <c r="AE460" s="86"/>
      <c r="AF460" s="86"/>
      <c r="AG460" s="86"/>
      <c r="AH460" s="86"/>
      <c r="AI460" s="86"/>
      <c r="AJ460" s="86"/>
      <c r="AK460" s="86"/>
      <c r="AL460" s="86"/>
      <c r="AM460" s="86"/>
      <c r="AN460" s="27"/>
      <c r="AO460" s="27"/>
      <c r="AP460" s="27"/>
    </row>
    <row r="461" spans="1:42" x14ac:dyDescent="0.2">
      <c r="A461" s="81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86"/>
      <c r="AI461" s="86"/>
      <c r="AJ461" s="86"/>
      <c r="AK461" s="86"/>
      <c r="AL461" s="86"/>
      <c r="AM461" s="86"/>
      <c r="AN461" s="27"/>
      <c r="AO461" s="27"/>
      <c r="AP461" s="27"/>
    </row>
    <row r="462" spans="1:42" x14ac:dyDescent="0.2">
      <c r="A462" s="81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86"/>
      <c r="Y462" s="86"/>
      <c r="Z462" s="86"/>
      <c r="AA462" s="86"/>
      <c r="AB462" s="86"/>
      <c r="AC462" s="86"/>
      <c r="AD462" s="86"/>
      <c r="AE462" s="86"/>
      <c r="AF462" s="86"/>
      <c r="AG462" s="86"/>
      <c r="AH462" s="86"/>
      <c r="AI462" s="86"/>
      <c r="AJ462" s="86"/>
      <c r="AK462" s="86"/>
      <c r="AL462" s="86"/>
      <c r="AM462" s="86"/>
      <c r="AN462" s="27"/>
      <c r="AO462" s="27"/>
      <c r="AP462" s="27"/>
    </row>
    <row r="463" spans="1:42" x14ac:dyDescent="0.2">
      <c r="A463" s="81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86"/>
      <c r="Y463" s="86"/>
      <c r="Z463" s="86"/>
      <c r="AA463" s="86"/>
      <c r="AB463" s="86"/>
      <c r="AC463" s="86"/>
      <c r="AD463" s="86"/>
      <c r="AE463" s="86"/>
      <c r="AF463" s="86"/>
      <c r="AG463" s="86"/>
      <c r="AH463" s="86"/>
      <c r="AI463" s="86"/>
      <c r="AJ463" s="86"/>
      <c r="AK463" s="86"/>
      <c r="AL463" s="86"/>
      <c r="AM463" s="86"/>
      <c r="AN463" s="27"/>
      <c r="AO463" s="27"/>
      <c r="AP463" s="27"/>
    </row>
    <row r="464" spans="1:42" x14ac:dyDescent="0.2">
      <c r="A464" s="81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86"/>
      <c r="Y464" s="86"/>
      <c r="Z464" s="86"/>
      <c r="AA464" s="86"/>
      <c r="AB464" s="86"/>
      <c r="AC464" s="86"/>
      <c r="AD464" s="86"/>
      <c r="AE464" s="86"/>
      <c r="AF464" s="86"/>
      <c r="AG464" s="86"/>
      <c r="AH464" s="86"/>
      <c r="AI464" s="86"/>
      <c r="AJ464" s="86"/>
      <c r="AK464" s="86"/>
      <c r="AL464" s="86"/>
      <c r="AM464" s="86"/>
      <c r="AN464" s="27"/>
      <c r="AO464" s="27"/>
      <c r="AP464" s="27"/>
    </row>
    <row r="465" spans="1:42" x14ac:dyDescent="0.2">
      <c r="A465" s="81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86"/>
      <c r="Y465" s="86"/>
      <c r="Z465" s="86"/>
      <c r="AA465" s="86"/>
      <c r="AB465" s="86"/>
      <c r="AC465" s="86"/>
      <c r="AD465" s="86"/>
      <c r="AE465" s="86"/>
      <c r="AF465" s="86"/>
      <c r="AG465" s="86"/>
      <c r="AH465" s="86"/>
      <c r="AI465" s="86"/>
      <c r="AJ465" s="86"/>
      <c r="AK465" s="86"/>
      <c r="AL465" s="86"/>
      <c r="AM465" s="86"/>
      <c r="AN465" s="27"/>
      <c r="AO465" s="27"/>
      <c r="AP465" s="27"/>
    </row>
    <row r="466" spans="1:42" x14ac:dyDescent="0.2">
      <c r="A466" s="81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6"/>
      <c r="AI466" s="86"/>
      <c r="AJ466" s="86"/>
      <c r="AK466" s="86"/>
      <c r="AL466" s="86"/>
      <c r="AM466" s="86"/>
      <c r="AN466" s="27"/>
      <c r="AO466" s="27"/>
      <c r="AP466" s="27"/>
    </row>
    <row r="467" spans="1:42" x14ac:dyDescent="0.2">
      <c r="A467" s="81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86"/>
      <c r="Y467" s="86"/>
      <c r="Z467" s="86"/>
      <c r="AA467" s="86"/>
      <c r="AB467" s="86"/>
      <c r="AC467" s="86"/>
      <c r="AD467" s="86"/>
      <c r="AE467" s="86"/>
      <c r="AF467" s="86"/>
      <c r="AG467" s="86"/>
      <c r="AH467" s="86"/>
      <c r="AI467" s="86"/>
      <c r="AJ467" s="86"/>
      <c r="AK467" s="86"/>
      <c r="AL467" s="86"/>
      <c r="AM467" s="86"/>
      <c r="AN467" s="27"/>
      <c r="AO467" s="27"/>
      <c r="AP467" s="27"/>
    </row>
    <row r="468" spans="1:42" x14ac:dyDescent="0.2">
      <c r="A468" s="81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86"/>
      <c r="AI468" s="86"/>
      <c r="AJ468" s="86"/>
      <c r="AK468" s="86"/>
      <c r="AL468" s="86"/>
      <c r="AM468" s="86"/>
      <c r="AN468" s="27"/>
      <c r="AO468" s="27"/>
      <c r="AP468" s="27"/>
    </row>
    <row r="469" spans="1:42" x14ac:dyDescent="0.2">
      <c r="A469" s="81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86"/>
      <c r="Y469" s="86"/>
      <c r="Z469" s="86"/>
      <c r="AA469" s="86"/>
      <c r="AB469" s="86"/>
      <c r="AC469" s="86"/>
      <c r="AD469" s="86"/>
      <c r="AE469" s="86"/>
      <c r="AF469" s="86"/>
      <c r="AG469" s="86"/>
      <c r="AH469" s="86"/>
      <c r="AI469" s="86"/>
      <c r="AJ469" s="86"/>
      <c r="AK469" s="86"/>
      <c r="AL469" s="86"/>
      <c r="AM469" s="86"/>
      <c r="AN469" s="27"/>
      <c r="AO469" s="27"/>
      <c r="AP469" s="27"/>
    </row>
    <row r="470" spans="1:42" x14ac:dyDescent="0.2">
      <c r="A470" s="81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86"/>
      <c r="Y470" s="86"/>
      <c r="Z470" s="86"/>
      <c r="AA470" s="86"/>
      <c r="AB470" s="86"/>
      <c r="AC470" s="86"/>
      <c r="AD470" s="86"/>
      <c r="AE470" s="86"/>
      <c r="AF470" s="86"/>
      <c r="AG470" s="86"/>
      <c r="AH470" s="86"/>
      <c r="AI470" s="86"/>
      <c r="AJ470" s="86"/>
      <c r="AK470" s="86"/>
      <c r="AL470" s="86"/>
      <c r="AM470" s="86"/>
      <c r="AN470" s="27"/>
      <c r="AO470" s="27"/>
      <c r="AP470" s="27"/>
    </row>
    <row r="471" spans="1:42" x14ac:dyDescent="0.2">
      <c r="A471" s="81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86"/>
      <c r="Y471" s="86"/>
      <c r="Z471" s="86"/>
      <c r="AA471" s="86"/>
      <c r="AB471" s="86"/>
      <c r="AC471" s="86"/>
      <c r="AD471" s="86"/>
      <c r="AE471" s="86"/>
      <c r="AF471" s="86"/>
      <c r="AG471" s="86"/>
      <c r="AH471" s="86"/>
      <c r="AI471" s="86"/>
      <c r="AJ471" s="86"/>
      <c r="AK471" s="86"/>
      <c r="AL471" s="86"/>
      <c r="AM471" s="86"/>
      <c r="AN471" s="27"/>
      <c r="AO471" s="27"/>
      <c r="AP471" s="27"/>
    </row>
    <row r="472" spans="1:42" x14ac:dyDescent="0.2">
      <c r="A472" s="81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86"/>
      <c r="Y472" s="86"/>
      <c r="Z472" s="86"/>
      <c r="AA472" s="86"/>
      <c r="AB472" s="86"/>
      <c r="AC472" s="86"/>
      <c r="AD472" s="86"/>
      <c r="AE472" s="86"/>
      <c r="AF472" s="86"/>
      <c r="AG472" s="86"/>
      <c r="AH472" s="86"/>
      <c r="AI472" s="86"/>
      <c r="AJ472" s="86"/>
      <c r="AK472" s="86"/>
      <c r="AL472" s="86"/>
      <c r="AM472" s="86"/>
      <c r="AN472" s="27"/>
      <c r="AO472" s="27"/>
      <c r="AP472" s="27"/>
    </row>
    <row r="473" spans="1:42" x14ac:dyDescent="0.2">
      <c r="A473" s="81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86"/>
      <c r="Y473" s="86"/>
      <c r="Z473" s="86"/>
      <c r="AA473" s="86"/>
      <c r="AB473" s="86"/>
      <c r="AC473" s="86"/>
      <c r="AD473" s="86"/>
      <c r="AE473" s="86"/>
      <c r="AF473" s="86"/>
      <c r="AG473" s="86"/>
      <c r="AH473" s="86"/>
      <c r="AI473" s="86"/>
      <c r="AJ473" s="86"/>
      <c r="AK473" s="86"/>
      <c r="AL473" s="86"/>
      <c r="AM473" s="86"/>
      <c r="AN473" s="27"/>
      <c r="AO473" s="27"/>
      <c r="AP473" s="27"/>
    </row>
    <row r="474" spans="1:42" x14ac:dyDescent="0.2">
      <c r="A474" s="81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86"/>
      <c r="Y474" s="86"/>
      <c r="Z474" s="86"/>
      <c r="AA474" s="86"/>
      <c r="AB474" s="86"/>
      <c r="AC474" s="86"/>
      <c r="AD474" s="86"/>
      <c r="AE474" s="86"/>
      <c r="AF474" s="86"/>
      <c r="AG474" s="86"/>
      <c r="AH474" s="86"/>
      <c r="AI474" s="86"/>
      <c r="AJ474" s="86"/>
      <c r="AK474" s="86"/>
      <c r="AL474" s="86"/>
      <c r="AM474" s="86"/>
      <c r="AN474" s="27"/>
      <c r="AO474" s="27"/>
      <c r="AP474" s="27"/>
    </row>
    <row r="475" spans="1:42" x14ac:dyDescent="0.2">
      <c r="A475" s="81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86"/>
      <c r="Y475" s="86"/>
      <c r="Z475" s="86"/>
      <c r="AA475" s="86"/>
      <c r="AB475" s="86"/>
      <c r="AC475" s="86"/>
      <c r="AD475" s="86"/>
      <c r="AE475" s="86"/>
      <c r="AF475" s="86"/>
      <c r="AG475" s="86"/>
      <c r="AH475" s="86"/>
      <c r="AI475" s="86"/>
      <c r="AJ475" s="86"/>
      <c r="AK475" s="86"/>
      <c r="AL475" s="86"/>
      <c r="AM475" s="86"/>
      <c r="AN475" s="27"/>
      <c r="AO475" s="27"/>
      <c r="AP475" s="27"/>
    </row>
    <row r="476" spans="1:42" x14ac:dyDescent="0.2">
      <c r="A476" s="81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86"/>
      <c r="Y476" s="86"/>
      <c r="Z476" s="86"/>
      <c r="AA476" s="86"/>
      <c r="AB476" s="86"/>
      <c r="AC476" s="86"/>
      <c r="AD476" s="86"/>
      <c r="AE476" s="86"/>
      <c r="AF476" s="86"/>
      <c r="AG476" s="86"/>
      <c r="AH476" s="86"/>
      <c r="AI476" s="86"/>
      <c r="AJ476" s="86"/>
      <c r="AK476" s="86"/>
      <c r="AL476" s="86"/>
      <c r="AM476" s="86"/>
      <c r="AN476" s="27"/>
      <c r="AO476" s="27"/>
      <c r="AP476" s="27"/>
    </row>
    <row r="477" spans="1:42" x14ac:dyDescent="0.2">
      <c r="A477" s="81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86"/>
      <c r="Y477" s="86"/>
      <c r="Z477" s="86"/>
      <c r="AA477" s="86"/>
      <c r="AB477" s="86"/>
      <c r="AC477" s="86"/>
      <c r="AD477" s="86"/>
      <c r="AE477" s="86"/>
      <c r="AF477" s="86"/>
      <c r="AG477" s="86"/>
      <c r="AH477" s="86"/>
      <c r="AI477" s="86"/>
      <c r="AJ477" s="86"/>
      <c r="AK477" s="86"/>
      <c r="AL477" s="86"/>
      <c r="AM477" s="86"/>
      <c r="AN477" s="27"/>
      <c r="AO477" s="27"/>
      <c r="AP477" s="27"/>
    </row>
    <row r="478" spans="1:42" x14ac:dyDescent="0.2">
      <c r="A478" s="81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86"/>
      <c r="Y478" s="86"/>
      <c r="Z478" s="86"/>
      <c r="AA478" s="86"/>
      <c r="AB478" s="86"/>
      <c r="AC478" s="86"/>
      <c r="AD478" s="86"/>
      <c r="AE478" s="86"/>
      <c r="AF478" s="86"/>
      <c r="AG478" s="86"/>
      <c r="AH478" s="86"/>
      <c r="AI478" s="86"/>
      <c r="AJ478" s="86"/>
      <c r="AK478" s="86"/>
      <c r="AL478" s="86"/>
      <c r="AM478" s="86"/>
      <c r="AN478" s="27"/>
      <c r="AO478" s="27"/>
      <c r="AP478" s="27"/>
    </row>
    <row r="479" spans="1:42" x14ac:dyDescent="0.2">
      <c r="A479" s="81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86"/>
      <c r="Y479" s="86"/>
      <c r="Z479" s="86"/>
      <c r="AA479" s="86"/>
      <c r="AB479" s="86"/>
      <c r="AC479" s="86"/>
      <c r="AD479" s="86"/>
      <c r="AE479" s="86"/>
      <c r="AF479" s="86"/>
      <c r="AG479" s="86"/>
      <c r="AH479" s="86"/>
      <c r="AI479" s="86"/>
      <c r="AJ479" s="86"/>
      <c r="AK479" s="86"/>
      <c r="AL479" s="86"/>
      <c r="AM479" s="86"/>
      <c r="AN479" s="27"/>
      <c r="AO479" s="27"/>
      <c r="AP479" s="27"/>
    </row>
    <row r="480" spans="1:42" x14ac:dyDescent="0.2">
      <c r="A480" s="81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86"/>
      <c r="Y480" s="86"/>
      <c r="Z480" s="86"/>
      <c r="AA480" s="86"/>
      <c r="AB480" s="86"/>
      <c r="AC480" s="86"/>
      <c r="AD480" s="86"/>
      <c r="AE480" s="86"/>
      <c r="AF480" s="86"/>
      <c r="AG480" s="86"/>
      <c r="AH480" s="86"/>
      <c r="AI480" s="86"/>
      <c r="AJ480" s="86"/>
      <c r="AK480" s="86"/>
      <c r="AL480" s="86"/>
      <c r="AM480" s="86"/>
      <c r="AN480" s="27"/>
      <c r="AO480" s="27"/>
      <c r="AP480" s="27"/>
    </row>
    <row r="481" spans="1:42" x14ac:dyDescent="0.2">
      <c r="A481" s="81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86"/>
      <c r="Y481" s="86"/>
      <c r="Z481" s="86"/>
      <c r="AA481" s="86"/>
      <c r="AB481" s="86"/>
      <c r="AC481" s="86"/>
      <c r="AD481" s="86"/>
      <c r="AE481" s="86"/>
      <c r="AF481" s="86"/>
      <c r="AG481" s="86"/>
      <c r="AH481" s="86"/>
      <c r="AI481" s="86"/>
      <c r="AJ481" s="86"/>
      <c r="AK481" s="86"/>
      <c r="AL481" s="86"/>
      <c r="AM481" s="86"/>
      <c r="AN481" s="27"/>
      <c r="AO481" s="27"/>
      <c r="AP481" s="27"/>
    </row>
    <row r="482" spans="1:42" x14ac:dyDescent="0.2">
      <c r="A482" s="81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6"/>
      <c r="AI482" s="86"/>
      <c r="AJ482" s="86"/>
      <c r="AK482" s="86"/>
      <c r="AL482" s="86"/>
      <c r="AM482" s="86"/>
      <c r="AN482" s="27"/>
      <c r="AO482" s="27"/>
      <c r="AP482" s="27"/>
    </row>
    <row r="483" spans="1:42" x14ac:dyDescent="0.2">
      <c r="A483" s="81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86"/>
      <c r="AI483" s="86"/>
      <c r="AJ483" s="86"/>
      <c r="AK483" s="86"/>
      <c r="AL483" s="86"/>
      <c r="AM483" s="86"/>
      <c r="AN483" s="27"/>
      <c r="AO483" s="27"/>
      <c r="AP483" s="27"/>
    </row>
    <row r="484" spans="1:42" x14ac:dyDescent="0.2">
      <c r="A484" s="81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6"/>
      <c r="AI484" s="86"/>
      <c r="AJ484" s="86"/>
      <c r="AK484" s="86"/>
      <c r="AL484" s="86"/>
      <c r="AM484" s="86"/>
      <c r="AN484" s="27"/>
      <c r="AO484" s="27"/>
      <c r="AP484" s="27"/>
    </row>
    <row r="485" spans="1:42" x14ac:dyDescent="0.2">
      <c r="A485" s="81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86"/>
      <c r="AI485" s="86"/>
      <c r="AJ485" s="86"/>
      <c r="AK485" s="86"/>
      <c r="AL485" s="86"/>
      <c r="AM485" s="86"/>
      <c r="AN485" s="27"/>
      <c r="AO485" s="27"/>
      <c r="AP485" s="27"/>
    </row>
    <row r="486" spans="1:42" x14ac:dyDescent="0.2">
      <c r="A486" s="81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6"/>
      <c r="AI486" s="86"/>
      <c r="AJ486" s="86"/>
      <c r="AK486" s="86"/>
      <c r="AL486" s="86"/>
      <c r="AM486" s="86"/>
      <c r="AN486" s="27"/>
      <c r="AO486" s="27"/>
      <c r="AP486" s="27"/>
    </row>
    <row r="487" spans="1:42" x14ac:dyDescent="0.2">
      <c r="A487" s="81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86"/>
      <c r="Y487" s="86"/>
      <c r="Z487" s="86"/>
      <c r="AA487" s="86"/>
      <c r="AB487" s="86"/>
      <c r="AC487" s="86"/>
      <c r="AD487" s="86"/>
      <c r="AE487" s="86"/>
      <c r="AF487" s="86"/>
      <c r="AG487" s="86"/>
      <c r="AH487" s="86"/>
      <c r="AI487" s="86"/>
      <c r="AJ487" s="86"/>
      <c r="AK487" s="86"/>
      <c r="AL487" s="86"/>
      <c r="AM487" s="86"/>
      <c r="AN487" s="27"/>
      <c r="AO487" s="27"/>
      <c r="AP487" s="27"/>
    </row>
    <row r="488" spans="1:42" x14ac:dyDescent="0.2">
      <c r="A488" s="81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86"/>
      <c r="AI488" s="86"/>
      <c r="AJ488" s="86"/>
      <c r="AK488" s="86"/>
      <c r="AL488" s="86"/>
      <c r="AM488" s="86"/>
      <c r="AN488" s="27"/>
      <c r="AO488" s="27"/>
      <c r="AP488" s="27"/>
    </row>
    <row r="489" spans="1:42" x14ac:dyDescent="0.2">
      <c r="A489" s="81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86"/>
      <c r="Y489" s="86"/>
      <c r="Z489" s="86"/>
      <c r="AA489" s="86"/>
      <c r="AB489" s="86"/>
      <c r="AC489" s="86"/>
      <c r="AD489" s="86"/>
      <c r="AE489" s="86"/>
      <c r="AF489" s="86"/>
      <c r="AG489" s="86"/>
      <c r="AH489" s="86"/>
      <c r="AI489" s="86"/>
      <c r="AJ489" s="86"/>
      <c r="AK489" s="86"/>
      <c r="AL489" s="86"/>
      <c r="AM489" s="86"/>
      <c r="AN489" s="27"/>
      <c r="AO489" s="27"/>
      <c r="AP489" s="27"/>
    </row>
    <row r="490" spans="1:42" x14ac:dyDescent="0.2">
      <c r="A490" s="81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86"/>
      <c r="AI490" s="86"/>
      <c r="AJ490" s="86"/>
      <c r="AK490" s="86"/>
      <c r="AL490" s="86"/>
      <c r="AM490" s="86"/>
      <c r="AN490" s="27"/>
      <c r="AO490" s="27"/>
      <c r="AP490" s="27"/>
    </row>
    <row r="491" spans="1:42" x14ac:dyDescent="0.2">
      <c r="A491" s="81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86"/>
      <c r="Y491" s="86"/>
      <c r="Z491" s="86"/>
      <c r="AA491" s="86"/>
      <c r="AB491" s="86"/>
      <c r="AC491" s="86"/>
      <c r="AD491" s="86"/>
      <c r="AE491" s="86"/>
      <c r="AF491" s="86"/>
      <c r="AG491" s="86"/>
      <c r="AH491" s="86"/>
      <c r="AI491" s="86"/>
      <c r="AJ491" s="86"/>
      <c r="AK491" s="86"/>
      <c r="AL491" s="86"/>
      <c r="AM491" s="86"/>
      <c r="AN491" s="27"/>
      <c r="AO491" s="27"/>
      <c r="AP491" s="27"/>
    </row>
    <row r="492" spans="1:42" x14ac:dyDescent="0.2">
      <c r="A492" s="81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86"/>
      <c r="Y492" s="86"/>
      <c r="Z492" s="86"/>
      <c r="AA492" s="86"/>
      <c r="AB492" s="86"/>
      <c r="AC492" s="86"/>
      <c r="AD492" s="86"/>
      <c r="AE492" s="86"/>
      <c r="AF492" s="86"/>
      <c r="AG492" s="86"/>
      <c r="AH492" s="86"/>
      <c r="AI492" s="86"/>
      <c r="AJ492" s="86"/>
      <c r="AK492" s="86"/>
      <c r="AL492" s="86"/>
      <c r="AM492" s="86"/>
      <c r="AN492" s="27"/>
      <c r="AO492" s="27"/>
      <c r="AP492" s="27"/>
    </row>
    <row r="493" spans="1:42" x14ac:dyDescent="0.2">
      <c r="A493" s="81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86"/>
      <c r="AI493" s="86"/>
      <c r="AJ493" s="86"/>
      <c r="AK493" s="86"/>
      <c r="AL493" s="86"/>
      <c r="AM493" s="86"/>
      <c r="AN493" s="27"/>
      <c r="AO493" s="27"/>
      <c r="AP493" s="27"/>
    </row>
    <row r="494" spans="1:42" x14ac:dyDescent="0.2">
      <c r="A494" s="81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86"/>
      <c r="AI494" s="86"/>
      <c r="AJ494" s="86"/>
      <c r="AK494" s="86"/>
      <c r="AL494" s="86"/>
      <c r="AM494" s="86"/>
      <c r="AN494" s="27"/>
      <c r="AO494" s="27"/>
      <c r="AP494" s="27"/>
    </row>
    <row r="495" spans="1:42" x14ac:dyDescent="0.2">
      <c r="A495" s="81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86"/>
      <c r="Y495" s="86"/>
      <c r="Z495" s="86"/>
      <c r="AA495" s="86"/>
      <c r="AB495" s="86"/>
      <c r="AC495" s="86"/>
      <c r="AD495" s="86"/>
      <c r="AE495" s="86"/>
      <c r="AF495" s="86"/>
      <c r="AG495" s="86"/>
      <c r="AH495" s="86"/>
      <c r="AI495" s="86"/>
      <c r="AJ495" s="86"/>
      <c r="AK495" s="86"/>
      <c r="AL495" s="86"/>
      <c r="AM495" s="86"/>
      <c r="AN495" s="27"/>
      <c r="AO495" s="27"/>
      <c r="AP495" s="27"/>
    </row>
    <row r="496" spans="1:42" x14ac:dyDescent="0.2">
      <c r="A496" s="81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86"/>
      <c r="Y496" s="86"/>
      <c r="Z496" s="86"/>
      <c r="AA496" s="86"/>
      <c r="AB496" s="86"/>
      <c r="AC496" s="86"/>
      <c r="AD496" s="86"/>
      <c r="AE496" s="86"/>
      <c r="AF496" s="86"/>
      <c r="AG496" s="86"/>
      <c r="AH496" s="86"/>
      <c r="AI496" s="86"/>
      <c r="AJ496" s="86"/>
      <c r="AK496" s="86"/>
      <c r="AL496" s="86"/>
      <c r="AM496" s="86"/>
      <c r="AN496" s="27"/>
      <c r="AO496" s="27"/>
      <c r="AP496" s="27"/>
    </row>
    <row r="497" spans="1:42" x14ac:dyDescent="0.2">
      <c r="A497" s="81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86"/>
      <c r="Y497" s="86"/>
      <c r="Z497" s="86"/>
      <c r="AA497" s="86"/>
      <c r="AB497" s="86"/>
      <c r="AC497" s="86"/>
      <c r="AD497" s="86"/>
      <c r="AE497" s="86"/>
      <c r="AF497" s="86"/>
      <c r="AG497" s="86"/>
      <c r="AH497" s="86"/>
      <c r="AI497" s="86"/>
      <c r="AJ497" s="86"/>
      <c r="AK497" s="86"/>
      <c r="AL497" s="86"/>
      <c r="AM497" s="86"/>
      <c r="AN497" s="27"/>
      <c r="AO497" s="27"/>
      <c r="AP497" s="27"/>
    </row>
    <row r="498" spans="1:42" x14ac:dyDescent="0.2">
      <c r="A498" s="81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86"/>
      <c r="Y498" s="86"/>
      <c r="Z498" s="86"/>
      <c r="AA498" s="86"/>
      <c r="AB498" s="86"/>
      <c r="AC498" s="86"/>
      <c r="AD498" s="86"/>
      <c r="AE498" s="86"/>
      <c r="AF498" s="86"/>
      <c r="AG498" s="86"/>
      <c r="AH498" s="86"/>
      <c r="AI498" s="86"/>
      <c r="AJ498" s="86"/>
      <c r="AK498" s="86"/>
      <c r="AL498" s="86"/>
      <c r="AM498" s="86"/>
      <c r="AN498" s="27"/>
      <c r="AO498" s="27"/>
      <c r="AP498" s="27"/>
    </row>
    <row r="499" spans="1:42" x14ac:dyDescent="0.2">
      <c r="A499" s="81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86"/>
      <c r="Y499" s="86"/>
      <c r="Z499" s="86"/>
      <c r="AA499" s="86"/>
      <c r="AB499" s="86"/>
      <c r="AC499" s="86"/>
      <c r="AD499" s="86"/>
      <c r="AE499" s="86"/>
      <c r="AF499" s="86"/>
      <c r="AG499" s="86"/>
      <c r="AH499" s="86"/>
      <c r="AI499" s="86"/>
      <c r="AJ499" s="86"/>
      <c r="AK499" s="86"/>
      <c r="AL499" s="86"/>
      <c r="AM499" s="86"/>
      <c r="AN499" s="27"/>
      <c r="AO499" s="27"/>
      <c r="AP499" s="27"/>
    </row>
    <row r="500" spans="1:42" x14ac:dyDescent="0.2">
      <c r="A500" s="81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86"/>
      <c r="Y500" s="86"/>
      <c r="Z500" s="86"/>
      <c r="AA500" s="86"/>
      <c r="AB500" s="86"/>
      <c r="AC500" s="86"/>
      <c r="AD500" s="86"/>
      <c r="AE500" s="86"/>
      <c r="AF500" s="86"/>
      <c r="AG500" s="86"/>
      <c r="AH500" s="86"/>
      <c r="AI500" s="86"/>
      <c r="AJ500" s="86"/>
      <c r="AK500" s="86"/>
      <c r="AL500" s="86"/>
      <c r="AM500" s="86"/>
      <c r="AN500" s="27"/>
      <c r="AO500" s="27"/>
      <c r="AP500" s="27"/>
    </row>
    <row r="501" spans="1:42" x14ac:dyDescent="0.2">
      <c r="A501" s="81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86"/>
      <c r="Y501" s="86"/>
      <c r="Z501" s="86"/>
      <c r="AA501" s="86"/>
      <c r="AB501" s="86"/>
      <c r="AC501" s="86"/>
      <c r="AD501" s="86"/>
      <c r="AE501" s="86"/>
      <c r="AF501" s="86"/>
      <c r="AG501" s="86"/>
      <c r="AH501" s="86"/>
      <c r="AI501" s="86"/>
      <c r="AJ501" s="86"/>
      <c r="AK501" s="86"/>
      <c r="AL501" s="86"/>
      <c r="AM501" s="86"/>
      <c r="AN501" s="27"/>
      <c r="AO501" s="27"/>
      <c r="AP501" s="27"/>
    </row>
    <row r="502" spans="1:42" x14ac:dyDescent="0.2">
      <c r="A502" s="81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86"/>
      <c r="Y502" s="86"/>
      <c r="Z502" s="86"/>
      <c r="AA502" s="86"/>
      <c r="AB502" s="86"/>
      <c r="AC502" s="86"/>
      <c r="AD502" s="86"/>
      <c r="AE502" s="86"/>
      <c r="AF502" s="86"/>
      <c r="AG502" s="86"/>
      <c r="AH502" s="86"/>
      <c r="AI502" s="86"/>
      <c r="AJ502" s="86"/>
      <c r="AK502" s="86"/>
      <c r="AL502" s="86"/>
      <c r="AM502" s="86"/>
      <c r="AN502" s="27"/>
      <c r="AO502" s="27"/>
      <c r="AP502" s="27"/>
    </row>
    <row r="503" spans="1:42" x14ac:dyDescent="0.2">
      <c r="A503" s="81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86"/>
      <c r="Y503" s="86"/>
      <c r="Z503" s="86"/>
      <c r="AA503" s="86"/>
      <c r="AB503" s="86"/>
      <c r="AC503" s="86"/>
      <c r="AD503" s="86"/>
      <c r="AE503" s="86"/>
      <c r="AF503" s="86"/>
      <c r="AG503" s="86"/>
      <c r="AH503" s="86"/>
      <c r="AI503" s="86"/>
      <c r="AJ503" s="86"/>
      <c r="AK503" s="86"/>
      <c r="AL503" s="86"/>
      <c r="AM503" s="86"/>
      <c r="AN503" s="27"/>
      <c r="AO503" s="27"/>
      <c r="AP503" s="27"/>
    </row>
    <row r="504" spans="1:42" x14ac:dyDescent="0.2">
      <c r="A504" s="81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86"/>
      <c r="Y504" s="86"/>
      <c r="Z504" s="86"/>
      <c r="AA504" s="86"/>
      <c r="AB504" s="86"/>
      <c r="AC504" s="86"/>
      <c r="AD504" s="86"/>
      <c r="AE504" s="86"/>
      <c r="AF504" s="86"/>
      <c r="AG504" s="86"/>
      <c r="AH504" s="86"/>
      <c r="AI504" s="86"/>
      <c r="AJ504" s="86"/>
      <c r="AK504" s="86"/>
      <c r="AL504" s="86"/>
      <c r="AM504" s="86"/>
      <c r="AN504" s="27"/>
      <c r="AO504" s="27"/>
      <c r="AP504" s="27"/>
    </row>
    <row r="505" spans="1:42" x14ac:dyDescent="0.2">
      <c r="A505" s="81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86"/>
      <c r="Y505" s="86"/>
      <c r="Z505" s="86"/>
      <c r="AA505" s="86"/>
      <c r="AB505" s="86"/>
      <c r="AC505" s="86"/>
      <c r="AD505" s="86"/>
      <c r="AE505" s="86"/>
      <c r="AF505" s="86"/>
      <c r="AG505" s="86"/>
      <c r="AH505" s="86"/>
      <c r="AI505" s="86"/>
      <c r="AJ505" s="86"/>
      <c r="AK505" s="86"/>
      <c r="AL505" s="86"/>
      <c r="AM505" s="86"/>
      <c r="AN505" s="27"/>
      <c r="AO505" s="27"/>
      <c r="AP505" s="27"/>
    </row>
    <row r="506" spans="1:42" x14ac:dyDescent="0.2">
      <c r="A506" s="81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86"/>
      <c r="Y506" s="86"/>
      <c r="Z506" s="86"/>
      <c r="AA506" s="86"/>
      <c r="AB506" s="86"/>
      <c r="AC506" s="86"/>
      <c r="AD506" s="86"/>
      <c r="AE506" s="86"/>
      <c r="AF506" s="86"/>
      <c r="AG506" s="86"/>
      <c r="AH506" s="86"/>
      <c r="AI506" s="86"/>
      <c r="AJ506" s="86"/>
      <c r="AK506" s="86"/>
      <c r="AL506" s="86"/>
      <c r="AM506" s="86"/>
      <c r="AN506" s="27"/>
      <c r="AO506" s="27"/>
      <c r="AP506" s="27"/>
    </row>
    <row r="507" spans="1:42" x14ac:dyDescent="0.2">
      <c r="A507" s="81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86"/>
      <c r="Y507" s="86"/>
      <c r="Z507" s="86"/>
      <c r="AA507" s="86"/>
      <c r="AB507" s="86"/>
      <c r="AC507" s="86"/>
      <c r="AD507" s="86"/>
      <c r="AE507" s="86"/>
      <c r="AF507" s="86"/>
      <c r="AG507" s="86"/>
      <c r="AH507" s="86"/>
      <c r="AI507" s="86"/>
      <c r="AJ507" s="86"/>
      <c r="AK507" s="86"/>
      <c r="AL507" s="86"/>
      <c r="AM507" s="86"/>
      <c r="AN507" s="27"/>
      <c r="AO507" s="27"/>
      <c r="AP507" s="27"/>
    </row>
    <row r="508" spans="1:42" x14ac:dyDescent="0.2">
      <c r="A508" s="81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86"/>
      <c r="Y508" s="86"/>
      <c r="Z508" s="86"/>
      <c r="AA508" s="86"/>
      <c r="AB508" s="86"/>
      <c r="AC508" s="86"/>
      <c r="AD508" s="86"/>
      <c r="AE508" s="86"/>
      <c r="AF508" s="86"/>
      <c r="AG508" s="86"/>
      <c r="AH508" s="86"/>
      <c r="AI508" s="86"/>
      <c r="AJ508" s="86"/>
      <c r="AK508" s="86"/>
      <c r="AL508" s="86"/>
      <c r="AM508" s="86"/>
      <c r="AN508" s="27"/>
      <c r="AO508" s="27"/>
      <c r="AP508" s="27"/>
    </row>
    <row r="509" spans="1:42" x14ac:dyDescent="0.2">
      <c r="A509" s="81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86"/>
      <c r="Y509" s="86"/>
      <c r="Z509" s="86"/>
      <c r="AA509" s="86"/>
      <c r="AB509" s="86"/>
      <c r="AC509" s="86"/>
      <c r="AD509" s="86"/>
      <c r="AE509" s="86"/>
      <c r="AF509" s="86"/>
      <c r="AG509" s="86"/>
      <c r="AH509" s="86"/>
      <c r="AI509" s="86"/>
      <c r="AJ509" s="86"/>
      <c r="AK509" s="86"/>
      <c r="AL509" s="86"/>
      <c r="AM509" s="86"/>
      <c r="AN509" s="27"/>
      <c r="AO509" s="27"/>
      <c r="AP509" s="27"/>
    </row>
    <row r="510" spans="1:42" x14ac:dyDescent="0.2">
      <c r="A510" s="81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86"/>
      <c r="Y510" s="86"/>
      <c r="Z510" s="86"/>
      <c r="AA510" s="86"/>
      <c r="AB510" s="86"/>
      <c r="AC510" s="86"/>
      <c r="AD510" s="86"/>
      <c r="AE510" s="86"/>
      <c r="AF510" s="86"/>
      <c r="AG510" s="86"/>
      <c r="AH510" s="86"/>
      <c r="AI510" s="86"/>
      <c r="AJ510" s="86"/>
      <c r="AK510" s="86"/>
      <c r="AL510" s="86"/>
      <c r="AM510" s="86"/>
      <c r="AN510" s="27"/>
      <c r="AO510" s="27"/>
      <c r="AP510" s="27"/>
    </row>
    <row r="511" spans="1:42" x14ac:dyDescent="0.2">
      <c r="A511" s="81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86"/>
      <c r="Y511" s="86"/>
      <c r="Z511" s="86"/>
      <c r="AA511" s="86"/>
      <c r="AB511" s="86"/>
      <c r="AC511" s="86"/>
      <c r="AD511" s="86"/>
      <c r="AE511" s="86"/>
      <c r="AF511" s="86"/>
      <c r="AG511" s="86"/>
      <c r="AH511" s="86"/>
      <c r="AI511" s="86"/>
      <c r="AJ511" s="86"/>
      <c r="AK511" s="86"/>
      <c r="AL511" s="86"/>
      <c r="AM511" s="86"/>
      <c r="AN511" s="27"/>
      <c r="AO511" s="27"/>
      <c r="AP511" s="27"/>
    </row>
    <row r="512" spans="1:42" x14ac:dyDescent="0.2">
      <c r="A512" s="81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86"/>
      <c r="Y512" s="86"/>
      <c r="Z512" s="86"/>
      <c r="AA512" s="86"/>
      <c r="AB512" s="86"/>
      <c r="AC512" s="86"/>
      <c r="AD512" s="86"/>
      <c r="AE512" s="86"/>
      <c r="AF512" s="86"/>
      <c r="AG512" s="86"/>
      <c r="AH512" s="86"/>
      <c r="AI512" s="86"/>
      <c r="AJ512" s="86"/>
      <c r="AK512" s="86"/>
      <c r="AL512" s="86"/>
      <c r="AM512" s="86"/>
      <c r="AN512" s="27"/>
      <c r="AO512" s="27"/>
      <c r="AP512" s="27"/>
    </row>
    <row r="513" spans="1:42" x14ac:dyDescent="0.2">
      <c r="A513" s="81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86"/>
      <c r="Y513" s="86"/>
      <c r="Z513" s="86"/>
      <c r="AA513" s="86"/>
      <c r="AB513" s="86"/>
      <c r="AC513" s="86"/>
      <c r="AD513" s="86"/>
      <c r="AE513" s="86"/>
      <c r="AF513" s="86"/>
      <c r="AG513" s="86"/>
      <c r="AH513" s="86"/>
      <c r="AI513" s="86"/>
      <c r="AJ513" s="86"/>
      <c r="AK513" s="86"/>
      <c r="AL513" s="86"/>
      <c r="AM513" s="86"/>
      <c r="AN513" s="27"/>
      <c r="AO513" s="27"/>
      <c r="AP513" s="27"/>
    </row>
    <row r="514" spans="1:42" x14ac:dyDescent="0.2">
      <c r="A514" s="81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86"/>
      <c r="Y514" s="86"/>
      <c r="Z514" s="86"/>
      <c r="AA514" s="86"/>
      <c r="AB514" s="86"/>
      <c r="AC514" s="86"/>
      <c r="AD514" s="86"/>
      <c r="AE514" s="86"/>
      <c r="AF514" s="86"/>
      <c r="AG514" s="86"/>
      <c r="AH514" s="86"/>
      <c r="AI514" s="86"/>
      <c r="AJ514" s="86"/>
      <c r="AK514" s="86"/>
      <c r="AL514" s="86"/>
      <c r="AM514" s="86"/>
      <c r="AN514" s="27"/>
      <c r="AO514" s="27"/>
      <c r="AP514" s="27"/>
    </row>
    <row r="515" spans="1:42" x14ac:dyDescent="0.2">
      <c r="A515" s="81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86"/>
      <c r="Y515" s="86"/>
      <c r="Z515" s="86"/>
      <c r="AA515" s="86"/>
      <c r="AB515" s="86"/>
      <c r="AC515" s="86"/>
      <c r="AD515" s="86"/>
      <c r="AE515" s="86"/>
      <c r="AF515" s="86"/>
      <c r="AG515" s="86"/>
      <c r="AH515" s="86"/>
      <c r="AI515" s="86"/>
      <c r="AJ515" s="86"/>
      <c r="AK515" s="86"/>
      <c r="AL515" s="86"/>
      <c r="AM515" s="86"/>
      <c r="AN515" s="27"/>
      <c r="AO515" s="27"/>
      <c r="AP515" s="27"/>
    </row>
    <row r="516" spans="1:42" x14ac:dyDescent="0.2">
      <c r="A516" s="81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86"/>
      <c r="Y516" s="86"/>
      <c r="Z516" s="86"/>
      <c r="AA516" s="86"/>
      <c r="AB516" s="86"/>
      <c r="AC516" s="86"/>
      <c r="AD516" s="86"/>
      <c r="AE516" s="86"/>
      <c r="AF516" s="86"/>
      <c r="AG516" s="86"/>
      <c r="AH516" s="86"/>
      <c r="AI516" s="86"/>
      <c r="AJ516" s="86"/>
      <c r="AK516" s="86"/>
      <c r="AL516" s="86"/>
      <c r="AM516" s="86"/>
      <c r="AN516" s="27"/>
      <c r="AO516" s="27"/>
      <c r="AP516" s="27"/>
    </row>
    <row r="517" spans="1:42" x14ac:dyDescent="0.2">
      <c r="A517" s="81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86"/>
      <c r="Y517" s="86"/>
      <c r="Z517" s="86"/>
      <c r="AA517" s="86"/>
      <c r="AB517" s="86"/>
      <c r="AC517" s="86"/>
      <c r="AD517" s="86"/>
      <c r="AE517" s="86"/>
      <c r="AF517" s="86"/>
      <c r="AG517" s="86"/>
      <c r="AH517" s="86"/>
      <c r="AI517" s="86"/>
      <c r="AJ517" s="86"/>
      <c r="AK517" s="86"/>
      <c r="AL517" s="86"/>
      <c r="AM517" s="86"/>
      <c r="AN517" s="27"/>
      <c r="AO517" s="27"/>
      <c r="AP517" s="27"/>
    </row>
    <row r="518" spans="1:42" x14ac:dyDescent="0.2">
      <c r="A518" s="81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86"/>
      <c r="Y518" s="86"/>
      <c r="Z518" s="86"/>
      <c r="AA518" s="86"/>
      <c r="AB518" s="86"/>
      <c r="AC518" s="86"/>
      <c r="AD518" s="86"/>
      <c r="AE518" s="86"/>
      <c r="AF518" s="86"/>
      <c r="AG518" s="86"/>
      <c r="AH518" s="86"/>
      <c r="AI518" s="86"/>
      <c r="AJ518" s="86"/>
      <c r="AK518" s="86"/>
      <c r="AL518" s="86"/>
      <c r="AM518" s="86"/>
      <c r="AN518" s="27"/>
      <c r="AO518" s="27"/>
      <c r="AP518" s="27"/>
    </row>
    <row r="519" spans="1:42" x14ac:dyDescent="0.2">
      <c r="A519" s="81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86"/>
      <c r="Y519" s="86"/>
      <c r="Z519" s="86"/>
      <c r="AA519" s="86"/>
      <c r="AB519" s="86"/>
      <c r="AC519" s="86"/>
      <c r="AD519" s="86"/>
      <c r="AE519" s="86"/>
      <c r="AF519" s="86"/>
      <c r="AG519" s="86"/>
      <c r="AH519" s="86"/>
      <c r="AI519" s="86"/>
      <c r="AJ519" s="86"/>
      <c r="AK519" s="86"/>
      <c r="AL519" s="86"/>
      <c r="AM519" s="86"/>
      <c r="AN519" s="27"/>
      <c r="AO519" s="27"/>
      <c r="AP519" s="27"/>
    </row>
    <row r="520" spans="1:42" x14ac:dyDescent="0.2">
      <c r="A520" s="81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86"/>
      <c r="Y520" s="86"/>
      <c r="Z520" s="86"/>
      <c r="AA520" s="86"/>
      <c r="AB520" s="86"/>
      <c r="AC520" s="86"/>
      <c r="AD520" s="86"/>
      <c r="AE520" s="86"/>
      <c r="AF520" s="86"/>
      <c r="AG520" s="86"/>
      <c r="AH520" s="86"/>
      <c r="AI520" s="86"/>
      <c r="AJ520" s="86"/>
      <c r="AK520" s="86"/>
      <c r="AL520" s="86"/>
      <c r="AM520" s="86"/>
      <c r="AN520" s="27"/>
      <c r="AO520" s="27"/>
      <c r="AP520" s="27"/>
    </row>
    <row r="521" spans="1:42" x14ac:dyDescent="0.2">
      <c r="A521" s="81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86"/>
      <c r="Y521" s="86"/>
      <c r="Z521" s="86"/>
      <c r="AA521" s="86"/>
      <c r="AB521" s="86"/>
      <c r="AC521" s="86"/>
      <c r="AD521" s="86"/>
      <c r="AE521" s="86"/>
      <c r="AF521" s="86"/>
      <c r="AG521" s="86"/>
      <c r="AH521" s="86"/>
      <c r="AI521" s="86"/>
      <c r="AJ521" s="86"/>
      <c r="AK521" s="86"/>
      <c r="AL521" s="86"/>
      <c r="AM521" s="86"/>
      <c r="AN521" s="27"/>
      <c r="AO521" s="27"/>
      <c r="AP521" s="27"/>
    </row>
    <row r="522" spans="1:42" x14ac:dyDescent="0.2">
      <c r="A522" s="81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86"/>
      <c r="Y522" s="86"/>
      <c r="Z522" s="86"/>
      <c r="AA522" s="86"/>
      <c r="AB522" s="86"/>
      <c r="AC522" s="86"/>
      <c r="AD522" s="86"/>
      <c r="AE522" s="86"/>
      <c r="AF522" s="86"/>
      <c r="AG522" s="86"/>
      <c r="AH522" s="86"/>
      <c r="AI522" s="86"/>
      <c r="AJ522" s="86"/>
      <c r="AK522" s="86"/>
      <c r="AL522" s="86"/>
      <c r="AM522" s="86"/>
      <c r="AN522" s="27"/>
      <c r="AO522" s="27"/>
      <c r="AP522" s="27"/>
    </row>
    <row r="523" spans="1:42" x14ac:dyDescent="0.2">
      <c r="A523" s="81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86"/>
      <c r="Y523" s="86"/>
      <c r="Z523" s="86"/>
      <c r="AA523" s="86"/>
      <c r="AB523" s="86"/>
      <c r="AC523" s="86"/>
      <c r="AD523" s="86"/>
      <c r="AE523" s="86"/>
      <c r="AF523" s="86"/>
      <c r="AG523" s="86"/>
      <c r="AH523" s="86"/>
      <c r="AI523" s="86"/>
      <c r="AJ523" s="86"/>
      <c r="AK523" s="86"/>
      <c r="AL523" s="86"/>
      <c r="AM523" s="86"/>
      <c r="AN523" s="27"/>
      <c r="AO523" s="27"/>
      <c r="AP523" s="27"/>
    </row>
    <row r="524" spans="1:42" x14ac:dyDescent="0.2">
      <c r="A524" s="81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86"/>
      <c r="Y524" s="86"/>
      <c r="Z524" s="86"/>
      <c r="AA524" s="86"/>
      <c r="AB524" s="86"/>
      <c r="AC524" s="86"/>
      <c r="AD524" s="86"/>
      <c r="AE524" s="86"/>
      <c r="AF524" s="86"/>
      <c r="AG524" s="86"/>
      <c r="AH524" s="86"/>
      <c r="AI524" s="86"/>
      <c r="AJ524" s="86"/>
      <c r="AK524" s="86"/>
      <c r="AL524" s="86"/>
      <c r="AM524" s="86"/>
      <c r="AN524" s="27"/>
      <c r="AO524" s="27"/>
      <c r="AP524" s="27"/>
    </row>
    <row r="525" spans="1:42" x14ac:dyDescent="0.2">
      <c r="A525" s="81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86"/>
      <c r="Y525" s="86"/>
      <c r="Z525" s="86"/>
      <c r="AA525" s="86"/>
      <c r="AB525" s="86"/>
      <c r="AC525" s="86"/>
      <c r="AD525" s="86"/>
      <c r="AE525" s="86"/>
      <c r="AF525" s="86"/>
      <c r="AG525" s="86"/>
      <c r="AH525" s="86"/>
      <c r="AI525" s="86"/>
      <c r="AJ525" s="86"/>
      <c r="AK525" s="86"/>
      <c r="AL525" s="86"/>
      <c r="AM525" s="86"/>
      <c r="AN525" s="27"/>
      <c r="AO525" s="27"/>
      <c r="AP525" s="27"/>
    </row>
    <row r="526" spans="1:42" x14ac:dyDescent="0.2">
      <c r="A526" s="81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86"/>
      <c r="Y526" s="86"/>
      <c r="Z526" s="86"/>
      <c r="AA526" s="86"/>
      <c r="AB526" s="86"/>
      <c r="AC526" s="86"/>
      <c r="AD526" s="86"/>
      <c r="AE526" s="86"/>
      <c r="AF526" s="86"/>
      <c r="AG526" s="86"/>
      <c r="AH526" s="86"/>
      <c r="AI526" s="86"/>
      <c r="AJ526" s="86"/>
      <c r="AK526" s="86"/>
      <c r="AL526" s="86"/>
      <c r="AM526" s="86"/>
      <c r="AN526" s="27"/>
      <c r="AO526" s="27"/>
      <c r="AP526" s="27"/>
    </row>
    <row r="527" spans="1:42" x14ac:dyDescent="0.2">
      <c r="A527" s="81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86"/>
      <c r="Y527" s="86"/>
      <c r="Z527" s="86"/>
      <c r="AA527" s="86"/>
      <c r="AB527" s="86"/>
      <c r="AC527" s="86"/>
      <c r="AD527" s="86"/>
      <c r="AE527" s="86"/>
      <c r="AF527" s="86"/>
      <c r="AG527" s="86"/>
      <c r="AH527" s="86"/>
      <c r="AI527" s="86"/>
      <c r="AJ527" s="86"/>
      <c r="AK527" s="86"/>
      <c r="AL527" s="86"/>
      <c r="AM527" s="86"/>
      <c r="AN527" s="27"/>
      <c r="AO527" s="27"/>
      <c r="AP527" s="27"/>
    </row>
    <row r="528" spans="1:42" x14ac:dyDescent="0.2">
      <c r="A528" s="81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86"/>
      <c r="Y528" s="86"/>
      <c r="Z528" s="86"/>
      <c r="AA528" s="86"/>
      <c r="AB528" s="86"/>
      <c r="AC528" s="86"/>
      <c r="AD528" s="86"/>
      <c r="AE528" s="86"/>
      <c r="AF528" s="86"/>
      <c r="AG528" s="86"/>
      <c r="AH528" s="86"/>
      <c r="AI528" s="86"/>
      <c r="AJ528" s="86"/>
      <c r="AK528" s="86"/>
      <c r="AL528" s="86"/>
      <c r="AM528" s="86"/>
      <c r="AN528" s="27"/>
      <c r="AO528" s="27"/>
      <c r="AP528" s="27"/>
    </row>
    <row r="529" spans="1:42" x14ac:dyDescent="0.2">
      <c r="A529" s="81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86"/>
      <c r="Y529" s="86"/>
      <c r="Z529" s="86"/>
      <c r="AA529" s="86"/>
      <c r="AB529" s="86"/>
      <c r="AC529" s="86"/>
      <c r="AD529" s="86"/>
      <c r="AE529" s="86"/>
      <c r="AF529" s="86"/>
      <c r="AG529" s="86"/>
      <c r="AH529" s="86"/>
      <c r="AI529" s="86"/>
      <c r="AJ529" s="86"/>
      <c r="AK529" s="86"/>
      <c r="AL529" s="86"/>
      <c r="AM529" s="86"/>
      <c r="AN529" s="27"/>
      <c r="AO529" s="27"/>
      <c r="AP529" s="27"/>
    </row>
    <row r="530" spans="1:42" x14ac:dyDescent="0.2">
      <c r="A530" s="81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86"/>
      <c r="Y530" s="86"/>
      <c r="Z530" s="86"/>
      <c r="AA530" s="86"/>
      <c r="AB530" s="86"/>
      <c r="AC530" s="86"/>
      <c r="AD530" s="86"/>
      <c r="AE530" s="86"/>
      <c r="AF530" s="86"/>
      <c r="AG530" s="86"/>
      <c r="AH530" s="86"/>
      <c r="AI530" s="86"/>
      <c r="AJ530" s="86"/>
      <c r="AK530" s="86"/>
      <c r="AL530" s="86"/>
      <c r="AM530" s="86"/>
      <c r="AN530" s="27"/>
      <c r="AO530" s="27"/>
      <c r="AP530" s="27"/>
    </row>
    <row r="531" spans="1:42" x14ac:dyDescent="0.2">
      <c r="A531" s="81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86"/>
      <c r="Y531" s="86"/>
      <c r="Z531" s="86"/>
      <c r="AA531" s="86"/>
      <c r="AB531" s="86"/>
      <c r="AC531" s="86"/>
      <c r="AD531" s="86"/>
      <c r="AE531" s="86"/>
      <c r="AF531" s="86"/>
      <c r="AG531" s="86"/>
      <c r="AH531" s="86"/>
      <c r="AI531" s="86"/>
      <c r="AJ531" s="86"/>
      <c r="AK531" s="86"/>
      <c r="AL531" s="86"/>
      <c r="AM531" s="86"/>
      <c r="AN531" s="27"/>
      <c r="AO531" s="27"/>
      <c r="AP531" s="27"/>
    </row>
    <row r="532" spans="1:42" x14ac:dyDescent="0.2">
      <c r="A532" s="81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86"/>
      <c r="Y532" s="86"/>
      <c r="Z532" s="86"/>
      <c r="AA532" s="86"/>
      <c r="AB532" s="86"/>
      <c r="AC532" s="86"/>
      <c r="AD532" s="86"/>
      <c r="AE532" s="86"/>
      <c r="AF532" s="86"/>
      <c r="AG532" s="86"/>
      <c r="AH532" s="86"/>
      <c r="AI532" s="86"/>
      <c r="AJ532" s="86"/>
      <c r="AK532" s="86"/>
      <c r="AL532" s="86"/>
      <c r="AM532" s="86"/>
      <c r="AN532" s="27"/>
      <c r="AO532" s="27"/>
      <c r="AP532" s="27"/>
    </row>
    <row r="533" spans="1:42" x14ac:dyDescent="0.2">
      <c r="A533" s="81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86"/>
      <c r="Y533" s="86"/>
      <c r="Z533" s="86"/>
      <c r="AA533" s="86"/>
      <c r="AB533" s="86"/>
      <c r="AC533" s="86"/>
      <c r="AD533" s="86"/>
      <c r="AE533" s="86"/>
      <c r="AF533" s="86"/>
      <c r="AG533" s="86"/>
      <c r="AH533" s="86"/>
      <c r="AI533" s="86"/>
      <c r="AJ533" s="86"/>
      <c r="AK533" s="86"/>
      <c r="AL533" s="86"/>
      <c r="AM533" s="86"/>
      <c r="AN533" s="27"/>
      <c r="AO533" s="27"/>
      <c r="AP533" s="27"/>
    </row>
    <row r="534" spans="1:42" x14ac:dyDescent="0.2">
      <c r="A534" s="81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86"/>
      <c r="Y534" s="86"/>
      <c r="Z534" s="86"/>
      <c r="AA534" s="86"/>
      <c r="AB534" s="86"/>
      <c r="AC534" s="86"/>
      <c r="AD534" s="86"/>
      <c r="AE534" s="86"/>
      <c r="AF534" s="86"/>
      <c r="AG534" s="86"/>
      <c r="AH534" s="86"/>
      <c r="AI534" s="86"/>
      <c r="AJ534" s="86"/>
      <c r="AK534" s="86"/>
      <c r="AL534" s="86"/>
      <c r="AM534" s="86"/>
      <c r="AN534" s="27"/>
      <c r="AO534" s="27"/>
      <c r="AP534" s="27"/>
    </row>
    <row r="535" spans="1:42" x14ac:dyDescent="0.2">
      <c r="A535" s="81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  <c r="AH535" s="86"/>
      <c r="AI535" s="86"/>
      <c r="AJ535" s="86"/>
      <c r="AK535" s="86"/>
      <c r="AL535" s="86"/>
      <c r="AM535" s="86"/>
      <c r="AN535" s="27"/>
      <c r="AO535" s="27"/>
      <c r="AP535" s="27"/>
    </row>
  </sheetData>
  <sheetProtection algorithmName="SHA-512" hashValue="xB388uf3rpeFAK1MsdgjI1PourIp2xsZKjJEE2YdzZDGbTrOTRn70HpJ5bo981CV9XWpHVUypjQFahFZDG8Phg==" saltValue="69cjIs6TsD//6ELmmvAJpw==" spinCount="100000" sheet="1" objects="1" scenarios="1" selectLockedCells="1" selectUnlockedCells="1"/>
  <mergeCells count="56">
    <mergeCell ref="R57:S57"/>
    <mergeCell ref="AA57:AB57"/>
    <mergeCell ref="E57:H57"/>
    <mergeCell ref="AB4:AD5"/>
    <mergeCell ref="M4:AA5"/>
    <mergeCell ref="I9:J10"/>
    <mergeCell ref="B4:J5"/>
    <mergeCell ref="G7:J8"/>
    <mergeCell ref="G9:H10"/>
    <mergeCell ref="E7:F8"/>
    <mergeCell ref="E9:F10"/>
    <mergeCell ref="C7:D8"/>
    <mergeCell ref="C9:D10"/>
    <mergeCell ref="B7:B8"/>
    <mergeCell ref="B42:I43"/>
    <mergeCell ref="B57:C57"/>
    <mergeCell ref="U122:V122"/>
    <mergeCell ref="S3:U3"/>
    <mergeCell ref="R122:S122"/>
    <mergeCell ref="I122:K122"/>
    <mergeCell ref="K107:K109"/>
    <mergeCell ref="K13:K15"/>
    <mergeCell ref="H3:K3"/>
    <mergeCell ref="L3:N3"/>
    <mergeCell ref="P122:Q122"/>
    <mergeCell ref="N122:O122"/>
    <mergeCell ref="O3:R3"/>
    <mergeCell ref="K4:L5"/>
    <mergeCell ref="B74:I75"/>
    <mergeCell ref="B73:C73"/>
    <mergeCell ref="K75:K77"/>
    <mergeCell ref="B90:I91"/>
    <mergeCell ref="B3:D3"/>
    <mergeCell ref="E3:G3"/>
    <mergeCell ref="B9:B10"/>
    <mergeCell ref="B25:C25"/>
    <mergeCell ref="B41:C41"/>
    <mergeCell ref="B11:C11"/>
    <mergeCell ref="B26:I27"/>
    <mergeCell ref="B106:I107"/>
    <mergeCell ref="B118:C118"/>
    <mergeCell ref="B117:C117"/>
    <mergeCell ref="B116:C116"/>
    <mergeCell ref="B115:C115"/>
    <mergeCell ref="B114:C114"/>
    <mergeCell ref="B89:C89"/>
    <mergeCell ref="B113:C113"/>
    <mergeCell ref="B112:C112"/>
    <mergeCell ref="B111:C111"/>
    <mergeCell ref="B110:C110"/>
    <mergeCell ref="B109:C109"/>
    <mergeCell ref="J57:K57"/>
    <mergeCell ref="C124:D124"/>
    <mergeCell ref="B119:C119"/>
    <mergeCell ref="B120:C120"/>
    <mergeCell ref="K91:K93"/>
  </mergeCells>
  <conditionalFormatting sqref="D123">
    <cfRule type="expression" dxfId="0" priority="120">
      <formula>#REF!&lt;0</formula>
    </cfRule>
  </conditionalFormatting>
  <conditionalFormatting sqref="D123"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5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G29:G40">
    <cfRule type="colorScale" priority="31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9:H40">
    <cfRule type="dataBar" priority="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45:G56">
    <cfRule type="colorScale" priority="26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{C63AFAC2-DD4F-4CA1-A31A-AF7FAFD34538}</x14:id>
        </ext>
      </extLst>
    </cfRule>
  </conditionalFormatting>
  <conditionalFormatting sqref="G61:G72">
    <cfRule type="colorScale" priority="2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61:H72"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{720F7BB4-C23A-49AB-B89A-C11DD09D9862}</x14:id>
        </ext>
      </extLst>
    </cfRule>
  </conditionalFormatting>
  <conditionalFormatting sqref="G77:G88">
    <cfRule type="colorScale" priority="2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77:H88">
    <cfRule type="dataBar" priority="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{BBBE189C-C8DE-49AB-97E4-080C86FB9BE5}</x14:id>
        </ext>
      </extLst>
    </cfRule>
  </conditionalFormatting>
  <conditionalFormatting sqref="G93:G104">
    <cfRule type="colorScale" priority="2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93:H104">
    <cfRule type="dataBar" priority="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{E7BB656D-7733-4E7D-954D-75D96AF60F24}</x14:id>
        </ext>
      </extLst>
    </cfRule>
  </conditionalFormatting>
  <conditionalFormatting sqref="H109:H120">
    <cfRule type="colorScale" priority="18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I13:J24">
    <cfRule type="colorScale" priority="15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32:J40 I29:I31">
    <cfRule type="colorScale" priority="13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45:J56">
    <cfRule type="colorScale" priority="12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61:J72">
    <cfRule type="colorScale" priority="11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77:J88">
    <cfRule type="colorScale" priority="10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93:J104">
    <cfRule type="colorScale" priority="9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109:J120">
    <cfRule type="colorScale" priority="8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12">
    <cfRule type="colorScale" priority="4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30:J31">
    <cfRule type="colorScale" priority="3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26:J29">
    <cfRule type="colorScale" priority="2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41:J44">
    <cfRule type="colorScale" priority="1">
      <colorScale>
        <cfvo type="min"/>
        <cfvo type="percentile" val="50"/>
        <cfvo type="max"/>
        <color theme="1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D123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C63AFAC2-DD4F-4CA1-A31A-AF7FAFD345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  <x14:conditionalFormatting xmlns:xm="http://schemas.microsoft.com/office/excel/2006/main">
          <x14:cfRule type="dataBar" id="{720F7BB4-C23A-49AB-B89A-C11DD09D98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H61:H72</xm:sqref>
        </x14:conditionalFormatting>
        <x14:conditionalFormatting xmlns:xm="http://schemas.microsoft.com/office/excel/2006/main">
          <x14:cfRule type="dataBar" id="{BBBE189C-C8DE-49AB-97E4-080C86FB9B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H77:H88</xm:sqref>
        </x14:conditionalFormatting>
        <x14:conditionalFormatting xmlns:xm="http://schemas.microsoft.com/office/excel/2006/main">
          <x14:cfRule type="dataBar" id="{E7BB656D-7733-4E7D-954D-75D96AF60F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H93:H104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59"/>
  <sheetViews>
    <sheetView topLeftCell="U1" workbookViewId="0">
      <selection activeCell="X6" sqref="X6"/>
    </sheetView>
  </sheetViews>
  <sheetFormatPr defaultColWidth="9" defaultRowHeight="14.25" x14ac:dyDescent="0.2"/>
  <cols>
    <col min="1" max="17" width="9" style="130"/>
    <col min="18" max="18" width="14.375" style="130" customWidth="1"/>
    <col min="19" max="19" width="9" style="130"/>
    <col min="20" max="20" width="15.25" style="130" customWidth="1"/>
    <col min="21" max="21" width="17.75" style="130" customWidth="1"/>
    <col min="22" max="22" width="11.25" style="130" customWidth="1"/>
    <col min="23" max="23" width="40" style="130" customWidth="1"/>
    <col min="24" max="24" width="12.875" style="130" customWidth="1"/>
    <col min="25" max="16384" width="9" style="130"/>
  </cols>
  <sheetData>
    <row r="1" spans="1:30" x14ac:dyDescent="0.2">
      <c r="A1" s="129"/>
      <c r="B1" s="129"/>
      <c r="C1" s="129" t="s">
        <v>2</v>
      </c>
      <c r="D1" s="130">
        <v>1</v>
      </c>
      <c r="E1" s="130">
        <v>2</v>
      </c>
      <c r="F1" s="130">
        <v>3</v>
      </c>
      <c r="G1" s="130">
        <v>4</v>
      </c>
      <c r="H1" s="130">
        <v>5</v>
      </c>
      <c r="I1" s="130">
        <v>6</v>
      </c>
      <c r="J1" s="130">
        <v>7</v>
      </c>
      <c r="K1" s="130">
        <v>8</v>
      </c>
      <c r="L1" s="130">
        <v>9</v>
      </c>
      <c r="M1" s="130">
        <v>10</v>
      </c>
      <c r="N1" s="130">
        <v>11</v>
      </c>
      <c r="O1" s="130">
        <v>12</v>
      </c>
      <c r="P1" s="131"/>
      <c r="Q1" s="132" t="s">
        <v>14</v>
      </c>
      <c r="R1" s="133" t="s">
        <v>3</v>
      </c>
      <c r="S1" s="133" t="s">
        <v>0</v>
      </c>
      <c r="T1" s="133" t="s">
        <v>1</v>
      </c>
      <c r="U1" s="131" t="s">
        <v>4</v>
      </c>
      <c r="V1" s="131"/>
      <c r="W1" s="133"/>
      <c r="X1" s="131"/>
      <c r="Y1" s="133"/>
      <c r="Z1" s="133"/>
      <c r="AA1" s="131"/>
      <c r="AB1" s="131"/>
      <c r="AC1" s="134"/>
      <c r="AD1" s="131"/>
    </row>
    <row r="2" spans="1:30" x14ac:dyDescent="0.2">
      <c r="A2" s="129" t="str">
        <f>Q2</f>
        <v>EDAU19</v>
      </c>
      <c r="B2" s="129" t="str">
        <f>RTD("cqg.rtd", ,"ContractData",A2, "ContractMonth")</f>
        <v>SEP</v>
      </c>
      <c r="C2" s="135" t="str">
        <f>IF(B2="Jan","F",IF(B2="Feb","G",IF(B2="Mar","H",IF(B2="Apr","J",IF(B2="May","K",IF(B2="JUN","M",IF(B2="Jul","N",IF(B2="Aug","Q",IF(B2="Sep","U",IF(B2="Oct","V",IF(B2="Nov","X",IF(B2="Dec","Z"))))))))))))</f>
        <v>U</v>
      </c>
      <c r="D2" s="130" t="str">
        <f>$Q$1&amp;$C$1&amp;$D$1&amp;$C2</f>
        <v>EDAS1U</v>
      </c>
      <c r="E2" s="130" t="str">
        <f>$Q$1&amp;$C$1&amp;$D$1&amp;$C3</f>
        <v>EDAS1Z</v>
      </c>
      <c r="F2" s="130" t="str">
        <f>$Q$1&amp;$C$1&amp;$D$1&amp;$C4</f>
        <v>EDAS1H</v>
      </c>
      <c r="G2" s="130" t="str">
        <f>$Q$1&amp;$C$1&amp;$D$1&amp;$C5</f>
        <v>EDAS1M</v>
      </c>
      <c r="H2" s="130" t="str">
        <f>$Q$1&amp;$C$1&amp;$D$1&amp;$C6</f>
        <v>EDAS1U</v>
      </c>
      <c r="I2" s="130" t="str">
        <f>$Q$1&amp;$C$1&amp;$D$1&amp;$C7</f>
        <v>EDAS1Z</v>
      </c>
      <c r="J2" s="130" t="str">
        <f>$Q$1&amp;$C$1&amp;$D$1&amp;$C8</f>
        <v>EDAS1H</v>
      </c>
      <c r="K2" s="130" t="str">
        <f>$Q$1&amp;$C$1&amp;$D$1&amp;$C9</f>
        <v>EDAS1M</v>
      </c>
      <c r="L2" s="130" t="str">
        <f>$Q$1&amp;$C$1&amp;$D$1&amp;$C10</f>
        <v>EDAS1U</v>
      </c>
      <c r="M2" s="130" t="str">
        <f>$Q$1&amp;$C$1&amp;$D$1&amp;$C11</f>
        <v>EDAS1Z</v>
      </c>
      <c r="N2" s="130" t="str">
        <f>$Q$1&amp;$C$1&amp;$D$1&amp;$C12</f>
        <v>EDAS1H</v>
      </c>
      <c r="O2" s="130" t="str">
        <f>$Q$1&amp;$C$1&amp;$D$1&amp;$C13</f>
        <v>EDAS1M</v>
      </c>
      <c r="P2" s="131" t="str">
        <f>LEFT(RIGHT(Q2,2),1)</f>
        <v>1</v>
      </c>
      <c r="Q2" s="136" t="str">
        <f>RTD("cqg.rtd", ,"ContractData", $Q$1&amp;"?"&amp;R35, "Symbol")</f>
        <v>EDAU19</v>
      </c>
      <c r="R2" s="137">
        <f>RTD("cqg.rtd", ,"ContractData", Q2, $R$1,,"T")</f>
        <v>98.045000000000002</v>
      </c>
      <c r="S2" s="137">
        <f>RTD("cqg.rtd", ,"ContractData", Q2,$S$1,,"T")</f>
        <v>98.045000000000002</v>
      </c>
      <c r="T2" s="137">
        <f>RTD("cqg.rtd", ,"ContractData", Q2,$T$1,,"T")</f>
        <v>98.05</v>
      </c>
      <c r="U2" s="134">
        <f>RTD("cqg.rtd", ,"ContractData", "F."&amp;$Q$1&amp;"?1", $U$1,,"T")</f>
        <v>3.4999999999996589E-2</v>
      </c>
      <c r="V2" s="131"/>
      <c r="W2" s="134"/>
      <c r="X2" s="134"/>
      <c r="Y2" s="134"/>
      <c r="Z2" s="134"/>
      <c r="AA2" s="134"/>
      <c r="AB2" s="134"/>
      <c r="AC2" s="134"/>
      <c r="AD2" s="134"/>
    </row>
    <row r="3" spans="1:30" x14ac:dyDescent="0.2">
      <c r="A3" s="129" t="str">
        <f t="shared" ref="A3:A13" si="0">Q3</f>
        <v>EDAZ19</v>
      </c>
      <c r="B3" s="129" t="str">
        <f>RTD("cqg.rtd", ,"ContractData",A3, "ContractMonth")</f>
        <v>DEC</v>
      </c>
      <c r="C3" s="135" t="str">
        <f t="shared" ref="C3:C13" si="1">IF(B3="Jan","F",IF(B3="Feb","G",IF(B3="Mar","H",IF(B3="Apr","J",IF(B3="May","K",IF(B3="JUN","M",IF(B3="Jul","N",IF(B3="Aug","Q",IF(B3="Sep","U",IF(B3="Oct","V",IF(B3="Nov","X",IF(B3="Dec","Z"))))))))))))</f>
        <v>Z</v>
      </c>
      <c r="D3" s="130" t="str">
        <f t="shared" ref="D3:D13" si="2">$Q$1&amp;$C$1&amp;$D$1&amp;$C3</f>
        <v>EDAS1Z</v>
      </c>
      <c r="P3" s="131" t="str">
        <f t="shared" ref="P3:P23" si="3">LEFT(RIGHT(Q3,2),1)</f>
        <v>1</v>
      </c>
      <c r="Q3" s="136" t="str">
        <f>RTD("cqg.rtd", ,"ContractData", $Q$1&amp;"?"&amp;R36, "Symbol")</f>
        <v>EDAZ19</v>
      </c>
      <c r="R3" s="138">
        <f>RTD("cqg.rtd", ,"ContractData", Q3, $R$1,,"T")</f>
        <v>98.16</v>
      </c>
      <c r="S3" s="137">
        <f>RTD("cqg.rtd", ,"ContractData", Q3,$S$1,,"T")</f>
        <v>98.155000000000001</v>
      </c>
      <c r="T3" s="137">
        <f>RTD("cqg.rtd", ,"ContractData", Q3,$T$1,,"T")</f>
        <v>98.16</v>
      </c>
      <c r="U3" s="134">
        <f>RTD("cqg.rtd", ,"ContractData", "F."&amp;$Q$1&amp;"?2",  $U$1,,"T")</f>
        <v>4.4999999999987494E-2</v>
      </c>
      <c r="V3" s="131"/>
      <c r="W3" s="134"/>
      <c r="X3" s="134"/>
      <c r="Y3" s="134"/>
      <c r="Z3" s="134"/>
      <c r="AA3" s="134"/>
      <c r="AB3" s="134"/>
      <c r="AC3" s="134"/>
      <c r="AD3" s="134"/>
    </row>
    <row r="4" spans="1:30" x14ac:dyDescent="0.2">
      <c r="A4" s="129" t="str">
        <f t="shared" si="0"/>
        <v>EDAH20</v>
      </c>
      <c r="B4" s="129" t="str">
        <f>RTD("cqg.rtd", ,"ContractData",A4, "ContractMonth")</f>
        <v>MAR</v>
      </c>
      <c r="C4" s="135" t="str">
        <f t="shared" si="1"/>
        <v>H</v>
      </c>
      <c r="D4" s="130" t="str">
        <f t="shared" si="2"/>
        <v>EDAS1H</v>
      </c>
      <c r="P4" s="131" t="str">
        <f t="shared" si="3"/>
        <v>2</v>
      </c>
      <c r="Q4" s="136" t="str">
        <f>RTD("cqg.rtd", ,"ContractData", $Q$1&amp;"?"&amp;R37, "Symbol")</f>
        <v>EDAH20</v>
      </c>
      <c r="R4" s="138">
        <f>RTD("cqg.rtd", ,"ContractData", Q4, $R$1,,"T")</f>
        <v>98.36</v>
      </c>
      <c r="S4" s="137">
        <f>RTD("cqg.rtd", ,"ContractData", Q4,$S$1,,"T")</f>
        <v>98.355000000000004</v>
      </c>
      <c r="T4" s="137">
        <f>RTD("cqg.rtd", ,"ContractData", Q4,$T$1,,"T")</f>
        <v>98.36</v>
      </c>
      <c r="U4" s="134">
        <f>RTD("cqg.rtd", ,"ContractData", "F."&amp;$Q$1&amp;"?3",  $U$1,,"T")</f>
        <v>5.499999999999261E-2</v>
      </c>
      <c r="V4" s="131"/>
      <c r="W4" s="134"/>
      <c r="X4" s="134"/>
      <c r="Y4" s="134"/>
      <c r="Z4" s="134"/>
      <c r="AA4" s="134"/>
      <c r="AB4" s="134"/>
      <c r="AC4" s="134"/>
      <c r="AD4" s="134"/>
    </row>
    <row r="5" spans="1:30" x14ac:dyDescent="0.2">
      <c r="A5" s="129" t="str">
        <f t="shared" si="0"/>
        <v>EDAM20</v>
      </c>
      <c r="B5" s="129" t="str">
        <f>RTD("cqg.rtd", ,"ContractData",A5, "ContractMonth")</f>
        <v>JUN</v>
      </c>
      <c r="C5" s="135" t="str">
        <f t="shared" si="1"/>
        <v>M</v>
      </c>
      <c r="D5" s="130" t="str">
        <f t="shared" si="2"/>
        <v>EDAS1M</v>
      </c>
      <c r="P5" s="131" t="str">
        <f t="shared" si="3"/>
        <v>2</v>
      </c>
      <c r="Q5" s="136" t="str">
        <f>RTD("cqg.rtd", ,"ContractData", $Q$1&amp;"?"&amp;R38, "Symbol")</f>
        <v>EDAM20</v>
      </c>
      <c r="R5" s="138">
        <f>RTD("cqg.rtd", ,"ContractData", Q5, $R$1,,"T")</f>
        <v>98.445000000000007</v>
      </c>
      <c r="S5" s="137">
        <f>RTD("cqg.rtd", ,"ContractData", Q5,$S$1,,"T")</f>
        <v>98.44</v>
      </c>
      <c r="T5" s="137">
        <f>RTD("cqg.rtd", ,"ContractData", Q5,$T$1,,"T")</f>
        <v>98.445000000000007</v>
      </c>
      <c r="U5" s="134">
        <f>RTD("cqg.rtd", ,"ContractData", "F."&amp;$Q$1&amp;"?4",  $U$1,,"T")</f>
        <v>5.5000000000006821E-2</v>
      </c>
      <c r="V5" s="131"/>
      <c r="W5" s="134"/>
      <c r="X5" s="134"/>
      <c r="Y5" s="134"/>
      <c r="Z5" s="134"/>
      <c r="AA5" s="134"/>
      <c r="AB5" s="134"/>
      <c r="AC5" s="134"/>
      <c r="AD5" s="134"/>
    </row>
    <row r="6" spans="1:30" x14ac:dyDescent="0.2">
      <c r="A6" s="129" t="str">
        <f t="shared" si="0"/>
        <v>EDAU20</v>
      </c>
      <c r="B6" s="129" t="str">
        <f>RTD("cqg.rtd", ,"ContractData",A6, "ContractMonth")</f>
        <v>SEP</v>
      </c>
      <c r="C6" s="135" t="str">
        <f t="shared" si="1"/>
        <v>U</v>
      </c>
      <c r="D6" s="130" t="str">
        <f t="shared" si="2"/>
        <v>EDAS1U</v>
      </c>
      <c r="P6" s="131" t="str">
        <f t="shared" si="3"/>
        <v>2</v>
      </c>
      <c r="Q6" s="136" t="str">
        <f>RTD("cqg.rtd", ,"ContractData", $Q$1&amp;"?"&amp;R39, "Symbol")</f>
        <v>EDAU20</v>
      </c>
      <c r="R6" s="138">
        <f>RTD("cqg.rtd", ,"ContractData", Q6, $R$1,,"T")</f>
        <v>98.504999999999995</v>
      </c>
      <c r="S6" s="137">
        <f>RTD("cqg.rtd", ,"ContractData", Q6,$S$1,,"T")</f>
        <v>98.5</v>
      </c>
      <c r="T6" s="137">
        <f>RTD("cqg.rtd", ,"ContractData", Q6,$T$1,,"T")</f>
        <v>98.504999999999995</v>
      </c>
      <c r="U6" s="134">
        <f>RTD("cqg.rtd", ,"ContractData", "F."&amp;$Q$1&amp;"?5",  $U$1,,"T")</f>
        <v>5.499999999999261E-2</v>
      </c>
      <c r="V6" s="131"/>
      <c r="W6" s="134"/>
      <c r="X6" s="134"/>
      <c r="Y6" s="134"/>
      <c r="Z6" s="134"/>
      <c r="AA6" s="134"/>
      <c r="AB6" s="134"/>
      <c r="AC6" s="134"/>
      <c r="AD6" s="134"/>
    </row>
    <row r="7" spans="1:30" x14ac:dyDescent="0.2">
      <c r="A7" s="129" t="str">
        <f t="shared" si="0"/>
        <v>EDAZ20</v>
      </c>
      <c r="B7" s="129" t="str">
        <f>RTD("cqg.rtd", ,"ContractData",A7, "ContractMonth")</f>
        <v>DEC</v>
      </c>
      <c r="C7" s="135" t="str">
        <f t="shared" si="1"/>
        <v>Z</v>
      </c>
      <c r="D7" s="130" t="str">
        <f t="shared" si="2"/>
        <v>EDAS1Z</v>
      </c>
      <c r="P7" s="131" t="str">
        <f t="shared" si="3"/>
        <v>2</v>
      </c>
      <c r="Q7" s="136" t="str">
        <f>RTD("cqg.rtd", ,"ContractData", $Q$1&amp;"?"&amp;R40, "Symbol")</f>
        <v>EDAZ20</v>
      </c>
      <c r="R7" s="138">
        <f>RTD("cqg.rtd", ,"ContractData", Q7, $R$1,,"T")</f>
        <v>98.495000000000005</v>
      </c>
      <c r="S7" s="137">
        <f>RTD("cqg.rtd", ,"ContractData", Q7,$S$1,,"T")</f>
        <v>98.490000000000009</v>
      </c>
      <c r="T7" s="137">
        <f>RTD("cqg.rtd", ,"ContractData", Q7,$T$1,,"T")</f>
        <v>98.5</v>
      </c>
      <c r="U7" s="134">
        <f>RTD("cqg.rtd", ,"ContractData", "F."&amp;$Q$1&amp;"?6", $U$1,,"T")</f>
        <v>5.499999999999261E-2</v>
      </c>
      <c r="V7" s="131"/>
      <c r="W7" s="134"/>
      <c r="X7" s="134"/>
      <c r="Y7" s="134"/>
      <c r="Z7" s="134"/>
      <c r="AA7" s="134"/>
      <c r="AB7" s="134"/>
      <c r="AC7" s="134"/>
      <c r="AD7" s="134"/>
    </row>
    <row r="8" spans="1:30" x14ac:dyDescent="0.2">
      <c r="A8" s="129" t="str">
        <f t="shared" si="0"/>
        <v>EDAH21</v>
      </c>
      <c r="B8" s="129" t="str">
        <f>RTD("cqg.rtd", ,"ContractData",A8, "ContractMonth")</f>
        <v>MAR</v>
      </c>
      <c r="C8" s="135" t="str">
        <f t="shared" si="1"/>
        <v>H</v>
      </c>
      <c r="D8" s="130" t="str">
        <f t="shared" si="2"/>
        <v>EDAS1H</v>
      </c>
      <c r="P8" s="131" t="str">
        <f t="shared" si="3"/>
        <v>2</v>
      </c>
      <c r="Q8" s="136" t="str">
        <f>RTD("cqg.rtd", ,"ContractData", $Q$1&amp;"?"&amp;R41, "Symbol")</f>
        <v>EDAH21</v>
      </c>
      <c r="R8" s="138">
        <f>RTD("cqg.rtd", ,"ContractData", Q8, $R$1,,"T")</f>
        <v>98.51</v>
      </c>
      <c r="S8" s="137">
        <f>RTD("cqg.rtd", ,"ContractData", Q8,$S$1,,"T")</f>
        <v>98.51</v>
      </c>
      <c r="T8" s="137">
        <f>RTD("cqg.rtd", ,"ContractData", Q8,$T$1,,"T")</f>
        <v>98.515000000000001</v>
      </c>
      <c r="U8" s="134">
        <f>RTD("cqg.rtd", ,"ContractData", "F."&amp;$Q$1&amp;"?7", $U$1,,"T")</f>
        <v>4.9999999999997158E-2</v>
      </c>
      <c r="V8" s="131"/>
      <c r="W8" s="134"/>
      <c r="X8" s="134"/>
      <c r="Y8" s="134"/>
      <c r="Z8" s="134"/>
      <c r="AA8" s="134"/>
      <c r="AB8" s="134"/>
      <c r="AC8" s="134"/>
      <c r="AD8" s="134"/>
    </row>
    <row r="9" spans="1:30" x14ac:dyDescent="0.2">
      <c r="A9" s="129" t="str">
        <f t="shared" si="0"/>
        <v>EDAM21</v>
      </c>
      <c r="B9" s="129" t="str">
        <f>RTD("cqg.rtd", ,"ContractData",A9, "ContractMonth")</f>
        <v>JUN</v>
      </c>
      <c r="C9" s="135" t="str">
        <f t="shared" si="1"/>
        <v>M</v>
      </c>
      <c r="D9" s="130" t="str">
        <f t="shared" si="2"/>
        <v>EDAS1M</v>
      </c>
      <c r="P9" s="131" t="str">
        <f t="shared" si="3"/>
        <v>2</v>
      </c>
      <c r="Q9" s="136" t="str">
        <f>RTD("cqg.rtd", ,"ContractData", $Q$1&amp;"?"&amp;R42, "Symbol")</f>
        <v>EDAM21</v>
      </c>
      <c r="R9" s="138">
        <f>RTD("cqg.rtd", ,"ContractData", Q9, $R$1,,"T")</f>
        <v>98.475000000000009</v>
      </c>
      <c r="S9" s="137">
        <f>RTD("cqg.rtd", ,"ContractData", Q9,$S$1,,"T")</f>
        <v>98.47</v>
      </c>
      <c r="T9" s="137">
        <f>RTD("cqg.rtd", ,"ContractData", Q9,$T$1,,"T")</f>
        <v>98.475000000000009</v>
      </c>
      <c r="U9" s="134">
        <f>RTD("cqg.rtd", ,"ContractData", "F."&amp;$Q$1&amp;"?8", $U$1,,"T")</f>
        <v>5.0000000000011369E-2</v>
      </c>
      <c r="V9" s="131"/>
      <c r="W9" s="134"/>
      <c r="X9" s="134"/>
      <c r="Y9" s="134"/>
      <c r="Z9" s="134"/>
      <c r="AA9" s="134"/>
      <c r="AB9" s="134"/>
      <c r="AC9" s="134"/>
      <c r="AD9" s="134"/>
    </row>
    <row r="10" spans="1:30" x14ac:dyDescent="0.2">
      <c r="A10" s="129" t="str">
        <f t="shared" si="0"/>
        <v>EDAU21</v>
      </c>
      <c r="B10" s="129" t="str">
        <f>RTD("cqg.rtd", ,"ContractData",A10, "ContractMonth")</f>
        <v>SEP</v>
      </c>
      <c r="C10" s="135" t="str">
        <f t="shared" si="1"/>
        <v>U</v>
      </c>
      <c r="D10" s="130" t="str">
        <f t="shared" si="2"/>
        <v>EDAS1U</v>
      </c>
      <c r="P10" s="131" t="str">
        <f t="shared" si="3"/>
        <v>2</v>
      </c>
      <c r="Q10" s="136" t="str">
        <f>RTD("cqg.rtd", ,"ContractData", $Q$1&amp;"?"&amp;R43, "Symbol")</f>
        <v>EDAU21</v>
      </c>
      <c r="R10" s="138">
        <f>RTD("cqg.rtd", ,"ContractData", Q10, $R$1,,"T")</f>
        <v>98.44</v>
      </c>
      <c r="S10" s="137">
        <f>RTD("cqg.rtd", ,"ContractData", Q10,$S$1,,"T")</f>
        <v>98.44</v>
      </c>
      <c r="T10" s="137">
        <f>RTD("cqg.rtd", ,"ContractData", Q10,$T$1,,"T")</f>
        <v>98.445000000000007</v>
      </c>
      <c r="U10" s="134">
        <f>RTD("cqg.rtd", ,"ContractData", "F."&amp;$Q$1&amp;"?9", $U$1,,"T")</f>
        <v>4.5000000000001705E-2</v>
      </c>
      <c r="V10" s="131"/>
      <c r="W10" s="134"/>
      <c r="X10" s="134"/>
      <c r="Y10" s="134"/>
      <c r="Z10" s="134"/>
      <c r="AA10" s="134"/>
      <c r="AB10" s="134"/>
      <c r="AC10" s="134"/>
      <c r="AD10" s="134"/>
    </row>
    <row r="11" spans="1:30" x14ac:dyDescent="0.2">
      <c r="A11" s="129" t="str">
        <f t="shared" si="0"/>
        <v>EDAZ21</v>
      </c>
      <c r="B11" s="129" t="str">
        <f>RTD("cqg.rtd", ,"ContractData",A11, "ContractMonth")</f>
        <v>DEC</v>
      </c>
      <c r="C11" s="135" t="str">
        <f t="shared" si="1"/>
        <v>Z</v>
      </c>
      <c r="D11" s="130" t="str">
        <f t="shared" si="2"/>
        <v>EDAS1Z</v>
      </c>
      <c r="P11" s="131" t="str">
        <f t="shared" si="3"/>
        <v>2</v>
      </c>
      <c r="Q11" s="136" t="str">
        <f>RTD("cqg.rtd", ,"ContractData", $Q$1&amp;"?"&amp;R44, "Symbol")</f>
        <v>EDAZ21</v>
      </c>
      <c r="R11" s="138">
        <f>RTD("cqg.rtd", ,"ContractData", Q11, $R$1,,"T")</f>
        <v>98.394999999999996</v>
      </c>
      <c r="S11" s="137">
        <f>RTD("cqg.rtd", ,"ContractData", Q11,$S$1,,"T")</f>
        <v>98.394999999999996</v>
      </c>
      <c r="T11" s="137">
        <f>RTD("cqg.rtd", ,"ContractData", Q11,$T$1,,"T")</f>
        <v>98.4</v>
      </c>
      <c r="U11" s="134">
        <f>RTD("cqg.rtd", ,"ContractData", "F."&amp;$Q$1&amp;"?10", $U$1,,"T")</f>
        <v>3.9999999999992042E-2</v>
      </c>
      <c r="V11" s="131"/>
      <c r="W11" s="134"/>
      <c r="X11" s="134"/>
      <c r="Y11" s="134"/>
      <c r="Z11" s="134"/>
      <c r="AA11" s="134"/>
      <c r="AB11" s="134"/>
      <c r="AC11" s="134"/>
      <c r="AD11" s="134"/>
    </row>
    <row r="12" spans="1:30" x14ac:dyDescent="0.2">
      <c r="A12" s="129" t="str">
        <f t="shared" si="0"/>
        <v>EDAH22</v>
      </c>
      <c r="B12" s="129" t="str">
        <f>RTD("cqg.rtd", ,"ContractData",A12, "ContractMonth")</f>
        <v>MAR</v>
      </c>
      <c r="C12" s="135" t="str">
        <f t="shared" si="1"/>
        <v>H</v>
      </c>
      <c r="D12" s="130" t="str">
        <f t="shared" si="2"/>
        <v>EDAS1H</v>
      </c>
      <c r="P12" s="131" t="str">
        <f t="shared" si="3"/>
        <v>2</v>
      </c>
      <c r="Q12" s="136" t="str">
        <f>RTD("cqg.rtd", ,"ContractData", $Q$1&amp;"?"&amp;R45, "Symbol")</f>
        <v>EDAH22</v>
      </c>
      <c r="R12" s="138">
        <f>RTD("cqg.rtd", ,"ContractData", Q12, $R$1,,"T")</f>
        <v>98.36</v>
      </c>
      <c r="S12" s="137">
        <f>RTD("cqg.rtd", ,"ContractData", Q12,$S$1,,"T")</f>
        <v>98.36</v>
      </c>
      <c r="T12" s="137">
        <f>RTD("cqg.rtd", ,"ContractData", Q12,$T$1,,"T")</f>
        <v>98.365000000000009</v>
      </c>
      <c r="U12" s="134">
        <f>RTD("cqg.rtd", ,"ContractData", "F."&amp;$Q$1&amp;"?11",$U$1,,"T")</f>
        <v>3.4999999999996589E-2</v>
      </c>
      <c r="V12" s="131"/>
      <c r="W12" s="134"/>
      <c r="X12" s="134"/>
      <c r="Y12" s="134"/>
      <c r="Z12" s="134"/>
      <c r="AA12" s="134"/>
      <c r="AB12" s="134"/>
      <c r="AC12" s="134"/>
      <c r="AD12" s="134"/>
    </row>
    <row r="13" spans="1:30" x14ac:dyDescent="0.2">
      <c r="A13" s="129" t="str">
        <f t="shared" si="0"/>
        <v>EDAM22</v>
      </c>
      <c r="B13" s="129" t="str">
        <f>RTD("cqg.rtd", ,"ContractData",A13, "ContractMonth")</f>
        <v>JUN</v>
      </c>
      <c r="C13" s="135" t="str">
        <f t="shared" si="1"/>
        <v>M</v>
      </c>
      <c r="D13" s="130" t="str">
        <f t="shared" si="2"/>
        <v>EDAS1M</v>
      </c>
      <c r="P13" s="131" t="str">
        <f t="shared" si="3"/>
        <v>2</v>
      </c>
      <c r="Q13" s="136" t="str">
        <f>RTD("cqg.rtd", ,"ContractData", $Q$1&amp;"?"&amp;R46, "Symbol")</f>
        <v>EDAM22</v>
      </c>
      <c r="R13" s="138">
        <f>RTD("cqg.rtd", ,"ContractData", Q13, $R$1,,"T")</f>
        <v>98.314999999999998</v>
      </c>
      <c r="S13" s="137">
        <f>RTD("cqg.rtd", ,"ContractData", Q13,$S$1,,"T")</f>
        <v>98.314999999999998</v>
      </c>
      <c r="T13" s="137">
        <f>RTD("cqg.rtd", ,"ContractData", Q13,$T$1,,"T")</f>
        <v>98.320000000000007</v>
      </c>
      <c r="U13" s="134">
        <f>RTD("cqg.rtd", ,"ContractData", "F."&amp;$Q$1&amp;"?12",$U$1,,"T")</f>
        <v>3.4999999999996589E-2</v>
      </c>
      <c r="V13" s="131"/>
      <c r="W13" s="134"/>
      <c r="X13" s="134"/>
      <c r="Y13" s="134"/>
      <c r="Z13" s="134"/>
      <c r="AA13" s="134"/>
      <c r="AB13" s="134"/>
      <c r="AC13" s="134"/>
      <c r="AD13" s="134"/>
    </row>
    <row r="14" spans="1:30" x14ac:dyDescent="0.2">
      <c r="P14" s="131" t="str">
        <f t="shared" si="3"/>
        <v>2</v>
      </c>
      <c r="Q14" s="136" t="str">
        <f>RTD("cqg.rtd", ,"ContractData", $Q$1&amp;"?"&amp;R47, "Symbol")</f>
        <v>EDAU22</v>
      </c>
      <c r="R14" s="138">
        <f>RTD("cqg.rtd", ,"ContractData", Q14, $R$1,,"T")</f>
        <v>98.27</v>
      </c>
      <c r="S14" s="137">
        <f>RTD("cqg.rtd", ,"ContractData", Q14,$S$1,,"T")</f>
        <v>98.275000000000006</v>
      </c>
      <c r="T14" s="137">
        <f>RTD("cqg.rtd", ,"ContractData", Q14,$T$1,,"T")</f>
        <v>98.28</v>
      </c>
      <c r="U14" s="134">
        <f>RTD("cqg.rtd", ,"ContractData", "F."&amp;$Q$1&amp;"?12",$U$1,,"T")</f>
        <v>3.4999999999996589E-2</v>
      </c>
      <c r="V14" s="131"/>
      <c r="W14" s="134"/>
      <c r="X14" s="134"/>
      <c r="Y14" s="134"/>
      <c r="Z14" s="134"/>
      <c r="AA14" s="134"/>
      <c r="AB14" s="134"/>
      <c r="AC14" s="134"/>
      <c r="AD14" s="134"/>
    </row>
    <row r="15" spans="1:30" x14ac:dyDescent="0.2">
      <c r="P15" s="131" t="str">
        <f t="shared" si="3"/>
        <v>2</v>
      </c>
      <c r="Q15" s="136" t="str">
        <f>RTD("cqg.rtd", ,"ContractData", $Q$1&amp;"?"&amp;R48, "Symbol")</f>
        <v>EDAZ22</v>
      </c>
      <c r="R15" s="138">
        <f>RTD("cqg.rtd", ,"ContractData", Q15, $R$1,,"T")</f>
        <v>98.234999999999999</v>
      </c>
      <c r="S15" s="137">
        <f>RTD("cqg.rtd", ,"ContractData", Q15,$S$1,,"T")</f>
        <v>98.234999999999999</v>
      </c>
      <c r="T15" s="137">
        <f>RTD("cqg.rtd", ,"ContractData", Q15,$T$1,,"T")</f>
        <v>98.240000000000009</v>
      </c>
      <c r="U15" s="134">
        <f>RTD("cqg.rtd", ,"ContractData", "F."&amp;$Q$1&amp;"?12",$U$1,,"T")</f>
        <v>3.4999999999996589E-2</v>
      </c>
      <c r="V15" s="131"/>
      <c r="W15" s="134"/>
      <c r="X15" s="134"/>
      <c r="Y15" s="134"/>
      <c r="Z15" s="134"/>
      <c r="AA15" s="134"/>
      <c r="AB15" s="134"/>
      <c r="AC15" s="134"/>
      <c r="AD15" s="134"/>
    </row>
    <row r="16" spans="1:30" x14ac:dyDescent="0.2">
      <c r="P16" s="131" t="str">
        <f t="shared" si="3"/>
        <v>2</v>
      </c>
      <c r="Q16" s="136" t="str">
        <f>RTD("cqg.rtd", ,"ContractData", $Q$1&amp;"?"&amp;R49, "Symbol")</f>
        <v>EDAH23</v>
      </c>
      <c r="R16" s="138">
        <f>RTD("cqg.rtd", ,"ContractData", Q16, $R$1,,"T")</f>
        <v>98.2</v>
      </c>
      <c r="S16" s="137">
        <f>RTD("cqg.rtd", ,"ContractData", Q16,$S$1,,"T")</f>
        <v>98.2</v>
      </c>
      <c r="T16" s="137">
        <f>RTD("cqg.rtd", ,"ContractData", Q16,$T$1,,"T")</f>
        <v>98.204999999999998</v>
      </c>
      <c r="U16" s="134">
        <f>RTD("cqg.rtd", ,"ContractData", "F."&amp;$Q$1&amp;"?12",$U$1,,"T")</f>
        <v>3.4999999999996589E-2</v>
      </c>
      <c r="V16" s="131"/>
      <c r="W16" s="134"/>
      <c r="X16" s="134"/>
      <c r="Y16" s="134"/>
      <c r="Z16" s="134"/>
      <c r="AA16" s="134"/>
      <c r="AB16" s="134"/>
      <c r="AC16" s="134"/>
      <c r="AD16" s="134"/>
    </row>
    <row r="17" spans="2:30" x14ac:dyDescent="0.2">
      <c r="P17" s="131" t="str">
        <f t="shared" si="3"/>
        <v>2</v>
      </c>
      <c r="Q17" s="136" t="str">
        <f>RTD("cqg.rtd", ,"ContractData", $Q$1&amp;"?"&amp;R50, "Symbol")</f>
        <v>EDAM23</v>
      </c>
      <c r="R17" s="138">
        <f>RTD("cqg.rtd", ,"ContractData", Q17, $R$1,,"T")</f>
        <v>98.16</v>
      </c>
      <c r="S17" s="137">
        <f>RTD("cqg.rtd", ,"ContractData", Q17,$S$1,,"T")</f>
        <v>98.16</v>
      </c>
      <c r="T17" s="137">
        <f>RTD("cqg.rtd", ,"ContractData", Q17,$T$1,,"T")</f>
        <v>98.165000000000006</v>
      </c>
      <c r="U17" s="134">
        <f>RTD("cqg.rtd", ,"ContractData", "F."&amp;$Q$1&amp;"?12",$U$1,,"T")</f>
        <v>3.4999999999996589E-2</v>
      </c>
      <c r="V17" s="131"/>
      <c r="W17" s="134"/>
      <c r="X17" s="134"/>
      <c r="Y17" s="134"/>
      <c r="Z17" s="134"/>
      <c r="AA17" s="134"/>
      <c r="AB17" s="134"/>
      <c r="AC17" s="134"/>
      <c r="AD17" s="134"/>
    </row>
    <row r="18" spans="2:30" x14ac:dyDescent="0.2">
      <c r="P18" s="131" t="str">
        <f t="shared" si="3"/>
        <v>2</v>
      </c>
      <c r="Q18" s="136" t="str">
        <f>RTD("cqg.rtd", ,"ContractData", $Q$1&amp;"?"&amp;R51, "Symbol")</f>
        <v>EDAU23</v>
      </c>
      <c r="R18" s="138">
        <f>RTD("cqg.rtd", ,"ContractData", Q18, $R$1,,"T")</f>
        <v>98.115000000000009</v>
      </c>
      <c r="S18" s="137">
        <f>RTD("cqg.rtd", ,"ContractData", Q18,$S$1,,"T")</f>
        <v>98.115000000000009</v>
      </c>
      <c r="T18" s="137">
        <f>RTD("cqg.rtd", ,"ContractData", Q18,$T$1,,"T")</f>
        <v>98.12</v>
      </c>
      <c r="U18" s="134">
        <f>RTD("cqg.rtd", ,"ContractData", "F."&amp;$Q$1&amp;"?12",$U$1,,"T")</f>
        <v>3.4999999999996589E-2</v>
      </c>
      <c r="V18" s="131"/>
      <c r="W18" s="134"/>
      <c r="X18" s="134"/>
      <c r="Y18" s="134"/>
      <c r="Z18" s="134"/>
      <c r="AA18" s="134"/>
      <c r="AB18" s="134"/>
      <c r="AC18" s="134"/>
      <c r="AD18" s="134"/>
    </row>
    <row r="19" spans="2:30" x14ac:dyDescent="0.2">
      <c r="P19" s="131" t="str">
        <f t="shared" si="3"/>
        <v>2</v>
      </c>
      <c r="Q19" s="136" t="str">
        <f>RTD("cqg.rtd", ,"ContractData", $Q$1&amp;"?"&amp;R52, "Symbol")</f>
        <v>EDAZ23</v>
      </c>
      <c r="R19" s="138">
        <f>RTD("cqg.rtd", ,"ContractData", Q19, $R$1,,"T")</f>
        <v>98.070000000000007</v>
      </c>
      <c r="S19" s="137">
        <f>RTD("cqg.rtd", ,"ContractData", Q19,$S$1,,"T")</f>
        <v>98.064999999999998</v>
      </c>
      <c r="T19" s="137">
        <f>RTD("cqg.rtd", ,"ContractData", Q19,$T$1,,"T")</f>
        <v>98.075000000000003</v>
      </c>
      <c r="U19" s="134">
        <f>RTD("cqg.rtd", ,"ContractData", "F."&amp;$Q$1&amp;"?12",$U$1,,"T")</f>
        <v>3.4999999999996589E-2</v>
      </c>
      <c r="V19" s="131"/>
      <c r="W19" s="134"/>
      <c r="X19" s="134"/>
      <c r="Y19" s="134"/>
      <c r="Z19" s="134"/>
      <c r="AA19" s="134"/>
      <c r="AB19" s="134"/>
      <c r="AC19" s="134"/>
      <c r="AD19" s="134"/>
    </row>
    <row r="20" spans="2:30" x14ac:dyDescent="0.2">
      <c r="P20" s="131" t="str">
        <f t="shared" si="3"/>
        <v>2</v>
      </c>
      <c r="Q20" s="136" t="str">
        <f>RTD("cqg.rtd", ,"ContractData", $Q$1&amp;"?"&amp;R53, "Symbol")</f>
        <v>EDAH24</v>
      </c>
      <c r="R20" s="138">
        <f>RTD("cqg.rtd", ,"ContractData", Q20, $R$1,,"T")</f>
        <v>98.03</v>
      </c>
      <c r="S20" s="137">
        <f>RTD("cqg.rtd", ,"ContractData", Q20,$S$1,,"T")</f>
        <v>98.025000000000006</v>
      </c>
      <c r="T20" s="137">
        <f>RTD("cqg.rtd", ,"ContractData", Q20,$T$1,,"T")</f>
        <v>98.034999999999997</v>
      </c>
      <c r="U20" s="134">
        <f>RTD("cqg.rtd", ,"ContractData", "F."&amp;$Q$1&amp;"?12",$U$1,,"T")</f>
        <v>3.4999999999996589E-2</v>
      </c>
      <c r="V20" s="131"/>
      <c r="W20" s="134"/>
      <c r="X20" s="134"/>
      <c r="Y20" s="134"/>
      <c r="Z20" s="134"/>
      <c r="AA20" s="134"/>
      <c r="AB20" s="134"/>
      <c r="AC20" s="134"/>
      <c r="AD20" s="134"/>
    </row>
    <row r="21" spans="2:30" x14ac:dyDescent="0.2">
      <c r="P21" s="131" t="str">
        <f t="shared" si="3"/>
        <v>2</v>
      </c>
      <c r="Q21" s="136" t="str">
        <f>RTD("cqg.rtd", ,"ContractData", $Q$1&amp;"?"&amp;R54, "Symbol")</f>
        <v>EDAM24</v>
      </c>
      <c r="R21" s="138">
        <f>RTD("cqg.rtd", ,"ContractData", Q21, $R$1,,"T")</f>
        <v>97.984999999999999</v>
      </c>
      <c r="S21" s="137">
        <f>RTD("cqg.rtd", ,"ContractData", Q21,$S$1,,"T")</f>
        <v>97.984999999999999</v>
      </c>
      <c r="T21" s="137">
        <f>RTD("cqg.rtd", ,"ContractData", Q21,$T$1,,"T")</f>
        <v>97.990000000000009</v>
      </c>
      <c r="U21" s="134">
        <f>RTD("cqg.rtd", ,"ContractData", "F."&amp;$Q$1&amp;"?12",$U$1,,"T")</f>
        <v>3.4999999999996589E-2</v>
      </c>
      <c r="V21" s="131"/>
      <c r="W21" s="134"/>
      <c r="X21" s="134"/>
      <c r="Y21" s="134"/>
      <c r="Z21" s="134"/>
      <c r="AA21" s="134"/>
      <c r="AB21" s="134"/>
      <c r="AC21" s="134"/>
      <c r="AD21" s="134"/>
    </row>
    <row r="22" spans="2:30" x14ac:dyDescent="0.2">
      <c r="P22" s="131" t="str">
        <f t="shared" si="3"/>
        <v>2</v>
      </c>
      <c r="Q22" s="136" t="str">
        <f>RTD("cqg.rtd", ,"ContractData", $Q$1&amp;"?"&amp;R55, "Symbol")</f>
        <v>EDAU24</v>
      </c>
      <c r="R22" s="138">
        <f>RTD("cqg.rtd", ,"ContractData", Q22, $R$1,,"T")</f>
        <v>97.945000000000007</v>
      </c>
      <c r="S22" s="137">
        <f>RTD("cqg.rtd", ,"ContractData", Q22,$S$1,,"T")</f>
        <v>97.94</v>
      </c>
      <c r="T22" s="137">
        <f>RTD("cqg.rtd", ,"ContractData", Q22,$T$1,,"T")</f>
        <v>97.95</v>
      </c>
      <c r="U22" s="134">
        <f>RTD("cqg.rtd", ,"ContractData", "F."&amp;$Q$1&amp;"?12",$U$1,,"T")</f>
        <v>3.4999999999996589E-2</v>
      </c>
      <c r="V22" s="131"/>
      <c r="W22" s="134"/>
      <c r="X22" s="134"/>
      <c r="Y22" s="134"/>
      <c r="Z22" s="134"/>
      <c r="AA22" s="134"/>
      <c r="AB22" s="134"/>
      <c r="AC22" s="134"/>
      <c r="AD22" s="134"/>
    </row>
    <row r="23" spans="2:30" x14ac:dyDescent="0.2">
      <c r="P23" s="131" t="str">
        <f t="shared" si="3"/>
        <v>2</v>
      </c>
      <c r="Q23" s="136" t="str">
        <f>RTD("cqg.rtd", ,"ContractData", $Q$1&amp;"?"&amp;R56, "Symbol")</f>
        <v>EDAZ24</v>
      </c>
      <c r="R23" s="138">
        <f>RTD("cqg.rtd", ,"ContractData", Q23, $R$1,,"T")</f>
        <v>97.894999999999996</v>
      </c>
      <c r="S23" s="137">
        <f>RTD("cqg.rtd", ,"ContractData", Q23,$S$1,,"T")</f>
        <v>97.9</v>
      </c>
      <c r="T23" s="137">
        <f>RTD("cqg.rtd", ,"ContractData", Q23,$T$1,,"T")</f>
        <v>97.905000000000001</v>
      </c>
      <c r="U23" s="134">
        <f>RTD("cqg.rtd", ,"ContractData", "F."&amp;$Q$1&amp;"?12",$U$1,,"T")</f>
        <v>3.4999999999996589E-2</v>
      </c>
      <c r="V23" s="131"/>
      <c r="W23" s="134"/>
      <c r="X23" s="134"/>
      <c r="Y23" s="134"/>
      <c r="Z23" s="134"/>
      <c r="AA23" s="134"/>
      <c r="AB23" s="134"/>
      <c r="AC23" s="134"/>
      <c r="AD23" s="134"/>
    </row>
    <row r="24" spans="2:30" x14ac:dyDescent="0.2">
      <c r="T24" s="139"/>
      <c r="U24" s="139"/>
      <c r="V24" s="139"/>
      <c r="X24" s="139"/>
      <c r="Y24" s="139"/>
      <c r="Z24" s="139"/>
      <c r="AB24" s="139"/>
      <c r="AC24" s="139"/>
    </row>
    <row r="25" spans="2:30" x14ac:dyDescent="0.2">
      <c r="B25" s="130" t="s">
        <v>15</v>
      </c>
      <c r="C25" s="130" t="s">
        <v>16</v>
      </c>
      <c r="D25" s="130" t="s">
        <v>17</v>
      </c>
      <c r="E25" s="130" t="s">
        <v>15</v>
      </c>
      <c r="F25" s="130" t="s">
        <v>16</v>
      </c>
      <c r="G25" s="130" t="s">
        <v>17</v>
      </c>
      <c r="T25" s="139"/>
      <c r="U25" s="139"/>
      <c r="V25" s="139"/>
      <c r="X25" s="139"/>
      <c r="Y25" s="139"/>
      <c r="Z25" s="139"/>
    </row>
    <row r="26" spans="2:30" x14ac:dyDescent="0.2">
      <c r="B26" s="140">
        <f xml:space="preserve"> RTD("cqg.rtd",,"StudyData",Q2,  "Bar",, "Close","D","-1","All",,,,"T")</f>
        <v>98.015000000000001</v>
      </c>
      <c r="C26" s="140">
        <f xml:space="preserve"> RTD("cqg.rtd",,"StudyData",Q2,  "Bar",, "Close","D","-5","All",,,,"T")</f>
        <v>97.9</v>
      </c>
      <c r="D26" s="140">
        <f xml:space="preserve"> RTD("cqg.rtd",,"StudyData",Q2,  "Bar",, "Close","D","-20","All",,,,"T")</f>
        <v>97.6</v>
      </c>
      <c r="E26" s="140">
        <f>R2-B26</f>
        <v>3.0000000000001137E-2</v>
      </c>
      <c r="F26" s="140">
        <f>R2-C26</f>
        <v>0.14499999999999602</v>
      </c>
      <c r="G26" s="140">
        <f>R2-D26</f>
        <v>0.44500000000000739</v>
      </c>
      <c r="T26" s="139"/>
      <c r="U26" s="139"/>
      <c r="V26" s="139"/>
      <c r="X26" s="139"/>
      <c r="Y26" s="139"/>
      <c r="Z26" s="139"/>
    </row>
    <row r="27" spans="2:30" x14ac:dyDescent="0.2">
      <c r="B27" s="141">
        <f xml:space="preserve"> RTD("cqg.rtd",,"StudyData",Q3,  "Bar",, "Close","D","-1","All",,,,"T")</f>
        <v>98.114999999999995</v>
      </c>
      <c r="C27" s="141">
        <f xml:space="preserve"> RTD("cqg.rtd",,"StudyData",Q3,  "Bar",, "Close","D","-5","All",,,,"T")</f>
        <v>98.01</v>
      </c>
      <c r="D27" s="141">
        <f xml:space="preserve"> RTD("cqg.rtd",,"StudyData",Q3,  "Bar",, "Close","D","-20","All",,,,"T")</f>
        <v>97.69</v>
      </c>
      <c r="E27" s="140">
        <f t="shared" ref="E27:E45" si="4">R3-B27</f>
        <v>4.5000000000001705E-2</v>
      </c>
      <c r="F27" s="140">
        <f t="shared" ref="F27:F45" si="5">R3-C27</f>
        <v>0.14999999999999147</v>
      </c>
      <c r="G27" s="140">
        <f t="shared" ref="G27:G45" si="6">R3-D27</f>
        <v>0.46999999999999886</v>
      </c>
      <c r="T27" s="139"/>
      <c r="U27" s="139"/>
      <c r="V27" s="139"/>
      <c r="X27" s="139"/>
      <c r="Y27" s="139"/>
      <c r="Z27" s="139"/>
    </row>
    <row r="28" spans="2:30" x14ac:dyDescent="0.2">
      <c r="B28" s="141">
        <f xml:space="preserve"> RTD("cqg.rtd",,"StudyData",Q4,  "Bar",, "Close","D","-1","All",,,,"T")</f>
        <v>98.305000000000007</v>
      </c>
      <c r="C28" s="141">
        <f xml:space="preserve"> RTD("cqg.rtd",,"StudyData",Q4,  "Bar",, "Close","D","-5","All",,,,"T")</f>
        <v>98.2</v>
      </c>
      <c r="D28" s="141">
        <f xml:space="preserve"> RTD("cqg.rtd",,"StudyData",Q4,  "Bar",, "Close","D","-20","All",,,,"T")</f>
        <v>97.86</v>
      </c>
      <c r="E28" s="140">
        <f t="shared" si="4"/>
        <v>5.499999999999261E-2</v>
      </c>
      <c r="F28" s="140">
        <f t="shared" si="5"/>
        <v>0.15999999999999659</v>
      </c>
      <c r="G28" s="140">
        <f t="shared" si="6"/>
        <v>0.5</v>
      </c>
      <c r="T28" s="139"/>
      <c r="U28" s="139"/>
      <c r="V28" s="139"/>
      <c r="X28" s="139"/>
      <c r="Y28" s="139"/>
      <c r="Z28" s="139"/>
    </row>
    <row r="29" spans="2:30" x14ac:dyDescent="0.2">
      <c r="B29" s="141">
        <f xml:space="preserve"> RTD("cqg.rtd",,"StudyData",Q5,  "Bar",, "Close","D","-1","All",,,,"T")</f>
        <v>98.39</v>
      </c>
      <c r="C29" s="141">
        <f xml:space="preserve"> RTD("cqg.rtd",,"StudyData",Q5,  "Bar",, "Close","D","-5","All",,,,"T")</f>
        <v>98.284999999999997</v>
      </c>
      <c r="D29" s="141">
        <f xml:space="preserve"> RTD("cqg.rtd",,"StudyData",Q5,  "Bar",, "Close","D","-20","All",,,,"T")</f>
        <v>97.974999999999994</v>
      </c>
      <c r="E29" s="140">
        <f t="shared" si="4"/>
        <v>5.5000000000006821E-2</v>
      </c>
      <c r="F29" s="140">
        <f t="shared" si="5"/>
        <v>0.1600000000000108</v>
      </c>
      <c r="G29" s="140">
        <f t="shared" si="6"/>
        <v>0.47000000000001307</v>
      </c>
      <c r="T29" s="139"/>
      <c r="U29" s="139"/>
      <c r="V29" s="139"/>
      <c r="X29" s="139"/>
      <c r="Y29" s="139"/>
      <c r="Z29" s="139"/>
    </row>
    <row r="30" spans="2:30" x14ac:dyDescent="0.2">
      <c r="B30" s="141">
        <f xml:space="preserve"> RTD("cqg.rtd",,"StudyData",Q6,  "Bar",, "Close","D","-1","All",,,,"T")</f>
        <v>98.45</v>
      </c>
      <c r="C30" s="141">
        <f xml:space="preserve"> RTD("cqg.rtd",,"StudyData",Q6,  "Bar",, "Close","D","-5","All",,,,"T")</f>
        <v>98.35</v>
      </c>
      <c r="D30" s="141">
        <f xml:space="preserve"> RTD("cqg.rtd",,"StudyData",Q6,  "Bar",, "Close","D","-20","All",,,,"T")</f>
        <v>98.045000000000002</v>
      </c>
      <c r="E30" s="140">
        <f t="shared" si="4"/>
        <v>5.499999999999261E-2</v>
      </c>
      <c r="F30" s="140">
        <f t="shared" si="5"/>
        <v>0.15500000000000114</v>
      </c>
      <c r="G30" s="140">
        <f t="shared" si="6"/>
        <v>0.45999999999999375</v>
      </c>
      <c r="T30" s="139"/>
      <c r="U30" s="139"/>
      <c r="V30" s="139"/>
      <c r="X30" s="139"/>
      <c r="Y30" s="139"/>
      <c r="Z30" s="139"/>
    </row>
    <row r="31" spans="2:30" x14ac:dyDescent="0.2">
      <c r="B31" s="141">
        <f xml:space="preserve"> RTD("cqg.rtd",,"StudyData",Q7,  "Bar",, "Close","D","-1","All",,,,"T")</f>
        <v>98.444999999999993</v>
      </c>
      <c r="C31" s="141">
        <f xml:space="preserve"> RTD("cqg.rtd",,"StudyData",Q7,  "Bar",, "Close","D","-5","All",,,,"T")</f>
        <v>98.36</v>
      </c>
      <c r="D31" s="141">
        <f xml:space="preserve"> RTD("cqg.rtd",,"StudyData",Q7,  "Bar",, "Close","D","-20","All",,,,"T")</f>
        <v>98.055000000000007</v>
      </c>
      <c r="E31" s="140">
        <f t="shared" si="4"/>
        <v>5.0000000000011369E-2</v>
      </c>
      <c r="F31" s="140">
        <f t="shared" si="5"/>
        <v>0.13500000000000512</v>
      </c>
      <c r="G31" s="140">
        <f t="shared" si="6"/>
        <v>0.43999999999999773</v>
      </c>
      <c r="T31" s="139"/>
      <c r="U31" s="139"/>
      <c r="V31" s="139"/>
      <c r="W31" s="130" t="str">
        <f>RTD("cqg.rtd",,"ContractData",U35,"LongDescription",, "T")</f>
        <v>Eurodollar Calendar Spread 12, Sep 19, Sep 20</v>
      </c>
      <c r="X31" s="139"/>
      <c r="Y31" s="139"/>
      <c r="Z31" s="139"/>
    </row>
    <row r="32" spans="2:30" x14ac:dyDescent="0.2">
      <c r="B32" s="141">
        <f xml:space="preserve"> RTD("cqg.rtd",,"StudyData",Q8,  "Bar",, "Close","D","-1","All",,,,"T")</f>
        <v>98.46</v>
      </c>
      <c r="C32" s="141">
        <f xml:space="preserve"> RTD("cqg.rtd",,"StudyData",Q8,  "Bar",, "Close","D","-5","All",,,,"T")</f>
        <v>98.39</v>
      </c>
      <c r="D32" s="141">
        <f xml:space="preserve"> RTD("cqg.rtd",,"StudyData",Q8,  "Bar",, "Close","D","-20","All",,,,"T")</f>
        <v>98.084999999999994</v>
      </c>
      <c r="E32" s="140">
        <f t="shared" si="4"/>
        <v>5.0000000000011369E-2</v>
      </c>
      <c r="F32" s="140">
        <f t="shared" si="5"/>
        <v>0.12000000000000455</v>
      </c>
      <c r="G32" s="140">
        <f t="shared" si="6"/>
        <v>0.42500000000001137</v>
      </c>
      <c r="T32" s="139"/>
      <c r="U32" s="139"/>
      <c r="V32" s="139"/>
      <c r="X32" s="139"/>
      <c r="Y32" s="139"/>
      <c r="Z32" s="139"/>
    </row>
    <row r="33" spans="2:40" x14ac:dyDescent="0.2">
      <c r="B33" s="141">
        <f xml:space="preserve"> RTD("cqg.rtd",,"StudyData",Q9,  "Bar",, "Close","D","-1","All",,,,"T")</f>
        <v>98.424999999999997</v>
      </c>
      <c r="C33" s="141">
        <f xml:space="preserve"> RTD("cqg.rtd",,"StudyData",Q9,  "Bar",, "Close","D","-5","All",,,,"T")</f>
        <v>98.364999999999995</v>
      </c>
      <c r="D33" s="141">
        <f xml:space="preserve"> RTD("cqg.rtd",,"StudyData",Q9,  "Bar",, "Close","D","-20","All",,,,"T")</f>
        <v>98.064999999999998</v>
      </c>
      <c r="E33" s="140">
        <f t="shared" si="4"/>
        <v>5.0000000000011369E-2</v>
      </c>
      <c r="F33" s="140">
        <f t="shared" si="5"/>
        <v>0.11000000000001364</v>
      </c>
      <c r="G33" s="140">
        <f t="shared" si="6"/>
        <v>0.4100000000000108</v>
      </c>
      <c r="T33" s="139"/>
      <c r="U33" s="139"/>
      <c r="V33" s="139"/>
    </row>
    <row r="34" spans="2:40" x14ac:dyDescent="0.2">
      <c r="B34" s="141">
        <f xml:space="preserve"> RTD("cqg.rtd",,"StudyData",Q10,  "Bar",, "Close","D","-1","All",,,,"T")</f>
        <v>98.394999999999996</v>
      </c>
      <c r="C34" s="141">
        <f xml:space="preserve"> RTD("cqg.rtd",,"StudyData",Q10,  "Bar",, "Close","D","-5","All",,,,"T")</f>
        <v>98.34</v>
      </c>
      <c r="D34" s="141">
        <f xml:space="preserve"> RTD("cqg.rtd",,"StudyData",Q10,  "Bar",, "Close","D","-20","All",,,,"T")</f>
        <v>98.05</v>
      </c>
      <c r="E34" s="140">
        <f t="shared" si="4"/>
        <v>4.5000000000001705E-2</v>
      </c>
      <c r="F34" s="140">
        <f t="shared" si="5"/>
        <v>9.9999999999994316E-2</v>
      </c>
      <c r="G34" s="140">
        <f t="shared" si="6"/>
        <v>0.39000000000000057</v>
      </c>
      <c r="R34" s="130" t="s">
        <v>5</v>
      </c>
      <c r="T34" s="139"/>
      <c r="U34" s="139"/>
      <c r="V34" s="139"/>
      <c r="X34" s="130" t="s">
        <v>15</v>
      </c>
      <c r="Y34" s="130" t="s">
        <v>16</v>
      </c>
      <c r="Z34" s="130" t="s">
        <v>17</v>
      </c>
      <c r="AA34" s="130" t="s">
        <v>15</v>
      </c>
      <c r="AB34" s="130" t="s">
        <v>16</v>
      </c>
      <c r="AC34" s="130" t="s">
        <v>17</v>
      </c>
      <c r="AE34" s="139"/>
      <c r="AF34" s="139"/>
      <c r="AG34" s="139"/>
      <c r="AI34" s="130" t="s">
        <v>15</v>
      </c>
      <c r="AJ34" s="130" t="s">
        <v>16</v>
      </c>
      <c r="AK34" s="130" t="s">
        <v>17</v>
      </c>
      <c r="AL34" s="130" t="s">
        <v>15</v>
      </c>
      <c r="AM34" s="130" t="s">
        <v>16</v>
      </c>
      <c r="AN34" s="130" t="s">
        <v>17</v>
      </c>
    </row>
    <row r="35" spans="2:40" x14ac:dyDescent="0.2">
      <c r="B35" s="141">
        <f xml:space="preserve"> RTD("cqg.rtd",,"StudyData",Q11,  "Bar",, "Close","D","-1","All",,,,"T")</f>
        <v>98.355000000000004</v>
      </c>
      <c r="C35" s="141">
        <f xml:space="preserve"> RTD("cqg.rtd",,"StudyData",Q11,  "Bar",, "Close","D","-5","All",,,,"T")</f>
        <v>98.305000000000007</v>
      </c>
      <c r="D35" s="141">
        <f xml:space="preserve"> RTD("cqg.rtd",,"StudyData",Q11,  "Bar",, "Close","D","-20","All",,,,"T")</f>
        <v>98.02</v>
      </c>
      <c r="E35" s="140">
        <f t="shared" si="4"/>
        <v>3.9999999999992042E-2</v>
      </c>
      <c r="F35" s="140">
        <f t="shared" si="5"/>
        <v>8.99999999999892E-2</v>
      </c>
      <c r="G35" s="140">
        <f t="shared" si="6"/>
        <v>0.375</v>
      </c>
      <c r="R35" s="130">
        <v>1</v>
      </c>
      <c r="S35" s="130" t="str">
        <f>RTD("cqg.rtd",,"ContractData",Q1&amp;"?1", "Symbol")</f>
        <v>EDAU19</v>
      </c>
      <c r="T35" s="142">
        <v>1</v>
      </c>
      <c r="U35" s="139" t="str">
        <f>"EDAS12?"&amp;""&amp;T35</f>
        <v>EDAS12?1</v>
      </c>
      <c r="V35" s="139">
        <f>RTD("cqg.rtd", ,"ContractData", U35,"LastTradeorSettle",,"T")</f>
        <v>-45.5</v>
      </c>
      <c r="X35" s="139">
        <f xml:space="preserve"> RTD("cqg.rtd",,"StudyData",U35,  "Bar",, "Close","D","-1","All",,,,"T")</f>
        <v>-43.5</v>
      </c>
      <c r="Y35" s="139">
        <f xml:space="preserve"> RTD("cqg.rtd",,"StudyData",U35,  "Bar",, "Close","D","-5","All",,,,"T")</f>
        <v>-45</v>
      </c>
      <c r="Z35" s="139">
        <f xml:space="preserve"> RTD("cqg.rtd",,"StudyData",U35,  "Bar",, "Close","D","-20","All",,,,"T")</f>
        <v>-44.5</v>
      </c>
      <c r="AA35" s="139">
        <f>IFERROR($V35-X35,NA())</f>
        <v>-2</v>
      </c>
      <c r="AB35" s="139">
        <f>IFERROR($V35-Y35,NA())</f>
        <v>-0.5</v>
      </c>
      <c r="AC35" s="139">
        <f>IFERROR($V35-Z35,NA())</f>
        <v>-1</v>
      </c>
      <c r="AE35" s="142">
        <v>1</v>
      </c>
      <c r="AF35" s="139" t="str">
        <f>"EDAS3?"&amp;""&amp;AE35</f>
        <v>EDAS3?1</v>
      </c>
      <c r="AG35" s="139">
        <f>IF(RTD("cqg.rtd", ,"ContractData", AF35,"LastTradeorSettle",,"T")="",NA(),RTD("cqg.rtd", ,"ContractData", AF35,"LastTradeorSettle",,"T"))</f>
        <v>-11</v>
      </c>
      <c r="AI35" s="139">
        <f xml:space="preserve"> RTD("cqg.rtd",,"StudyData",AF35,  "Bar",, "Close","D","-1","All",,,,"T")</f>
        <v>-10</v>
      </c>
      <c r="AJ35" s="139">
        <f xml:space="preserve"> RTD("cqg.rtd",,"StudyData",AF35,  "Bar",, "Close","D","-5","All",,,,"T")</f>
        <v>-11</v>
      </c>
      <c r="AK35" s="139">
        <f xml:space="preserve"> RTD("cqg.rtd",,"StudyData",AF35,  "Bar",, "Close","D","-20","All",,,,"T")</f>
        <v>-9</v>
      </c>
      <c r="AL35" s="139">
        <f>$AG35-$AI35</f>
        <v>-1</v>
      </c>
      <c r="AM35" s="139">
        <f>$AG35-$AJ35</f>
        <v>0</v>
      </c>
      <c r="AN35" s="139">
        <f>$AG35-$AK35</f>
        <v>-2</v>
      </c>
    </row>
    <row r="36" spans="2:40" x14ac:dyDescent="0.2">
      <c r="B36" s="141">
        <f xml:space="preserve"> RTD("cqg.rtd",,"StudyData",Q12,  "Bar",, "Close","D","-1","All",,,,"T")</f>
        <v>98.325000000000003</v>
      </c>
      <c r="C36" s="141">
        <f xml:space="preserve"> RTD("cqg.rtd",,"StudyData",Q12,  "Bar",, "Close","D","-5","All",,,,"T")</f>
        <v>98.284999999999997</v>
      </c>
      <c r="D36" s="141">
        <f xml:space="preserve"> RTD("cqg.rtd",,"StudyData",Q12,  "Bar",, "Close","D","-20","All",,,,"T")</f>
        <v>98</v>
      </c>
      <c r="E36" s="140">
        <f t="shared" si="4"/>
        <v>3.4999999999996589E-2</v>
      </c>
      <c r="F36" s="140">
        <f t="shared" si="5"/>
        <v>7.5000000000002842E-2</v>
      </c>
      <c r="G36" s="140">
        <f t="shared" si="6"/>
        <v>0.35999999999999943</v>
      </c>
      <c r="R36" s="130">
        <f>R35+1</f>
        <v>2</v>
      </c>
      <c r="S36" s="130" t="str">
        <f>RTD("cqg.rtd",,"ContractData",Q1&amp;"?2", "Symbol")</f>
        <v>EDAZ19</v>
      </c>
      <c r="T36" s="142">
        <f>T35+1</f>
        <v>2</v>
      </c>
      <c r="U36" s="139" t="str">
        <f t="shared" ref="U36:U54" si="7">"EDAS12?"&amp;""&amp;T36</f>
        <v>EDAS12?2</v>
      </c>
      <c r="V36" s="139">
        <f>RTD("cqg.rtd", ,"ContractData", U36,"LastTradeorSettle",,"T")</f>
        <v>-33.5</v>
      </c>
      <c r="X36" s="139">
        <f xml:space="preserve"> RTD("cqg.rtd",,"StudyData",U36,  "Bar",, "Close","D","-1","All",,,,"T")</f>
        <v>-33</v>
      </c>
      <c r="Y36" s="139">
        <f xml:space="preserve"> RTD("cqg.rtd",,"StudyData",U36,  "Bar",, "Close","D","-5","All",,,,"T")</f>
        <v>-35</v>
      </c>
      <c r="Z36" s="139">
        <f xml:space="preserve"> RTD("cqg.rtd",,"StudyData",U36,  "Bar",, "Close","D","-20","All",,,,"T")</f>
        <v>-36.5</v>
      </c>
      <c r="AA36" s="139">
        <f t="shared" ref="AA36:AA54" si="8">IFERROR($V36-X36,NA())</f>
        <v>-0.5</v>
      </c>
      <c r="AB36" s="139">
        <f t="shared" ref="AB36:AB54" si="9">IFERROR($V36-Y36,NA())</f>
        <v>1.5</v>
      </c>
      <c r="AC36" s="139">
        <f t="shared" ref="AC36:AC54" si="10">IFERROR($V36-Z36,NA())</f>
        <v>3</v>
      </c>
      <c r="AE36" s="142">
        <f>AE35+1</f>
        <v>2</v>
      </c>
      <c r="AF36" s="139" t="str">
        <f t="shared" ref="AF36:AF54" si="11">"EDAS3?"&amp;""&amp;AE36</f>
        <v>EDAS3?2</v>
      </c>
      <c r="AG36" s="139">
        <f>IF(RTD("cqg.rtd", ,"ContractData", AF36,"LastTradeorSettle",,"T")="",NA(),RTD("cqg.rtd", ,"ContractData", AF36,"LastTradeorSettle",,"T"))</f>
        <v>-20</v>
      </c>
      <c r="AI36" s="139">
        <f xml:space="preserve"> RTD("cqg.rtd",,"StudyData",AF36,  "Bar",, "Close","D","-1","All",,,,"T")</f>
        <v>-19</v>
      </c>
      <c r="AJ36" s="139">
        <f xml:space="preserve"> RTD("cqg.rtd",,"StudyData",AF36,  "Bar",, "Close","D","-5","All",,,,"T")</f>
        <v>-19</v>
      </c>
      <c r="AK36" s="139">
        <f xml:space="preserve"> RTD("cqg.rtd",,"StudyData",AF36,  "Bar",, "Close","D","-20","All",,,,"T")</f>
        <v>-17</v>
      </c>
      <c r="AL36" s="139">
        <f t="shared" ref="AL36:AL54" si="12">$AG36-$AI36</f>
        <v>-1</v>
      </c>
      <c r="AM36" s="139">
        <f t="shared" ref="AM36:AM54" si="13">$AG36-$AJ36</f>
        <v>-1</v>
      </c>
      <c r="AN36" s="139">
        <f t="shared" ref="AN36:AN54" si="14">$AG36-$AK36</f>
        <v>-3</v>
      </c>
    </row>
    <row r="37" spans="2:40" x14ac:dyDescent="0.2">
      <c r="B37" s="141">
        <f xml:space="preserve"> RTD("cqg.rtd",,"StudyData",Q13,  "Bar",, "Close","D","-1","All",,,,"T")</f>
        <v>98.28</v>
      </c>
      <c r="C37" s="141">
        <f xml:space="preserve"> RTD("cqg.rtd",,"StudyData",Q13,  "Bar",, "Close","D","-5","All",,,,"T")</f>
        <v>98.245000000000005</v>
      </c>
      <c r="D37" s="141">
        <f xml:space="preserve"> RTD("cqg.rtd",,"StudyData",Q13,  "Bar",, "Close","D","-20","All",,,,"T")</f>
        <v>97.97</v>
      </c>
      <c r="E37" s="140">
        <f t="shared" si="4"/>
        <v>3.4999999999996589E-2</v>
      </c>
      <c r="F37" s="140">
        <f t="shared" si="5"/>
        <v>6.9999999999993179E-2</v>
      </c>
      <c r="G37" s="140">
        <f t="shared" si="6"/>
        <v>0.34499999999999886</v>
      </c>
      <c r="R37" s="130">
        <f t="shared" ref="R37:R59" si="15">R36+1</f>
        <v>3</v>
      </c>
      <c r="T37" s="142">
        <f t="shared" ref="T37:T54" si="16">T36+1</f>
        <v>3</v>
      </c>
      <c r="U37" s="139" t="str">
        <f t="shared" si="7"/>
        <v>EDAS12?3</v>
      </c>
      <c r="V37" s="139">
        <f>RTD("cqg.rtd", ,"ContractData", U37,"LastTradeorSettle",,"T")</f>
        <v>-15</v>
      </c>
      <c r="X37" s="139">
        <f xml:space="preserve"> RTD("cqg.rtd",,"StudyData",U37,  "Bar",, "Close","D","-1","All",,,,"T")</f>
        <v>-15.5</v>
      </c>
      <c r="Y37" s="139">
        <f xml:space="preserve"> RTD("cqg.rtd",,"StudyData",U37,  "Bar",, "Close","D","-5","All",,,,"T")</f>
        <v>-19</v>
      </c>
      <c r="Z37" s="139">
        <f xml:space="preserve"> RTD("cqg.rtd",,"StudyData",U37,  "Bar",, "Close","D","-20","All",,,,"T")</f>
        <v>-22.5</v>
      </c>
      <c r="AA37" s="139">
        <f t="shared" si="8"/>
        <v>0.5</v>
      </c>
      <c r="AB37" s="139">
        <f t="shared" si="9"/>
        <v>4</v>
      </c>
      <c r="AC37" s="139">
        <f t="shared" si="10"/>
        <v>7.5</v>
      </c>
      <c r="AE37" s="142">
        <f t="shared" ref="AE37:AE54" si="17">AE36+1</f>
        <v>3</v>
      </c>
      <c r="AF37" s="139" t="str">
        <f t="shared" si="11"/>
        <v>EDAS3?3</v>
      </c>
      <c r="AG37" s="139">
        <f>IF(RTD("cqg.rtd", ,"ContractData", AF37,"LastTradeorSettle",,"T")="",NA(),RTD("cqg.rtd", ,"ContractData", AF37,"LastTradeorSettle",,"T"))</f>
        <v>-8.5</v>
      </c>
      <c r="AI37" s="139">
        <f xml:space="preserve"> RTD("cqg.rtd",,"StudyData",AF37,  "Bar",, "Close","D","-1","All",,,,"T")</f>
        <v>-8.5</v>
      </c>
      <c r="AJ37" s="139">
        <f xml:space="preserve"> RTD("cqg.rtd",,"StudyData",AF37,  "Bar",, "Close","D","-5","All",,,,"T")</f>
        <v>-8.5</v>
      </c>
      <c r="AK37" s="139">
        <f xml:space="preserve"> RTD("cqg.rtd",,"StudyData",AF37,  "Bar",, "Close","D","-20","All",,,,"T")</f>
        <v>-11.5</v>
      </c>
      <c r="AL37" s="139">
        <f t="shared" si="12"/>
        <v>0</v>
      </c>
      <c r="AM37" s="139">
        <f t="shared" si="13"/>
        <v>0</v>
      </c>
      <c r="AN37" s="139">
        <f t="shared" si="14"/>
        <v>3</v>
      </c>
    </row>
    <row r="38" spans="2:40" x14ac:dyDescent="0.2">
      <c r="B38" s="141">
        <f xml:space="preserve"> RTD("cqg.rtd",,"StudyData",Q14,  "Bar",, "Close","D","-1","All",,,,"T")</f>
        <v>98.234999999999999</v>
      </c>
      <c r="C38" s="141">
        <f xml:space="preserve"> RTD("cqg.rtd",,"StudyData",Q14,  "Bar",, "Close","D","-5","All",,,,"T")</f>
        <v>98.21</v>
      </c>
      <c r="D38" s="141">
        <f xml:space="preserve"> RTD("cqg.rtd",,"StudyData",Q14,  "Bar",, "Close","D","-20","All",,,,"T")</f>
        <v>97.944999999999993</v>
      </c>
      <c r="E38" s="140">
        <f t="shared" si="4"/>
        <v>3.4999999999996589E-2</v>
      </c>
      <c r="F38" s="140">
        <f t="shared" si="5"/>
        <v>6.0000000000002274E-2</v>
      </c>
      <c r="G38" s="140">
        <f t="shared" si="6"/>
        <v>0.32500000000000284</v>
      </c>
      <c r="R38" s="130">
        <f t="shared" si="15"/>
        <v>4</v>
      </c>
      <c r="T38" s="142">
        <f t="shared" si="16"/>
        <v>4</v>
      </c>
      <c r="U38" s="139" t="str">
        <f t="shared" si="7"/>
        <v>EDAS12?4</v>
      </c>
      <c r="V38" s="139">
        <f>RTD("cqg.rtd", ,"ContractData", U38,"LastTradeorSettle",,"T")</f>
        <v>-3</v>
      </c>
      <c r="X38" s="139">
        <f xml:space="preserve"> RTD("cqg.rtd",,"StudyData",U38,  "Bar",, "Close","D","-1","All",,,,"T")</f>
        <v>-3.5</v>
      </c>
      <c r="Y38" s="139">
        <f xml:space="preserve"> RTD("cqg.rtd",,"StudyData",U38,  "Bar",, "Close","D","-5","All",,,,"T")</f>
        <v>-8</v>
      </c>
      <c r="Z38" s="139">
        <f xml:space="preserve"> RTD("cqg.rtd",,"StudyData",U38,  "Bar",, "Close","D","-20","All",,,,"T")</f>
        <v>-9</v>
      </c>
      <c r="AA38" s="139">
        <f t="shared" si="8"/>
        <v>0.5</v>
      </c>
      <c r="AB38" s="139">
        <f t="shared" si="9"/>
        <v>5</v>
      </c>
      <c r="AC38" s="139">
        <f t="shared" si="10"/>
        <v>6</v>
      </c>
      <c r="AE38" s="142">
        <f t="shared" si="17"/>
        <v>4</v>
      </c>
      <c r="AF38" s="139" t="str">
        <f t="shared" si="11"/>
        <v>EDAS3?4</v>
      </c>
      <c r="AG38" s="139">
        <f>IF(RTD("cqg.rtd", ,"ContractData", AF38,"LastTradeorSettle",,"T")="",NA(),RTD("cqg.rtd", ,"ContractData", AF38,"LastTradeorSettle",,"T"))</f>
        <v>-6</v>
      </c>
      <c r="AI38" s="139">
        <f xml:space="preserve"> RTD("cqg.rtd",,"StudyData",AF38,  "Bar",, "Close","D","-1","All",,,,"T")</f>
        <v>-6</v>
      </c>
      <c r="AJ38" s="139">
        <f xml:space="preserve"> RTD("cqg.rtd",,"StudyData",AF38,  "Bar",, "Close","D","-5","All",,,,"T")</f>
        <v>-6.5</v>
      </c>
      <c r="AK38" s="139">
        <f xml:space="preserve"> RTD("cqg.rtd",,"StudyData",AF38,  "Bar",, "Close","D","-20","All",,,,"T")</f>
        <v>-7</v>
      </c>
      <c r="AL38" s="139">
        <f t="shared" si="12"/>
        <v>0</v>
      </c>
      <c r="AM38" s="139">
        <f t="shared" si="13"/>
        <v>0.5</v>
      </c>
      <c r="AN38" s="139">
        <f t="shared" si="14"/>
        <v>1</v>
      </c>
    </row>
    <row r="39" spans="2:40" x14ac:dyDescent="0.2">
      <c r="B39" s="141">
        <f xml:space="preserve"> RTD("cqg.rtd",,"StudyData",Q15,  "Bar",, "Close","D","-1","All",,,,"T")</f>
        <v>98.194999999999993</v>
      </c>
      <c r="C39" s="141">
        <f xml:space="preserve"> RTD("cqg.rtd",,"StudyData",Q15,  "Bar",, "Close","D","-5","All",,,,"T")</f>
        <v>98.174999999999997</v>
      </c>
      <c r="D39" s="141">
        <f xml:space="preserve"> RTD("cqg.rtd",,"StudyData",Q15,  "Bar",, "Close","D","-20","All",,,,"T")</f>
        <v>97.915000000000006</v>
      </c>
      <c r="E39" s="140">
        <f t="shared" si="4"/>
        <v>4.0000000000006253E-2</v>
      </c>
      <c r="F39" s="140">
        <f t="shared" si="5"/>
        <v>6.0000000000002274E-2</v>
      </c>
      <c r="G39" s="140">
        <f t="shared" si="6"/>
        <v>0.31999999999999318</v>
      </c>
      <c r="R39" s="130">
        <f t="shared" si="15"/>
        <v>5</v>
      </c>
      <c r="T39" s="142">
        <f t="shared" si="16"/>
        <v>5</v>
      </c>
      <c r="U39" s="139" t="str">
        <f t="shared" si="7"/>
        <v>EDAS12?5</v>
      </c>
      <c r="V39" s="139">
        <f>RTD("cqg.rtd", ,"ContractData", U39,"LastTradeorSettle",,"T")</f>
        <v>6</v>
      </c>
      <c r="X39" s="139">
        <f xml:space="preserve"> RTD("cqg.rtd",,"StudyData",U39,  "Bar",, "Close","D","-1","All",,,,"T")</f>
        <v>5.5</v>
      </c>
      <c r="Y39" s="139">
        <f xml:space="preserve"> RTD("cqg.rtd",,"StudyData",U39,  "Bar",, "Close","D","-5","All",,,,"T")</f>
        <v>1</v>
      </c>
      <c r="Z39" s="139">
        <f xml:space="preserve"> RTD("cqg.rtd",,"StudyData",U39,  "Bar",, "Close","D","-20","All",,,,"T")</f>
        <v>-0.5</v>
      </c>
      <c r="AA39" s="139">
        <f t="shared" si="8"/>
        <v>0.5</v>
      </c>
      <c r="AB39" s="139">
        <f t="shared" si="9"/>
        <v>5</v>
      </c>
      <c r="AC39" s="139">
        <f t="shared" si="10"/>
        <v>6.5</v>
      </c>
      <c r="AE39" s="142">
        <f t="shared" si="17"/>
        <v>5</v>
      </c>
      <c r="AF39" s="139" t="str">
        <f t="shared" si="11"/>
        <v>EDAS3?5</v>
      </c>
      <c r="AG39" s="139">
        <f>IF(RTD("cqg.rtd", ,"ContractData", AF39,"LastTradeorSettle",,"T")="",NA(),RTD("cqg.rtd", ,"ContractData", AF39,"LastTradeorSettle",,"T"))</f>
        <v>0.5</v>
      </c>
      <c r="AI39" s="139">
        <f xml:space="preserve"> RTD("cqg.rtd",,"StudyData",AF39,  "Bar",, "Close","D","-1","All",,,,"T")</f>
        <v>0.5</v>
      </c>
      <c r="AJ39" s="139">
        <f xml:space="preserve"> RTD("cqg.rtd",,"StudyData",AF39,  "Bar",, "Close","D","-5","All",,,,"T")</f>
        <v>-1</v>
      </c>
      <c r="AK39" s="139">
        <f xml:space="preserve"> RTD("cqg.rtd",,"StudyData",AF39,  "Bar",, "Close","D","-20","All",,,,"T")</f>
        <v>-1</v>
      </c>
      <c r="AL39" s="139">
        <f t="shared" si="12"/>
        <v>0</v>
      </c>
      <c r="AM39" s="139">
        <f t="shared" si="13"/>
        <v>1.5</v>
      </c>
      <c r="AN39" s="139">
        <f t="shared" si="14"/>
        <v>1.5</v>
      </c>
    </row>
    <row r="40" spans="2:40" x14ac:dyDescent="0.2">
      <c r="B40" s="141">
        <f xml:space="preserve"> RTD("cqg.rtd",,"StudyData",Q16,  "Bar",, "Close","D","-1","All",,,,"T")</f>
        <v>98.165000000000006</v>
      </c>
      <c r="C40" s="141">
        <f xml:space="preserve"> RTD("cqg.rtd",,"StudyData",Q16,  "Bar",, "Close","D","-5","All",,,,"T")</f>
        <v>98.144999999999996</v>
      </c>
      <c r="D40" s="141">
        <f xml:space="preserve"> RTD("cqg.rtd",,"StudyData",Q16,  "Bar",, "Close","D","-20","All",,,,"T")</f>
        <v>97.894999999999996</v>
      </c>
      <c r="E40" s="140">
        <f t="shared" si="4"/>
        <v>3.4999999999996589E-2</v>
      </c>
      <c r="F40" s="140">
        <f t="shared" si="5"/>
        <v>5.5000000000006821E-2</v>
      </c>
      <c r="G40" s="140">
        <f t="shared" si="6"/>
        <v>0.30500000000000682</v>
      </c>
      <c r="R40" s="130">
        <f t="shared" si="15"/>
        <v>6</v>
      </c>
      <c r="T40" s="142">
        <f t="shared" si="16"/>
        <v>6</v>
      </c>
      <c r="U40" s="139" t="str">
        <f t="shared" si="7"/>
        <v>EDAS12?6</v>
      </c>
      <c r="V40" s="139">
        <f>RTD("cqg.rtd", ,"ContractData", U40,"LastTradeorSettle",,"T")</f>
        <v>10</v>
      </c>
      <c r="X40" s="139">
        <f xml:space="preserve"> RTD("cqg.rtd",,"StudyData",U40,  "Bar",, "Close","D","-1","All",,,,"T")</f>
        <v>9</v>
      </c>
      <c r="Y40" s="139">
        <f xml:space="preserve"> RTD("cqg.rtd",,"StudyData",U40,  "Bar",, "Close","D","-5","All",,,,"T")</f>
        <v>5.5</v>
      </c>
      <c r="Z40" s="139">
        <f xml:space="preserve"> RTD("cqg.rtd",,"StudyData",U40,  "Bar",, "Close","D","-20","All",,,,"T")</f>
        <v>3.5</v>
      </c>
      <c r="AA40" s="139">
        <f t="shared" si="8"/>
        <v>1</v>
      </c>
      <c r="AB40" s="139">
        <f t="shared" si="9"/>
        <v>4.5</v>
      </c>
      <c r="AC40" s="139">
        <f t="shared" si="10"/>
        <v>6.5</v>
      </c>
      <c r="AE40" s="142">
        <f t="shared" si="17"/>
        <v>6</v>
      </c>
      <c r="AF40" s="139" t="str">
        <f t="shared" si="11"/>
        <v>EDAS3?6</v>
      </c>
      <c r="AG40" s="139">
        <f>IF(RTD("cqg.rtd", ,"ContractData", AF40,"LastTradeorSettle",,"T")="",NA(),RTD("cqg.rtd", ,"ContractData", AF40,"LastTradeorSettle",,"T"))</f>
        <v>-1.5</v>
      </c>
      <c r="AI40" s="139">
        <f xml:space="preserve"> RTD("cqg.rtd",,"StudyData",AF40,  "Bar",, "Close","D","-1","All",,,,"T")</f>
        <v>-1.5</v>
      </c>
      <c r="AJ40" s="139">
        <f xml:space="preserve"> RTD("cqg.rtd",,"StudyData",AF40,  "Bar",, "Close","D","-5","All",,,,"T")</f>
        <v>-3</v>
      </c>
      <c r="AK40" s="139">
        <f xml:space="preserve"> RTD("cqg.rtd",,"StudyData",AF40,  "Bar",, "Close","D","-20","All",,,,"T")</f>
        <v>-3</v>
      </c>
      <c r="AL40" s="139">
        <f t="shared" si="12"/>
        <v>0</v>
      </c>
      <c r="AM40" s="139">
        <f t="shared" si="13"/>
        <v>1.5</v>
      </c>
      <c r="AN40" s="139">
        <f t="shared" si="14"/>
        <v>1.5</v>
      </c>
    </row>
    <row r="41" spans="2:40" x14ac:dyDescent="0.2">
      <c r="B41" s="141">
        <f xml:space="preserve"> RTD("cqg.rtd",,"StudyData",Q17,  "Bar",, "Close","D","-1","All",,,,"T")</f>
        <v>98.125</v>
      </c>
      <c r="C41" s="141">
        <f xml:space="preserve"> RTD("cqg.rtd",,"StudyData",Q17,  "Bar",, "Close","D","-5","All",,,,"T")</f>
        <v>98.11</v>
      </c>
      <c r="D41" s="141">
        <f xml:space="preserve"> RTD("cqg.rtd",,"StudyData",Q17,  "Bar",, "Close","D","-20","All",,,,"T")</f>
        <v>97.864999999999995</v>
      </c>
      <c r="E41" s="140">
        <f t="shared" si="4"/>
        <v>3.4999999999996589E-2</v>
      </c>
      <c r="F41" s="140">
        <f t="shared" si="5"/>
        <v>4.9999999999997158E-2</v>
      </c>
      <c r="G41" s="140">
        <f t="shared" si="6"/>
        <v>0.29500000000000171</v>
      </c>
      <c r="R41" s="130">
        <f t="shared" si="15"/>
        <v>7</v>
      </c>
      <c r="T41" s="142">
        <f t="shared" si="16"/>
        <v>7</v>
      </c>
      <c r="U41" s="139" t="str">
        <f t="shared" si="7"/>
        <v>EDAS12?7</v>
      </c>
      <c r="V41" s="139">
        <f>RTD("cqg.rtd", ,"ContractData", U41,"LastTradeorSettle",,"T")</f>
        <v>14.5</v>
      </c>
      <c r="X41" s="139">
        <f xml:space="preserve"> RTD("cqg.rtd",,"StudyData",U41,  "Bar",, "Close","D","-1","All",,,,"T")</f>
        <v>13.5</v>
      </c>
      <c r="Y41" s="139">
        <f xml:space="preserve"> RTD("cqg.rtd",,"StudyData",U41,  "Bar",, "Close","D","-5","All",,,,"T")</f>
        <v>10.5</v>
      </c>
      <c r="Z41" s="139">
        <f xml:space="preserve"> RTD("cqg.rtd",,"StudyData",U41,  "Bar",, "Close","D","-20","All",,,,"T")</f>
        <v>8.5</v>
      </c>
      <c r="AA41" s="139">
        <f t="shared" si="8"/>
        <v>1</v>
      </c>
      <c r="AB41" s="139">
        <f t="shared" si="9"/>
        <v>4</v>
      </c>
      <c r="AC41" s="139">
        <f t="shared" si="10"/>
        <v>6</v>
      </c>
      <c r="AE41" s="142">
        <f t="shared" si="17"/>
        <v>7</v>
      </c>
      <c r="AF41" s="139" t="str">
        <f t="shared" si="11"/>
        <v>EDAS3?7</v>
      </c>
      <c r="AG41" s="139">
        <f>IF(RTD("cqg.rtd", ,"ContractData", AF41,"LastTradeorSettle",,"T")="",NA(),RTD("cqg.rtd", ,"ContractData", AF41,"LastTradeorSettle",,"T"))</f>
        <v>3.5</v>
      </c>
      <c r="AI41" s="139">
        <f xml:space="preserve"> RTD("cqg.rtd",,"StudyData",AF41,  "Bar",, "Close","D","-1","All",,,,"T")</f>
        <v>3.5</v>
      </c>
      <c r="AJ41" s="139">
        <f xml:space="preserve"> RTD("cqg.rtd",,"StudyData",AF41,  "Bar",, "Close","D","-5","All",,,,"T")</f>
        <v>2.5</v>
      </c>
      <c r="AK41" s="139">
        <f xml:space="preserve"> RTD("cqg.rtd",,"StudyData",AF41,  "Bar",, "Close","D","-20","All",,,,"T")</f>
        <v>2</v>
      </c>
      <c r="AL41" s="139">
        <f t="shared" si="12"/>
        <v>0</v>
      </c>
      <c r="AM41" s="139">
        <f t="shared" si="13"/>
        <v>1</v>
      </c>
      <c r="AN41" s="139">
        <f t="shared" si="14"/>
        <v>1.5</v>
      </c>
    </row>
    <row r="42" spans="2:40" x14ac:dyDescent="0.2">
      <c r="B42" s="141">
        <f xml:space="preserve"> RTD("cqg.rtd",,"StudyData",Q18,  "Bar",, "Close","D","-1","All",,,,"T")</f>
        <v>98.08</v>
      </c>
      <c r="C42" s="141">
        <f xml:space="preserve"> RTD("cqg.rtd",,"StudyData",Q18,  "Bar",, "Close","D","-5","All",,,,"T")</f>
        <v>98.07</v>
      </c>
      <c r="D42" s="141">
        <f xml:space="preserve"> RTD("cqg.rtd",,"StudyData",Q18,  "Bar",, "Close","D","-20","All",,,,"T")</f>
        <v>97.834999999999994</v>
      </c>
      <c r="E42" s="140">
        <f t="shared" si="4"/>
        <v>3.50000000000108E-2</v>
      </c>
      <c r="F42" s="140">
        <f t="shared" si="5"/>
        <v>4.5000000000015916E-2</v>
      </c>
      <c r="G42" s="140">
        <f t="shared" si="6"/>
        <v>0.28000000000001535</v>
      </c>
      <c r="R42" s="130">
        <f t="shared" si="15"/>
        <v>8</v>
      </c>
      <c r="T42" s="142">
        <f t="shared" si="16"/>
        <v>8</v>
      </c>
      <c r="U42" s="139" t="str">
        <f t="shared" si="7"/>
        <v>EDAS12?8</v>
      </c>
      <c r="V42" s="139">
        <f>RTD("cqg.rtd", ,"ContractData", U42,"LastTradeorSettle",,"T")</f>
        <v>15</v>
      </c>
      <c r="X42" s="139">
        <f xml:space="preserve"> RTD("cqg.rtd",,"StudyData",U42,  "Bar",, "Close","D","-1","All",,,,"T")</f>
        <v>14.5</v>
      </c>
      <c r="Y42" s="139">
        <f xml:space="preserve"> RTD("cqg.rtd",,"StudyData",U42,  "Bar",, "Close","D","-5","All",,,,"T")</f>
        <v>12</v>
      </c>
      <c r="Z42" s="139">
        <f xml:space="preserve"> RTD("cqg.rtd",,"StudyData",U42,  "Bar",, "Close","D","-20","All",,,,"T")</f>
        <v>9.5</v>
      </c>
      <c r="AA42" s="139">
        <f t="shared" si="8"/>
        <v>0.5</v>
      </c>
      <c r="AB42" s="139">
        <f t="shared" si="9"/>
        <v>3</v>
      </c>
      <c r="AC42" s="139">
        <f t="shared" si="10"/>
        <v>5.5</v>
      </c>
      <c r="AE42" s="142">
        <f t="shared" si="17"/>
        <v>8</v>
      </c>
      <c r="AF42" s="139" t="str">
        <f t="shared" si="11"/>
        <v>EDAS3?8</v>
      </c>
      <c r="AG42" s="139">
        <f>IF(RTD("cqg.rtd", ,"ContractData", AF42,"LastTradeorSettle",,"T")="",NA(),RTD("cqg.rtd", ,"ContractData", AF42,"LastTradeorSettle",,"T"))</f>
        <v>3</v>
      </c>
      <c r="AI42" s="139">
        <f xml:space="preserve"> RTD("cqg.rtd",,"StudyData",AF42,  "Bar",, "Close","D","-1","All",,,,"T")</f>
        <v>3</v>
      </c>
      <c r="AJ42" s="139">
        <f xml:space="preserve"> RTD("cqg.rtd",,"StudyData",AF42,  "Bar",, "Close","D","-5","All",,,,"T")</f>
        <v>2.5</v>
      </c>
      <c r="AK42" s="139">
        <f xml:space="preserve"> RTD("cqg.rtd",,"StudyData",AF42,  "Bar",, "Close","D","-20","All",,,,"T")</f>
        <v>1.5</v>
      </c>
      <c r="AL42" s="139">
        <f t="shared" si="12"/>
        <v>0</v>
      </c>
      <c r="AM42" s="139">
        <f t="shared" si="13"/>
        <v>0.5</v>
      </c>
      <c r="AN42" s="139">
        <f t="shared" si="14"/>
        <v>1.5</v>
      </c>
    </row>
    <row r="43" spans="2:40" x14ac:dyDescent="0.2">
      <c r="B43" s="141">
        <f xml:space="preserve"> RTD("cqg.rtd",,"StudyData",Q19,  "Bar",, "Close","D","-1","All",,,,"T")</f>
        <v>98.034999999999997</v>
      </c>
      <c r="C43" s="141">
        <f xml:space="preserve"> RTD("cqg.rtd",,"StudyData",Q19,  "Bar",, "Close","D","-5","All",,,,"T")</f>
        <v>98.03</v>
      </c>
      <c r="D43" s="141">
        <f xml:space="preserve"> RTD("cqg.rtd",,"StudyData",Q19,  "Bar",, "Close","D","-20","All",,,,"T")</f>
        <v>97.795000000000002</v>
      </c>
      <c r="E43" s="140">
        <f t="shared" si="4"/>
        <v>3.50000000000108E-2</v>
      </c>
      <c r="F43" s="140">
        <f t="shared" si="5"/>
        <v>4.0000000000006253E-2</v>
      </c>
      <c r="G43" s="140">
        <f t="shared" si="6"/>
        <v>0.27500000000000568</v>
      </c>
      <c r="R43" s="130">
        <f t="shared" si="15"/>
        <v>9</v>
      </c>
      <c r="T43" s="142">
        <f t="shared" si="16"/>
        <v>9</v>
      </c>
      <c r="U43" s="139" t="str">
        <f t="shared" si="7"/>
        <v>EDAS12?9</v>
      </c>
      <c r="V43" s="139">
        <f>RTD("cqg.rtd", ,"ContractData", U43,"LastTradeorSettle",,"T")</f>
        <v>16.5</v>
      </c>
      <c r="X43" s="139">
        <f xml:space="preserve"> RTD("cqg.rtd",,"StudyData",U43,  "Bar",, "Close","D","-1","All",,,,"T")</f>
        <v>16</v>
      </c>
      <c r="Y43" s="139">
        <f xml:space="preserve"> RTD("cqg.rtd",,"StudyData",U43,  "Bar",, "Close","D","-5","All",,,,"T")</f>
        <v>13</v>
      </c>
      <c r="Z43" s="139">
        <f xml:space="preserve"> RTD("cqg.rtd",,"StudyData",U43,  "Bar",, "Close","D","-20","All",,,,"T")</f>
        <v>10.5</v>
      </c>
      <c r="AA43" s="139">
        <f t="shared" si="8"/>
        <v>0.5</v>
      </c>
      <c r="AB43" s="139">
        <f t="shared" si="9"/>
        <v>3.5</v>
      </c>
      <c r="AC43" s="139">
        <f t="shared" si="10"/>
        <v>6</v>
      </c>
      <c r="AE43" s="142">
        <f t="shared" si="17"/>
        <v>9</v>
      </c>
      <c r="AF43" s="139" t="str">
        <f t="shared" si="11"/>
        <v>EDAS3?9</v>
      </c>
      <c r="AG43" s="139">
        <f>IF(RTD("cqg.rtd", ,"ContractData", AF43,"LastTradeorSettle",,"T")="",NA(),RTD("cqg.rtd", ,"ContractData", AF43,"LastTradeorSettle",,"T"))</f>
        <v>4.5</v>
      </c>
      <c r="AI43" s="139">
        <f xml:space="preserve"> RTD("cqg.rtd",,"StudyData",AF43,  "Bar",, "Close","D","-1","All",,,,"T")</f>
        <v>4</v>
      </c>
      <c r="AJ43" s="139">
        <f xml:space="preserve"> RTD("cqg.rtd",,"StudyData",AF43,  "Bar",, "Close","D","-5","All",,,,"T")</f>
        <v>3.5</v>
      </c>
      <c r="AK43" s="139">
        <f xml:space="preserve"> RTD("cqg.rtd",,"StudyData",AF43,  "Bar",, "Close","D","-20","All",,,,"T")</f>
        <v>3</v>
      </c>
      <c r="AL43" s="139">
        <f t="shared" si="12"/>
        <v>0.5</v>
      </c>
      <c r="AM43" s="139">
        <f t="shared" si="13"/>
        <v>1</v>
      </c>
      <c r="AN43" s="139">
        <f t="shared" si="14"/>
        <v>1.5</v>
      </c>
    </row>
    <row r="44" spans="2:40" x14ac:dyDescent="0.2">
      <c r="B44" s="141">
        <f xml:space="preserve"> RTD("cqg.rtd",,"StudyData",Q20,  "Bar",, "Close","D","-1","All",,,,"T")</f>
        <v>97.995000000000005</v>
      </c>
      <c r="C44" s="141">
        <f xml:space="preserve"> RTD("cqg.rtd",,"StudyData",Q20,  "Bar",, "Close","D","-5","All",,,,"T")</f>
        <v>97.995000000000005</v>
      </c>
      <c r="D44" s="141">
        <f xml:space="preserve"> RTD("cqg.rtd",,"StudyData",Q20,  "Bar",, "Close","D","-20","All",,,,"T")</f>
        <v>97.765000000000001</v>
      </c>
      <c r="E44" s="140">
        <f t="shared" si="4"/>
        <v>3.4999999999996589E-2</v>
      </c>
      <c r="F44" s="140">
        <f t="shared" si="5"/>
        <v>3.4999999999996589E-2</v>
      </c>
      <c r="G44" s="140">
        <f t="shared" si="6"/>
        <v>0.26500000000000057</v>
      </c>
      <c r="R44" s="130">
        <f t="shared" si="15"/>
        <v>10</v>
      </c>
      <c r="T44" s="142">
        <f t="shared" si="16"/>
        <v>10</v>
      </c>
      <c r="U44" s="139" t="str">
        <f t="shared" si="7"/>
        <v>EDAS12?10</v>
      </c>
      <c r="V44" s="139">
        <f>RTD("cqg.rtd", ,"ContractData", U44,"LastTradeorSettle",,"T")</f>
        <v>16</v>
      </c>
      <c r="X44" s="139">
        <f xml:space="preserve"> RTD("cqg.rtd",,"StudyData",U44,  "Bar",, "Close","D","-1","All",,,,"T")</f>
        <v>16</v>
      </c>
      <c r="Y44" s="139">
        <f xml:space="preserve"> RTD("cqg.rtd",,"StudyData",U44,  "Bar",, "Close","D","-5","All",,,,"T")</f>
        <v>13</v>
      </c>
      <c r="Z44" s="139">
        <f xml:space="preserve"> RTD("cqg.rtd",,"StudyData",U44,  "Bar",, "Close","D","-20","All",,,,"T")</f>
        <v>10.5</v>
      </c>
      <c r="AA44" s="139">
        <f t="shared" si="8"/>
        <v>0</v>
      </c>
      <c r="AB44" s="139">
        <f t="shared" si="9"/>
        <v>3</v>
      </c>
      <c r="AC44" s="139">
        <f t="shared" si="10"/>
        <v>5.5</v>
      </c>
      <c r="AE44" s="142">
        <f t="shared" si="17"/>
        <v>10</v>
      </c>
      <c r="AF44" s="139" t="str">
        <f t="shared" si="11"/>
        <v>EDAS3?10</v>
      </c>
      <c r="AG44" s="139">
        <f>IF(RTD("cqg.rtd", ,"ContractData", AF44,"LastTradeorSettle",,"T")="",NA(),RTD("cqg.rtd", ,"ContractData", AF44,"LastTradeorSettle",,"T"))</f>
        <v>3</v>
      </c>
      <c r="AI44" s="139">
        <f xml:space="preserve"> RTD("cqg.rtd",,"StudyData",AF44,  "Bar",, "Close","D","-1","All",,,,"T")</f>
        <v>3</v>
      </c>
      <c r="AJ44" s="139">
        <f xml:space="preserve"> RTD("cqg.rtd",,"StudyData",AF44,  "Bar",, "Close","D","-5","All",,,,"T")</f>
        <v>2</v>
      </c>
      <c r="AK44" s="139">
        <f xml:space="preserve"> RTD("cqg.rtd",,"StudyData",AF44,  "Bar",, "Close","D","-20","All",,,,"T")</f>
        <v>2</v>
      </c>
      <c r="AL44" s="139">
        <f t="shared" si="12"/>
        <v>0</v>
      </c>
      <c r="AM44" s="139">
        <f t="shared" si="13"/>
        <v>1</v>
      </c>
      <c r="AN44" s="139">
        <f t="shared" si="14"/>
        <v>1</v>
      </c>
    </row>
    <row r="45" spans="2:40" x14ac:dyDescent="0.2">
      <c r="B45" s="141">
        <f xml:space="preserve"> RTD("cqg.rtd",,"StudyData",Q21,  "Bar",, "Close","D","-1","All",,,,"T")</f>
        <v>97.954999999999998</v>
      </c>
      <c r="C45" s="141">
        <f xml:space="preserve"> RTD("cqg.rtd",,"StudyData",Q21,  "Bar",, "Close","D","-5","All",,,,"T")</f>
        <v>97.954999999999998</v>
      </c>
      <c r="D45" s="141">
        <f xml:space="preserve"> RTD("cqg.rtd",,"StudyData",Q21,  "Bar",, "Close","D","-20","All",,,,"T")</f>
        <v>97.73</v>
      </c>
      <c r="E45" s="140">
        <f t="shared" si="4"/>
        <v>3.0000000000001137E-2</v>
      </c>
      <c r="F45" s="140">
        <f t="shared" si="5"/>
        <v>3.0000000000001137E-2</v>
      </c>
      <c r="G45" s="140">
        <f t="shared" si="6"/>
        <v>0.25499999999999545</v>
      </c>
      <c r="R45" s="130">
        <f t="shared" si="15"/>
        <v>11</v>
      </c>
      <c r="T45" s="142">
        <f t="shared" si="16"/>
        <v>11</v>
      </c>
      <c r="U45" s="139" t="str">
        <f t="shared" si="7"/>
        <v>EDAS12?11</v>
      </c>
      <c r="V45" s="139">
        <f>RTD("cqg.rtd", ,"ContractData", U45,"LastTradeorSettle",,"T")</f>
        <v>16</v>
      </c>
      <c r="X45" s="139">
        <f xml:space="preserve"> RTD("cqg.rtd",,"StudyData",U45,  "Bar",, "Close","D","-1","All",,,,"T")</f>
        <v>16</v>
      </c>
      <c r="Y45" s="139">
        <f xml:space="preserve"> RTD("cqg.rtd",,"StudyData",U45,  "Bar",, "Close","D","-5","All",,,,"T")</f>
        <v>14</v>
      </c>
      <c r="Z45" s="139">
        <f xml:space="preserve"> RTD("cqg.rtd",,"StudyData",U45,  "Bar",, "Close","D","-20","All",,,,"T")</f>
        <v>10.5</v>
      </c>
      <c r="AA45" s="139">
        <f t="shared" si="8"/>
        <v>0</v>
      </c>
      <c r="AB45" s="139">
        <f t="shared" si="9"/>
        <v>2</v>
      </c>
      <c r="AC45" s="139">
        <f t="shared" si="10"/>
        <v>5.5</v>
      </c>
      <c r="AE45" s="142">
        <f t="shared" si="17"/>
        <v>11</v>
      </c>
      <c r="AF45" s="139" t="str">
        <f t="shared" si="11"/>
        <v>EDAS3?11</v>
      </c>
      <c r="AG45" s="139">
        <f>IF(RTD("cqg.rtd", ,"ContractData", AF45,"LastTradeorSettle",,"T")="",NA(),RTD("cqg.rtd", ,"ContractData", AF45,"LastTradeorSettle",,"T"))</f>
        <v>4.5</v>
      </c>
      <c r="AI45" s="139">
        <f xml:space="preserve"> RTD("cqg.rtd",,"StudyData",AF45,  "Bar",, "Close","D","-1","All",,,,"T")</f>
        <v>4.5</v>
      </c>
      <c r="AJ45" s="139">
        <f xml:space="preserve"> RTD("cqg.rtd",,"StudyData",AF45,  "Bar",, "Close","D","-5","All",,,,"T")</f>
        <v>4</v>
      </c>
      <c r="AK45" s="139">
        <f xml:space="preserve"> RTD("cqg.rtd",,"StudyData",AF45,  "Bar",, "Close","D","-20","All",,,,"T")</f>
        <v>3</v>
      </c>
      <c r="AL45" s="139">
        <f t="shared" si="12"/>
        <v>0</v>
      </c>
      <c r="AM45" s="139">
        <f t="shared" si="13"/>
        <v>0.5</v>
      </c>
      <c r="AN45" s="139">
        <f t="shared" si="14"/>
        <v>1.5</v>
      </c>
    </row>
    <row r="46" spans="2:40" x14ac:dyDescent="0.2">
      <c r="B46" s="141"/>
      <c r="R46" s="130">
        <f t="shared" si="15"/>
        <v>12</v>
      </c>
      <c r="T46" s="142">
        <f t="shared" si="16"/>
        <v>12</v>
      </c>
      <c r="U46" s="139" t="str">
        <f t="shared" si="7"/>
        <v>EDAS12?12</v>
      </c>
      <c r="V46" s="139">
        <f>RTD("cqg.rtd", ,"ContractData", U46,"LastTradeorSettle",,"T")</f>
        <v>15.5</v>
      </c>
      <c r="X46" s="139">
        <f xml:space="preserve"> RTD("cqg.rtd",,"StudyData",U46,  "Bar",, "Close","D","-1","All",,,,"T")</f>
        <v>15.5</v>
      </c>
      <c r="Y46" s="139">
        <f xml:space="preserve"> RTD("cqg.rtd",,"StudyData",U46,  "Bar",, "Close","D","-5","All",,,,"T")</f>
        <v>13.5</v>
      </c>
      <c r="Z46" s="139">
        <f xml:space="preserve"> RTD("cqg.rtd",,"StudyData",U46,  "Bar",, "Close","D","-20","All",,,,"T")</f>
        <v>10.5</v>
      </c>
      <c r="AA46" s="139">
        <f t="shared" si="8"/>
        <v>0</v>
      </c>
      <c r="AB46" s="139">
        <f t="shared" si="9"/>
        <v>2</v>
      </c>
      <c r="AC46" s="139">
        <f t="shared" si="10"/>
        <v>5</v>
      </c>
      <c r="AE46" s="142">
        <f t="shared" si="17"/>
        <v>12</v>
      </c>
      <c r="AF46" s="139" t="str">
        <f t="shared" si="11"/>
        <v>EDAS3?12</v>
      </c>
      <c r="AG46" s="139">
        <f>IF(RTD("cqg.rtd", ,"ContractData", AF46,"LastTradeorSettle",,"T")="",NA(),RTD("cqg.rtd", ,"ContractData", AF46,"LastTradeorSettle",,"T"))</f>
        <v>4</v>
      </c>
      <c r="AI46" s="139">
        <f xml:space="preserve"> RTD("cqg.rtd",,"StudyData",AF46,  "Bar",, "Close","D","-1","All",,,,"T")</f>
        <v>4.5</v>
      </c>
      <c r="AJ46" s="139">
        <f xml:space="preserve"> RTD("cqg.rtd",,"StudyData",AF46,  "Bar",, "Close","D","-5","All",,,,"T")</f>
        <v>3.5</v>
      </c>
      <c r="AK46" s="139">
        <f xml:space="preserve"> RTD("cqg.rtd",,"StudyData",AF46,  "Bar",, "Close","D","-20","All",,,,"T")</f>
        <v>2.5</v>
      </c>
      <c r="AL46" s="139">
        <f t="shared" si="12"/>
        <v>-0.5</v>
      </c>
      <c r="AM46" s="139">
        <f t="shared" si="13"/>
        <v>0.5</v>
      </c>
      <c r="AN46" s="139">
        <f t="shared" si="14"/>
        <v>1.5</v>
      </c>
    </row>
    <row r="47" spans="2:40" x14ac:dyDescent="0.2">
      <c r="B47" s="141"/>
      <c r="R47" s="130">
        <f t="shared" si="15"/>
        <v>13</v>
      </c>
      <c r="T47" s="142">
        <f t="shared" si="16"/>
        <v>13</v>
      </c>
      <c r="U47" s="139" t="str">
        <f t="shared" si="7"/>
        <v>EDAS12?13</v>
      </c>
      <c r="V47" s="139">
        <f>RTD("cqg.rtd", ,"ContractData", U47,"LastTradeorSettle",,"T")</f>
        <v>15.5</v>
      </c>
      <c r="X47" s="139">
        <f xml:space="preserve"> RTD("cqg.rtd",,"StudyData",U47,  "Bar",, "Close","D","-1","All",,,,"T")</f>
        <v>15.5</v>
      </c>
      <c r="Y47" s="139">
        <f xml:space="preserve"> RTD("cqg.rtd",,"StudyData",U47,  "Bar",, "Close","D","-5","All",,,,"T")</f>
        <v>14</v>
      </c>
      <c r="Z47" s="139">
        <f xml:space="preserve"> RTD("cqg.rtd",,"StudyData",U47,  "Bar",, "Close","D","-20","All",,,,"T")</f>
        <v>11</v>
      </c>
      <c r="AA47" s="139">
        <f t="shared" si="8"/>
        <v>0</v>
      </c>
      <c r="AB47" s="139">
        <f t="shared" si="9"/>
        <v>1.5</v>
      </c>
      <c r="AC47" s="139">
        <f t="shared" si="10"/>
        <v>4.5</v>
      </c>
      <c r="AE47" s="142">
        <f t="shared" si="17"/>
        <v>13</v>
      </c>
      <c r="AF47" s="139" t="str">
        <f t="shared" si="11"/>
        <v>EDAS3?13</v>
      </c>
      <c r="AG47" s="139">
        <f>IF(RTD("cqg.rtd", ,"ContractData", AF47,"LastTradeorSettle",,"T")="",NA(),RTD("cqg.rtd", ,"ContractData", AF47,"LastTradeorSettle",,"T"))</f>
        <v>4</v>
      </c>
      <c r="AI47" s="139">
        <f xml:space="preserve"> RTD("cqg.rtd",,"StudyData",AF47,  "Bar",, "Close","D","-1","All",,,,"T")</f>
        <v>4</v>
      </c>
      <c r="AJ47" s="139">
        <f xml:space="preserve"> RTD("cqg.rtd",,"StudyData",AF47,  "Bar",, "Close","D","-5","All",,,,"T")</f>
        <v>3.5</v>
      </c>
      <c r="AK47" s="139">
        <f xml:space="preserve"> RTD("cqg.rtd",,"StudyData",AF47,  "Bar",, "Close","D","-20","All",,,,"T")</f>
        <v>3</v>
      </c>
      <c r="AL47" s="139">
        <f t="shared" si="12"/>
        <v>0</v>
      </c>
      <c r="AM47" s="139">
        <f t="shared" si="13"/>
        <v>0.5</v>
      </c>
      <c r="AN47" s="139">
        <f t="shared" si="14"/>
        <v>1</v>
      </c>
    </row>
    <row r="48" spans="2:40" x14ac:dyDescent="0.2">
      <c r="B48" s="141"/>
      <c r="R48" s="130">
        <f t="shared" si="15"/>
        <v>14</v>
      </c>
      <c r="T48" s="142">
        <f t="shared" si="16"/>
        <v>14</v>
      </c>
      <c r="U48" s="139" t="str">
        <f t="shared" si="7"/>
        <v>EDAS12?14</v>
      </c>
      <c r="V48" s="139">
        <f>RTD("cqg.rtd", ,"ContractData", U48,"LastTradeorSettle",,"T")</f>
        <v>16.5</v>
      </c>
      <c r="X48" s="139">
        <f xml:space="preserve"> RTD("cqg.rtd",,"StudyData",U48,  "Bar",, "Close","D","-1","All",,,,"T")</f>
        <v>16</v>
      </c>
      <c r="Y48" s="139">
        <f xml:space="preserve"> RTD("cqg.rtd",,"StudyData",U48,  "Bar",, "Close","D","-5","All",,,,"T")</f>
        <v>14.5</v>
      </c>
      <c r="Z48" s="139">
        <f xml:space="preserve"> RTD("cqg.rtd",,"StudyData",U48,  "Bar",, "Close","D","-20","All",,,,"T")</f>
        <v>12</v>
      </c>
      <c r="AA48" s="139">
        <f t="shared" si="8"/>
        <v>0.5</v>
      </c>
      <c r="AB48" s="139">
        <f t="shared" si="9"/>
        <v>2</v>
      </c>
      <c r="AC48" s="139">
        <f t="shared" si="10"/>
        <v>4.5</v>
      </c>
      <c r="AE48" s="142">
        <f t="shared" si="17"/>
        <v>14</v>
      </c>
      <c r="AF48" s="139" t="str">
        <f t="shared" si="11"/>
        <v>EDAS3?14</v>
      </c>
      <c r="AG48" s="139" t="e">
        <f>IF(RTD("cqg.rtd", ,"ContractData", AF48,"LastTradeorSettle",,"T")="",NA(),RTD("cqg.rtd", ,"ContractData", AF48,"LastTradeorSettle",,"T"))</f>
        <v>#N/A</v>
      </c>
      <c r="AI48" s="139">
        <f xml:space="preserve"> RTD("cqg.rtd",,"StudyData",AF48,  "Bar",, "Close","D","-1","All",,,,"T")</f>
        <v>3</v>
      </c>
      <c r="AJ48" s="139">
        <f xml:space="preserve"> RTD("cqg.rtd",,"StudyData",AF48,  "Bar",, "Close","D","-5","All",,,,"T")</f>
        <v>3</v>
      </c>
      <c r="AK48" s="139">
        <f xml:space="preserve"> RTD("cqg.rtd",,"StudyData",AF48,  "Bar",, "Close","D","-20","All",,,,"T")</f>
        <v>2</v>
      </c>
      <c r="AL48" s="139" t="e">
        <f t="shared" si="12"/>
        <v>#N/A</v>
      </c>
      <c r="AM48" s="139" t="e">
        <f t="shared" si="13"/>
        <v>#N/A</v>
      </c>
      <c r="AN48" s="139" t="e">
        <f t="shared" si="14"/>
        <v>#N/A</v>
      </c>
    </row>
    <row r="49" spans="2:40" x14ac:dyDescent="0.2">
      <c r="B49" s="141"/>
      <c r="R49" s="130">
        <f t="shared" si="15"/>
        <v>15</v>
      </c>
      <c r="T49" s="142">
        <f t="shared" si="16"/>
        <v>15</v>
      </c>
      <c r="U49" s="139" t="str">
        <f t="shared" si="7"/>
        <v>EDAS12?15</v>
      </c>
      <c r="V49" s="139">
        <f>RTD("cqg.rtd", ,"ContractData", U49,"LastTradeorSettle",,"T")</f>
        <v>17</v>
      </c>
      <c r="X49" s="139">
        <f xml:space="preserve"> RTD("cqg.rtd",,"StudyData",U49,  "Bar",, "Close","D","-1","All",,,,"T")</f>
        <v>17</v>
      </c>
      <c r="Y49" s="139">
        <f xml:space="preserve"> RTD("cqg.rtd",,"StudyData",U49,  "Bar",, "Close","D","-5","All",,,,"T")</f>
        <v>15</v>
      </c>
      <c r="Z49" s="139">
        <f xml:space="preserve"> RTD("cqg.rtd",,"StudyData",U49,  "Bar",, "Close","D","-20","All",,,,"T")</f>
        <v>13</v>
      </c>
      <c r="AA49" s="139">
        <f t="shared" si="8"/>
        <v>0</v>
      </c>
      <c r="AB49" s="139">
        <f t="shared" si="9"/>
        <v>2</v>
      </c>
      <c r="AC49" s="139">
        <f t="shared" si="10"/>
        <v>4</v>
      </c>
      <c r="AE49" s="142">
        <f t="shared" si="17"/>
        <v>15</v>
      </c>
      <c r="AF49" s="139" t="str">
        <f t="shared" si="11"/>
        <v>EDAS3?15</v>
      </c>
      <c r="AG49" s="139">
        <f>IF(RTD("cqg.rtd", ,"ContractData", AF49,"LastTradeorSettle",,"T")="",NA(),RTD("cqg.rtd", ,"ContractData", AF49,"LastTradeorSettle",,"T"))</f>
        <v>4</v>
      </c>
      <c r="AI49" s="139">
        <f xml:space="preserve"> RTD("cqg.rtd",,"StudyData",AF49,  "Bar",, "Close","D","-1","All",,,,"T")</f>
        <v>4</v>
      </c>
      <c r="AJ49" s="139">
        <f xml:space="preserve"> RTD("cqg.rtd",,"StudyData",AF49,  "Bar",, "Close","D","-5","All",,,,"T")</f>
        <v>3.5</v>
      </c>
      <c r="AK49" s="139">
        <f xml:space="preserve"> RTD("cqg.rtd",,"StudyData",AF49,  "Bar",, "Close","D","-20","All",,,,"T")</f>
        <v>3</v>
      </c>
      <c r="AL49" s="139">
        <f t="shared" si="12"/>
        <v>0</v>
      </c>
      <c r="AM49" s="139">
        <f t="shared" si="13"/>
        <v>0.5</v>
      </c>
      <c r="AN49" s="139">
        <f t="shared" si="14"/>
        <v>1</v>
      </c>
    </row>
    <row r="50" spans="2:40" x14ac:dyDescent="0.2">
      <c r="B50" s="141"/>
      <c r="R50" s="130">
        <f t="shared" si="15"/>
        <v>16</v>
      </c>
      <c r="T50" s="142">
        <f t="shared" si="16"/>
        <v>16</v>
      </c>
      <c r="U50" s="139" t="str">
        <f t="shared" si="7"/>
        <v>EDAS12?16</v>
      </c>
      <c r="V50" s="139">
        <f>RTD("cqg.rtd", ,"ContractData", U50,"LastTradeorSettle",,"T")</f>
        <v>17</v>
      </c>
      <c r="X50" s="139">
        <f xml:space="preserve"> RTD("cqg.rtd",,"StudyData",U50,  "Bar",, "Close","D","-1","All",,,,"T")</f>
        <v>17</v>
      </c>
      <c r="Y50" s="139">
        <f xml:space="preserve"> RTD("cqg.rtd",,"StudyData",U50,  "Bar",, "Close","D","-5","All",,,,"T")</f>
        <v>15.5</v>
      </c>
      <c r="Z50" s="139">
        <f xml:space="preserve"> RTD("cqg.rtd",,"StudyData",U50,  "Bar",, "Close","D","-20","All",,,,"T")</f>
        <v>13.5</v>
      </c>
      <c r="AA50" s="139">
        <f t="shared" si="8"/>
        <v>0</v>
      </c>
      <c r="AB50" s="139">
        <f t="shared" si="9"/>
        <v>1.5</v>
      </c>
      <c r="AC50" s="139">
        <f t="shared" si="10"/>
        <v>3.5</v>
      </c>
      <c r="AE50" s="142">
        <f t="shared" si="17"/>
        <v>16</v>
      </c>
      <c r="AF50" s="139" t="str">
        <f t="shared" si="11"/>
        <v>EDAS3?16</v>
      </c>
      <c r="AG50" s="139">
        <f>IF(RTD("cqg.rtd", ,"ContractData", AF50,"LastTradeorSettle",,"T")="",NA(),RTD("cqg.rtd", ,"ContractData", AF50,"LastTradeorSettle",,"T"))</f>
        <v>4</v>
      </c>
      <c r="AI50" s="139">
        <f xml:space="preserve"> RTD("cqg.rtd",,"StudyData",AF50,  "Bar",, "Close","D","-1","All",,,,"T")</f>
        <v>4.5</v>
      </c>
      <c r="AJ50" s="139">
        <f xml:space="preserve"> RTD("cqg.rtd",,"StudyData",AF50,  "Bar",, "Close","D","-5","All",,,,"T")</f>
        <v>4</v>
      </c>
      <c r="AK50" s="139">
        <f xml:space="preserve"> RTD("cqg.rtd",,"StudyData",AF50,  "Bar",, "Close","D","-20","All",,,,"T")</f>
        <v>3</v>
      </c>
      <c r="AL50" s="139">
        <f t="shared" si="12"/>
        <v>-0.5</v>
      </c>
      <c r="AM50" s="139">
        <f t="shared" si="13"/>
        <v>0</v>
      </c>
      <c r="AN50" s="139">
        <f t="shared" si="14"/>
        <v>1</v>
      </c>
    </row>
    <row r="51" spans="2:40" x14ac:dyDescent="0.2">
      <c r="B51" s="141"/>
      <c r="R51" s="130">
        <f t="shared" si="15"/>
        <v>17</v>
      </c>
      <c r="T51" s="142">
        <f t="shared" si="16"/>
        <v>17</v>
      </c>
      <c r="U51" s="139" t="str">
        <f t="shared" si="7"/>
        <v>EDAS12?17</v>
      </c>
      <c r="V51" s="139">
        <f>RTD("cqg.rtd", ,"ContractData", U51,"LastTradeorSettle",,"T")</f>
        <v>17</v>
      </c>
      <c r="X51" s="139">
        <f xml:space="preserve"> RTD("cqg.rtd",,"StudyData",U51,  "Bar",, "Close","D","-1","All",,,,"T")</f>
        <v>16.5</v>
      </c>
      <c r="Y51" s="139">
        <f xml:space="preserve"> RTD("cqg.rtd",,"StudyData",U51,  "Bar",, "Close","D","-5","All",,,,"T")</f>
        <v>15</v>
      </c>
      <c r="Z51" s="139">
        <f xml:space="preserve"> RTD("cqg.rtd",,"StudyData",U51,  "Bar",, "Close","D","-20","All",,,,"T")</f>
        <v>14</v>
      </c>
      <c r="AA51" s="139">
        <f t="shared" si="8"/>
        <v>0.5</v>
      </c>
      <c r="AB51" s="139">
        <f t="shared" si="9"/>
        <v>2</v>
      </c>
      <c r="AC51" s="139">
        <f t="shared" si="10"/>
        <v>3</v>
      </c>
      <c r="AE51" s="142">
        <f t="shared" si="17"/>
        <v>17</v>
      </c>
      <c r="AF51" s="139" t="str">
        <f t="shared" si="11"/>
        <v>EDAS3?17</v>
      </c>
      <c r="AG51" s="139">
        <f>IF(RTD("cqg.rtd", ,"ContractData", AF51,"LastTradeorSettle",,"T")="",NA(),RTD("cqg.rtd", ,"ContractData", AF51,"LastTradeorSettle",,"T"))</f>
        <v>4.5</v>
      </c>
      <c r="AI51" s="139">
        <f xml:space="preserve"> RTD("cqg.rtd",,"StudyData",AF51,  "Bar",, "Close","D","-1","All",,,,"T")</f>
        <v>4.5</v>
      </c>
      <c r="AJ51" s="139">
        <f xml:space="preserve"> RTD("cqg.rtd",,"StudyData",AF51,  "Bar",, "Close","D","-5","All",,,,"T")</f>
        <v>4</v>
      </c>
      <c r="AK51" s="139">
        <f xml:space="preserve"> RTD("cqg.rtd",,"StudyData",AF51,  "Bar",, "Close","D","-20","All",,,,"T")</f>
        <v>4</v>
      </c>
      <c r="AL51" s="139">
        <f t="shared" si="12"/>
        <v>0</v>
      </c>
      <c r="AM51" s="139">
        <f t="shared" si="13"/>
        <v>0.5</v>
      </c>
      <c r="AN51" s="139">
        <f t="shared" si="14"/>
        <v>0.5</v>
      </c>
    </row>
    <row r="52" spans="2:40" x14ac:dyDescent="0.2">
      <c r="B52" s="141"/>
      <c r="R52" s="130">
        <f t="shared" si="15"/>
        <v>18</v>
      </c>
      <c r="T52" s="142">
        <f t="shared" si="16"/>
        <v>18</v>
      </c>
      <c r="U52" s="139" t="str">
        <f t="shared" si="7"/>
        <v>EDAS12?18</v>
      </c>
      <c r="V52" s="139">
        <f>RTD("cqg.rtd", ,"ContractData", U52,"LastTradeorSettle",,"T")</f>
        <v>16</v>
      </c>
      <c r="X52" s="139">
        <f xml:space="preserve"> RTD("cqg.rtd",,"StudyData",U52,  "Bar",, "Close","D","-1","All",,,,"T")</f>
        <v>16.5</v>
      </c>
      <c r="Y52" s="139">
        <f xml:space="preserve"> RTD("cqg.rtd",,"StudyData",U52,  "Bar",, "Close","D","-5","All",,,,"T")</f>
        <v>15</v>
      </c>
      <c r="Z52" s="139">
        <f xml:space="preserve"> RTD("cqg.rtd",,"StudyData",U52,  "Bar",, "Close","D","-20","All",,,,"T")</f>
        <v>14</v>
      </c>
      <c r="AA52" s="139">
        <f t="shared" si="8"/>
        <v>-0.5</v>
      </c>
      <c r="AB52" s="139">
        <f t="shared" si="9"/>
        <v>1</v>
      </c>
      <c r="AC52" s="139">
        <f t="shared" si="10"/>
        <v>2</v>
      </c>
      <c r="AE52" s="142">
        <f t="shared" si="17"/>
        <v>18</v>
      </c>
      <c r="AF52" s="139" t="str">
        <f t="shared" si="11"/>
        <v>EDAS3?18</v>
      </c>
      <c r="AG52" s="139">
        <f>IF(RTD("cqg.rtd", ,"ContractData", AF52,"LastTradeorSettle",,"T")="",NA(),RTD("cqg.rtd", ,"ContractData", AF52,"LastTradeorSettle",,"T"))</f>
        <v>4</v>
      </c>
      <c r="AI52" s="139">
        <f xml:space="preserve"> RTD("cqg.rtd",,"StudyData",AF52,  "Bar",, "Close","D","-1","All",,,,"T")</f>
        <v>4</v>
      </c>
      <c r="AJ52" s="139">
        <f xml:space="preserve"> RTD("cqg.rtd",,"StudyData",AF52,  "Bar",, "Close","D","-5","All",,,,"T")</f>
        <v>3.5</v>
      </c>
      <c r="AK52" s="139">
        <f xml:space="preserve"> RTD("cqg.rtd",,"StudyData",AF52,  "Bar",, "Close","D","-20","All",,,,"T")</f>
        <v>3</v>
      </c>
      <c r="AL52" s="139">
        <f t="shared" si="12"/>
        <v>0</v>
      </c>
      <c r="AM52" s="139">
        <f t="shared" si="13"/>
        <v>0.5</v>
      </c>
      <c r="AN52" s="139">
        <f t="shared" si="14"/>
        <v>1</v>
      </c>
    </row>
    <row r="53" spans="2:40" x14ac:dyDescent="0.2">
      <c r="B53" s="141"/>
      <c r="R53" s="130">
        <f t="shared" si="15"/>
        <v>19</v>
      </c>
      <c r="T53" s="142">
        <f t="shared" si="16"/>
        <v>19</v>
      </c>
      <c r="U53" s="139" t="str">
        <f t="shared" si="7"/>
        <v>EDAS12?19</v>
      </c>
      <c r="V53" s="139">
        <f>RTD("cqg.rtd", ,"ContractData", U53,"LastTradeorSettle",,"T")</f>
        <v>15.5</v>
      </c>
      <c r="X53" s="139">
        <f xml:space="preserve"> RTD("cqg.rtd",,"StudyData",U53,  "Bar",, "Close","D","-1","All",,,,"T")</f>
        <v>16</v>
      </c>
      <c r="Y53" s="139">
        <f xml:space="preserve"> RTD("cqg.rtd",,"StudyData",U53,  "Bar",, "Close","D","-5","All",,,,"T")</f>
        <v>15</v>
      </c>
      <c r="Z53" s="139">
        <f xml:space="preserve"> RTD("cqg.rtd",,"StudyData",U53,  "Bar",, "Close","D","-20","All",,,,"T")</f>
        <v>14</v>
      </c>
      <c r="AA53" s="139">
        <f t="shared" si="8"/>
        <v>-0.5</v>
      </c>
      <c r="AB53" s="139">
        <f t="shared" si="9"/>
        <v>0.5</v>
      </c>
      <c r="AC53" s="139">
        <f t="shared" si="10"/>
        <v>1.5</v>
      </c>
      <c r="AE53" s="142">
        <f t="shared" si="17"/>
        <v>19</v>
      </c>
      <c r="AF53" s="139" t="str">
        <f t="shared" si="11"/>
        <v>EDAS3?19</v>
      </c>
      <c r="AG53" s="139" t="e">
        <f>IF(RTD("cqg.rtd", ,"ContractData", AF53,"LastTradeorSettle",,"T")="",NA(),RTD("cqg.rtd", ,"ContractData", AF53,"LastTradeorSettle",,"T"))</f>
        <v>#N/A</v>
      </c>
      <c r="AI53" s="139">
        <f xml:space="preserve"> RTD("cqg.rtd",,"StudyData",AF53,  "Bar",, "Close","D","-1","All",,,,"T")</f>
        <v>4</v>
      </c>
      <c r="AJ53" s="139">
        <f xml:space="preserve"> RTD("cqg.rtd",,"StudyData",AF53,  "Bar",, "Close","D","-5","All",,,,"T")</f>
        <v>4</v>
      </c>
      <c r="AK53" s="139">
        <f xml:space="preserve"> RTD("cqg.rtd",,"StudyData",AF53,  "Bar",, "Close","D","-20","All",,,,"T")</f>
        <v>3.5</v>
      </c>
      <c r="AL53" s="139" t="e">
        <f t="shared" si="12"/>
        <v>#N/A</v>
      </c>
      <c r="AM53" s="139" t="e">
        <f t="shared" si="13"/>
        <v>#N/A</v>
      </c>
      <c r="AN53" s="139" t="e">
        <f t="shared" si="14"/>
        <v>#N/A</v>
      </c>
    </row>
    <row r="54" spans="2:40" x14ac:dyDescent="0.2">
      <c r="B54" s="141"/>
      <c r="R54" s="130">
        <f t="shared" si="15"/>
        <v>20</v>
      </c>
      <c r="T54" s="142">
        <f t="shared" si="16"/>
        <v>20</v>
      </c>
      <c r="U54" s="139" t="str">
        <f t="shared" si="7"/>
        <v>EDAS12?20</v>
      </c>
      <c r="V54" s="139" t="str">
        <f>RTD("cqg.rtd", ,"ContractData", U54,"LastTradeorSettle",,"T")</f>
        <v/>
      </c>
      <c r="X54" s="139">
        <f xml:space="preserve"> RTD("cqg.rtd",,"StudyData",U54,  "Bar",, "Close","D","-1","All",,,,"T")</f>
        <v>15.5</v>
      </c>
      <c r="Y54" s="139">
        <f xml:space="preserve"> RTD("cqg.rtd",,"StudyData",U54,  "Bar",, "Close","D","-5","All",,,,"T")</f>
        <v>15</v>
      </c>
      <c r="Z54" s="139">
        <f xml:space="preserve"> RTD("cqg.rtd",,"StudyData",U54,  "Bar",, "Close","D","-20","All",,,,"T")</f>
        <v>14</v>
      </c>
      <c r="AA54" s="139" t="e">
        <f t="shared" si="8"/>
        <v>#N/A</v>
      </c>
      <c r="AB54" s="139" t="e">
        <f t="shared" si="9"/>
        <v>#N/A</v>
      </c>
      <c r="AC54" s="139" t="e">
        <f t="shared" si="10"/>
        <v>#N/A</v>
      </c>
      <c r="AE54" s="142">
        <f t="shared" si="17"/>
        <v>20</v>
      </c>
      <c r="AF54" s="139" t="str">
        <f t="shared" si="11"/>
        <v>EDAS3?20</v>
      </c>
      <c r="AG54" s="139">
        <f>IF(RTD("cqg.rtd", ,"ContractData", AF54,"LastTradeorSettle",,"T")="",NA(),RTD("cqg.rtd", ,"ContractData", AF54,"LastTradeorSettle",,"T"))</f>
        <v>4</v>
      </c>
      <c r="AI54" s="139">
        <f xml:space="preserve"> RTD("cqg.rtd",,"StudyData",AF54,  "Bar",, "Close","D","-1","All",,,,"T")</f>
        <v>4</v>
      </c>
      <c r="AJ54" s="139">
        <f xml:space="preserve"> RTD("cqg.rtd",,"StudyData",AF54,  "Bar",, "Close","D","-5","All",,,,"T")</f>
        <v>3.5</v>
      </c>
      <c r="AK54" s="139">
        <f xml:space="preserve"> RTD("cqg.rtd",,"StudyData",AF54,  "Bar",, "Close","D","-20","All",,,,"T")</f>
        <v>3.5</v>
      </c>
      <c r="AL54" s="139">
        <f t="shared" si="12"/>
        <v>0</v>
      </c>
      <c r="AM54" s="139">
        <f t="shared" si="13"/>
        <v>0.5</v>
      </c>
      <c r="AN54" s="139">
        <f t="shared" si="14"/>
        <v>0.5</v>
      </c>
    </row>
    <row r="55" spans="2:40" x14ac:dyDescent="0.2">
      <c r="B55" s="141"/>
      <c r="R55" s="130">
        <f t="shared" si="15"/>
        <v>21</v>
      </c>
      <c r="AA55" s="139"/>
      <c r="AB55" s="139"/>
      <c r="AC55" s="139"/>
    </row>
    <row r="56" spans="2:40" x14ac:dyDescent="0.2">
      <c r="R56" s="130">
        <f t="shared" si="15"/>
        <v>22</v>
      </c>
    </row>
    <row r="57" spans="2:40" x14ac:dyDescent="0.2">
      <c r="R57" s="130">
        <f t="shared" si="15"/>
        <v>23</v>
      </c>
    </row>
    <row r="58" spans="2:40" x14ac:dyDescent="0.2">
      <c r="R58" s="130">
        <f t="shared" si="15"/>
        <v>24</v>
      </c>
    </row>
    <row r="59" spans="2:40" x14ac:dyDescent="0.2">
      <c r="R59" s="130">
        <f t="shared" si="15"/>
        <v>25</v>
      </c>
    </row>
  </sheetData>
  <sheetProtection algorithmName="SHA-512" hashValue="dIomhbA8sIb+huy0wOUm9evD8BLBvjAnxATU0bMl9s4RuLUOZQaNz4Wpl5rTskRmaaXUucdsRBIOgtgTfthnPw==" saltValue="f3iEiTB4EFZvYZS3BZMnw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EDA Master</vt:lpstr>
      <vt:lpstr>EDA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cp:lastPrinted>2019-03-11T14:09:21Z</cp:lastPrinted>
  <dcterms:created xsi:type="dcterms:W3CDTF">2011-05-02T21:38:10Z</dcterms:created>
  <dcterms:modified xsi:type="dcterms:W3CDTF">2019-06-24T14:39:28Z</dcterms:modified>
</cp:coreProperties>
</file>