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000" firstSheet="1" activeTab="1"/>
  </bookViews>
  <sheets>
    <sheet name="Sheet1" sheetId="1" state="hidden" r:id="rId1"/>
    <sheet name="MainDisplay" sheetId="2" r:id="rId2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9" i="1" l="1"/>
  <c r="Z60" i="1" s="1"/>
  <c r="Z61" i="1" s="1"/>
  <c r="Z3" i="1"/>
  <c r="Z4" i="1" s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2" i="1"/>
  <c r="V6" i="2"/>
  <c r="AB6" i="2"/>
  <c r="AA6" i="2"/>
  <c r="W6" i="2"/>
  <c r="Y6" i="2"/>
  <c r="T6" i="2"/>
  <c r="AC6" i="2" l="1"/>
  <c r="X6" i="2"/>
  <c r="S9" i="2"/>
  <c r="AB9" i="2"/>
  <c r="T9" i="2"/>
  <c r="V9" i="2"/>
  <c r="Y9" i="2"/>
  <c r="W9" i="2"/>
  <c r="AA9" i="2"/>
  <c r="X9" i="2" l="1"/>
  <c r="AC9" i="2"/>
  <c r="S12" i="2"/>
  <c r="B3" i="1"/>
  <c r="AJ1" i="1"/>
  <c r="AJ10" i="1"/>
  <c r="AJ18" i="1"/>
  <c r="AJ26" i="1"/>
  <c r="AJ34" i="1"/>
  <c r="AJ42" i="1"/>
  <c r="AJ50" i="1"/>
  <c r="AJ58" i="1"/>
  <c r="AK6" i="1"/>
  <c r="AK22" i="1"/>
  <c r="AK38" i="1"/>
  <c r="AK54" i="1"/>
  <c r="AJ7" i="1"/>
  <c r="AJ15" i="1"/>
  <c r="AJ23" i="1"/>
  <c r="AJ31" i="1"/>
  <c r="AJ39" i="1"/>
  <c r="AJ47" i="1"/>
  <c r="AJ55" i="1"/>
  <c r="AJ6" i="1"/>
  <c r="AK16" i="1"/>
  <c r="AK32" i="1"/>
  <c r="AK48" i="1"/>
  <c r="AK3" i="1"/>
  <c r="AK11" i="1"/>
  <c r="AK19" i="1"/>
  <c r="AK27" i="1"/>
  <c r="AK35" i="1"/>
  <c r="AK43" i="1"/>
  <c r="AK51" i="1"/>
  <c r="AK59" i="1"/>
  <c r="V12" i="2"/>
  <c r="AE11" i="1"/>
  <c r="AE38" i="1"/>
  <c r="AE60" i="1"/>
  <c r="AE45" i="1"/>
  <c r="AA50" i="1"/>
  <c r="AA55" i="1"/>
  <c r="AA28" i="1"/>
  <c r="AA53" i="1"/>
  <c r="AB24" i="1"/>
  <c r="AB56" i="1"/>
  <c r="AC28" i="1"/>
  <c r="AC60" i="1"/>
  <c r="AB33" i="1"/>
  <c r="AC5" i="1"/>
  <c r="AC37" i="1"/>
  <c r="AE25" i="1"/>
  <c r="AA52" i="1"/>
  <c r="AB54" i="1"/>
  <c r="AB31" i="1"/>
  <c r="Y12" i="2"/>
  <c r="AE31" i="1"/>
  <c r="AE16" i="1"/>
  <c r="AE54" i="1"/>
  <c r="AA22" i="1"/>
  <c r="AA27" i="1"/>
  <c r="AA56" i="1"/>
  <c r="AA25" i="1"/>
  <c r="AB10" i="1"/>
  <c r="AB42" i="1"/>
  <c r="AC14" i="1"/>
  <c r="AC46" i="1"/>
  <c r="AB19" i="1"/>
  <c r="AB51" i="1"/>
  <c r="AC23" i="1"/>
  <c r="AC55" i="1"/>
  <c r="AB46" i="1"/>
  <c r="AB23" i="1"/>
  <c r="AE19" i="1"/>
  <c r="AE18" i="1"/>
  <c r="AA58" i="1"/>
  <c r="AA44" i="1"/>
  <c r="AB28" i="1"/>
  <c r="AC32" i="1"/>
  <c r="AC9" i="1"/>
  <c r="AE7" i="1"/>
  <c r="AE56" i="1"/>
  <c r="AA20" i="1"/>
  <c r="AB39" i="1"/>
  <c r="A77" i="2"/>
  <c r="A64" i="2"/>
  <c r="A58" i="2"/>
  <c r="A5" i="2"/>
  <c r="AK1" i="1"/>
  <c r="AJ12" i="1"/>
  <c r="AJ20" i="1"/>
  <c r="AJ28" i="1"/>
  <c r="AJ36" i="1"/>
  <c r="AJ44" i="1"/>
  <c r="AJ52" i="1"/>
  <c r="AJ60" i="1"/>
  <c r="AK10" i="1"/>
  <c r="AK26" i="1"/>
  <c r="AK42" i="1"/>
  <c r="AK60" i="1"/>
  <c r="AJ9" i="1"/>
  <c r="AJ17" i="1"/>
  <c r="AJ25" i="1"/>
  <c r="AJ33" i="1"/>
  <c r="AJ41" i="1"/>
  <c r="AJ49" i="1"/>
  <c r="AJ57" i="1"/>
  <c r="AK4" i="1"/>
  <c r="AK20" i="1"/>
  <c r="AK36" i="1"/>
  <c r="AK52" i="1"/>
  <c r="AK5" i="1"/>
  <c r="AK13" i="1"/>
  <c r="AK21" i="1"/>
  <c r="AK29" i="1"/>
  <c r="AK37" i="1"/>
  <c r="AK45" i="1"/>
  <c r="AK53" i="1"/>
  <c r="AK61" i="1"/>
  <c r="W12" i="2"/>
  <c r="AE27" i="1"/>
  <c r="AE12" i="1"/>
  <c r="AE46" i="1"/>
  <c r="AE61" i="1"/>
  <c r="AA7" i="1"/>
  <c r="AA16" i="1"/>
  <c r="AA5" i="1"/>
  <c r="AC1" i="1"/>
  <c r="AB32" i="1"/>
  <c r="AC4" i="1"/>
  <c r="AC36" i="1"/>
  <c r="AB9" i="1"/>
  <c r="AB41" i="1"/>
  <c r="AC13" i="1"/>
  <c r="AC45" i="1"/>
  <c r="AA46" i="1"/>
  <c r="AA49" i="1"/>
  <c r="AC18" i="1"/>
  <c r="AB55" i="1"/>
  <c r="AE10" i="1"/>
  <c r="AE47" i="1"/>
  <c r="AE32" i="1"/>
  <c r="AE17" i="1"/>
  <c r="AA38" i="1"/>
  <c r="AA43" i="1"/>
  <c r="AA4" i="1"/>
  <c r="AA41" i="1"/>
  <c r="AB18" i="1"/>
  <c r="AB50" i="1"/>
  <c r="AC22" i="1"/>
  <c r="AC54" i="1"/>
  <c r="AB27" i="1"/>
  <c r="AB59" i="1"/>
  <c r="AC31" i="1"/>
  <c r="AE41" i="1"/>
  <c r="AA17" i="1"/>
  <c r="AC10" i="1"/>
  <c r="AB47" i="1"/>
  <c r="T12" i="2"/>
  <c r="AE35" i="1"/>
  <c r="AE20" i="1"/>
  <c r="AE5" i="1"/>
  <c r="AA1" i="1"/>
  <c r="AA15" i="1"/>
  <c r="AA32" i="1"/>
  <c r="AA13" i="1"/>
  <c r="AB4" i="1"/>
  <c r="AB36" i="1"/>
  <c r="AC8" i="1"/>
  <c r="AC40" i="1"/>
  <c r="AB13" i="1"/>
  <c r="AB45" i="1"/>
  <c r="AC17" i="1"/>
  <c r="AC49" i="1"/>
  <c r="AE23" i="1"/>
  <c r="AE8" i="1"/>
  <c r="AJ8" i="1"/>
  <c r="AJ16" i="1"/>
  <c r="AJ24" i="1"/>
  <c r="AJ32" i="1"/>
  <c r="AJ40" i="1"/>
  <c r="AJ48" i="1"/>
  <c r="AJ56" i="1"/>
  <c r="AK2" i="1"/>
  <c r="AK18" i="1"/>
  <c r="AK34" i="1"/>
  <c r="AK50" i="1"/>
  <c r="AJ5" i="1"/>
  <c r="AJ13" i="1"/>
  <c r="AJ21" i="1"/>
  <c r="AJ29" i="1"/>
  <c r="AJ37" i="1"/>
  <c r="AJ45" i="1"/>
  <c r="AJ53" i="1"/>
  <c r="AJ61" i="1"/>
  <c r="AK12" i="1"/>
  <c r="AK28" i="1"/>
  <c r="AK44" i="1"/>
  <c r="AK58" i="1"/>
  <c r="AK9" i="1"/>
  <c r="AK17" i="1"/>
  <c r="AK25" i="1"/>
  <c r="AK33" i="1"/>
  <c r="AK41" i="1"/>
  <c r="AK49" i="1"/>
  <c r="AK57" i="1"/>
  <c r="AB12" i="2"/>
  <c r="AE42" i="1"/>
  <c r="AE59" i="1"/>
  <c r="AE44" i="1"/>
  <c r="AE29" i="1"/>
  <c r="AA34" i="1"/>
  <c r="AA39" i="1"/>
  <c r="AA18" i="1"/>
  <c r="AA37" i="1"/>
  <c r="AB16" i="1"/>
  <c r="AB48" i="1"/>
  <c r="AC20" i="1"/>
  <c r="AC52" i="1"/>
  <c r="AB25" i="1"/>
  <c r="AB57" i="1"/>
  <c r="AC29" i="1"/>
  <c r="AC61" i="1"/>
  <c r="AA40" i="1"/>
  <c r="AB30" i="1"/>
  <c r="AB7" i="1"/>
  <c r="AC43" i="1"/>
  <c r="AE15" i="1"/>
  <c r="AE58" i="1"/>
  <c r="AE6" i="1"/>
  <c r="AE49" i="1"/>
  <c r="AA11" i="1"/>
  <c r="AA24" i="1"/>
  <c r="AA9" i="1"/>
  <c r="AB2" i="1"/>
  <c r="AB34" i="1"/>
  <c r="AC6" i="1"/>
  <c r="AC38" i="1"/>
  <c r="AB11" i="1"/>
  <c r="AB43" i="1"/>
  <c r="AC15" i="1"/>
  <c r="AC47" i="1"/>
  <c r="AA51" i="1"/>
  <c r="AB22" i="1"/>
  <c r="AC58" i="1"/>
  <c r="AC35" i="1"/>
  <c r="AE3" i="1"/>
  <c r="AE14" i="1"/>
  <c r="AE52" i="1"/>
  <c r="AE37" i="1"/>
  <c r="AA42" i="1"/>
  <c r="AA47" i="1"/>
  <c r="AA12" i="1"/>
  <c r="AA45" i="1"/>
  <c r="AB20" i="1"/>
  <c r="AB52" i="1"/>
  <c r="AC24" i="1"/>
  <c r="AC56" i="1"/>
  <c r="AB29" i="1"/>
  <c r="AB61" i="1"/>
  <c r="AC33" i="1"/>
  <c r="AE30" i="1"/>
  <c r="AE55" i="1"/>
  <c r="AE40" i="1"/>
  <c r="AE57" i="1"/>
  <c r="AA8" i="1"/>
  <c r="AB38" i="1"/>
  <c r="AB15" i="1"/>
  <c r="AC51" i="1"/>
  <c r="A55" i="2"/>
  <c r="A68" i="2"/>
  <c r="A80" i="2"/>
  <c r="A53" i="2"/>
  <c r="A50" i="2"/>
  <c r="A56" i="2"/>
  <c r="A75" i="2"/>
  <c r="A71" i="2"/>
  <c r="L14" i="2"/>
  <c r="D46" i="2"/>
  <c r="D14" i="2"/>
  <c r="L46" i="2"/>
  <c r="M46" i="2"/>
  <c r="F26" i="2"/>
  <c r="H38" i="2"/>
  <c r="AA6" i="1"/>
  <c r="AC59" i="1"/>
  <c r="AE4" i="1"/>
  <c r="AE53" i="1"/>
  <c r="AA10" i="1"/>
  <c r="AA61" i="1"/>
  <c r="AB60" i="1"/>
  <c r="AB5" i="1"/>
  <c r="AB37" i="1"/>
  <c r="AC41" i="1"/>
  <c r="AE26" i="1"/>
  <c r="AA2" i="1"/>
  <c r="AC2" i="1"/>
  <c r="A69" i="2"/>
  <c r="A81" i="2"/>
  <c r="A63" i="2"/>
  <c r="A57" i="2"/>
  <c r="A79" i="2"/>
  <c r="K46" i="2"/>
  <c r="AE22" i="1"/>
  <c r="A76" i="2"/>
  <c r="AB44" i="1"/>
  <c r="A78" i="2"/>
  <c r="A67" i="2"/>
  <c r="E38" i="2"/>
  <c r="AJ2" i="1"/>
  <c r="AJ43" i="1"/>
  <c r="AK47" i="1"/>
  <c r="AB49" i="1"/>
  <c r="AA59" i="1"/>
  <c r="AC34" i="1"/>
  <c r="AC25" i="1"/>
  <c r="AC3" i="1"/>
  <c r="A70" i="2"/>
  <c r="E14" i="2"/>
  <c r="A30" i="2"/>
  <c r="AJ30" i="1"/>
  <c r="AJ4" i="1"/>
  <c r="AJ3" i="1"/>
  <c r="AJ35" i="1"/>
  <c r="AK8" i="1"/>
  <c r="AK7" i="1"/>
  <c r="AK39" i="1"/>
  <c r="AE1" i="1"/>
  <c r="AA14" i="1"/>
  <c r="AB8" i="1"/>
  <c r="AB17" i="1"/>
  <c r="AA35" i="1"/>
  <c r="AE50" i="1"/>
  <c r="AA54" i="1"/>
  <c r="AB26" i="1"/>
  <c r="AB35" i="1"/>
  <c r="AB1" i="1"/>
  <c r="AE51" i="1"/>
  <c r="AB53" i="1"/>
  <c r="AC50" i="1"/>
  <c r="A72" i="2"/>
  <c r="B4" i="2"/>
  <c r="AK14" i="1"/>
  <c r="AK24" i="1"/>
  <c r="AE43" i="1"/>
  <c r="AB40" i="1"/>
  <c r="AE2" i="1"/>
  <c r="AC7" i="1"/>
  <c r="AA60" i="1"/>
  <c r="AE34" i="1"/>
  <c r="A60" i="2"/>
  <c r="A54" i="2"/>
  <c r="E46" i="2"/>
  <c r="AJ14" i="1"/>
  <c r="AJ46" i="1"/>
  <c r="AK30" i="1"/>
  <c r="AJ19" i="1"/>
  <c r="AJ51" i="1"/>
  <c r="AK40" i="1"/>
  <c r="AK23" i="1"/>
  <c r="AK55" i="1"/>
  <c r="AE28" i="1"/>
  <c r="AA48" i="1"/>
  <c r="AC12" i="1"/>
  <c r="AC21" i="1"/>
  <c r="AC42" i="1"/>
  <c r="AE48" i="1"/>
  <c r="AA36" i="1"/>
  <c r="AC30" i="1"/>
  <c r="AC39" i="1"/>
  <c r="AC11" i="1"/>
  <c r="AE21" i="1"/>
  <c r="AA29" i="1"/>
  <c r="AC48" i="1"/>
  <c r="AC57" i="1"/>
  <c r="AE9" i="1"/>
  <c r="AB14" i="1"/>
  <c r="AC27" i="1"/>
  <c r="A65" i="2"/>
  <c r="A66" i="2"/>
  <c r="A51" i="2"/>
  <c r="A52" i="2"/>
  <c r="A14" i="2"/>
  <c r="B14" i="2"/>
  <c r="C46" i="2"/>
  <c r="B46" i="2"/>
  <c r="A2" i="2"/>
  <c r="AJ22" i="1"/>
  <c r="AJ54" i="1"/>
  <c r="AK46" i="1"/>
  <c r="AJ27" i="1"/>
  <c r="AJ59" i="1"/>
  <c r="AK56" i="1"/>
  <c r="AK31" i="1"/>
  <c r="AA12" i="2"/>
  <c r="AE13" i="1"/>
  <c r="AA21" i="1"/>
  <c r="AC44" i="1"/>
  <c r="AC53" i="1"/>
  <c r="AC19" i="1"/>
  <c r="AE33" i="1"/>
  <c r="AA57" i="1"/>
  <c r="AB3" i="1"/>
  <c r="AA3" i="1"/>
  <c r="AA26" i="1"/>
  <c r="AB12" i="1"/>
  <c r="AB21" i="1"/>
  <c r="AE39" i="1"/>
  <c r="AA30" i="1"/>
  <c r="AC26" i="1"/>
  <c r="A73" i="2"/>
  <c r="A62" i="2"/>
  <c r="A74" i="2"/>
  <c r="J46" i="2"/>
  <c r="M14" i="2"/>
  <c r="C14" i="2"/>
  <c r="H14" i="2"/>
  <c r="B26" i="2"/>
  <c r="AA31" i="1"/>
  <c r="AE24" i="1"/>
  <c r="AA19" i="1"/>
  <c r="A61" i="2"/>
  <c r="F14" i="2"/>
  <c r="J14" i="2"/>
  <c r="K14" i="2"/>
  <c r="AJ38" i="1"/>
  <c r="AJ11" i="1"/>
  <c r="AK15" i="1"/>
  <c r="AA23" i="1"/>
  <c r="AB6" i="1"/>
  <c r="AB58" i="1"/>
  <c r="AE36" i="1"/>
  <c r="AC16" i="1"/>
  <c r="AA33" i="1"/>
  <c r="A59" i="2"/>
  <c r="I46" i="2"/>
  <c r="E42" i="2"/>
  <c r="X12" i="2" l="1"/>
  <c r="AC12" i="2"/>
  <c r="S15" i="2"/>
  <c r="A34" i="2"/>
  <c r="W15" i="2"/>
  <c r="J18" i="2"/>
  <c r="M18" i="2"/>
  <c r="A3" i="2"/>
  <c r="AA15" i="2"/>
  <c r="Y15" i="2"/>
  <c r="H18" i="2"/>
  <c r="B18" i="2"/>
  <c r="A4" i="2"/>
  <c r="AB15" i="2"/>
  <c r="T15" i="2"/>
  <c r="E18" i="2"/>
  <c r="K18" i="2"/>
  <c r="V15" i="2"/>
  <c r="L18" i="2"/>
  <c r="C18" i="2"/>
  <c r="D18" i="2"/>
  <c r="X15" i="2" l="1"/>
  <c r="AC15" i="2"/>
  <c r="S18" i="2"/>
  <c r="A42" i="2"/>
  <c r="A46" i="2" s="1"/>
  <c r="AB18" i="2"/>
  <c r="T18" i="2"/>
  <c r="F38" i="2"/>
  <c r="D38" i="2"/>
  <c r="E6" i="2"/>
  <c r="A6" i="2"/>
  <c r="L6" i="2"/>
  <c r="J26" i="2"/>
  <c r="V18" i="2"/>
  <c r="C5" i="1"/>
  <c r="C6" i="2"/>
  <c r="A26" i="2"/>
  <c r="Z2" i="2"/>
  <c r="H4" i="1"/>
  <c r="W18" i="2"/>
  <c r="B5" i="1"/>
  <c r="M6" i="2"/>
  <c r="D42" i="2"/>
  <c r="I6" i="2" s="1"/>
  <c r="A22" i="2"/>
  <c r="L26" i="2"/>
  <c r="B6" i="2"/>
  <c r="AA18" i="2"/>
  <c r="Y18" i="2"/>
  <c r="D6" i="2"/>
  <c r="C3" i="1"/>
  <c r="K6" i="2"/>
  <c r="A38" i="2"/>
  <c r="H26" i="2"/>
  <c r="J6" i="2"/>
  <c r="F46" i="2"/>
  <c r="H6" i="2"/>
  <c r="F6" i="2"/>
  <c r="E2" i="1" l="1"/>
  <c r="X18" i="2"/>
  <c r="AC18" i="2"/>
  <c r="S21" i="2"/>
  <c r="C8" i="1"/>
  <c r="D8" i="1" s="1"/>
  <c r="U18" i="2"/>
  <c r="U123" i="2"/>
  <c r="U90" i="2"/>
  <c r="U45" i="2"/>
  <c r="U93" i="2"/>
  <c r="U141" i="2"/>
  <c r="U183" i="2"/>
  <c r="U24" i="2"/>
  <c r="U120" i="2"/>
  <c r="U135" i="2"/>
  <c r="U186" i="2"/>
  <c r="Z117" i="2"/>
  <c r="Z96" i="2"/>
  <c r="Z57" i="2"/>
  <c r="Z123" i="2"/>
  <c r="Z105" i="2"/>
  <c r="Z90" i="2"/>
  <c r="Z186" i="2"/>
  <c r="F18" i="2"/>
  <c r="Y21" i="2"/>
  <c r="Z66" i="2"/>
  <c r="T21" i="2"/>
  <c r="U9" i="2"/>
  <c r="U27" i="2"/>
  <c r="U159" i="2"/>
  <c r="U150" i="2"/>
  <c r="U57" i="2"/>
  <c r="U105" i="2"/>
  <c r="U153" i="2"/>
  <c r="U75" i="2"/>
  <c r="U66" i="2"/>
  <c r="U36" i="2"/>
  <c r="U84" i="2"/>
  <c r="U132" i="2"/>
  <c r="U180" i="2"/>
  <c r="U171" i="2"/>
  <c r="U126" i="2"/>
  <c r="Z9" i="2"/>
  <c r="Z18" i="2"/>
  <c r="Z177" i="2"/>
  <c r="Z60" i="2"/>
  <c r="Z108" i="2"/>
  <c r="Z156" i="2"/>
  <c r="Z81" i="2"/>
  <c r="Z39" i="2"/>
  <c r="Z87" i="2"/>
  <c r="Z135" i="2"/>
  <c r="Z183" i="2"/>
  <c r="Z141" i="2"/>
  <c r="Z102" i="2"/>
  <c r="AB21" i="2"/>
  <c r="Z162" i="2"/>
  <c r="W10" i="1"/>
  <c r="U12" i="2"/>
  <c r="U51" i="2"/>
  <c r="U30" i="2"/>
  <c r="U21" i="2"/>
  <c r="U69" i="2"/>
  <c r="U117" i="2"/>
  <c r="U165" i="2"/>
  <c r="U111" i="2"/>
  <c r="U102" i="2"/>
  <c r="U48" i="2"/>
  <c r="U96" i="2"/>
  <c r="U144" i="2"/>
  <c r="U63" i="2"/>
  <c r="U42" i="2"/>
  <c r="U162" i="2"/>
  <c r="Z15" i="2"/>
  <c r="Z45" i="2"/>
  <c r="Z24" i="2"/>
  <c r="Z72" i="2"/>
  <c r="Z120" i="2"/>
  <c r="Z168" i="2"/>
  <c r="Z129" i="2"/>
  <c r="Z51" i="2"/>
  <c r="Z99" i="2"/>
  <c r="Z147" i="2"/>
  <c r="Z33" i="2"/>
  <c r="Z165" i="2"/>
  <c r="V21" i="2"/>
  <c r="U15" i="2"/>
  <c r="U87" i="2"/>
  <c r="U54" i="2"/>
  <c r="U33" i="2"/>
  <c r="U81" i="2"/>
  <c r="U129" i="2"/>
  <c r="U177" i="2"/>
  <c r="U147" i="2"/>
  <c r="U138" i="2"/>
  <c r="U60" i="2"/>
  <c r="U108" i="2"/>
  <c r="U156" i="2"/>
  <c r="U99" i="2"/>
  <c r="U78" i="2"/>
  <c r="U174" i="2"/>
  <c r="Z12" i="2"/>
  <c r="Z93" i="2"/>
  <c r="Z36" i="2"/>
  <c r="Z84" i="2"/>
  <c r="Z132" i="2"/>
  <c r="Z180" i="2"/>
  <c r="Z153" i="2"/>
  <c r="Z63" i="2"/>
  <c r="Z111" i="2"/>
  <c r="Z159" i="2"/>
  <c r="Z69" i="2"/>
  <c r="Z30" i="2"/>
  <c r="Z78" i="2"/>
  <c r="Z126" i="2"/>
  <c r="Z174" i="2"/>
  <c r="W21" i="2"/>
  <c r="A10" i="2"/>
  <c r="G6" i="2"/>
  <c r="U39" i="2"/>
  <c r="U72" i="2"/>
  <c r="U168" i="2"/>
  <c r="U114" i="2"/>
  <c r="Z21" i="2"/>
  <c r="Z48" i="2"/>
  <c r="Z144" i="2"/>
  <c r="Z27" i="2"/>
  <c r="Z75" i="2"/>
  <c r="Z171" i="2"/>
  <c r="Z42" i="2"/>
  <c r="Z138" i="2"/>
  <c r="AA21" i="2"/>
  <c r="Z54" i="2"/>
  <c r="Z150" i="2"/>
  <c r="D26" i="2"/>
  <c r="Z114" i="2"/>
  <c r="F2" i="2" l="1"/>
  <c r="X21" i="2"/>
  <c r="AC21" i="2"/>
  <c r="S24" i="2"/>
  <c r="H4" i="2"/>
  <c r="V24" i="2"/>
  <c r="AI3" i="1"/>
  <c r="AI29" i="1"/>
  <c r="AH50" i="1"/>
  <c r="AH29" i="1"/>
  <c r="AI21" i="1"/>
  <c r="AH38" i="1"/>
  <c r="AF2" i="1"/>
  <c r="AF18" i="1"/>
  <c r="AF50" i="1"/>
  <c r="AG22" i="1"/>
  <c r="AG54" i="1"/>
  <c r="Y41" i="1"/>
  <c r="Y26" i="1"/>
  <c r="AI28" i="1"/>
  <c r="AF9" i="1"/>
  <c r="AG45" i="1"/>
  <c r="AI9" i="1"/>
  <c r="AH31" i="1"/>
  <c r="AH8" i="1"/>
  <c r="AF3" i="1"/>
  <c r="AF35" i="1"/>
  <c r="AG7" i="1"/>
  <c r="AG39" i="1"/>
  <c r="Y56" i="1"/>
  <c r="Y7" i="1"/>
  <c r="D4" i="1"/>
  <c r="AH12" i="1"/>
  <c r="AG17" i="1"/>
  <c r="AI57" i="1"/>
  <c r="AI15" i="1"/>
  <c r="AH58" i="1"/>
  <c r="AI31" i="1"/>
  <c r="AH42" i="1"/>
  <c r="AF20" i="1"/>
  <c r="AF52" i="1"/>
  <c r="AG24" i="1"/>
  <c r="Y52" i="1"/>
  <c r="Y3" i="1"/>
  <c r="E4" i="1"/>
  <c r="AH4" i="1"/>
  <c r="AF61" i="1"/>
  <c r="Y31" i="1"/>
  <c r="W24" i="2"/>
  <c r="Y24" i="2"/>
  <c r="AI2" i="1"/>
  <c r="AI18" i="1"/>
  <c r="AH5" i="1"/>
  <c r="AH37" i="1"/>
  <c r="AI35" i="1"/>
  <c r="AH14" i="1"/>
  <c r="AH46" i="1"/>
  <c r="AF6" i="1"/>
  <c r="AF22" i="1"/>
  <c r="AF38" i="1"/>
  <c r="AF54" i="1"/>
  <c r="AG10" i="1"/>
  <c r="AG26" i="1"/>
  <c r="AG42" i="1"/>
  <c r="AG58" i="1"/>
  <c r="Y44" i="1"/>
  <c r="Y59" i="1"/>
  <c r="Y49" i="1"/>
  <c r="Y10" i="1"/>
  <c r="B4" i="1"/>
  <c r="AH3" i="1"/>
  <c r="AH20" i="1"/>
  <c r="AF25" i="1"/>
  <c r="AG9" i="1"/>
  <c r="AG57" i="1"/>
  <c r="Y13" i="1"/>
  <c r="AI6" i="1"/>
  <c r="AI22" i="1"/>
  <c r="AH7" i="1"/>
  <c r="AH39" i="1"/>
  <c r="AI37" i="1"/>
  <c r="AH16" i="1"/>
  <c r="AH49" i="1"/>
  <c r="AF7" i="1"/>
  <c r="AF23" i="1"/>
  <c r="AF39" i="1"/>
  <c r="AF55" i="1"/>
  <c r="AG11" i="1"/>
  <c r="AG27" i="1"/>
  <c r="AG43" i="1"/>
  <c r="AG59" i="1"/>
  <c r="Y40" i="1"/>
  <c r="Y55" i="1"/>
  <c r="Y37" i="1"/>
  <c r="Y6" i="1"/>
  <c r="C4" i="1"/>
  <c r="AH27" i="1"/>
  <c r="AH36" i="1"/>
  <c r="AF33" i="1"/>
  <c r="AG29" i="1"/>
  <c r="Y32" i="1"/>
  <c r="Y57" i="1"/>
  <c r="AI10" i="1"/>
  <c r="AI24" i="1"/>
  <c r="AH9" i="1"/>
  <c r="AH41" i="1"/>
  <c r="AI39" i="1"/>
  <c r="AH18" i="1"/>
  <c r="AH53" i="1"/>
  <c r="AF8" i="1"/>
  <c r="AF24" i="1"/>
  <c r="AF40" i="1"/>
  <c r="AF56" i="1"/>
  <c r="AG12" i="1"/>
  <c r="AG28" i="1"/>
  <c r="AG44" i="1"/>
  <c r="AG60" i="1"/>
  <c r="Y36" i="1"/>
  <c r="Y51" i="1"/>
  <c r="Y29" i="1"/>
  <c r="Y2" i="1"/>
  <c r="AI1" i="1"/>
  <c r="AH19" i="1"/>
  <c r="AH28" i="1"/>
  <c r="AF29" i="1"/>
  <c r="AG13" i="1"/>
  <c r="AG61" i="1"/>
  <c r="Y61" i="1"/>
  <c r="AA24" i="2"/>
  <c r="T24" i="2"/>
  <c r="AI16" i="1"/>
  <c r="AI30" i="1"/>
  <c r="AH13" i="1"/>
  <c r="AH45" i="1"/>
  <c r="AI43" i="1"/>
  <c r="AH22" i="1"/>
  <c r="AH61" i="1"/>
  <c r="AF10" i="1"/>
  <c r="AF26" i="1"/>
  <c r="AF42" i="1"/>
  <c r="AF58" i="1"/>
  <c r="AG14" i="1"/>
  <c r="AG30" i="1"/>
  <c r="AG46" i="1"/>
  <c r="AI54" i="1"/>
  <c r="Y28" i="1"/>
  <c r="Y43" i="1"/>
  <c r="Y58" i="1"/>
  <c r="Y45" i="1"/>
  <c r="AI25" i="1"/>
  <c r="AH35" i="1"/>
  <c r="AH44" i="1"/>
  <c r="AF37" i="1"/>
  <c r="AG25" i="1"/>
  <c r="Y48" i="1"/>
  <c r="Y14" i="1"/>
  <c r="AI20" i="1"/>
  <c r="AI32" i="1"/>
  <c r="AH15" i="1"/>
  <c r="AH47" i="1"/>
  <c r="AI45" i="1"/>
  <c r="AH24" i="1"/>
  <c r="AI47" i="1"/>
  <c r="AF11" i="1"/>
  <c r="AF27" i="1"/>
  <c r="AF43" i="1"/>
  <c r="AF59" i="1"/>
  <c r="AG15" i="1"/>
  <c r="AG31" i="1"/>
  <c r="AG47" i="1"/>
  <c r="AI55" i="1"/>
  <c r="Y24" i="1"/>
  <c r="Y39" i="1"/>
  <c r="Y54" i="1"/>
  <c r="Y33" i="1"/>
  <c r="AI23" i="1"/>
  <c r="AH55" i="1"/>
  <c r="AI49" i="1"/>
  <c r="AF53" i="1"/>
  <c r="AG41" i="1"/>
  <c r="Y5" i="1"/>
  <c r="Z6" i="2"/>
  <c r="AI26" i="1"/>
  <c r="AI34" i="1"/>
  <c r="AH17" i="1"/>
  <c r="AH51" i="1"/>
  <c r="AH48" i="1"/>
  <c r="AH26" i="1"/>
  <c r="AI48" i="1"/>
  <c r="AF12" i="1"/>
  <c r="AF28" i="1"/>
  <c r="AF44" i="1"/>
  <c r="AF60" i="1"/>
  <c r="AG16" i="1"/>
  <c r="AG32" i="1"/>
  <c r="AG48" i="1"/>
  <c r="AI56" i="1"/>
  <c r="Y20" i="1"/>
  <c r="Y35" i="1"/>
  <c r="Y50" i="1"/>
  <c r="Y21" i="1"/>
  <c r="AI14" i="1"/>
  <c r="AH43" i="1"/>
  <c r="AH57" i="1"/>
  <c r="AF41" i="1"/>
  <c r="AG21" i="1"/>
  <c r="AI61" i="1"/>
  <c r="Y30" i="1"/>
  <c r="AB24" i="2"/>
  <c r="AF1" i="1"/>
  <c r="AI7" i="1"/>
  <c r="AI40" i="1"/>
  <c r="AH21" i="1"/>
  <c r="AH59" i="1"/>
  <c r="AH56" i="1"/>
  <c r="AH30" i="1"/>
  <c r="AI50" i="1"/>
  <c r="AF14" i="1"/>
  <c r="AF30" i="1"/>
  <c r="AF46" i="1"/>
  <c r="AG2" i="1"/>
  <c r="AG18" i="1"/>
  <c r="AG34" i="1"/>
  <c r="AG50" i="1"/>
  <c r="AI58" i="1"/>
  <c r="Y12" i="1"/>
  <c r="Y27" i="1"/>
  <c r="Y42" i="1"/>
  <c r="Y1" i="1"/>
  <c r="AI38" i="1"/>
  <c r="AI17" i="1"/>
  <c r="AI53" i="1"/>
  <c r="AF45" i="1"/>
  <c r="AG37" i="1"/>
  <c r="Y16" i="1"/>
  <c r="AG1" i="1"/>
  <c r="AI13" i="1"/>
  <c r="AI42" i="1"/>
  <c r="AH23" i="1"/>
  <c r="AI5" i="1"/>
  <c r="AH60" i="1"/>
  <c r="AH32" i="1"/>
  <c r="AI51" i="1"/>
  <c r="AF15" i="1"/>
  <c r="AF31" i="1"/>
  <c r="AF47" i="1"/>
  <c r="AG3" i="1"/>
  <c r="AG19" i="1"/>
  <c r="AG35" i="1"/>
  <c r="AG51" i="1"/>
  <c r="AI59" i="1"/>
  <c r="Y8" i="1"/>
  <c r="Y23" i="1"/>
  <c r="Y38" i="1"/>
  <c r="U6" i="2"/>
  <c r="AI36" i="1"/>
  <c r="AI41" i="1"/>
  <c r="AF13" i="1"/>
  <c r="AG5" i="1"/>
  <c r="AG53" i="1"/>
  <c r="Y15" i="1"/>
  <c r="AH1" i="1"/>
  <c r="AI19" i="1"/>
  <c r="AI44" i="1"/>
  <c r="AH25" i="1"/>
  <c r="AI11" i="1"/>
  <c r="AH2" i="1"/>
  <c r="AH34" i="1"/>
  <c r="AI52" i="1"/>
  <c r="AF16" i="1"/>
  <c r="AF32" i="1"/>
  <c r="AF48" i="1"/>
  <c r="AG4" i="1"/>
  <c r="AG20" i="1"/>
  <c r="AG36" i="1"/>
  <c r="AG52" i="1"/>
  <c r="AI60" i="1"/>
  <c r="Y4" i="1"/>
  <c r="Y19" i="1"/>
  <c r="Y34" i="1"/>
  <c r="C12" i="1"/>
  <c r="AI12" i="1"/>
  <c r="AI33" i="1"/>
  <c r="AF5" i="1"/>
  <c r="AF49" i="1"/>
  <c r="AG33" i="1"/>
  <c r="Y53" i="1"/>
  <c r="Y9" i="1"/>
  <c r="AH6" i="1"/>
  <c r="AF34" i="1"/>
  <c r="AG6" i="1"/>
  <c r="AG38" i="1"/>
  <c r="Y60" i="1"/>
  <c r="Y11" i="1"/>
  <c r="G46" i="2"/>
  <c r="AH52" i="1"/>
  <c r="AF57" i="1"/>
  <c r="Y47" i="1"/>
  <c r="AI4" i="1"/>
  <c r="AH54" i="1"/>
  <c r="AI27" i="1"/>
  <c r="AH40" i="1"/>
  <c r="AF19" i="1"/>
  <c r="AF51" i="1"/>
  <c r="AG23" i="1"/>
  <c r="AG55" i="1"/>
  <c r="Y25" i="1"/>
  <c r="Y22" i="1"/>
  <c r="AH11" i="1"/>
  <c r="AF21" i="1"/>
  <c r="Y46" i="1"/>
  <c r="AI8" i="1"/>
  <c r="AH33" i="1"/>
  <c r="AH10" i="1"/>
  <c r="AF4" i="1"/>
  <c r="AF36" i="1"/>
  <c r="AG8" i="1"/>
  <c r="AG40" i="1"/>
  <c r="AG56" i="1"/>
  <c r="Y17" i="1"/>
  <c r="Y18" i="1"/>
  <c r="AI46" i="1"/>
  <c r="AF17" i="1"/>
  <c r="AG49" i="1"/>
  <c r="F4" i="1"/>
  <c r="X24" i="2" l="1"/>
  <c r="AC24" i="2"/>
  <c r="S27" i="2"/>
  <c r="D5" i="1"/>
  <c r="AA27" i="2"/>
  <c r="I4" i="1"/>
  <c r="AB27" i="2"/>
  <c r="Y27" i="2"/>
  <c r="I38" i="2"/>
  <c r="V27" i="2"/>
  <c r="T27" i="2"/>
  <c r="W27" i="2"/>
  <c r="G4" i="1"/>
  <c r="X27" i="2" l="1"/>
  <c r="AC27" i="2"/>
  <c r="S30" i="2"/>
  <c r="X8" i="1"/>
  <c r="W30" i="2"/>
  <c r="AA30" i="2"/>
  <c r="Y30" i="2"/>
  <c r="AB30" i="2"/>
  <c r="T30" i="2"/>
  <c r="V30" i="2"/>
  <c r="L1" i="1" l="1"/>
  <c r="N6" i="2" s="1"/>
  <c r="X30" i="2"/>
  <c r="AC30" i="2"/>
  <c r="S33" i="2"/>
  <c r="AB33" i="2"/>
  <c r="V33" i="2"/>
  <c r="T33" i="2"/>
  <c r="W33" i="2"/>
  <c r="Y33" i="2"/>
  <c r="AA33" i="2"/>
  <c r="O1" i="1"/>
  <c r="L2" i="1" l="1"/>
  <c r="L3" i="1" s="1"/>
  <c r="N12" i="2" s="1"/>
  <c r="Q1" i="1"/>
  <c r="N1" i="1" s="1"/>
  <c r="P6" i="2" s="1"/>
  <c r="P1" i="1"/>
  <c r="M1" i="1" s="1"/>
  <c r="O6" i="2" s="1"/>
  <c r="X33" i="2"/>
  <c r="AC33" i="2"/>
  <c r="Q6" i="2"/>
  <c r="R6" i="2" s="1"/>
  <c r="R1" i="1"/>
  <c r="S36" i="2"/>
  <c r="W36" i="2"/>
  <c r="AA36" i="2"/>
  <c r="Y36" i="2"/>
  <c r="V36" i="2"/>
  <c r="T36" i="2"/>
  <c r="AB36" i="2"/>
  <c r="O3" i="1"/>
  <c r="Q3" i="1" l="1"/>
  <c r="N3" i="1" s="1"/>
  <c r="P12" i="2" s="1"/>
  <c r="P2" i="1"/>
  <c r="M2" i="1" s="1"/>
  <c r="O9" i="2" s="1"/>
  <c r="P3" i="1"/>
  <c r="M3" i="1" s="1"/>
  <c r="O12" i="2" s="1"/>
  <c r="N9" i="2"/>
  <c r="L4" i="1"/>
  <c r="N15" i="2" s="1"/>
  <c r="Q2" i="1"/>
  <c r="N2" i="1" s="1"/>
  <c r="P9" i="2" s="1"/>
  <c r="X36" i="2"/>
  <c r="AC36" i="2"/>
  <c r="S39" i="2"/>
  <c r="R3" i="1"/>
  <c r="Q12" i="2"/>
  <c r="R12" i="2" s="1"/>
  <c r="W39" i="2"/>
  <c r="Y39" i="2"/>
  <c r="O2" i="1"/>
  <c r="AA39" i="2"/>
  <c r="V39" i="2"/>
  <c r="AB39" i="2"/>
  <c r="T39" i="2"/>
  <c r="Q9" i="2" l="1"/>
  <c r="R9" i="2" s="1"/>
  <c r="R2" i="1"/>
  <c r="L5" i="1"/>
  <c r="P5" i="1" s="1"/>
  <c r="M5" i="1" s="1"/>
  <c r="O18" i="2" s="1"/>
  <c r="Q4" i="1"/>
  <c r="N4" i="1" s="1"/>
  <c r="P15" i="2" s="1"/>
  <c r="P4" i="1"/>
  <c r="M4" i="1" s="1"/>
  <c r="O15" i="2" s="1"/>
  <c r="X39" i="2"/>
  <c r="AC39" i="2"/>
  <c r="S42" i="2"/>
  <c r="O5" i="1"/>
  <c r="O4" i="1"/>
  <c r="V42" i="2"/>
  <c r="AB42" i="2"/>
  <c r="W42" i="2"/>
  <c r="T42" i="2"/>
  <c r="AA42" i="2"/>
  <c r="Y42" i="2"/>
  <c r="R4" i="1" l="1"/>
  <c r="Q15" i="2"/>
  <c r="R15" i="2" s="1"/>
  <c r="N18" i="2"/>
  <c r="L6" i="1"/>
  <c r="L7" i="1" s="1"/>
  <c r="Q5" i="1"/>
  <c r="N5" i="1" s="1"/>
  <c r="P18" i="2" s="1"/>
  <c r="X42" i="2"/>
  <c r="AC42" i="2"/>
  <c r="S45" i="2"/>
  <c r="Q18" i="2"/>
  <c r="R18" i="2" s="1"/>
  <c r="R5" i="1"/>
  <c r="W45" i="2"/>
  <c r="V45" i="2"/>
  <c r="T45" i="2"/>
  <c r="AA45" i="2"/>
  <c r="O6" i="1"/>
  <c r="AB45" i="2"/>
  <c r="Y45" i="2"/>
  <c r="P6" i="1" l="1"/>
  <c r="M6" i="1" s="1"/>
  <c r="O21" i="2" s="1"/>
  <c r="Q6" i="1"/>
  <c r="N6" i="1" s="1"/>
  <c r="P21" i="2" s="1"/>
  <c r="N21" i="2"/>
  <c r="X45" i="2"/>
  <c r="AC45" i="2"/>
  <c r="S48" i="2"/>
  <c r="R6" i="1"/>
  <c r="Q21" i="2"/>
  <c r="R21" i="2" s="1"/>
  <c r="L8" i="1"/>
  <c r="Q7" i="1"/>
  <c r="N7" i="1" s="1"/>
  <c r="P24" i="2" s="1"/>
  <c r="N24" i="2"/>
  <c r="P7" i="1"/>
  <c r="M7" i="1" s="1"/>
  <c r="O24" i="2" s="1"/>
  <c r="AA48" i="2"/>
  <c r="W48" i="2"/>
  <c r="Y48" i="2"/>
  <c r="AB48" i="2"/>
  <c r="T48" i="2"/>
  <c r="V48" i="2"/>
  <c r="O7" i="1"/>
  <c r="X48" i="2" l="1"/>
  <c r="AC48" i="2"/>
  <c r="S51" i="2"/>
  <c r="R7" i="1"/>
  <c r="Q24" i="2"/>
  <c r="R24" i="2" s="1"/>
  <c r="L9" i="1"/>
  <c r="N27" i="2"/>
  <c r="P8" i="1"/>
  <c r="M8" i="1" s="1"/>
  <c r="O27" i="2" s="1"/>
  <c r="Q8" i="1"/>
  <c r="N8" i="1" s="1"/>
  <c r="P27" i="2" s="1"/>
  <c r="AA51" i="2"/>
  <c r="O8" i="1"/>
  <c r="AB51" i="2"/>
  <c r="W51" i="2"/>
  <c r="T51" i="2"/>
  <c r="V51" i="2"/>
  <c r="Y51" i="2"/>
  <c r="X51" i="2" l="1"/>
  <c r="AC51" i="2"/>
  <c r="S54" i="2"/>
  <c r="R8" i="1"/>
  <c r="Q27" i="2"/>
  <c r="R27" i="2" s="1"/>
  <c r="L10" i="1"/>
  <c r="P9" i="1"/>
  <c r="M9" i="1" s="1"/>
  <c r="O30" i="2" s="1"/>
  <c r="Q9" i="1"/>
  <c r="N9" i="1" s="1"/>
  <c r="P30" i="2" s="1"/>
  <c r="N30" i="2"/>
  <c r="T54" i="2"/>
  <c r="AB54" i="2"/>
  <c r="V54" i="2"/>
  <c r="O9" i="1"/>
  <c r="AA54" i="2"/>
  <c r="W54" i="2"/>
  <c r="Y54" i="2"/>
  <c r="X54" i="2" l="1"/>
  <c r="AC54" i="2"/>
  <c r="S57" i="2"/>
  <c r="R9" i="1"/>
  <c r="Q30" i="2"/>
  <c r="R30" i="2" s="1"/>
  <c r="L11" i="1"/>
  <c r="Q10" i="1"/>
  <c r="N10" i="1" s="1"/>
  <c r="P33" i="2" s="1"/>
  <c r="P10" i="1"/>
  <c r="M10" i="1" s="1"/>
  <c r="O33" i="2" s="1"/>
  <c r="N33" i="2"/>
  <c r="W57" i="2"/>
  <c r="AA57" i="2"/>
  <c r="AB57" i="2"/>
  <c r="V57" i="2"/>
  <c r="O10" i="1"/>
  <c r="Y57" i="2"/>
  <c r="T57" i="2"/>
  <c r="X57" i="2" l="1"/>
  <c r="AC57" i="2"/>
  <c r="S60" i="2"/>
  <c r="R10" i="1"/>
  <c r="Q33" i="2"/>
  <c r="R33" i="2" s="1"/>
  <c r="L12" i="1"/>
  <c r="P11" i="1"/>
  <c r="M11" i="1" s="1"/>
  <c r="O36" i="2" s="1"/>
  <c r="N36" i="2"/>
  <c r="Q11" i="1"/>
  <c r="N11" i="1" s="1"/>
  <c r="P36" i="2" s="1"/>
  <c r="V60" i="2"/>
  <c r="T60" i="2"/>
  <c r="AA60" i="2"/>
  <c r="AB60" i="2"/>
  <c r="O11" i="1"/>
  <c r="W60" i="2"/>
  <c r="Y60" i="2"/>
  <c r="X60" i="2" l="1"/>
  <c r="AC60" i="2"/>
  <c r="S63" i="2"/>
  <c r="R11" i="1"/>
  <c r="Q36" i="2"/>
  <c r="R36" i="2" s="1"/>
  <c r="L13" i="1"/>
  <c r="Q12" i="1"/>
  <c r="N12" i="1" s="1"/>
  <c r="P39" i="2" s="1"/>
  <c r="N39" i="2"/>
  <c r="P12" i="1"/>
  <c r="M12" i="1" s="1"/>
  <c r="O39" i="2" s="1"/>
  <c r="W63" i="2"/>
  <c r="AA63" i="2"/>
  <c r="T63" i="2"/>
  <c r="AB63" i="2"/>
  <c r="O12" i="1"/>
  <c r="V63" i="2"/>
  <c r="Y63" i="2"/>
  <c r="X63" i="2" l="1"/>
  <c r="AC63" i="2"/>
  <c r="S66" i="2"/>
  <c r="R12" i="1"/>
  <c r="Q39" i="2"/>
  <c r="R39" i="2" s="1"/>
  <c r="L14" i="1"/>
  <c r="Q13" i="1"/>
  <c r="N13" i="1" s="1"/>
  <c r="P42" i="2" s="1"/>
  <c r="P13" i="1"/>
  <c r="M13" i="1" s="1"/>
  <c r="O42" i="2" s="1"/>
  <c r="N42" i="2"/>
  <c r="V66" i="2"/>
  <c r="AA66" i="2"/>
  <c r="T66" i="2"/>
  <c r="Y66" i="2"/>
  <c r="AB66" i="2"/>
  <c r="O13" i="1"/>
  <c r="W66" i="2"/>
  <c r="X66" i="2" l="1"/>
  <c r="AC66" i="2"/>
  <c r="S69" i="2"/>
  <c r="Q42" i="2"/>
  <c r="R42" i="2" s="1"/>
  <c r="R13" i="1"/>
  <c r="L15" i="1"/>
  <c r="P14" i="1"/>
  <c r="M14" i="1" s="1"/>
  <c r="O45" i="2" s="1"/>
  <c r="Q14" i="1"/>
  <c r="N14" i="1" s="1"/>
  <c r="P45" i="2" s="1"/>
  <c r="N45" i="2"/>
  <c r="AB69" i="2"/>
  <c r="W69" i="2"/>
  <c r="T69" i="2"/>
  <c r="V69" i="2"/>
  <c r="Y69" i="2"/>
  <c r="AA69" i="2"/>
  <c r="O14" i="1"/>
  <c r="X69" i="2" l="1"/>
  <c r="AC69" i="2"/>
  <c r="S72" i="2"/>
  <c r="Q45" i="2"/>
  <c r="R45" i="2" s="1"/>
  <c r="R14" i="1"/>
  <c r="L16" i="1"/>
  <c r="P15" i="1"/>
  <c r="M15" i="1" s="1"/>
  <c r="O48" i="2" s="1"/>
  <c r="N48" i="2"/>
  <c r="Q15" i="1"/>
  <c r="N15" i="1" s="1"/>
  <c r="P48" i="2" s="1"/>
  <c r="Y72" i="2"/>
  <c r="AA72" i="2"/>
  <c r="T72" i="2"/>
  <c r="AB72" i="2"/>
  <c r="O15" i="1"/>
  <c r="V72" i="2"/>
  <c r="W72" i="2"/>
  <c r="X72" i="2" l="1"/>
  <c r="AC72" i="2"/>
  <c r="S75" i="2"/>
  <c r="R15" i="1"/>
  <c r="Q48" i="2"/>
  <c r="R48" i="2" s="1"/>
  <c r="L17" i="1"/>
  <c r="P16" i="1"/>
  <c r="M16" i="1" s="1"/>
  <c r="O51" i="2" s="1"/>
  <c r="N51" i="2"/>
  <c r="Q16" i="1"/>
  <c r="N16" i="1" s="1"/>
  <c r="P51" i="2" s="1"/>
  <c r="V75" i="2"/>
  <c r="Y75" i="2"/>
  <c r="AA75" i="2"/>
  <c r="AB75" i="2"/>
  <c r="O16" i="1"/>
  <c r="W75" i="2"/>
  <c r="T75" i="2"/>
  <c r="X75" i="2" l="1"/>
  <c r="AC75" i="2"/>
  <c r="S78" i="2"/>
  <c r="R16" i="1"/>
  <c r="Q51" i="2"/>
  <c r="R51" i="2" s="1"/>
  <c r="L18" i="1"/>
  <c r="P17" i="1"/>
  <c r="M17" i="1" s="1"/>
  <c r="O54" i="2" s="1"/>
  <c r="N54" i="2"/>
  <c r="Q17" i="1"/>
  <c r="N17" i="1" s="1"/>
  <c r="P54" i="2" s="1"/>
  <c r="V78" i="2"/>
  <c r="Y78" i="2"/>
  <c r="AA78" i="2"/>
  <c r="T78" i="2"/>
  <c r="AB78" i="2"/>
  <c r="O17" i="1"/>
  <c r="W78" i="2"/>
  <c r="X78" i="2" l="1"/>
  <c r="AC78" i="2"/>
  <c r="S81" i="2"/>
  <c r="Q54" i="2"/>
  <c r="R54" i="2" s="1"/>
  <c r="R17" i="1"/>
  <c r="L19" i="1"/>
  <c r="P18" i="1"/>
  <c r="M18" i="1" s="1"/>
  <c r="O57" i="2" s="1"/>
  <c r="N57" i="2"/>
  <c r="Q18" i="1"/>
  <c r="N18" i="1" s="1"/>
  <c r="P57" i="2" s="1"/>
  <c r="V81" i="2"/>
  <c r="Y81" i="2"/>
  <c r="AA81" i="2"/>
  <c r="T81" i="2"/>
  <c r="AB81" i="2"/>
  <c r="O18" i="1"/>
  <c r="W81" i="2"/>
  <c r="X81" i="2" l="1"/>
  <c r="AC81" i="2"/>
  <c r="S84" i="2"/>
  <c r="Q57" i="2"/>
  <c r="R57" i="2" s="1"/>
  <c r="R18" i="1"/>
  <c r="L20" i="1"/>
  <c r="P19" i="1"/>
  <c r="M19" i="1" s="1"/>
  <c r="O60" i="2" s="1"/>
  <c r="N60" i="2"/>
  <c r="Q19" i="1"/>
  <c r="N19" i="1" s="1"/>
  <c r="P60" i="2" s="1"/>
  <c r="V84" i="2"/>
  <c r="Y84" i="2"/>
  <c r="AA84" i="2"/>
  <c r="T84" i="2"/>
  <c r="AB84" i="2"/>
  <c r="O19" i="1"/>
  <c r="W84" i="2"/>
  <c r="X84" i="2" l="1"/>
  <c r="AC84" i="2"/>
  <c r="S87" i="2"/>
  <c r="Q60" i="2"/>
  <c r="R60" i="2" s="1"/>
  <c r="R19" i="1"/>
  <c r="L21" i="1"/>
  <c r="Q20" i="1"/>
  <c r="N20" i="1" s="1"/>
  <c r="P63" i="2" s="1"/>
  <c r="N63" i="2"/>
  <c r="P20" i="1"/>
  <c r="M20" i="1" s="1"/>
  <c r="O63" i="2" s="1"/>
  <c r="V87" i="2"/>
  <c r="Y87" i="2"/>
  <c r="AA87" i="2"/>
  <c r="T87" i="2"/>
  <c r="AB87" i="2"/>
  <c r="O20" i="1"/>
  <c r="W87" i="2"/>
  <c r="X87" i="2" l="1"/>
  <c r="AC87" i="2"/>
  <c r="S90" i="2"/>
  <c r="R20" i="1"/>
  <c r="Q63" i="2"/>
  <c r="R63" i="2" s="1"/>
  <c r="L22" i="1"/>
  <c r="Q21" i="1"/>
  <c r="N21" i="1" s="1"/>
  <c r="P66" i="2" s="1"/>
  <c r="N66" i="2"/>
  <c r="P21" i="1"/>
  <c r="M21" i="1" s="1"/>
  <c r="O66" i="2" s="1"/>
  <c r="V90" i="2"/>
  <c r="Y90" i="2"/>
  <c r="AA90" i="2"/>
  <c r="T90" i="2"/>
  <c r="AB90" i="2"/>
  <c r="O21" i="1"/>
  <c r="W90" i="2"/>
  <c r="X90" i="2" l="1"/>
  <c r="AC90" i="2"/>
  <c r="S93" i="2"/>
  <c r="Q66" i="2"/>
  <c r="R66" i="2" s="1"/>
  <c r="R21" i="1"/>
  <c r="L23" i="1"/>
  <c r="Q22" i="1"/>
  <c r="N22" i="1" s="1"/>
  <c r="P69" i="2" s="1"/>
  <c r="N69" i="2"/>
  <c r="P22" i="1"/>
  <c r="M22" i="1" s="1"/>
  <c r="O69" i="2" s="1"/>
  <c r="V93" i="2"/>
  <c r="Y93" i="2"/>
  <c r="AA93" i="2"/>
  <c r="T93" i="2"/>
  <c r="AB93" i="2"/>
  <c r="O22" i="1"/>
  <c r="W93" i="2"/>
  <c r="X93" i="2" l="1"/>
  <c r="AC93" i="2"/>
  <c r="S96" i="2"/>
  <c r="Q69" i="2"/>
  <c r="R69" i="2" s="1"/>
  <c r="R22" i="1"/>
  <c r="L24" i="1"/>
  <c r="Q23" i="1"/>
  <c r="N23" i="1" s="1"/>
  <c r="P72" i="2" s="1"/>
  <c r="N72" i="2"/>
  <c r="P23" i="1"/>
  <c r="M23" i="1" s="1"/>
  <c r="O72" i="2" s="1"/>
  <c r="V96" i="2"/>
  <c r="Y96" i="2"/>
  <c r="AA96" i="2"/>
  <c r="T96" i="2"/>
  <c r="AB96" i="2"/>
  <c r="O23" i="1"/>
  <c r="W96" i="2"/>
  <c r="X96" i="2" l="1"/>
  <c r="AC96" i="2"/>
  <c r="S99" i="2"/>
  <c r="Q72" i="2"/>
  <c r="R72" i="2" s="1"/>
  <c r="R23" i="1"/>
  <c r="L25" i="1"/>
  <c r="Q24" i="1"/>
  <c r="N24" i="1" s="1"/>
  <c r="P75" i="2" s="1"/>
  <c r="N75" i="2"/>
  <c r="P24" i="1"/>
  <c r="M24" i="1" s="1"/>
  <c r="O75" i="2" s="1"/>
  <c r="W99" i="2"/>
  <c r="AA99" i="2"/>
  <c r="Y99" i="2"/>
  <c r="AB99" i="2"/>
  <c r="O24" i="1"/>
  <c r="V99" i="2"/>
  <c r="T99" i="2"/>
  <c r="X99" i="2" l="1"/>
  <c r="AC99" i="2"/>
  <c r="S102" i="2"/>
  <c r="R24" i="1"/>
  <c r="Q75" i="2"/>
  <c r="R75" i="2" s="1"/>
  <c r="L26" i="1"/>
  <c r="Q25" i="1"/>
  <c r="N25" i="1" s="1"/>
  <c r="P78" i="2" s="1"/>
  <c r="N78" i="2"/>
  <c r="P25" i="1"/>
  <c r="M25" i="1" s="1"/>
  <c r="O78" i="2" s="1"/>
  <c r="V102" i="2"/>
  <c r="AA102" i="2"/>
  <c r="T102" i="2"/>
  <c r="AB102" i="2"/>
  <c r="O25" i="1"/>
  <c r="W102" i="2"/>
  <c r="Y102" i="2"/>
  <c r="X102" i="2" l="1"/>
  <c r="AC102" i="2"/>
  <c r="S105" i="2"/>
  <c r="Q78" i="2"/>
  <c r="R78" i="2" s="1"/>
  <c r="R25" i="1"/>
  <c r="L27" i="1"/>
  <c r="Q26" i="1"/>
  <c r="N26" i="1" s="1"/>
  <c r="P81" i="2" s="1"/>
  <c r="N81" i="2"/>
  <c r="P26" i="1"/>
  <c r="M26" i="1" s="1"/>
  <c r="O81" i="2" s="1"/>
  <c r="AA105" i="2"/>
  <c r="Y105" i="2"/>
  <c r="AB105" i="2"/>
  <c r="T105" i="2"/>
  <c r="V105" i="2"/>
  <c r="O26" i="1"/>
  <c r="W105" i="2"/>
  <c r="X105" i="2" l="1"/>
  <c r="AC105" i="2"/>
  <c r="S108" i="2"/>
  <c r="Q81" i="2"/>
  <c r="R81" i="2" s="1"/>
  <c r="R26" i="1"/>
  <c r="L28" i="1"/>
  <c r="P27" i="1"/>
  <c r="M27" i="1" s="1"/>
  <c r="O84" i="2" s="1"/>
  <c r="N84" i="2"/>
  <c r="Q27" i="1"/>
  <c r="N27" i="1" s="1"/>
  <c r="P84" i="2" s="1"/>
  <c r="V108" i="2"/>
  <c r="Y108" i="2"/>
  <c r="AA108" i="2"/>
  <c r="T108" i="2"/>
  <c r="AB108" i="2"/>
  <c r="O27" i="1"/>
  <c r="W108" i="2"/>
  <c r="X108" i="2" l="1"/>
  <c r="AC108" i="2"/>
  <c r="S111" i="2"/>
  <c r="Q84" i="2"/>
  <c r="R84" i="2" s="1"/>
  <c r="R27" i="1"/>
  <c r="L29" i="1"/>
  <c r="Q28" i="1"/>
  <c r="N28" i="1" s="1"/>
  <c r="P87" i="2" s="1"/>
  <c r="N87" i="2"/>
  <c r="P28" i="1"/>
  <c r="M28" i="1" s="1"/>
  <c r="O87" i="2" s="1"/>
  <c r="V111" i="2"/>
  <c r="Y111" i="2"/>
  <c r="AA111" i="2"/>
  <c r="T111" i="2"/>
  <c r="AB111" i="2"/>
  <c r="O28" i="1"/>
  <c r="W111" i="2"/>
  <c r="X111" i="2" l="1"/>
  <c r="AC111" i="2"/>
  <c r="S114" i="2"/>
  <c r="Q87" i="2"/>
  <c r="R87" i="2" s="1"/>
  <c r="R28" i="1"/>
  <c r="L30" i="1"/>
  <c r="P29" i="1"/>
  <c r="M29" i="1" s="1"/>
  <c r="O90" i="2" s="1"/>
  <c r="N90" i="2"/>
  <c r="Q29" i="1"/>
  <c r="N29" i="1" s="1"/>
  <c r="P90" i="2" s="1"/>
  <c r="V114" i="2"/>
  <c r="Y114" i="2"/>
  <c r="AA114" i="2"/>
  <c r="T114" i="2"/>
  <c r="AB114" i="2"/>
  <c r="O29" i="1"/>
  <c r="W114" i="2"/>
  <c r="X114" i="2" l="1"/>
  <c r="AC114" i="2"/>
  <c r="S117" i="2"/>
  <c r="Q90" i="2"/>
  <c r="R90" i="2" s="1"/>
  <c r="R29" i="1"/>
  <c r="L31" i="1"/>
  <c r="P30" i="1"/>
  <c r="M30" i="1" s="1"/>
  <c r="O93" i="2" s="1"/>
  <c r="Q30" i="1"/>
  <c r="N30" i="1" s="1"/>
  <c r="P93" i="2" s="1"/>
  <c r="N93" i="2"/>
  <c r="AB117" i="2"/>
  <c r="W117" i="2"/>
  <c r="Y117" i="2"/>
  <c r="V117" i="2"/>
  <c r="T117" i="2"/>
  <c r="AA117" i="2"/>
  <c r="O30" i="1"/>
  <c r="X117" i="2" l="1"/>
  <c r="AC117" i="2"/>
  <c r="S120" i="2"/>
  <c r="Q93" i="2"/>
  <c r="R93" i="2" s="1"/>
  <c r="R30" i="1"/>
  <c r="L32" i="1"/>
  <c r="P31" i="1"/>
  <c r="M31" i="1" s="1"/>
  <c r="O96" i="2" s="1"/>
  <c r="N96" i="2"/>
  <c r="Q31" i="1"/>
  <c r="N31" i="1" s="1"/>
  <c r="P96" i="2" s="1"/>
  <c r="V120" i="2"/>
  <c r="T120" i="2"/>
  <c r="AA120" i="2"/>
  <c r="Y120" i="2"/>
  <c r="AB120" i="2"/>
  <c r="O31" i="1"/>
  <c r="W120" i="2"/>
  <c r="X120" i="2" l="1"/>
  <c r="AC120" i="2"/>
  <c r="S123" i="2"/>
  <c r="Q96" i="2"/>
  <c r="R96" i="2" s="1"/>
  <c r="R31" i="1"/>
  <c r="L33" i="1"/>
  <c r="P32" i="1"/>
  <c r="M32" i="1" s="1"/>
  <c r="O99" i="2" s="1"/>
  <c r="Q32" i="1"/>
  <c r="N32" i="1" s="1"/>
  <c r="P99" i="2" s="1"/>
  <c r="N99" i="2"/>
  <c r="V123" i="2"/>
  <c r="W123" i="2"/>
  <c r="Y123" i="2"/>
  <c r="AA123" i="2"/>
  <c r="T123" i="2"/>
  <c r="AB123" i="2"/>
  <c r="O32" i="1"/>
  <c r="X123" i="2" l="1"/>
  <c r="AC123" i="2"/>
  <c r="S126" i="2"/>
  <c r="Q99" i="2"/>
  <c r="R99" i="2" s="1"/>
  <c r="R32" i="1"/>
  <c r="L34" i="1"/>
  <c r="Q33" i="1"/>
  <c r="N33" i="1" s="1"/>
  <c r="P102" i="2" s="1"/>
  <c r="P33" i="1"/>
  <c r="M33" i="1" s="1"/>
  <c r="O102" i="2" s="1"/>
  <c r="N102" i="2"/>
  <c r="V126" i="2"/>
  <c r="W126" i="2"/>
  <c r="T126" i="2"/>
  <c r="AA126" i="2"/>
  <c r="Y126" i="2"/>
  <c r="AB126" i="2"/>
  <c r="O33" i="1"/>
  <c r="X126" i="2" l="1"/>
  <c r="AC126" i="2"/>
  <c r="S129" i="2"/>
  <c r="Q102" i="2"/>
  <c r="R102" i="2" s="1"/>
  <c r="R33" i="1"/>
  <c r="L35" i="1"/>
  <c r="Q34" i="1"/>
  <c r="N34" i="1" s="1"/>
  <c r="P105" i="2" s="1"/>
  <c r="P34" i="1"/>
  <c r="M34" i="1" s="1"/>
  <c r="O105" i="2" s="1"/>
  <c r="N105" i="2"/>
  <c r="V129" i="2"/>
  <c r="W129" i="2"/>
  <c r="Y129" i="2"/>
  <c r="AA129" i="2"/>
  <c r="T129" i="2"/>
  <c r="AB129" i="2"/>
  <c r="O34" i="1"/>
  <c r="X129" i="2" l="1"/>
  <c r="AC129" i="2"/>
  <c r="S132" i="2"/>
  <c r="Q105" i="2"/>
  <c r="R105" i="2" s="1"/>
  <c r="R34" i="1"/>
  <c r="L36" i="1"/>
  <c r="P35" i="1"/>
  <c r="M35" i="1" s="1"/>
  <c r="O108" i="2" s="1"/>
  <c r="Q35" i="1"/>
  <c r="N35" i="1" s="1"/>
  <c r="P108" i="2" s="1"/>
  <c r="N108" i="2"/>
  <c r="V132" i="2"/>
  <c r="W132" i="2"/>
  <c r="Y132" i="2"/>
  <c r="AA132" i="2"/>
  <c r="T132" i="2"/>
  <c r="AB132" i="2"/>
  <c r="O35" i="1"/>
  <c r="X132" i="2" l="1"/>
  <c r="AC132" i="2"/>
  <c r="S135" i="2"/>
  <c r="Q108" i="2"/>
  <c r="R108" i="2" s="1"/>
  <c r="R35" i="1"/>
  <c r="L37" i="1"/>
  <c r="P36" i="1"/>
  <c r="M36" i="1" s="1"/>
  <c r="O111" i="2" s="1"/>
  <c r="N111" i="2"/>
  <c r="Q36" i="1"/>
  <c r="N36" i="1" s="1"/>
  <c r="P111" i="2" s="1"/>
  <c r="AA135" i="2"/>
  <c r="Y135" i="2"/>
  <c r="AB135" i="2"/>
  <c r="T135" i="2"/>
  <c r="V135" i="2"/>
  <c r="O36" i="1"/>
  <c r="W135" i="2"/>
  <c r="X135" i="2" l="1"/>
  <c r="AC135" i="2"/>
  <c r="S138" i="2"/>
  <c r="Q111" i="2"/>
  <c r="R111" i="2" s="1"/>
  <c r="R36" i="1"/>
  <c r="L38" i="1"/>
  <c r="P37" i="1"/>
  <c r="M37" i="1" s="1"/>
  <c r="O114" i="2" s="1"/>
  <c r="Q37" i="1"/>
  <c r="N37" i="1" s="1"/>
  <c r="P114" i="2" s="1"/>
  <c r="N114" i="2"/>
  <c r="V138" i="2"/>
  <c r="W138" i="2"/>
  <c r="Y138" i="2"/>
  <c r="AA138" i="2"/>
  <c r="T138" i="2"/>
  <c r="AB138" i="2"/>
  <c r="O37" i="1"/>
  <c r="X138" i="2" l="1"/>
  <c r="AC138" i="2"/>
  <c r="S141" i="2"/>
  <c r="Q114" i="2"/>
  <c r="R114" i="2" s="1"/>
  <c r="R37" i="1"/>
  <c r="L39" i="1"/>
  <c r="Q38" i="1"/>
  <c r="N38" i="1" s="1"/>
  <c r="P117" i="2" s="1"/>
  <c r="N117" i="2"/>
  <c r="P38" i="1"/>
  <c r="M38" i="1" s="1"/>
  <c r="O117" i="2" s="1"/>
  <c r="V141" i="2"/>
  <c r="Y141" i="2"/>
  <c r="AA141" i="2"/>
  <c r="T141" i="2"/>
  <c r="AB141" i="2"/>
  <c r="O38" i="1"/>
  <c r="W141" i="2"/>
  <c r="X141" i="2" l="1"/>
  <c r="AC141" i="2"/>
  <c r="S144" i="2"/>
  <c r="Q117" i="2"/>
  <c r="R117" i="2" s="1"/>
  <c r="R38" i="1"/>
  <c r="L40" i="1"/>
  <c r="Q39" i="1"/>
  <c r="N39" i="1" s="1"/>
  <c r="P120" i="2" s="1"/>
  <c r="N120" i="2"/>
  <c r="P39" i="1"/>
  <c r="M39" i="1" s="1"/>
  <c r="O120" i="2" s="1"/>
  <c r="AB144" i="2"/>
  <c r="Y144" i="2"/>
  <c r="V144" i="2"/>
  <c r="T144" i="2"/>
  <c r="AA144" i="2"/>
  <c r="O39" i="1"/>
  <c r="W144" i="2"/>
  <c r="X144" i="2" l="1"/>
  <c r="AC144" i="2"/>
  <c r="S147" i="2"/>
  <c r="Q120" i="2"/>
  <c r="R120" i="2" s="1"/>
  <c r="R39" i="1"/>
  <c r="L41" i="1"/>
  <c r="Q40" i="1"/>
  <c r="N40" i="1" s="1"/>
  <c r="P123" i="2" s="1"/>
  <c r="N123" i="2"/>
  <c r="P40" i="1"/>
  <c r="M40" i="1" s="1"/>
  <c r="O123" i="2" s="1"/>
  <c r="AA147" i="2"/>
  <c r="AB147" i="2"/>
  <c r="T147" i="2"/>
  <c r="V147" i="2"/>
  <c r="O40" i="1"/>
  <c r="W147" i="2"/>
  <c r="Y147" i="2"/>
  <c r="X147" i="2" l="1"/>
  <c r="AC147" i="2"/>
  <c r="S150" i="2"/>
  <c r="Q123" i="2"/>
  <c r="R123" i="2" s="1"/>
  <c r="R40" i="1"/>
  <c r="L42" i="1"/>
  <c r="Q41" i="1"/>
  <c r="N41" i="1" s="1"/>
  <c r="P126" i="2" s="1"/>
  <c r="N126" i="2"/>
  <c r="P41" i="1"/>
  <c r="M41" i="1" s="1"/>
  <c r="O126" i="2" s="1"/>
  <c r="V150" i="2"/>
  <c r="Y150" i="2"/>
  <c r="AA150" i="2"/>
  <c r="T150" i="2"/>
  <c r="AB150" i="2"/>
  <c r="O41" i="1"/>
  <c r="W150" i="2"/>
  <c r="X150" i="2" l="1"/>
  <c r="AC150" i="2"/>
  <c r="S153" i="2"/>
  <c r="Q126" i="2"/>
  <c r="R126" i="2" s="1"/>
  <c r="R41" i="1"/>
  <c r="L43" i="1"/>
  <c r="Q42" i="1"/>
  <c r="N42" i="1" s="1"/>
  <c r="P129" i="2" s="1"/>
  <c r="N129" i="2"/>
  <c r="P42" i="1"/>
  <c r="M42" i="1" s="1"/>
  <c r="O129" i="2" s="1"/>
  <c r="AB153" i="2"/>
  <c r="Y153" i="2"/>
  <c r="V153" i="2"/>
  <c r="T153" i="2"/>
  <c r="AA153" i="2"/>
  <c r="O42" i="1"/>
  <c r="W153" i="2"/>
  <c r="X153" i="2" l="1"/>
  <c r="AC153" i="2"/>
  <c r="S156" i="2"/>
  <c r="Q129" i="2"/>
  <c r="R129" i="2" s="1"/>
  <c r="R42" i="1"/>
  <c r="L44" i="1"/>
  <c r="Q43" i="1"/>
  <c r="N43" i="1" s="1"/>
  <c r="P132" i="2" s="1"/>
  <c r="N132" i="2"/>
  <c r="P43" i="1"/>
  <c r="M43" i="1" s="1"/>
  <c r="O132" i="2" s="1"/>
  <c r="V156" i="2"/>
  <c r="Y156" i="2"/>
  <c r="AA156" i="2"/>
  <c r="T156" i="2"/>
  <c r="AB156" i="2"/>
  <c r="O43" i="1"/>
  <c r="W156" i="2"/>
  <c r="X156" i="2" l="1"/>
  <c r="AC156" i="2"/>
  <c r="S159" i="2"/>
  <c r="Q132" i="2"/>
  <c r="R132" i="2" s="1"/>
  <c r="R43" i="1"/>
  <c r="L45" i="1"/>
  <c r="P44" i="1"/>
  <c r="M44" i="1" s="1"/>
  <c r="O135" i="2" s="1"/>
  <c r="N135" i="2"/>
  <c r="Q44" i="1"/>
  <c r="N44" i="1" s="1"/>
  <c r="P135" i="2" s="1"/>
  <c r="V159" i="2"/>
  <c r="Y159" i="2"/>
  <c r="AA159" i="2"/>
  <c r="T159" i="2"/>
  <c r="AB159" i="2"/>
  <c r="O44" i="1"/>
  <c r="W159" i="2"/>
  <c r="X159" i="2" l="1"/>
  <c r="AC159" i="2"/>
  <c r="S162" i="2"/>
  <c r="Q135" i="2"/>
  <c r="R135" i="2" s="1"/>
  <c r="R44" i="1"/>
  <c r="L46" i="1"/>
  <c r="P45" i="1"/>
  <c r="M45" i="1" s="1"/>
  <c r="O138" i="2" s="1"/>
  <c r="N138" i="2"/>
  <c r="Q45" i="1"/>
  <c r="N45" i="1" s="1"/>
  <c r="P138" i="2" s="1"/>
  <c r="V162" i="2"/>
  <c r="Y162" i="2"/>
  <c r="AA162" i="2"/>
  <c r="T162" i="2"/>
  <c r="AB162" i="2"/>
  <c r="O45" i="1"/>
  <c r="W162" i="2"/>
  <c r="X162" i="2" l="1"/>
  <c r="AC162" i="2"/>
  <c r="S165" i="2"/>
  <c r="Q138" i="2"/>
  <c r="R138" i="2" s="1"/>
  <c r="R45" i="1"/>
  <c r="L47" i="1"/>
  <c r="P46" i="1"/>
  <c r="M46" i="1" s="1"/>
  <c r="O141" i="2" s="1"/>
  <c r="N141" i="2"/>
  <c r="Q46" i="1"/>
  <c r="N46" i="1" s="1"/>
  <c r="P141" i="2" s="1"/>
  <c r="AB165" i="2"/>
  <c r="Y165" i="2"/>
  <c r="V165" i="2"/>
  <c r="T165" i="2"/>
  <c r="AA165" i="2"/>
  <c r="O46" i="1"/>
  <c r="W165" i="2"/>
  <c r="X165" i="2" l="1"/>
  <c r="AC165" i="2"/>
  <c r="S168" i="2"/>
  <c r="Q141" i="2"/>
  <c r="R141" i="2" s="1"/>
  <c r="R46" i="1"/>
  <c r="L48" i="1"/>
  <c r="P47" i="1"/>
  <c r="M47" i="1" s="1"/>
  <c r="O144" i="2" s="1"/>
  <c r="N144" i="2"/>
  <c r="Q47" i="1"/>
  <c r="N47" i="1" s="1"/>
  <c r="P144" i="2" s="1"/>
  <c r="AB168" i="2"/>
  <c r="Y168" i="2"/>
  <c r="V168" i="2"/>
  <c r="T168" i="2"/>
  <c r="AA168" i="2"/>
  <c r="O47" i="1"/>
  <c r="W168" i="2"/>
  <c r="X168" i="2" l="1"/>
  <c r="AC168" i="2"/>
  <c r="S171" i="2"/>
  <c r="Q144" i="2"/>
  <c r="R144" i="2" s="1"/>
  <c r="R47" i="1"/>
  <c r="L49" i="1"/>
  <c r="Q48" i="1"/>
  <c r="N48" i="1" s="1"/>
  <c r="P147" i="2" s="1"/>
  <c r="N147" i="2"/>
  <c r="P48" i="1"/>
  <c r="M48" i="1" s="1"/>
  <c r="O147" i="2" s="1"/>
  <c r="W171" i="2"/>
  <c r="AA171" i="2"/>
  <c r="AB171" i="2"/>
  <c r="O48" i="1"/>
  <c r="V171" i="2"/>
  <c r="T171" i="2"/>
  <c r="Y171" i="2"/>
  <c r="X171" i="2" l="1"/>
  <c r="AC171" i="2"/>
  <c r="S174" i="2"/>
  <c r="Q147" i="2"/>
  <c r="R147" i="2" s="1"/>
  <c r="R48" i="1"/>
  <c r="L50" i="1"/>
  <c r="P49" i="1"/>
  <c r="M49" i="1" s="1"/>
  <c r="O150" i="2" s="1"/>
  <c r="N150" i="2"/>
  <c r="Q49" i="1"/>
  <c r="N49" i="1" s="1"/>
  <c r="P150" i="2" s="1"/>
  <c r="W174" i="2"/>
  <c r="T174" i="2"/>
  <c r="V174" i="2"/>
  <c r="AA174" i="2"/>
  <c r="O49" i="1"/>
  <c r="AB174" i="2"/>
  <c r="Y174" i="2"/>
  <c r="X174" i="2" l="1"/>
  <c r="AC174" i="2"/>
  <c r="S177" i="2"/>
  <c r="Q150" i="2"/>
  <c r="R150" i="2" s="1"/>
  <c r="R49" i="1"/>
  <c r="L51" i="1"/>
  <c r="P50" i="1"/>
  <c r="M50" i="1" s="1"/>
  <c r="O153" i="2" s="1"/>
  <c r="N153" i="2"/>
  <c r="Q50" i="1"/>
  <c r="N50" i="1" s="1"/>
  <c r="P153" i="2" s="1"/>
  <c r="Y177" i="2"/>
  <c r="AA177" i="2"/>
  <c r="T177" i="2"/>
  <c r="AB177" i="2"/>
  <c r="O50" i="1"/>
  <c r="V177" i="2"/>
  <c r="W177" i="2"/>
  <c r="X177" i="2" l="1"/>
  <c r="AC177" i="2"/>
  <c r="S180" i="2"/>
  <c r="Q153" i="2"/>
  <c r="R153" i="2" s="1"/>
  <c r="R50" i="1"/>
  <c r="L52" i="1"/>
  <c r="Q51" i="1"/>
  <c r="N51" i="1" s="1"/>
  <c r="P156" i="2" s="1"/>
  <c r="N156" i="2"/>
  <c r="P51" i="1"/>
  <c r="M51" i="1" s="1"/>
  <c r="O156" i="2" s="1"/>
  <c r="AB180" i="2"/>
  <c r="W180" i="2"/>
  <c r="T180" i="2"/>
  <c r="V180" i="2"/>
  <c r="AA180" i="2"/>
  <c r="O51" i="1"/>
  <c r="Y180" i="2"/>
  <c r="X180" i="2" l="1"/>
  <c r="AC180" i="2"/>
  <c r="S183" i="2"/>
  <c r="Q156" i="2"/>
  <c r="R156" i="2" s="1"/>
  <c r="R51" i="1"/>
  <c r="L53" i="1"/>
  <c r="Q52" i="1"/>
  <c r="N52" i="1" s="1"/>
  <c r="P159" i="2" s="1"/>
  <c r="N159" i="2"/>
  <c r="P52" i="1"/>
  <c r="M52" i="1" s="1"/>
  <c r="O159" i="2" s="1"/>
  <c r="V183" i="2"/>
  <c r="Y183" i="2"/>
  <c r="AA183" i="2"/>
  <c r="T183" i="2"/>
  <c r="AB183" i="2"/>
  <c r="O52" i="1"/>
  <c r="W183" i="2"/>
  <c r="X183" i="2" l="1"/>
  <c r="AC183" i="2"/>
  <c r="S186" i="2"/>
  <c r="Q159" i="2"/>
  <c r="R159" i="2" s="1"/>
  <c r="R52" i="1"/>
  <c r="L54" i="1"/>
  <c r="P53" i="1"/>
  <c r="M53" i="1" s="1"/>
  <c r="O162" i="2" s="1"/>
  <c r="N162" i="2"/>
  <c r="Q53" i="1"/>
  <c r="N53" i="1" s="1"/>
  <c r="P162" i="2" s="1"/>
  <c r="V186" i="2"/>
  <c r="Y186" i="2"/>
  <c r="AA186" i="2"/>
  <c r="T186" i="2"/>
  <c r="AB186" i="2"/>
  <c r="O53" i="1"/>
  <c r="W186" i="2"/>
  <c r="X186" i="2" l="1"/>
  <c r="AC186" i="2"/>
  <c r="Q162" i="2"/>
  <c r="R162" i="2" s="1"/>
  <c r="R53" i="1"/>
  <c r="L55" i="1"/>
  <c r="P54" i="1"/>
  <c r="M54" i="1" s="1"/>
  <c r="O165" i="2" s="1"/>
  <c r="N165" i="2"/>
  <c r="Q54" i="1"/>
  <c r="N54" i="1" s="1"/>
  <c r="P165" i="2" s="1"/>
  <c r="O54" i="1"/>
  <c r="Q165" i="2" l="1"/>
  <c r="R165" i="2" s="1"/>
  <c r="R54" i="1"/>
  <c r="L56" i="1"/>
  <c r="Q55" i="1"/>
  <c r="N55" i="1" s="1"/>
  <c r="P168" i="2" s="1"/>
  <c r="N168" i="2"/>
  <c r="P55" i="1"/>
  <c r="M55" i="1" s="1"/>
  <c r="O168" i="2" s="1"/>
  <c r="O55" i="1"/>
  <c r="R55" i="1" l="1"/>
  <c r="Q168" i="2"/>
  <c r="R168" i="2" s="1"/>
  <c r="L57" i="1"/>
  <c r="Q56" i="1"/>
  <c r="N56" i="1" s="1"/>
  <c r="P171" i="2" s="1"/>
  <c r="N171" i="2"/>
  <c r="P56" i="1"/>
  <c r="M56" i="1" s="1"/>
  <c r="O171" i="2" s="1"/>
  <c r="O56" i="1"/>
  <c r="Q171" i="2" l="1"/>
  <c r="R171" i="2" s="1"/>
  <c r="R56" i="1"/>
  <c r="L58" i="1"/>
  <c r="P57" i="1"/>
  <c r="M57" i="1" s="1"/>
  <c r="O174" i="2" s="1"/>
  <c r="Q57" i="1"/>
  <c r="N57" i="1" s="1"/>
  <c r="P174" i="2" s="1"/>
  <c r="N174" i="2"/>
  <c r="O57" i="1"/>
  <c r="Q174" i="2" l="1"/>
  <c r="R174" i="2" s="1"/>
  <c r="R57" i="1"/>
  <c r="L59" i="1"/>
  <c r="Q58" i="1"/>
  <c r="N58" i="1" s="1"/>
  <c r="P177" i="2" s="1"/>
  <c r="N177" i="2"/>
  <c r="P58" i="1"/>
  <c r="M58" i="1" s="1"/>
  <c r="O177" i="2" s="1"/>
  <c r="O58" i="1"/>
  <c r="Q177" i="2" l="1"/>
  <c r="R177" i="2" s="1"/>
  <c r="R58" i="1"/>
  <c r="L60" i="1"/>
  <c r="Q59" i="1"/>
  <c r="N59" i="1" s="1"/>
  <c r="P180" i="2" s="1"/>
  <c r="N180" i="2"/>
  <c r="P59" i="1"/>
  <c r="M59" i="1" s="1"/>
  <c r="O180" i="2" s="1"/>
  <c r="O59" i="1"/>
  <c r="Q180" i="2" l="1"/>
  <c r="R180" i="2" s="1"/>
  <c r="R59" i="1"/>
  <c r="L61" i="1"/>
  <c r="Q60" i="1"/>
  <c r="N60" i="1" s="1"/>
  <c r="P183" i="2" s="1"/>
  <c r="P60" i="1"/>
  <c r="M60" i="1" s="1"/>
  <c r="O183" i="2" s="1"/>
  <c r="N183" i="2"/>
  <c r="O60" i="1"/>
  <c r="Q183" i="2" l="1"/>
  <c r="R183" i="2" s="1"/>
  <c r="R60" i="1"/>
  <c r="L62" i="1"/>
  <c r="P61" i="1"/>
  <c r="M61" i="1" s="1"/>
  <c r="O186" i="2" s="1"/>
  <c r="N186" i="2"/>
  <c r="Q61" i="1"/>
  <c r="N61" i="1" s="1"/>
  <c r="P186" i="2" s="1"/>
  <c r="O61" i="1"/>
  <c r="Q186" i="2" l="1"/>
  <c r="R186" i="2" s="1"/>
  <c r="R61" i="1"/>
  <c r="L63" i="1"/>
  <c r="P62" i="1"/>
  <c r="M62" i="1" s="1"/>
  <c r="Q62" i="1"/>
  <c r="N62" i="1" s="1"/>
  <c r="O62" i="1"/>
  <c r="R62" i="1" l="1"/>
  <c r="L64" i="1"/>
  <c r="Q63" i="1"/>
  <c r="N63" i="1" s="1"/>
  <c r="P63" i="1"/>
  <c r="M63" i="1" s="1"/>
  <c r="O63" i="1"/>
  <c r="R63" i="1" l="1"/>
  <c r="L65" i="1"/>
  <c r="P64" i="1"/>
  <c r="M64" i="1" s="1"/>
  <c r="Q64" i="1"/>
  <c r="N64" i="1" s="1"/>
  <c r="O64" i="1"/>
  <c r="R64" i="1" l="1"/>
  <c r="L66" i="1"/>
  <c r="Q65" i="1"/>
  <c r="N65" i="1" s="1"/>
  <c r="P65" i="1"/>
  <c r="M65" i="1" s="1"/>
  <c r="O65" i="1"/>
  <c r="R65" i="1" l="1"/>
  <c r="L67" i="1"/>
  <c r="Q66" i="1"/>
  <c r="N66" i="1" s="1"/>
  <c r="P66" i="1"/>
  <c r="M66" i="1" s="1"/>
  <c r="O66" i="1"/>
  <c r="R66" i="1" l="1"/>
  <c r="L68" i="1"/>
  <c r="Q67" i="1"/>
  <c r="N67" i="1" s="1"/>
  <c r="P67" i="1"/>
  <c r="M67" i="1" s="1"/>
  <c r="O67" i="1"/>
  <c r="R67" i="1" l="1"/>
  <c r="L69" i="1"/>
  <c r="P68" i="1"/>
  <c r="M68" i="1" s="1"/>
  <c r="Q68" i="1"/>
  <c r="N68" i="1" s="1"/>
  <c r="O68" i="1"/>
  <c r="R68" i="1" l="1"/>
  <c r="L70" i="1"/>
  <c r="Q69" i="1"/>
  <c r="N69" i="1" s="1"/>
  <c r="P69" i="1"/>
  <c r="M69" i="1" s="1"/>
  <c r="O69" i="1"/>
  <c r="R69" i="1" l="1"/>
  <c r="L71" i="1"/>
  <c r="P70" i="1"/>
  <c r="M70" i="1" s="1"/>
  <c r="Q70" i="1"/>
  <c r="N70" i="1" s="1"/>
  <c r="O70" i="1"/>
  <c r="R70" i="1" l="1"/>
  <c r="L72" i="1"/>
  <c r="P71" i="1"/>
  <c r="M71" i="1" s="1"/>
  <c r="Q71" i="1"/>
  <c r="N71" i="1" s="1"/>
  <c r="O71" i="1"/>
  <c r="R71" i="1" l="1"/>
  <c r="L73" i="1"/>
  <c r="Q72" i="1"/>
  <c r="N72" i="1" s="1"/>
  <c r="P72" i="1"/>
  <c r="M72" i="1" s="1"/>
  <c r="O72" i="1"/>
  <c r="R72" i="1" l="1"/>
  <c r="L74" i="1"/>
  <c r="Q73" i="1"/>
  <c r="N73" i="1" s="1"/>
  <c r="P73" i="1"/>
  <c r="M73" i="1" s="1"/>
  <c r="O73" i="1"/>
  <c r="R73" i="1" l="1"/>
  <c r="L75" i="1"/>
  <c r="P74" i="1"/>
  <c r="M74" i="1" s="1"/>
  <c r="Q74" i="1"/>
  <c r="N74" i="1" s="1"/>
  <c r="O74" i="1"/>
  <c r="R74" i="1" l="1"/>
  <c r="L76" i="1"/>
  <c r="Q75" i="1"/>
  <c r="N75" i="1" s="1"/>
  <c r="P75" i="1"/>
  <c r="M75" i="1" s="1"/>
  <c r="O75" i="1"/>
  <c r="R75" i="1" l="1"/>
  <c r="L77" i="1"/>
  <c r="Q76" i="1"/>
  <c r="N76" i="1" s="1"/>
  <c r="P76" i="1"/>
  <c r="M76" i="1" s="1"/>
  <c r="O76" i="1"/>
  <c r="R76" i="1" l="1"/>
  <c r="L78" i="1"/>
  <c r="P77" i="1"/>
  <c r="M77" i="1" s="1"/>
  <c r="Q77" i="1"/>
  <c r="N77" i="1" s="1"/>
  <c r="O77" i="1"/>
  <c r="R77" i="1" l="1"/>
  <c r="L79" i="1"/>
  <c r="P78" i="1"/>
  <c r="M78" i="1" s="1"/>
  <c r="Q78" i="1"/>
  <c r="N78" i="1" s="1"/>
  <c r="O78" i="1"/>
  <c r="R78" i="1" l="1"/>
  <c r="L80" i="1"/>
  <c r="P79" i="1"/>
  <c r="M79" i="1" s="1"/>
  <c r="Q79" i="1"/>
  <c r="N79" i="1" s="1"/>
  <c r="O79" i="1"/>
  <c r="R79" i="1" l="1"/>
  <c r="L81" i="1"/>
  <c r="Q80" i="1"/>
  <c r="N80" i="1" s="1"/>
  <c r="P80" i="1"/>
  <c r="M80" i="1" s="1"/>
  <c r="O80" i="1"/>
  <c r="R80" i="1" l="1"/>
  <c r="L82" i="1"/>
  <c r="P81" i="1"/>
  <c r="M81" i="1" s="1"/>
  <c r="Q81" i="1"/>
  <c r="N81" i="1" s="1"/>
  <c r="O81" i="1"/>
  <c r="R81" i="1" l="1"/>
  <c r="L83" i="1"/>
  <c r="Q82" i="1"/>
  <c r="N82" i="1" s="1"/>
  <c r="P82" i="1"/>
  <c r="M82" i="1" s="1"/>
  <c r="O82" i="1"/>
  <c r="R82" i="1" l="1"/>
  <c r="L84" i="1"/>
  <c r="P83" i="1"/>
  <c r="M83" i="1" s="1"/>
  <c r="Q83" i="1"/>
  <c r="N83" i="1" s="1"/>
  <c r="O83" i="1"/>
  <c r="R83" i="1" l="1"/>
  <c r="L85" i="1"/>
  <c r="P84" i="1"/>
  <c r="M84" i="1" s="1"/>
  <c r="Q84" i="1"/>
  <c r="N84" i="1" s="1"/>
  <c r="O84" i="1"/>
  <c r="R84" i="1" l="1"/>
  <c r="L86" i="1"/>
  <c r="Q85" i="1"/>
  <c r="N85" i="1" s="1"/>
  <c r="P85" i="1"/>
  <c r="M85" i="1" s="1"/>
  <c r="O85" i="1"/>
  <c r="R85" i="1" l="1"/>
  <c r="L87" i="1"/>
  <c r="Q86" i="1"/>
  <c r="N86" i="1" s="1"/>
  <c r="P86" i="1"/>
  <c r="M86" i="1" s="1"/>
  <c r="O86" i="1"/>
  <c r="R86" i="1" l="1"/>
  <c r="L88" i="1"/>
  <c r="Q87" i="1"/>
  <c r="N87" i="1" s="1"/>
  <c r="P87" i="1"/>
  <c r="M87" i="1" s="1"/>
  <c r="O87" i="1"/>
  <c r="R87" i="1" l="1"/>
  <c r="L89" i="1"/>
  <c r="Q88" i="1"/>
  <c r="N88" i="1" s="1"/>
  <c r="P88" i="1"/>
  <c r="M88" i="1" s="1"/>
  <c r="O88" i="1"/>
  <c r="R88" i="1" l="1"/>
  <c r="L90" i="1"/>
  <c r="P89" i="1"/>
  <c r="M89" i="1" s="1"/>
  <c r="Q89" i="1"/>
  <c r="N89" i="1" s="1"/>
  <c r="O89" i="1"/>
  <c r="R89" i="1" l="1"/>
  <c r="L91" i="1"/>
  <c r="P90" i="1"/>
  <c r="M90" i="1" s="1"/>
  <c r="Q90" i="1"/>
  <c r="N90" i="1" s="1"/>
  <c r="O90" i="1"/>
  <c r="R90" i="1" l="1"/>
  <c r="L92" i="1"/>
  <c r="P91" i="1"/>
  <c r="M91" i="1" s="1"/>
  <c r="Q91" i="1"/>
  <c r="N91" i="1" s="1"/>
  <c r="O91" i="1"/>
  <c r="R91" i="1" l="1"/>
  <c r="L93" i="1"/>
  <c r="P92" i="1"/>
  <c r="M92" i="1" s="1"/>
  <c r="Q92" i="1"/>
  <c r="N92" i="1" s="1"/>
  <c r="O92" i="1"/>
  <c r="R92" i="1" l="1"/>
  <c r="L94" i="1"/>
  <c r="P93" i="1"/>
  <c r="M93" i="1" s="1"/>
  <c r="Q93" i="1"/>
  <c r="N93" i="1" s="1"/>
  <c r="O93" i="1"/>
  <c r="R93" i="1" l="1"/>
  <c r="L95" i="1"/>
  <c r="Q94" i="1"/>
  <c r="N94" i="1" s="1"/>
  <c r="P94" i="1"/>
  <c r="M94" i="1" s="1"/>
  <c r="O94" i="1"/>
  <c r="R94" i="1" l="1"/>
  <c r="L96" i="1"/>
  <c r="P95" i="1"/>
  <c r="M95" i="1" s="1"/>
  <c r="Q95" i="1"/>
  <c r="N95" i="1" s="1"/>
  <c r="O95" i="1"/>
  <c r="R95" i="1" l="1"/>
  <c r="L97" i="1"/>
  <c r="P96" i="1"/>
  <c r="M96" i="1" s="1"/>
  <c r="Q96" i="1"/>
  <c r="N96" i="1" s="1"/>
  <c r="O96" i="1"/>
  <c r="R96" i="1" l="1"/>
  <c r="L98" i="1"/>
  <c r="P97" i="1"/>
  <c r="M97" i="1" s="1"/>
  <c r="Q97" i="1"/>
  <c r="N97" i="1" s="1"/>
  <c r="O97" i="1"/>
  <c r="R97" i="1" l="1"/>
  <c r="L99" i="1"/>
  <c r="Q98" i="1"/>
  <c r="N98" i="1" s="1"/>
  <c r="P98" i="1"/>
  <c r="M98" i="1" s="1"/>
  <c r="O98" i="1"/>
  <c r="R98" i="1" l="1"/>
  <c r="L100" i="1"/>
  <c r="P99" i="1"/>
  <c r="M99" i="1" s="1"/>
  <c r="Q99" i="1"/>
  <c r="N99" i="1" s="1"/>
  <c r="O99" i="1"/>
  <c r="R99" i="1" l="1"/>
  <c r="L101" i="1"/>
  <c r="P100" i="1"/>
  <c r="M100" i="1" s="1"/>
  <c r="Q100" i="1"/>
  <c r="N100" i="1" s="1"/>
  <c r="O100" i="1"/>
  <c r="R100" i="1" l="1"/>
  <c r="L102" i="1"/>
  <c r="P101" i="1"/>
  <c r="M101" i="1" s="1"/>
  <c r="Q101" i="1"/>
  <c r="N101" i="1" s="1"/>
  <c r="O101" i="1"/>
  <c r="R101" i="1" l="1"/>
  <c r="L103" i="1"/>
  <c r="P102" i="1"/>
  <c r="M102" i="1" s="1"/>
  <c r="Q102" i="1"/>
  <c r="N102" i="1" s="1"/>
  <c r="O102" i="1"/>
  <c r="R102" i="1" l="1"/>
  <c r="L104" i="1"/>
  <c r="Q103" i="1"/>
  <c r="N103" i="1" s="1"/>
  <c r="P103" i="1"/>
  <c r="M103" i="1" s="1"/>
  <c r="O103" i="1"/>
  <c r="R103" i="1" l="1"/>
  <c r="L105" i="1"/>
  <c r="P104" i="1"/>
  <c r="M104" i="1" s="1"/>
  <c r="Q104" i="1"/>
  <c r="N104" i="1" s="1"/>
  <c r="O104" i="1"/>
  <c r="R104" i="1" l="1"/>
  <c r="L106" i="1"/>
  <c r="P105" i="1"/>
  <c r="M105" i="1" s="1"/>
  <c r="Q105" i="1"/>
  <c r="N105" i="1" s="1"/>
  <c r="O105" i="1"/>
  <c r="R105" i="1" l="1"/>
  <c r="L107" i="1"/>
  <c r="P106" i="1"/>
  <c r="M106" i="1" s="1"/>
  <c r="Q106" i="1"/>
  <c r="N106" i="1" s="1"/>
  <c r="O106" i="1"/>
  <c r="R106" i="1" l="1"/>
  <c r="L108" i="1"/>
  <c r="P107" i="1"/>
  <c r="M107" i="1" s="1"/>
  <c r="Q107" i="1"/>
  <c r="N107" i="1" s="1"/>
  <c r="O107" i="1"/>
  <c r="R107" i="1" l="1"/>
  <c r="L109" i="1"/>
  <c r="P108" i="1"/>
  <c r="M108" i="1" s="1"/>
  <c r="Q108" i="1"/>
  <c r="N108" i="1" s="1"/>
  <c r="O108" i="1"/>
  <c r="R108" i="1" l="1"/>
  <c r="L110" i="1"/>
  <c r="Q109" i="1"/>
  <c r="N109" i="1" s="1"/>
  <c r="P109" i="1"/>
  <c r="M109" i="1" s="1"/>
  <c r="O109" i="1"/>
  <c r="R109" i="1" l="1"/>
  <c r="L111" i="1"/>
  <c r="P110" i="1"/>
  <c r="M110" i="1" s="1"/>
  <c r="Q110" i="1"/>
  <c r="N110" i="1" s="1"/>
  <c r="O110" i="1"/>
  <c r="R110" i="1" l="1"/>
  <c r="L112" i="1"/>
  <c r="Q111" i="1"/>
  <c r="N111" i="1" s="1"/>
  <c r="P111" i="1"/>
  <c r="M111" i="1" s="1"/>
  <c r="O111" i="1"/>
  <c r="R111" i="1" l="1"/>
  <c r="L113" i="1"/>
  <c r="P112" i="1"/>
  <c r="M112" i="1" s="1"/>
  <c r="Q112" i="1"/>
  <c r="N112" i="1" s="1"/>
  <c r="O112" i="1"/>
  <c r="R112" i="1" l="1"/>
  <c r="L114" i="1"/>
  <c r="P113" i="1"/>
  <c r="M113" i="1" s="1"/>
  <c r="Q113" i="1"/>
  <c r="N113" i="1" s="1"/>
  <c r="O113" i="1"/>
  <c r="R113" i="1" l="1"/>
  <c r="L115" i="1"/>
  <c r="Q114" i="1"/>
  <c r="N114" i="1" s="1"/>
  <c r="P114" i="1"/>
  <c r="M114" i="1" s="1"/>
  <c r="O114" i="1"/>
  <c r="R114" i="1" l="1"/>
  <c r="L116" i="1"/>
  <c r="Q115" i="1"/>
  <c r="N115" i="1" s="1"/>
  <c r="P115" i="1"/>
  <c r="M115" i="1" s="1"/>
  <c r="O115" i="1"/>
  <c r="R115" i="1" l="1"/>
  <c r="L117" i="1"/>
  <c r="P116" i="1"/>
  <c r="M116" i="1" s="1"/>
  <c r="Q116" i="1"/>
  <c r="N116" i="1" s="1"/>
  <c r="O116" i="1"/>
  <c r="R116" i="1" l="1"/>
  <c r="L118" i="1"/>
  <c r="Q117" i="1"/>
  <c r="N117" i="1" s="1"/>
  <c r="P117" i="1"/>
  <c r="M117" i="1" s="1"/>
  <c r="O117" i="1"/>
  <c r="R117" i="1" l="1"/>
  <c r="L119" i="1"/>
  <c r="P118" i="1"/>
  <c r="M118" i="1" s="1"/>
  <c r="Q118" i="1"/>
  <c r="N118" i="1" s="1"/>
  <c r="O118" i="1"/>
  <c r="R118" i="1" l="1"/>
  <c r="L120" i="1"/>
  <c r="Q119" i="1"/>
  <c r="N119" i="1" s="1"/>
  <c r="P119" i="1"/>
  <c r="M119" i="1" s="1"/>
  <c r="O119" i="1"/>
  <c r="R119" i="1" l="1"/>
  <c r="L121" i="1"/>
  <c r="Q120" i="1"/>
  <c r="N120" i="1" s="1"/>
  <c r="P120" i="1"/>
  <c r="M120" i="1" s="1"/>
  <c r="O120" i="1"/>
  <c r="R120" i="1" l="1"/>
  <c r="L122" i="1"/>
  <c r="Q121" i="1"/>
  <c r="N121" i="1" s="1"/>
  <c r="P121" i="1"/>
  <c r="M121" i="1" s="1"/>
  <c r="O121" i="1"/>
  <c r="R121" i="1" l="1"/>
  <c r="L123" i="1"/>
  <c r="Q122" i="1"/>
  <c r="N122" i="1" s="1"/>
  <c r="P122" i="1"/>
  <c r="M122" i="1" s="1"/>
  <c r="O122" i="1"/>
  <c r="R122" i="1" l="1"/>
  <c r="L124" i="1"/>
  <c r="Q123" i="1"/>
  <c r="N123" i="1" s="1"/>
  <c r="P123" i="1"/>
  <c r="M123" i="1" s="1"/>
  <c r="O123" i="1"/>
  <c r="R123" i="1" l="1"/>
  <c r="L125" i="1"/>
  <c r="Q124" i="1"/>
  <c r="N124" i="1" s="1"/>
  <c r="P124" i="1"/>
  <c r="M124" i="1" s="1"/>
  <c r="O124" i="1"/>
  <c r="R124" i="1" l="1"/>
  <c r="L126" i="1"/>
  <c r="P125" i="1"/>
  <c r="M125" i="1" s="1"/>
  <c r="Q125" i="1"/>
  <c r="N125" i="1" s="1"/>
  <c r="O125" i="1"/>
  <c r="R125" i="1" l="1"/>
  <c r="L127" i="1"/>
  <c r="P126" i="1"/>
  <c r="M126" i="1" s="1"/>
  <c r="Q126" i="1"/>
  <c r="N126" i="1" s="1"/>
  <c r="O126" i="1"/>
  <c r="R126" i="1" l="1"/>
  <c r="L128" i="1"/>
  <c r="Q127" i="1"/>
  <c r="N127" i="1" s="1"/>
  <c r="P127" i="1"/>
  <c r="M127" i="1" s="1"/>
  <c r="O127" i="1"/>
  <c r="R127" i="1" l="1"/>
  <c r="L129" i="1"/>
  <c r="P128" i="1"/>
  <c r="M128" i="1" s="1"/>
  <c r="Q128" i="1"/>
  <c r="N128" i="1" s="1"/>
  <c r="O128" i="1"/>
  <c r="R128" i="1" l="1"/>
  <c r="L130" i="1"/>
  <c r="Q129" i="1"/>
  <c r="N129" i="1" s="1"/>
  <c r="P129" i="1"/>
  <c r="M129" i="1" s="1"/>
  <c r="O129" i="1"/>
  <c r="R129" i="1" l="1"/>
  <c r="L131" i="1"/>
  <c r="P130" i="1"/>
  <c r="M130" i="1" s="1"/>
  <c r="Q130" i="1"/>
  <c r="N130" i="1" s="1"/>
  <c r="O130" i="1"/>
  <c r="R130" i="1" l="1"/>
  <c r="L132" i="1"/>
  <c r="P131" i="1"/>
  <c r="M131" i="1" s="1"/>
  <c r="Q131" i="1"/>
  <c r="N131" i="1" s="1"/>
  <c r="O131" i="1"/>
  <c r="R131" i="1" l="1"/>
  <c r="L133" i="1"/>
  <c r="P132" i="1"/>
  <c r="M132" i="1" s="1"/>
  <c r="Q132" i="1"/>
  <c r="N132" i="1" s="1"/>
  <c r="O132" i="1"/>
  <c r="R132" i="1" l="1"/>
  <c r="L134" i="1"/>
  <c r="Q133" i="1"/>
  <c r="N133" i="1" s="1"/>
  <c r="P133" i="1"/>
  <c r="M133" i="1" s="1"/>
  <c r="O133" i="1"/>
  <c r="R133" i="1" l="1"/>
  <c r="L135" i="1"/>
  <c r="P134" i="1"/>
  <c r="M134" i="1" s="1"/>
  <c r="Q134" i="1"/>
  <c r="N134" i="1" s="1"/>
  <c r="O134" i="1"/>
  <c r="R134" i="1" l="1"/>
  <c r="L136" i="1"/>
  <c r="P135" i="1"/>
  <c r="M135" i="1" s="1"/>
  <c r="Q135" i="1"/>
  <c r="N135" i="1" s="1"/>
  <c r="O135" i="1"/>
  <c r="R135" i="1" l="1"/>
  <c r="L137" i="1"/>
  <c r="Q136" i="1"/>
  <c r="N136" i="1" s="1"/>
  <c r="P136" i="1"/>
  <c r="M136" i="1" s="1"/>
  <c r="O136" i="1"/>
  <c r="R136" i="1" l="1"/>
  <c r="L138" i="1"/>
  <c r="P137" i="1"/>
  <c r="M137" i="1" s="1"/>
  <c r="Q137" i="1"/>
  <c r="N137" i="1" s="1"/>
  <c r="O137" i="1"/>
  <c r="R137" i="1" l="1"/>
  <c r="L139" i="1"/>
  <c r="Q138" i="1"/>
  <c r="N138" i="1" s="1"/>
  <c r="P138" i="1"/>
  <c r="M138" i="1" s="1"/>
  <c r="O138" i="1"/>
  <c r="R138" i="1" l="1"/>
  <c r="L140" i="1"/>
  <c r="P139" i="1"/>
  <c r="M139" i="1" s="1"/>
  <c r="Q139" i="1"/>
  <c r="N139" i="1" s="1"/>
  <c r="O139" i="1"/>
  <c r="R139" i="1" l="1"/>
  <c r="L141" i="1"/>
  <c r="Q140" i="1"/>
  <c r="N140" i="1" s="1"/>
  <c r="P140" i="1"/>
  <c r="M140" i="1" s="1"/>
  <c r="O140" i="1"/>
  <c r="R140" i="1" l="1"/>
  <c r="L142" i="1"/>
  <c r="Q141" i="1"/>
  <c r="N141" i="1" s="1"/>
  <c r="P141" i="1"/>
  <c r="M141" i="1" s="1"/>
  <c r="O141" i="1"/>
  <c r="R141" i="1" l="1"/>
  <c r="L143" i="1"/>
  <c r="Q142" i="1"/>
  <c r="N142" i="1" s="1"/>
  <c r="P142" i="1"/>
  <c r="M142" i="1" s="1"/>
  <c r="O142" i="1"/>
  <c r="R142" i="1" l="1"/>
  <c r="L144" i="1"/>
  <c r="P143" i="1"/>
  <c r="M143" i="1" s="1"/>
  <c r="Q143" i="1"/>
  <c r="N143" i="1" s="1"/>
  <c r="O143" i="1"/>
  <c r="R143" i="1" l="1"/>
  <c r="L145" i="1"/>
  <c r="P144" i="1"/>
  <c r="M144" i="1" s="1"/>
  <c r="Q144" i="1"/>
  <c r="N144" i="1" s="1"/>
  <c r="O144" i="1"/>
  <c r="R144" i="1" l="1"/>
  <c r="L146" i="1"/>
  <c r="Q145" i="1"/>
  <c r="N145" i="1" s="1"/>
  <c r="P145" i="1"/>
  <c r="M145" i="1" s="1"/>
  <c r="O145" i="1"/>
  <c r="R145" i="1" l="1"/>
  <c r="L147" i="1"/>
  <c r="Q146" i="1"/>
  <c r="N146" i="1" s="1"/>
  <c r="P146" i="1"/>
  <c r="M146" i="1" s="1"/>
  <c r="O146" i="1"/>
  <c r="R146" i="1" l="1"/>
  <c r="L148" i="1"/>
  <c r="P147" i="1"/>
  <c r="M147" i="1" s="1"/>
  <c r="Q147" i="1"/>
  <c r="N147" i="1" s="1"/>
  <c r="O147" i="1"/>
  <c r="R147" i="1" l="1"/>
  <c r="L149" i="1"/>
  <c r="P148" i="1"/>
  <c r="M148" i="1" s="1"/>
  <c r="Q148" i="1"/>
  <c r="N148" i="1" s="1"/>
  <c r="O148" i="1"/>
  <c r="R148" i="1" l="1"/>
  <c r="L150" i="1"/>
  <c r="Q149" i="1"/>
  <c r="N149" i="1" s="1"/>
  <c r="P149" i="1"/>
  <c r="M149" i="1" s="1"/>
  <c r="O149" i="1"/>
  <c r="R149" i="1" l="1"/>
  <c r="L151" i="1"/>
  <c r="P150" i="1"/>
  <c r="M150" i="1" s="1"/>
  <c r="Q150" i="1"/>
  <c r="N150" i="1" s="1"/>
  <c r="O150" i="1"/>
  <c r="R150" i="1" l="1"/>
  <c r="L152" i="1"/>
  <c r="P151" i="1"/>
  <c r="M151" i="1" s="1"/>
  <c r="Q151" i="1"/>
  <c r="N151" i="1" s="1"/>
  <c r="O151" i="1"/>
  <c r="R151" i="1" l="1"/>
  <c r="L153" i="1"/>
  <c r="Q152" i="1"/>
  <c r="N152" i="1" s="1"/>
  <c r="P152" i="1"/>
  <c r="M152" i="1" s="1"/>
  <c r="O152" i="1"/>
  <c r="R152" i="1" l="1"/>
  <c r="L154" i="1"/>
  <c r="Q153" i="1"/>
  <c r="N153" i="1" s="1"/>
  <c r="P153" i="1"/>
  <c r="M153" i="1" s="1"/>
  <c r="O153" i="1"/>
  <c r="R153" i="1" l="1"/>
  <c r="L155" i="1"/>
  <c r="Q154" i="1"/>
  <c r="N154" i="1" s="1"/>
  <c r="P154" i="1"/>
  <c r="M154" i="1" s="1"/>
  <c r="O154" i="1"/>
  <c r="R154" i="1" l="1"/>
  <c r="L156" i="1"/>
  <c r="P155" i="1"/>
  <c r="M155" i="1" s="1"/>
  <c r="Q155" i="1"/>
  <c r="N155" i="1" s="1"/>
  <c r="O155" i="1"/>
  <c r="R155" i="1" l="1"/>
  <c r="L157" i="1"/>
  <c r="Q156" i="1"/>
  <c r="N156" i="1" s="1"/>
  <c r="P156" i="1"/>
  <c r="M156" i="1" s="1"/>
  <c r="O156" i="1"/>
  <c r="R156" i="1" l="1"/>
  <c r="L158" i="1"/>
  <c r="P157" i="1"/>
  <c r="M157" i="1" s="1"/>
  <c r="Q157" i="1"/>
  <c r="N157" i="1" s="1"/>
  <c r="O157" i="1"/>
  <c r="R157" i="1" l="1"/>
  <c r="L159" i="1"/>
  <c r="Q158" i="1"/>
  <c r="N158" i="1" s="1"/>
  <c r="P158" i="1"/>
  <c r="M158" i="1" s="1"/>
  <c r="O158" i="1"/>
  <c r="R158" i="1" l="1"/>
  <c r="L160" i="1"/>
  <c r="P159" i="1"/>
  <c r="M159" i="1" s="1"/>
  <c r="Q159" i="1"/>
  <c r="N159" i="1" s="1"/>
  <c r="O159" i="1"/>
  <c r="R159" i="1" l="1"/>
  <c r="L161" i="1"/>
  <c r="Q160" i="1"/>
  <c r="N160" i="1" s="1"/>
  <c r="P160" i="1"/>
  <c r="M160" i="1" s="1"/>
  <c r="O160" i="1"/>
  <c r="R160" i="1" l="1"/>
  <c r="L162" i="1"/>
  <c r="Q161" i="1"/>
  <c r="N161" i="1" s="1"/>
  <c r="P161" i="1"/>
  <c r="M161" i="1" s="1"/>
  <c r="O161" i="1"/>
  <c r="R161" i="1" l="1"/>
  <c r="L163" i="1"/>
  <c r="Q162" i="1"/>
  <c r="N162" i="1" s="1"/>
  <c r="P162" i="1"/>
  <c r="M162" i="1" s="1"/>
  <c r="O162" i="1"/>
  <c r="R162" i="1" l="1"/>
  <c r="L164" i="1"/>
  <c r="Q163" i="1"/>
  <c r="N163" i="1" s="1"/>
  <c r="P163" i="1"/>
  <c r="M163" i="1" s="1"/>
  <c r="O163" i="1"/>
  <c r="R163" i="1" l="1"/>
  <c r="L165" i="1"/>
  <c r="P164" i="1"/>
  <c r="M164" i="1" s="1"/>
  <c r="Q164" i="1"/>
  <c r="N164" i="1" s="1"/>
  <c r="O164" i="1"/>
  <c r="R164" i="1" l="1"/>
  <c r="L166" i="1"/>
  <c r="Q165" i="1"/>
  <c r="N165" i="1" s="1"/>
  <c r="P165" i="1"/>
  <c r="M165" i="1" s="1"/>
  <c r="O165" i="1"/>
  <c r="R165" i="1" l="1"/>
  <c r="L167" i="1"/>
  <c r="P166" i="1"/>
  <c r="M166" i="1" s="1"/>
  <c r="Q166" i="1"/>
  <c r="N166" i="1" s="1"/>
  <c r="O166" i="1"/>
  <c r="R166" i="1" l="1"/>
  <c r="L168" i="1"/>
  <c r="Q167" i="1"/>
  <c r="N167" i="1" s="1"/>
  <c r="P167" i="1"/>
  <c r="M167" i="1" s="1"/>
  <c r="O167" i="1"/>
  <c r="R167" i="1" l="1"/>
  <c r="L169" i="1"/>
  <c r="P168" i="1"/>
  <c r="M168" i="1" s="1"/>
  <c r="Q168" i="1"/>
  <c r="N168" i="1" s="1"/>
  <c r="O168" i="1"/>
  <c r="R168" i="1" l="1"/>
  <c r="L170" i="1"/>
  <c r="Q169" i="1"/>
  <c r="N169" i="1" s="1"/>
  <c r="P169" i="1"/>
  <c r="M169" i="1" s="1"/>
  <c r="O169" i="1"/>
  <c r="R169" i="1" l="1"/>
  <c r="L171" i="1"/>
  <c r="P170" i="1"/>
  <c r="M170" i="1" s="1"/>
  <c r="Q170" i="1"/>
  <c r="N170" i="1" s="1"/>
  <c r="O170" i="1"/>
  <c r="R170" i="1" l="1"/>
  <c r="L172" i="1"/>
  <c r="Q171" i="1"/>
  <c r="N171" i="1" s="1"/>
  <c r="P171" i="1"/>
  <c r="M171" i="1" s="1"/>
  <c r="O171" i="1"/>
  <c r="R171" i="1" l="1"/>
  <c r="L173" i="1"/>
  <c r="Q172" i="1"/>
  <c r="N172" i="1" s="1"/>
  <c r="P172" i="1"/>
  <c r="M172" i="1" s="1"/>
  <c r="O172" i="1"/>
  <c r="R172" i="1" l="1"/>
  <c r="L174" i="1"/>
  <c r="P173" i="1"/>
  <c r="M173" i="1" s="1"/>
  <c r="Q173" i="1"/>
  <c r="N173" i="1" s="1"/>
  <c r="O173" i="1"/>
  <c r="R173" i="1" l="1"/>
  <c r="L175" i="1"/>
  <c r="Q174" i="1"/>
  <c r="N174" i="1" s="1"/>
  <c r="P174" i="1"/>
  <c r="M174" i="1" s="1"/>
  <c r="O174" i="1"/>
  <c r="R174" i="1" l="1"/>
  <c r="L176" i="1"/>
  <c r="Q175" i="1"/>
  <c r="N175" i="1" s="1"/>
  <c r="P175" i="1"/>
  <c r="M175" i="1" s="1"/>
  <c r="O175" i="1"/>
  <c r="R175" i="1" l="1"/>
  <c r="L177" i="1"/>
  <c r="Q176" i="1"/>
  <c r="N176" i="1" s="1"/>
  <c r="P176" i="1"/>
  <c r="M176" i="1" s="1"/>
  <c r="O176" i="1"/>
  <c r="R176" i="1" l="1"/>
  <c r="L178" i="1"/>
  <c r="P177" i="1"/>
  <c r="M177" i="1" s="1"/>
  <c r="Q177" i="1"/>
  <c r="N177" i="1" s="1"/>
  <c r="O177" i="1"/>
  <c r="R177" i="1" l="1"/>
  <c r="L179" i="1"/>
  <c r="Q178" i="1"/>
  <c r="N178" i="1" s="1"/>
  <c r="P178" i="1"/>
  <c r="M178" i="1" s="1"/>
  <c r="O178" i="1"/>
  <c r="R178" i="1" l="1"/>
  <c r="L180" i="1"/>
  <c r="Q179" i="1"/>
  <c r="N179" i="1" s="1"/>
  <c r="P179" i="1"/>
  <c r="M179" i="1" s="1"/>
  <c r="O179" i="1"/>
  <c r="R179" i="1" l="1"/>
  <c r="L181" i="1"/>
  <c r="Q180" i="1"/>
  <c r="N180" i="1" s="1"/>
  <c r="P180" i="1"/>
  <c r="M180" i="1" s="1"/>
  <c r="O180" i="1"/>
  <c r="R180" i="1" l="1"/>
  <c r="L182" i="1"/>
  <c r="Q181" i="1"/>
  <c r="N181" i="1" s="1"/>
  <c r="P181" i="1"/>
  <c r="M181" i="1" s="1"/>
  <c r="O181" i="1"/>
  <c r="R181" i="1" l="1"/>
  <c r="L183" i="1"/>
  <c r="P182" i="1"/>
  <c r="M182" i="1" s="1"/>
  <c r="Q182" i="1"/>
  <c r="N182" i="1" s="1"/>
  <c r="O182" i="1"/>
  <c r="R182" i="1" l="1"/>
  <c r="L184" i="1"/>
  <c r="P183" i="1"/>
  <c r="M183" i="1" s="1"/>
  <c r="Q183" i="1"/>
  <c r="N183" i="1" s="1"/>
  <c r="O183" i="1"/>
  <c r="R183" i="1" l="1"/>
  <c r="L185" i="1"/>
  <c r="Q184" i="1"/>
  <c r="N184" i="1" s="1"/>
  <c r="P184" i="1"/>
  <c r="M184" i="1" s="1"/>
  <c r="O184" i="1"/>
  <c r="R184" i="1" l="1"/>
  <c r="L186" i="1"/>
  <c r="P185" i="1"/>
  <c r="M185" i="1" s="1"/>
  <c r="Q185" i="1"/>
  <c r="N185" i="1" s="1"/>
  <c r="O185" i="1"/>
  <c r="R185" i="1" l="1"/>
  <c r="L187" i="1"/>
  <c r="P186" i="1"/>
  <c r="M186" i="1" s="1"/>
  <c r="Q186" i="1"/>
  <c r="N186" i="1" s="1"/>
  <c r="O186" i="1"/>
  <c r="R186" i="1" l="1"/>
  <c r="L188" i="1"/>
  <c r="P187" i="1"/>
  <c r="M187" i="1" s="1"/>
  <c r="Q187" i="1"/>
  <c r="N187" i="1" s="1"/>
  <c r="O187" i="1"/>
  <c r="R187" i="1" l="1"/>
  <c r="L189" i="1"/>
  <c r="P188" i="1"/>
  <c r="M188" i="1" s="1"/>
  <c r="Q188" i="1"/>
  <c r="N188" i="1" s="1"/>
  <c r="O188" i="1"/>
  <c r="R188" i="1" l="1"/>
  <c r="L190" i="1"/>
  <c r="Q189" i="1"/>
  <c r="N189" i="1" s="1"/>
  <c r="P189" i="1"/>
  <c r="M189" i="1" s="1"/>
  <c r="O189" i="1"/>
  <c r="R189" i="1" l="1"/>
  <c r="L191" i="1"/>
  <c r="Q190" i="1"/>
  <c r="N190" i="1" s="1"/>
  <c r="P190" i="1"/>
  <c r="M190" i="1" s="1"/>
  <c r="O190" i="1"/>
  <c r="R190" i="1" l="1"/>
  <c r="L192" i="1"/>
  <c r="Q191" i="1"/>
  <c r="N191" i="1" s="1"/>
  <c r="P191" i="1"/>
  <c r="M191" i="1" s="1"/>
  <c r="O191" i="1"/>
  <c r="R191" i="1" l="1"/>
  <c r="L193" i="1"/>
  <c r="Q192" i="1"/>
  <c r="N192" i="1" s="1"/>
  <c r="P192" i="1"/>
  <c r="M192" i="1" s="1"/>
  <c r="O192" i="1"/>
  <c r="R192" i="1" l="1"/>
  <c r="L194" i="1"/>
  <c r="Q193" i="1"/>
  <c r="N193" i="1" s="1"/>
  <c r="P193" i="1"/>
  <c r="M193" i="1" s="1"/>
  <c r="O193" i="1"/>
  <c r="R193" i="1" l="1"/>
  <c r="L195" i="1"/>
  <c r="P194" i="1"/>
  <c r="M194" i="1" s="1"/>
  <c r="Q194" i="1"/>
  <c r="N194" i="1" s="1"/>
  <c r="O194" i="1"/>
  <c r="R194" i="1" l="1"/>
  <c r="L196" i="1"/>
  <c r="Q195" i="1"/>
  <c r="N195" i="1" s="1"/>
  <c r="P195" i="1"/>
  <c r="M195" i="1" s="1"/>
  <c r="O195" i="1"/>
  <c r="R195" i="1" l="1"/>
  <c r="L197" i="1"/>
  <c r="Q196" i="1"/>
  <c r="N196" i="1" s="1"/>
  <c r="P196" i="1"/>
  <c r="M196" i="1" s="1"/>
  <c r="O196" i="1"/>
  <c r="R196" i="1" l="1"/>
  <c r="L198" i="1"/>
  <c r="Q197" i="1"/>
  <c r="N197" i="1" s="1"/>
  <c r="P197" i="1"/>
  <c r="M197" i="1" s="1"/>
  <c r="O197" i="1"/>
  <c r="R197" i="1" l="1"/>
  <c r="L199" i="1"/>
  <c r="Q198" i="1"/>
  <c r="N198" i="1" s="1"/>
  <c r="P198" i="1"/>
  <c r="M198" i="1" s="1"/>
  <c r="O198" i="1"/>
  <c r="R198" i="1" l="1"/>
  <c r="L200" i="1"/>
  <c r="P199" i="1"/>
  <c r="M199" i="1" s="1"/>
  <c r="Q199" i="1"/>
  <c r="N199" i="1" s="1"/>
  <c r="O199" i="1"/>
  <c r="R199" i="1" l="1"/>
  <c r="L201" i="1"/>
  <c r="P200" i="1"/>
  <c r="M200" i="1" s="1"/>
  <c r="Q200" i="1"/>
  <c r="N200" i="1" s="1"/>
  <c r="O200" i="1"/>
  <c r="R200" i="1" l="1"/>
  <c r="L202" i="1"/>
  <c r="P201" i="1"/>
  <c r="M201" i="1" s="1"/>
  <c r="Q201" i="1"/>
  <c r="N201" i="1" s="1"/>
  <c r="O201" i="1"/>
  <c r="R201" i="1" l="1"/>
  <c r="L203" i="1"/>
  <c r="Q202" i="1"/>
  <c r="N202" i="1" s="1"/>
  <c r="P202" i="1"/>
  <c r="M202" i="1" s="1"/>
  <c r="O202" i="1"/>
  <c r="R202" i="1" l="1"/>
  <c r="L204" i="1"/>
  <c r="Q203" i="1"/>
  <c r="N203" i="1" s="1"/>
  <c r="P203" i="1"/>
  <c r="M203" i="1" s="1"/>
  <c r="O203" i="1"/>
  <c r="R203" i="1" l="1"/>
  <c r="L205" i="1"/>
  <c r="P204" i="1"/>
  <c r="M204" i="1" s="1"/>
  <c r="Q204" i="1"/>
  <c r="N204" i="1" s="1"/>
  <c r="O204" i="1"/>
  <c r="R204" i="1" l="1"/>
  <c r="L206" i="1"/>
  <c r="P205" i="1"/>
  <c r="M205" i="1" s="1"/>
  <c r="Q205" i="1"/>
  <c r="N205" i="1" s="1"/>
  <c r="O205" i="1"/>
  <c r="R205" i="1" l="1"/>
  <c r="L207" i="1"/>
  <c r="P206" i="1"/>
  <c r="M206" i="1" s="1"/>
  <c r="Q206" i="1"/>
  <c r="N206" i="1" s="1"/>
  <c r="O206" i="1"/>
  <c r="R206" i="1" l="1"/>
  <c r="L208" i="1"/>
  <c r="P207" i="1"/>
  <c r="M207" i="1" s="1"/>
  <c r="Q207" i="1"/>
  <c r="N207" i="1" s="1"/>
  <c r="O207" i="1"/>
  <c r="R207" i="1" l="1"/>
  <c r="L209" i="1"/>
  <c r="Q208" i="1"/>
  <c r="N208" i="1" s="1"/>
  <c r="P208" i="1"/>
  <c r="M208" i="1" s="1"/>
  <c r="O208" i="1"/>
  <c r="R208" i="1" l="1"/>
  <c r="L210" i="1"/>
  <c r="Q209" i="1"/>
  <c r="N209" i="1" s="1"/>
  <c r="P209" i="1"/>
  <c r="M209" i="1" s="1"/>
  <c r="O209" i="1"/>
  <c r="R209" i="1" l="1"/>
  <c r="L211" i="1"/>
  <c r="P210" i="1"/>
  <c r="M210" i="1" s="1"/>
  <c r="Q210" i="1"/>
  <c r="N210" i="1" s="1"/>
  <c r="O210" i="1"/>
  <c r="R210" i="1" l="1"/>
  <c r="L212" i="1"/>
  <c r="P211" i="1"/>
  <c r="M211" i="1" s="1"/>
  <c r="Q211" i="1"/>
  <c r="N211" i="1" s="1"/>
  <c r="O211" i="1"/>
  <c r="R211" i="1" l="1"/>
  <c r="L213" i="1"/>
  <c r="Q212" i="1"/>
  <c r="N212" i="1" s="1"/>
  <c r="P212" i="1"/>
  <c r="M212" i="1" s="1"/>
  <c r="O212" i="1"/>
  <c r="R212" i="1" l="1"/>
  <c r="L214" i="1"/>
  <c r="P213" i="1"/>
  <c r="M213" i="1" s="1"/>
  <c r="Q213" i="1"/>
  <c r="N213" i="1" s="1"/>
  <c r="O213" i="1"/>
  <c r="R213" i="1" l="1"/>
  <c r="L215" i="1"/>
  <c r="Q214" i="1"/>
  <c r="N214" i="1" s="1"/>
  <c r="P214" i="1"/>
  <c r="M214" i="1" s="1"/>
  <c r="O214" i="1"/>
  <c r="R214" i="1" l="1"/>
  <c r="L216" i="1"/>
  <c r="P215" i="1"/>
  <c r="M215" i="1" s="1"/>
  <c r="Q215" i="1"/>
  <c r="N215" i="1" s="1"/>
  <c r="O215" i="1"/>
  <c r="R215" i="1" l="1"/>
  <c r="L217" i="1"/>
  <c r="P216" i="1"/>
  <c r="M216" i="1" s="1"/>
  <c r="Q216" i="1"/>
  <c r="N216" i="1" s="1"/>
  <c r="O216" i="1"/>
  <c r="R216" i="1" l="1"/>
  <c r="L218" i="1"/>
  <c r="Q217" i="1"/>
  <c r="N217" i="1" s="1"/>
  <c r="P217" i="1"/>
  <c r="M217" i="1" s="1"/>
  <c r="O217" i="1"/>
  <c r="R217" i="1" l="1"/>
  <c r="L219" i="1"/>
  <c r="P218" i="1"/>
  <c r="M218" i="1" s="1"/>
  <c r="Q218" i="1"/>
  <c r="N218" i="1" s="1"/>
  <c r="O218" i="1"/>
  <c r="R218" i="1" l="1"/>
  <c r="L220" i="1"/>
  <c r="P219" i="1"/>
  <c r="M219" i="1" s="1"/>
  <c r="Q219" i="1"/>
  <c r="N219" i="1" s="1"/>
  <c r="O219" i="1"/>
  <c r="R219" i="1" l="1"/>
  <c r="L221" i="1"/>
  <c r="P220" i="1"/>
  <c r="M220" i="1" s="1"/>
  <c r="Q220" i="1"/>
  <c r="N220" i="1" s="1"/>
  <c r="O220" i="1"/>
  <c r="R220" i="1" l="1"/>
  <c r="L222" i="1"/>
  <c r="Q221" i="1"/>
  <c r="N221" i="1" s="1"/>
  <c r="P221" i="1"/>
  <c r="M221" i="1" s="1"/>
  <c r="O221" i="1"/>
  <c r="R221" i="1" l="1"/>
  <c r="L223" i="1"/>
  <c r="P222" i="1"/>
  <c r="M222" i="1" s="1"/>
  <c r="Q222" i="1"/>
  <c r="N222" i="1" s="1"/>
  <c r="O222" i="1"/>
  <c r="R222" i="1" l="1"/>
  <c r="L224" i="1"/>
  <c r="P223" i="1"/>
  <c r="M223" i="1" s="1"/>
  <c r="Q223" i="1"/>
  <c r="N223" i="1" s="1"/>
  <c r="O223" i="1"/>
  <c r="R223" i="1" l="1"/>
  <c r="L225" i="1"/>
  <c r="P224" i="1"/>
  <c r="M224" i="1" s="1"/>
  <c r="Q224" i="1"/>
  <c r="N224" i="1" s="1"/>
  <c r="O224" i="1"/>
  <c r="R224" i="1" l="1"/>
  <c r="L226" i="1"/>
  <c r="Q225" i="1"/>
  <c r="N225" i="1" s="1"/>
  <c r="P225" i="1"/>
  <c r="M225" i="1" s="1"/>
  <c r="O225" i="1"/>
  <c r="R225" i="1" l="1"/>
  <c r="L227" i="1"/>
  <c r="Q226" i="1"/>
  <c r="N226" i="1" s="1"/>
  <c r="P226" i="1"/>
  <c r="M226" i="1" s="1"/>
  <c r="O226" i="1"/>
  <c r="R226" i="1" l="1"/>
  <c r="L228" i="1"/>
  <c r="Q227" i="1"/>
  <c r="N227" i="1" s="1"/>
  <c r="P227" i="1"/>
  <c r="M227" i="1" s="1"/>
  <c r="O227" i="1"/>
  <c r="R227" i="1" l="1"/>
  <c r="L229" i="1"/>
  <c r="Q228" i="1"/>
  <c r="N228" i="1" s="1"/>
  <c r="P228" i="1"/>
  <c r="M228" i="1" s="1"/>
  <c r="O228" i="1"/>
  <c r="R228" i="1" l="1"/>
  <c r="L230" i="1"/>
  <c r="Q229" i="1"/>
  <c r="N229" i="1" s="1"/>
  <c r="P229" i="1"/>
  <c r="M229" i="1" s="1"/>
  <c r="O229" i="1"/>
  <c r="R229" i="1" l="1"/>
  <c r="L231" i="1"/>
  <c r="Q230" i="1"/>
  <c r="N230" i="1" s="1"/>
  <c r="P230" i="1"/>
  <c r="M230" i="1" s="1"/>
  <c r="O230" i="1"/>
  <c r="R230" i="1" l="1"/>
  <c r="L232" i="1"/>
  <c r="P231" i="1"/>
  <c r="M231" i="1" s="1"/>
  <c r="Q231" i="1"/>
  <c r="N231" i="1" s="1"/>
  <c r="O231" i="1"/>
  <c r="R231" i="1" l="1"/>
  <c r="L233" i="1"/>
  <c r="Q232" i="1"/>
  <c r="N232" i="1" s="1"/>
  <c r="P232" i="1"/>
  <c r="M232" i="1" s="1"/>
  <c r="O232" i="1"/>
  <c r="R232" i="1" l="1"/>
  <c r="L234" i="1"/>
  <c r="P233" i="1"/>
  <c r="M233" i="1" s="1"/>
  <c r="Q233" i="1"/>
  <c r="N233" i="1" s="1"/>
  <c r="O233" i="1"/>
  <c r="R233" i="1" l="1"/>
  <c r="L235" i="1"/>
  <c r="Q234" i="1"/>
  <c r="N234" i="1" s="1"/>
  <c r="P234" i="1"/>
  <c r="M234" i="1" s="1"/>
  <c r="O234" i="1"/>
  <c r="R234" i="1" l="1"/>
  <c r="L236" i="1"/>
  <c r="Q235" i="1"/>
  <c r="N235" i="1" s="1"/>
  <c r="P235" i="1"/>
  <c r="M235" i="1" s="1"/>
  <c r="O235" i="1"/>
  <c r="R235" i="1" l="1"/>
  <c r="L237" i="1"/>
  <c r="P236" i="1"/>
  <c r="M236" i="1" s="1"/>
  <c r="Q236" i="1"/>
  <c r="N236" i="1" s="1"/>
  <c r="O236" i="1"/>
  <c r="R236" i="1" l="1"/>
  <c r="L238" i="1"/>
  <c r="Q237" i="1"/>
  <c r="N237" i="1" s="1"/>
  <c r="P237" i="1"/>
  <c r="M237" i="1" s="1"/>
  <c r="O237" i="1"/>
  <c r="R237" i="1" l="1"/>
  <c r="L239" i="1"/>
  <c r="Q238" i="1"/>
  <c r="N238" i="1" s="1"/>
  <c r="P238" i="1"/>
  <c r="M238" i="1" s="1"/>
  <c r="O238" i="1"/>
  <c r="R238" i="1" l="1"/>
  <c r="L240" i="1"/>
  <c r="Q239" i="1"/>
  <c r="N239" i="1" s="1"/>
  <c r="P239" i="1"/>
  <c r="M239" i="1" s="1"/>
  <c r="O239" i="1"/>
  <c r="R239" i="1" l="1"/>
  <c r="L241" i="1"/>
  <c r="P240" i="1"/>
  <c r="M240" i="1" s="1"/>
  <c r="Q240" i="1"/>
  <c r="N240" i="1" s="1"/>
  <c r="O240" i="1"/>
  <c r="R240" i="1" l="1"/>
  <c r="L242" i="1"/>
  <c r="P241" i="1"/>
  <c r="M241" i="1" s="1"/>
  <c r="Q241" i="1"/>
  <c r="N241" i="1" s="1"/>
  <c r="O241" i="1"/>
  <c r="R241" i="1" l="1"/>
  <c r="L243" i="1"/>
  <c r="Q242" i="1"/>
  <c r="N242" i="1" s="1"/>
  <c r="P242" i="1"/>
  <c r="M242" i="1" s="1"/>
  <c r="O242" i="1"/>
  <c r="R242" i="1" l="1"/>
  <c r="L244" i="1"/>
  <c r="P243" i="1"/>
  <c r="M243" i="1" s="1"/>
  <c r="Q243" i="1"/>
  <c r="N243" i="1" s="1"/>
  <c r="O243" i="1"/>
  <c r="R243" i="1" l="1"/>
  <c r="L245" i="1"/>
  <c r="Q244" i="1"/>
  <c r="N244" i="1" s="1"/>
  <c r="P244" i="1"/>
  <c r="M244" i="1" s="1"/>
  <c r="O244" i="1"/>
  <c r="R244" i="1" l="1"/>
  <c r="L246" i="1"/>
  <c r="P245" i="1"/>
  <c r="M245" i="1" s="1"/>
  <c r="Q245" i="1"/>
  <c r="N245" i="1" s="1"/>
  <c r="O245" i="1"/>
  <c r="R245" i="1" l="1"/>
  <c r="L247" i="1"/>
  <c r="Q246" i="1"/>
  <c r="N246" i="1" s="1"/>
  <c r="P246" i="1"/>
  <c r="M246" i="1" s="1"/>
  <c r="O246" i="1"/>
  <c r="R246" i="1" l="1"/>
  <c r="L248" i="1"/>
  <c r="Q247" i="1"/>
  <c r="N247" i="1" s="1"/>
  <c r="P247" i="1"/>
  <c r="M247" i="1" s="1"/>
  <c r="O247" i="1"/>
  <c r="R247" i="1" l="1"/>
  <c r="L249" i="1"/>
  <c r="P248" i="1"/>
  <c r="M248" i="1" s="1"/>
  <c r="Q248" i="1"/>
  <c r="N248" i="1" s="1"/>
  <c r="O248" i="1"/>
  <c r="R248" i="1" l="1"/>
  <c r="L250" i="1"/>
  <c r="P249" i="1"/>
  <c r="M249" i="1" s="1"/>
  <c r="Q249" i="1"/>
  <c r="N249" i="1" s="1"/>
  <c r="O249" i="1"/>
  <c r="R249" i="1" l="1"/>
  <c r="L251" i="1"/>
  <c r="P250" i="1"/>
  <c r="M250" i="1" s="1"/>
  <c r="Q250" i="1"/>
  <c r="N250" i="1" s="1"/>
  <c r="O250" i="1"/>
  <c r="R250" i="1" l="1"/>
  <c r="L252" i="1"/>
  <c r="P251" i="1"/>
  <c r="M251" i="1" s="1"/>
  <c r="Q251" i="1"/>
  <c r="N251" i="1" s="1"/>
  <c r="O251" i="1"/>
  <c r="R251" i="1" l="1"/>
  <c r="L253" i="1"/>
  <c r="P252" i="1"/>
  <c r="M252" i="1" s="1"/>
  <c r="Q252" i="1"/>
  <c r="N252" i="1" s="1"/>
  <c r="O252" i="1"/>
  <c r="R252" i="1" l="1"/>
  <c r="L254" i="1"/>
  <c r="Q253" i="1"/>
  <c r="N253" i="1" s="1"/>
  <c r="P253" i="1"/>
  <c r="M253" i="1" s="1"/>
  <c r="O253" i="1"/>
  <c r="R253" i="1" l="1"/>
  <c r="L255" i="1"/>
  <c r="P254" i="1"/>
  <c r="M254" i="1" s="1"/>
  <c r="Q254" i="1"/>
  <c r="N254" i="1" s="1"/>
  <c r="O254" i="1"/>
  <c r="R254" i="1" l="1"/>
  <c r="L256" i="1"/>
  <c r="Q255" i="1"/>
  <c r="N255" i="1" s="1"/>
  <c r="P255" i="1"/>
  <c r="M255" i="1" s="1"/>
  <c r="O255" i="1"/>
  <c r="R255" i="1" l="1"/>
  <c r="L257" i="1"/>
  <c r="P256" i="1"/>
  <c r="M256" i="1" s="1"/>
  <c r="Q256" i="1"/>
  <c r="N256" i="1" s="1"/>
  <c r="O256" i="1"/>
  <c r="R256" i="1" l="1"/>
  <c r="L258" i="1"/>
  <c r="Q257" i="1"/>
  <c r="N257" i="1" s="1"/>
  <c r="P257" i="1"/>
  <c r="M257" i="1" s="1"/>
  <c r="O257" i="1"/>
  <c r="R257" i="1" l="1"/>
  <c r="L259" i="1"/>
  <c r="Q258" i="1"/>
  <c r="N258" i="1" s="1"/>
  <c r="P258" i="1"/>
  <c r="M258" i="1" s="1"/>
  <c r="O258" i="1"/>
  <c r="R258" i="1" l="1"/>
  <c r="L260" i="1"/>
  <c r="P259" i="1"/>
  <c r="M259" i="1" s="1"/>
  <c r="Q259" i="1"/>
  <c r="N259" i="1" s="1"/>
  <c r="O259" i="1"/>
  <c r="R259" i="1" l="1"/>
  <c r="L261" i="1"/>
  <c r="Q260" i="1"/>
  <c r="N260" i="1" s="1"/>
  <c r="P260" i="1"/>
  <c r="M260" i="1" s="1"/>
  <c r="O260" i="1"/>
  <c r="R260" i="1" l="1"/>
  <c r="L262" i="1"/>
  <c r="Q261" i="1"/>
  <c r="N261" i="1" s="1"/>
  <c r="P261" i="1"/>
  <c r="M261" i="1" s="1"/>
  <c r="O261" i="1"/>
  <c r="R261" i="1" l="1"/>
  <c r="L263" i="1"/>
  <c r="P262" i="1"/>
  <c r="M262" i="1" s="1"/>
  <c r="Q262" i="1"/>
  <c r="N262" i="1" s="1"/>
  <c r="O262" i="1"/>
  <c r="R262" i="1" l="1"/>
  <c r="L264" i="1"/>
  <c r="P263" i="1"/>
  <c r="M263" i="1" s="1"/>
  <c r="Q263" i="1"/>
  <c r="N263" i="1" s="1"/>
  <c r="O263" i="1"/>
  <c r="R263" i="1" l="1"/>
  <c r="L265" i="1"/>
  <c r="P264" i="1"/>
  <c r="M264" i="1" s="1"/>
  <c r="Q264" i="1"/>
  <c r="N264" i="1" s="1"/>
  <c r="O264" i="1"/>
  <c r="R264" i="1" l="1"/>
  <c r="L266" i="1"/>
  <c r="P265" i="1"/>
  <c r="M265" i="1" s="1"/>
  <c r="Q265" i="1"/>
  <c r="N265" i="1" s="1"/>
  <c r="O265" i="1"/>
  <c r="R265" i="1" l="1"/>
  <c r="L267" i="1"/>
  <c r="P266" i="1"/>
  <c r="M266" i="1" s="1"/>
  <c r="Q266" i="1"/>
  <c r="N266" i="1" s="1"/>
  <c r="O266" i="1"/>
  <c r="R266" i="1" l="1"/>
  <c r="L268" i="1"/>
  <c r="P267" i="1"/>
  <c r="M267" i="1" s="1"/>
  <c r="Q267" i="1"/>
  <c r="N267" i="1" s="1"/>
  <c r="O267" i="1"/>
  <c r="R267" i="1" l="1"/>
  <c r="L269" i="1"/>
  <c r="P268" i="1"/>
  <c r="M268" i="1" s="1"/>
  <c r="Q268" i="1"/>
  <c r="N268" i="1" s="1"/>
  <c r="O268" i="1"/>
  <c r="R268" i="1" l="1"/>
  <c r="L270" i="1"/>
  <c r="P269" i="1"/>
  <c r="M269" i="1" s="1"/>
  <c r="Q269" i="1"/>
  <c r="N269" i="1" s="1"/>
  <c r="O269" i="1"/>
  <c r="R269" i="1" l="1"/>
  <c r="L271" i="1"/>
  <c r="P270" i="1"/>
  <c r="M270" i="1" s="1"/>
  <c r="Q270" i="1"/>
  <c r="N270" i="1" s="1"/>
  <c r="O270" i="1"/>
  <c r="R270" i="1" l="1"/>
  <c r="L272" i="1"/>
  <c r="Q271" i="1"/>
  <c r="N271" i="1" s="1"/>
  <c r="P271" i="1"/>
  <c r="M271" i="1" s="1"/>
  <c r="O271" i="1"/>
  <c r="R271" i="1" l="1"/>
  <c r="L273" i="1"/>
  <c r="P272" i="1"/>
  <c r="M272" i="1" s="1"/>
  <c r="Q272" i="1"/>
  <c r="N272" i="1" s="1"/>
  <c r="O272" i="1"/>
  <c r="R272" i="1" l="1"/>
  <c r="L274" i="1"/>
  <c r="P273" i="1"/>
  <c r="M273" i="1" s="1"/>
  <c r="Q273" i="1"/>
  <c r="N273" i="1" s="1"/>
  <c r="O273" i="1"/>
  <c r="R273" i="1" l="1"/>
  <c r="L275" i="1"/>
  <c r="P274" i="1"/>
  <c r="M274" i="1" s="1"/>
  <c r="Q274" i="1"/>
  <c r="N274" i="1" s="1"/>
  <c r="O274" i="1"/>
  <c r="R274" i="1" l="1"/>
  <c r="L276" i="1"/>
  <c r="Q275" i="1"/>
  <c r="N275" i="1" s="1"/>
  <c r="P275" i="1"/>
  <c r="M275" i="1" s="1"/>
  <c r="O275" i="1"/>
  <c r="R275" i="1" l="1"/>
  <c r="L277" i="1"/>
  <c r="Q276" i="1"/>
  <c r="N276" i="1" s="1"/>
  <c r="P276" i="1"/>
  <c r="M276" i="1" s="1"/>
  <c r="O276" i="1"/>
  <c r="R276" i="1" l="1"/>
  <c r="L278" i="1"/>
  <c r="P277" i="1"/>
  <c r="M277" i="1" s="1"/>
  <c r="Q277" i="1"/>
  <c r="N277" i="1" s="1"/>
  <c r="O277" i="1"/>
  <c r="R277" i="1" l="1"/>
  <c r="L279" i="1"/>
  <c r="P278" i="1"/>
  <c r="M278" i="1" s="1"/>
  <c r="Q278" i="1"/>
  <c r="N278" i="1" s="1"/>
  <c r="O278" i="1"/>
  <c r="R278" i="1" l="1"/>
  <c r="L280" i="1"/>
  <c r="Q279" i="1"/>
  <c r="N279" i="1" s="1"/>
  <c r="P279" i="1"/>
  <c r="M279" i="1" s="1"/>
  <c r="O279" i="1"/>
  <c r="R279" i="1" l="1"/>
  <c r="L281" i="1"/>
  <c r="P280" i="1"/>
  <c r="M280" i="1" s="1"/>
  <c r="Q280" i="1"/>
  <c r="N280" i="1" s="1"/>
  <c r="O280" i="1"/>
  <c r="R280" i="1" l="1"/>
  <c r="L282" i="1"/>
  <c r="P281" i="1"/>
  <c r="M281" i="1" s="1"/>
  <c r="Q281" i="1"/>
  <c r="N281" i="1" s="1"/>
  <c r="O281" i="1"/>
  <c r="R281" i="1" l="1"/>
  <c r="L283" i="1"/>
  <c r="P282" i="1"/>
  <c r="M282" i="1" s="1"/>
  <c r="Q282" i="1"/>
  <c r="N282" i="1" s="1"/>
  <c r="O282" i="1"/>
  <c r="R282" i="1" l="1"/>
  <c r="L284" i="1"/>
  <c r="P283" i="1"/>
  <c r="M283" i="1" s="1"/>
  <c r="Q283" i="1"/>
  <c r="N283" i="1" s="1"/>
  <c r="O283" i="1"/>
  <c r="R283" i="1" l="1"/>
  <c r="L285" i="1"/>
  <c r="Q284" i="1"/>
  <c r="N284" i="1" s="1"/>
  <c r="P284" i="1"/>
  <c r="M284" i="1" s="1"/>
  <c r="O284" i="1"/>
  <c r="R284" i="1" l="1"/>
  <c r="L286" i="1"/>
  <c r="P285" i="1"/>
  <c r="M285" i="1" s="1"/>
  <c r="Q285" i="1"/>
  <c r="N285" i="1" s="1"/>
  <c r="O285" i="1"/>
  <c r="R285" i="1" l="1"/>
  <c r="L287" i="1"/>
  <c r="P286" i="1"/>
  <c r="M286" i="1" s="1"/>
  <c r="Q286" i="1"/>
  <c r="N286" i="1" s="1"/>
  <c r="O286" i="1"/>
  <c r="R286" i="1" l="1"/>
  <c r="L288" i="1"/>
  <c r="P287" i="1"/>
  <c r="M287" i="1" s="1"/>
  <c r="Q287" i="1"/>
  <c r="N287" i="1" s="1"/>
  <c r="O287" i="1"/>
  <c r="R287" i="1" l="1"/>
  <c r="L289" i="1"/>
  <c r="P288" i="1"/>
  <c r="M288" i="1" s="1"/>
  <c r="Q288" i="1"/>
  <c r="N288" i="1" s="1"/>
  <c r="O288" i="1"/>
  <c r="R288" i="1" l="1"/>
  <c r="L290" i="1"/>
  <c r="P289" i="1"/>
  <c r="M289" i="1" s="1"/>
  <c r="Q289" i="1"/>
  <c r="N289" i="1" s="1"/>
  <c r="O289" i="1"/>
  <c r="R289" i="1" l="1"/>
  <c r="L291" i="1"/>
  <c r="Q290" i="1"/>
  <c r="N290" i="1" s="1"/>
  <c r="P290" i="1"/>
  <c r="M290" i="1" s="1"/>
  <c r="O290" i="1"/>
  <c r="R290" i="1" l="1"/>
  <c r="L292" i="1"/>
  <c r="Q291" i="1"/>
  <c r="N291" i="1" s="1"/>
  <c r="P291" i="1"/>
  <c r="M291" i="1" s="1"/>
  <c r="O291" i="1"/>
  <c r="R291" i="1" l="1"/>
  <c r="L293" i="1"/>
  <c r="P292" i="1"/>
  <c r="M292" i="1" s="1"/>
  <c r="Q292" i="1"/>
  <c r="N292" i="1" s="1"/>
  <c r="O292" i="1"/>
  <c r="R292" i="1" l="1"/>
  <c r="L294" i="1"/>
  <c r="P293" i="1"/>
  <c r="M293" i="1" s="1"/>
  <c r="Q293" i="1"/>
  <c r="N293" i="1" s="1"/>
  <c r="O293" i="1"/>
  <c r="R293" i="1" l="1"/>
  <c r="L295" i="1"/>
  <c r="P294" i="1"/>
  <c r="M294" i="1" s="1"/>
  <c r="Q294" i="1"/>
  <c r="N294" i="1" s="1"/>
  <c r="O294" i="1"/>
  <c r="R294" i="1" l="1"/>
  <c r="L296" i="1"/>
  <c r="Q295" i="1"/>
  <c r="N295" i="1" s="1"/>
  <c r="P295" i="1"/>
  <c r="M295" i="1" s="1"/>
  <c r="O295" i="1"/>
  <c r="R295" i="1" l="1"/>
  <c r="L297" i="1"/>
  <c r="Q296" i="1"/>
  <c r="N296" i="1" s="1"/>
  <c r="P296" i="1"/>
  <c r="M296" i="1" s="1"/>
  <c r="O296" i="1"/>
  <c r="R296" i="1" l="1"/>
  <c r="L298" i="1"/>
  <c r="P297" i="1"/>
  <c r="M297" i="1" s="1"/>
  <c r="Q297" i="1"/>
  <c r="N297" i="1" s="1"/>
  <c r="O297" i="1"/>
  <c r="R297" i="1" l="1"/>
  <c r="L299" i="1"/>
  <c r="P298" i="1"/>
  <c r="M298" i="1" s="1"/>
  <c r="Q298" i="1"/>
  <c r="N298" i="1" s="1"/>
  <c r="O298" i="1"/>
  <c r="R298" i="1" l="1"/>
  <c r="L300" i="1"/>
  <c r="Q299" i="1"/>
  <c r="N299" i="1" s="1"/>
  <c r="P299" i="1"/>
  <c r="M299" i="1" s="1"/>
  <c r="O299" i="1"/>
  <c r="R299" i="1" l="1"/>
  <c r="L301" i="1"/>
  <c r="Q300" i="1"/>
  <c r="N300" i="1" s="1"/>
  <c r="P300" i="1"/>
  <c r="M300" i="1" s="1"/>
  <c r="O300" i="1"/>
  <c r="R300" i="1" l="1"/>
  <c r="L302" i="1"/>
  <c r="P301" i="1"/>
  <c r="M301" i="1" s="1"/>
  <c r="Q301" i="1"/>
  <c r="N301" i="1" s="1"/>
  <c r="O301" i="1"/>
  <c r="R301" i="1" l="1"/>
  <c r="L303" i="1"/>
  <c r="Q302" i="1"/>
  <c r="N302" i="1" s="1"/>
  <c r="P302" i="1"/>
  <c r="M302" i="1" s="1"/>
  <c r="O302" i="1"/>
  <c r="R302" i="1" l="1"/>
  <c r="L304" i="1"/>
  <c r="P303" i="1"/>
  <c r="M303" i="1" s="1"/>
  <c r="Q303" i="1"/>
  <c r="N303" i="1" s="1"/>
  <c r="O303" i="1"/>
  <c r="R303" i="1" l="1"/>
  <c r="L305" i="1"/>
  <c r="P304" i="1"/>
  <c r="M304" i="1" s="1"/>
  <c r="Q304" i="1"/>
  <c r="N304" i="1" s="1"/>
  <c r="O304" i="1"/>
  <c r="R304" i="1" l="1"/>
  <c r="L306" i="1"/>
  <c r="P305" i="1"/>
  <c r="M305" i="1" s="1"/>
  <c r="Q305" i="1"/>
  <c r="N305" i="1" s="1"/>
  <c r="O305" i="1"/>
  <c r="R305" i="1" l="1"/>
  <c r="L307" i="1"/>
  <c r="Q306" i="1"/>
  <c r="N306" i="1" s="1"/>
  <c r="P306" i="1"/>
  <c r="M306" i="1" s="1"/>
  <c r="O306" i="1"/>
  <c r="R306" i="1" l="1"/>
  <c r="L308" i="1"/>
  <c r="Q307" i="1"/>
  <c r="N307" i="1" s="1"/>
  <c r="P307" i="1"/>
  <c r="M307" i="1" s="1"/>
  <c r="O307" i="1"/>
  <c r="R307" i="1" l="1"/>
  <c r="L309" i="1"/>
  <c r="Q308" i="1"/>
  <c r="N308" i="1" s="1"/>
  <c r="P308" i="1"/>
  <c r="M308" i="1" s="1"/>
  <c r="O308" i="1"/>
  <c r="R308" i="1" l="1"/>
  <c r="L310" i="1"/>
  <c r="Q309" i="1"/>
  <c r="N309" i="1" s="1"/>
  <c r="P309" i="1"/>
  <c r="M309" i="1" s="1"/>
  <c r="O309" i="1"/>
  <c r="R309" i="1" l="1"/>
  <c r="L311" i="1"/>
  <c r="Q310" i="1"/>
  <c r="N310" i="1" s="1"/>
  <c r="P310" i="1"/>
  <c r="M310" i="1" s="1"/>
  <c r="O310" i="1"/>
  <c r="R310" i="1" l="1"/>
  <c r="L312" i="1"/>
  <c r="P311" i="1"/>
  <c r="M311" i="1" s="1"/>
  <c r="Q311" i="1"/>
  <c r="N311" i="1" s="1"/>
  <c r="O311" i="1"/>
  <c r="R311" i="1" l="1"/>
  <c r="L313" i="1"/>
  <c r="Q312" i="1"/>
  <c r="N312" i="1" s="1"/>
  <c r="P312" i="1"/>
  <c r="M312" i="1" s="1"/>
  <c r="O312" i="1"/>
  <c r="R312" i="1" l="1"/>
  <c r="L314" i="1"/>
  <c r="Q313" i="1"/>
  <c r="N313" i="1" s="1"/>
  <c r="P313" i="1"/>
  <c r="M313" i="1" s="1"/>
  <c r="O313" i="1"/>
  <c r="R313" i="1" l="1"/>
  <c r="L315" i="1"/>
  <c r="P314" i="1"/>
  <c r="M314" i="1" s="1"/>
  <c r="Q314" i="1"/>
  <c r="N314" i="1" s="1"/>
  <c r="O314" i="1"/>
  <c r="R314" i="1" l="1"/>
  <c r="L316" i="1"/>
  <c r="P315" i="1"/>
  <c r="M315" i="1" s="1"/>
  <c r="Q315" i="1"/>
  <c r="N315" i="1" s="1"/>
  <c r="O315" i="1"/>
  <c r="R315" i="1" l="1"/>
  <c r="L317" i="1"/>
  <c r="P316" i="1"/>
  <c r="M316" i="1" s="1"/>
  <c r="Q316" i="1"/>
  <c r="N316" i="1" s="1"/>
  <c r="O316" i="1"/>
  <c r="R316" i="1" l="1"/>
  <c r="L318" i="1"/>
  <c r="P317" i="1"/>
  <c r="M317" i="1" s="1"/>
  <c r="Q317" i="1"/>
  <c r="N317" i="1" s="1"/>
  <c r="O317" i="1"/>
  <c r="R317" i="1" l="1"/>
  <c r="L319" i="1"/>
  <c r="Q318" i="1"/>
  <c r="N318" i="1" s="1"/>
  <c r="P318" i="1"/>
  <c r="M318" i="1" s="1"/>
  <c r="O318" i="1"/>
  <c r="R318" i="1" l="1"/>
  <c r="L320" i="1"/>
  <c r="Q319" i="1"/>
  <c r="N319" i="1" s="1"/>
  <c r="P319" i="1"/>
  <c r="M319" i="1" s="1"/>
  <c r="O319" i="1"/>
  <c r="R319" i="1" l="1"/>
  <c r="L321" i="1"/>
  <c r="P320" i="1"/>
  <c r="M320" i="1" s="1"/>
  <c r="Q320" i="1"/>
  <c r="N320" i="1" s="1"/>
  <c r="O320" i="1"/>
  <c r="R320" i="1" l="1"/>
  <c r="L322" i="1"/>
  <c r="P321" i="1"/>
  <c r="M321" i="1" s="1"/>
  <c r="Q321" i="1"/>
  <c r="N321" i="1" s="1"/>
  <c r="O321" i="1"/>
  <c r="R321" i="1" l="1"/>
  <c r="L323" i="1"/>
  <c r="Q322" i="1"/>
  <c r="N322" i="1" s="1"/>
  <c r="P322" i="1"/>
  <c r="M322" i="1" s="1"/>
  <c r="O322" i="1"/>
  <c r="R322" i="1" l="1"/>
  <c r="L324" i="1"/>
  <c r="Q323" i="1"/>
  <c r="N323" i="1" s="1"/>
  <c r="P323" i="1"/>
  <c r="M323" i="1" s="1"/>
  <c r="O323" i="1"/>
  <c r="R323" i="1" l="1"/>
  <c r="L325" i="1"/>
  <c r="P324" i="1"/>
  <c r="M324" i="1" s="1"/>
  <c r="Q324" i="1"/>
  <c r="N324" i="1" s="1"/>
  <c r="O324" i="1"/>
  <c r="R324" i="1" l="1"/>
  <c r="L326" i="1"/>
  <c r="P325" i="1"/>
  <c r="M325" i="1" s="1"/>
  <c r="Q325" i="1"/>
  <c r="N325" i="1" s="1"/>
  <c r="O325" i="1"/>
  <c r="R325" i="1" l="1"/>
  <c r="L327" i="1"/>
  <c r="P326" i="1"/>
  <c r="M326" i="1" s="1"/>
  <c r="Q326" i="1"/>
  <c r="N326" i="1" s="1"/>
  <c r="O326" i="1"/>
  <c r="R326" i="1" l="1"/>
  <c r="L328" i="1"/>
  <c r="P327" i="1"/>
  <c r="M327" i="1" s="1"/>
  <c r="Q327" i="1"/>
  <c r="N327" i="1" s="1"/>
  <c r="O327" i="1"/>
  <c r="R327" i="1" l="1"/>
  <c r="L329" i="1"/>
  <c r="Q328" i="1"/>
  <c r="N328" i="1" s="1"/>
  <c r="P328" i="1"/>
  <c r="M328" i="1" s="1"/>
  <c r="O328" i="1"/>
  <c r="R328" i="1" l="1"/>
  <c r="L330" i="1"/>
  <c r="Q329" i="1"/>
  <c r="N329" i="1" s="1"/>
  <c r="P329" i="1"/>
  <c r="M329" i="1" s="1"/>
  <c r="O329" i="1"/>
  <c r="R329" i="1" l="1"/>
  <c r="L331" i="1"/>
  <c r="P330" i="1"/>
  <c r="M330" i="1" s="1"/>
  <c r="Q330" i="1"/>
  <c r="N330" i="1" s="1"/>
  <c r="O330" i="1"/>
  <c r="R330" i="1" l="1"/>
  <c r="L332" i="1"/>
  <c r="P331" i="1"/>
  <c r="M331" i="1" s="1"/>
  <c r="Q331" i="1"/>
  <c r="N331" i="1" s="1"/>
  <c r="O331" i="1"/>
  <c r="R331" i="1" l="1"/>
  <c r="L333" i="1"/>
  <c r="P332" i="1"/>
  <c r="M332" i="1" s="1"/>
  <c r="Q332" i="1"/>
  <c r="N332" i="1" s="1"/>
  <c r="O332" i="1"/>
  <c r="R332" i="1" l="1"/>
  <c r="L334" i="1"/>
  <c r="Q333" i="1"/>
  <c r="N333" i="1" s="1"/>
  <c r="P333" i="1"/>
  <c r="M333" i="1" s="1"/>
  <c r="O333" i="1"/>
  <c r="R333" i="1" l="1"/>
  <c r="L335" i="1"/>
  <c r="P334" i="1"/>
  <c r="M334" i="1" s="1"/>
  <c r="Q334" i="1"/>
  <c r="N334" i="1" s="1"/>
  <c r="O334" i="1"/>
  <c r="R334" i="1" l="1"/>
  <c r="L336" i="1"/>
  <c r="P335" i="1"/>
  <c r="M335" i="1" s="1"/>
  <c r="Q335" i="1"/>
  <c r="N335" i="1" s="1"/>
  <c r="O335" i="1"/>
  <c r="R335" i="1" l="1"/>
  <c r="L337" i="1"/>
  <c r="P336" i="1"/>
  <c r="M336" i="1" s="1"/>
  <c r="Q336" i="1"/>
  <c r="N336" i="1" s="1"/>
  <c r="O336" i="1"/>
  <c r="R336" i="1" l="1"/>
  <c r="L338" i="1"/>
  <c r="P337" i="1"/>
  <c r="M337" i="1" s="1"/>
  <c r="Q337" i="1"/>
  <c r="N337" i="1" s="1"/>
  <c r="O337" i="1"/>
  <c r="R337" i="1" l="1"/>
  <c r="L339" i="1"/>
  <c r="Q338" i="1"/>
  <c r="N338" i="1" s="1"/>
  <c r="P338" i="1"/>
  <c r="M338" i="1" s="1"/>
  <c r="O338" i="1"/>
  <c r="R338" i="1" l="1"/>
  <c r="L340" i="1"/>
  <c r="P339" i="1"/>
  <c r="M339" i="1" s="1"/>
  <c r="Q339" i="1"/>
  <c r="N339" i="1" s="1"/>
  <c r="O339" i="1"/>
  <c r="R339" i="1" l="1"/>
  <c r="L341" i="1"/>
  <c r="P340" i="1"/>
  <c r="M340" i="1" s="1"/>
  <c r="Q340" i="1"/>
  <c r="N340" i="1" s="1"/>
  <c r="O340" i="1"/>
  <c r="R340" i="1" l="1"/>
  <c r="L342" i="1"/>
  <c r="P341" i="1"/>
  <c r="M341" i="1" s="1"/>
  <c r="Q341" i="1"/>
  <c r="N341" i="1" s="1"/>
  <c r="O341" i="1"/>
  <c r="R341" i="1" l="1"/>
  <c r="L343" i="1"/>
  <c r="P342" i="1"/>
  <c r="M342" i="1" s="1"/>
  <c r="Q342" i="1"/>
  <c r="N342" i="1" s="1"/>
  <c r="O342" i="1"/>
  <c r="R342" i="1" l="1"/>
  <c r="L344" i="1"/>
  <c r="Q343" i="1"/>
  <c r="N343" i="1" s="1"/>
  <c r="P343" i="1"/>
  <c r="M343" i="1" s="1"/>
  <c r="O343" i="1"/>
  <c r="R343" i="1" l="1"/>
  <c r="L345" i="1"/>
  <c r="P344" i="1"/>
  <c r="M344" i="1" s="1"/>
  <c r="Q344" i="1"/>
  <c r="N344" i="1" s="1"/>
  <c r="O344" i="1"/>
  <c r="R344" i="1" l="1"/>
  <c r="L346" i="1"/>
  <c r="P345" i="1"/>
  <c r="M345" i="1" s="1"/>
  <c r="Q345" i="1"/>
  <c r="N345" i="1" s="1"/>
  <c r="O345" i="1"/>
  <c r="R345" i="1" l="1"/>
  <c r="L347" i="1"/>
  <c r="P346" i="1"/>
  <c r="M346" i="1" s="1"/>
  <c r="Q346" i="1"/>
  <c r="N346" i="1" s="1"/>
  <c r="O346" i="1"/>
  <c r="R346" i="1" l="1"/>
  <c r="L348" i="1"/>
  <c r="Q347" i="1"/>
  <c r="N347" i="1" s="1"/>
  <c r="P347" i="1"/>
  <c r="M347" i="1" s="1"/>
  <c r="O347" i="1"/>
  <c r="R347" i="1" l="1"/>
  <c r="L349" i="1"/>
  <c r="Q348" i="1"/>
  <c r="N348" i="1" s="1"/>
  <c r="P348" i="1"/>
  <c r="M348" i="1" s="1"/>
  <c r="O348" i="1"/>
  <c r="R348" i="1" l="1"/>
  <c r="L350" i="1"/>
  <c r="P349" i="1"/>
  <c r="M349" i="1" s="1"/>
  <c r="Q349" i="1"/>
  <c r="N349" i="1" s="1"/>
  <c r="O349" i="1"/>
  <c r="R349" i="1" l="1"/>
  <c r="L351" i="1"/>
  <c r="P350" i="1"/>
  <c r="M350" i="1" s="1"/>
  <c r="Q350" i="1"/>
  <c r="N350" i="1" s="1"/>
  <c r="O350" i="1"/>
  <c r="R350" i="1" l="1"/>
  <c r="L352" i="1"/>
  <c r="P351" i="1"/>
  <c r="M351" i="1" s="1"/>
  <c r="Q351" i="1"/>
  <c r="N351" i="1" s="1"/>
  <c r="O351" i="1"/>
  <c r="R351" i="1" l="1"/>
  <c r="L353" i="1"/>
  <c r="P352" i="1"/>
  <c r="M352" i="1" s="1"/>
  <c r="Q352" i="1"/>
  <c r="N352" i="1" s="1"/>
  <c r="O352" i="1"/>
  <c r="R352" i="1" l="1"/>
  <c r="L354" i="1"/>
  <c r="P353" i="1"/>
  <c r="M353" i="1" s="1"/>
  <c r="Q353" i="1"/>
  <c r="N353" i="1" s="1"/>
  <c r="O353" i="1"/>
  <c r="R353" i="1" l="1"/>
  <c r="L355" i="1"/>
  <c r="P354" i="1"/>
  <c r="M354" i="1" s="1"/>
  <c r="Q354" i="1"/>
  <c r="N354" i="1" s="1"/>
  <c r="O354" i="1"/>
  <c r="R354" i="1" l="1"/>
  <c r="L356" i="1"/>
  <c r="P355" i="1"/>
  <c r="M355" i="1" s="1"/>
  <c r="Q355" i="1"/>
  <c r="N355" i="1" s="1"/>
  <c r="O355" i="1"/>
  <c r="R355" i="1" l="1"/>
  <c r="L357" i="1"/>
  <c r="P356" i="1"/>
  <c r="M356" i="1" s="1"/>
  <c r="Q356" i="1"/>
  <c r="N356" i="1" s="1"/>
  <c r="O356" i="1"/>
  <c r="R356" i="1" l="1"/>
  <c r="L358" i="1"/>
  <c r="Q357" i="1"/>
  <c r="N357" i="1" s="1"/>
  <c r="P357" i="1"/>
  <c r="M357" i="1" s="1"/>
  <c r="O357" i="1"/>
  <c r="R357" i="1" l="1"/>
  <c r="L359" i="1"/>
  <c r="P358" i="1"/>
  <c r="M358" i="1" s="1"/>
  <c r="Q358" i="1"/>
  <c r="N358" i="1" s="1"/>
  <c r="O358" i="1"/>
  <c r="R358" i="1" l="1"/>
  <c r="L360" i="1"/>
  <c r="P359" i="1"/>
  <c r="M359" i="1" s="1"/>
  <c r="Q359" i="1"/>
  <c r="N359" i="1" s="1"/>
  <c r="O359" i="1"/>
  <c r="R359" i="1" l="1"/>
  <c r="L361" i="1"/>
  <c r="P360" i="1"/>
  <c r="M360" i="1" s="1"/>
  <c r="Q360" i="1"/>
  <c r="N360" i="1" s="1"/>
  <c r="O360" i="1"/>
  <c r="R360" i="1" l="1"/>
  <c r="L362" i="1"/>
  <c r="P361" i="1"/>
  <c r="M361" i="1" s="1"/>
  <c r="Q361" i="1"/>
  <c r="N361" i="1" s="1"/>
  <c r="O361" i="1"/>
  <c r="R361" i="1" l="1"/>
  <c r="L363" i="1"/>
  <c r="Q362" i="1"/>
  <c r="N362" i="1" s="1"/>
  <c r="P362" i="1"/>
  <c r="M362" i="1" s="1"/>
  <c r="O362" i="1"/>
  <c r="R362" i="1" l="1"/>
  <c r="L364" i="1"/>
  <c r="P363" i="1"/>
  <c r="M363" i="1" s="1"/>
  <c r="Q363" i="1"/>
  <c r="N363" i="1" s="1"/>
  <c r="O363" i="1"/>
  <c r="R363" i="1" l="1"/>
  <c r="L365" i="1"/>
  <c r="Q364" i="1"/>
  <c r="N364" i="1" s="1"/>
  <c r="P364" i="1"/>
  <c r="M364" i="1" s="1"/>
  <c r="O364" i="1"/>
  <c r="R364" i="1" l="1"/>
  <c r="L366" i="1"/>
  <c r="Q365" i="1"/>
  <c r="N365" i="1" s="1"/>
  <c r="P365" i="1"/>
  <c r="M365" i="1" s="1"/>
  <c r="O365" i="1"/>
  <c r="R365" i="1" l="1"/>
  <c r="L367" i="1"/>
  <c r="P366" i="1"/>
  <c r="M366" i="1" s="1"/>
  <c r="Q366" i="1"/>
  <c r="N366" i="1" s="1"/>
  <c r="O366" i="1"/>
  <c r="R366" i="1" l="1"/>
  <c r="L368" i="1"/>
  <c r="P367" i="1"/>
  <c r="M367" i="1" s="1"/>
  <c r="Q367" i="1"/>
  <c r="N367" i="1" s="1"/>
  <c r="O367" i="1"/>
  <c r="R367" i="1" l="1"/>
  <c r="L369" i="1"/>
  <c r="Q368" i="1"/>
  <c r="N368" i="1" s="1"/>
  <c r="P368" i="1"/>
  <c r="M368" i="1" s="1"/>
  <c r="O368" i="1"/>
  <c r="R368" i="1" l="1"/>
  <c r="L370" i="1"/>
  <c r="P369" i="1"/>
  <c r="M369" i="1" s="1"/>
  <c r="Q369" i="1"/>
  <c r="N369" i="1" s="1"/>
  <c r="O369" i="1"/>
  <c r="R369" i="1" l="1"/>
  <c r="L371" i="1"/>
  <c r="Q370" i="1"/>
  <c r="N370" i="1" s="1"/>
  <c r="P370" i="1"/>
  <c r="M370" i="1" s="1"/>
  <c r="O370" i="1"/>
  <c r="R370" i="1" l="1"/>
  <c r="L372" i="1"/>
  <c r="Q371" i="1"/>
  <c r="N371" i="1" s="1"/>
  <c r="P371" i="1"/>
  <c r="M371" i="1" s="1"/>
  <c r="O371" i="1"/>
  <c r="R371" i="1" l="1"/>
  <c r="L373" i="1"/>
  <c r="P372" i="1"/>
  <c r="M372" i="1" s="1"/>
  <c r="Q372" i="1"/>
  <c r="N372" i="1" s="1"/>
  <c r="O372" i="1"/>
  <c r="R372" i="1" l="1"/>
  <c r="L374" i="1"/>
  <c r="Q373" i="1"/>
  <c r="N373" i="1" s="1"/>
  <c r="P373" i="1"/>
  <c r="M373" i="1" s="1"/>
  <c r="O373" i="1"/>
  <c r="R373" i="1" l="1"/>
  <c r="L375" i="1"/>
  <c r="P374" i="1"/>
  <c r="M374" i="1" s="1"/>
  <c r="Q374" i="1"/>
  <c r="N374" i="1" s="1"/>
  <c r="O374" i="1"/>
  <c r="R374" i="1" l="1"/>
  <c r="L376" i="1"/>
  <c r="Q375" i="1"/>
  <c r="N375" i="1" s="1"/>
  <c r="P375" i="1"/>
  <c r="M375" i="1" s="1"/>
  <c r="O375" i="1"/>
  <c r="R375" i="1" l="1"/>
  <c r="L377" i="1"/>
  <c r="P376" i="1"/>
  <c r="M376" i="1" s="1"/>
  <c r="Q376" i="1"/>
  <c r="N376" i="1" s="1"/>
  <c r="O376" i="1"/>
  <c r="R376" i="1" l="1"/>
  <c r="L378" i="1"/>
  <c r="P377" i="1"/>
  <c r="M377" i="1" s="1"/>
  <c r="Q377" i="1"/>
  <c r="N377" i="1" s="1"/>
  <c r="O377" i="1"/>
  <c r="R377" i="1" l="1"/>
  <c r="L379" i="1"/>
  <c r="Q378" i="1"/>
  <c r="N378" i="1" s="1"/>
  <c r="P378" i="1"/>
  <c r="M378" i="1" s="1"/>
  <c r="O378" i="1"/>
  <c r="R378" i="1" l="1"/>
  <c r="L380" i="1"/>
  <c r="P379" i="1"/>
  <c r="M379" i="1" s="1"/>
  <c r="Q379" i="1"/>
  <c r="N379" i="1" s="1"/>
  <c r="O379" i="1"/>
  <c r="R379" i="1" l="1"/>
  <c r="L381" i="1"/>
  <c r="Q380" i="1"/>
  <c r="N380" i="1" s="1"/>
  <c r="P380" i="1"/>
  <c r="M380" i="1" s="1"/>
  <c r="O380" i="1"/>
  <c r="R380" i="1" l="1"/>
  <c r="L382" i="1"/>
  <c r="P381" i="1"/>
  <c r="M381" i="1" s="1"/>
  <c r="Q381" i="1"/>
  <c r="N381" i="1" s="1"/>
  <c r="O381" i="1"/>
  <c r="R381" i="1" l="1"/>
  <c r="L383" i="1"/>
  <c r="Q382" i="1"/>
  <c r="N382" i="1" s="1"/>
  <c r="P382" i="1"/>
  <c r="M382" i="1" s="1"/>
  <c r="O382" i="1"/>
  <c r="R382" i="1" l="1"/>
  <c r="L384" i="1"/>
  <c r="Q383" i="1"/>
  <c r="N383" i="1" s="1"/>
  <c r="P383" i="1"/>
  <c r="M383" i="1" s="1"/>
  <c r="O383" i="1"/>
  <c r="R383" i="1" l="1"/>
  <c r="L385" i="1"/>
  <c r="Q384" i="1"/>
  <c r="N384" i="1" s="1"/>
  <c r="P384" i="1"/>
  <c r="M384" i="1" s="1"/>
  <c r="O384" i="1"/>
  <c r="R384" i="1" l="1"/>
  <c r="L386" i="1"/>
  <c r="P385" i="1"/>
  <c r="M385" i="1" s="1"/>
  <c r="Q385" i="1"/>
  <c r="N385" i="1" s="1"/>
  <c r="O385" i="1"/>
  <c r="R385" i="1" l="1"/>
  <c r="L387" i="1"/>
  <c r="P386" i="1"/>
  <c r="M386" i="1" s="1"/>
  <c r="Q386" i="1"/>
  <c r="N386" i="1" s="1"/>
  <c r="O386" i="1"/>
  <c r="R386" i="1" l="1"/>
  <c r="L388" i="1"/>
  <c r="Q387" i="1"/>
  <c r="N387" i="1" s="1"/>
  <c r="P387" i="1"/>
  <c r="M387" i="1" s="1"/>
  <c r="O387" i="1"/>
  <c r="R387" i="1" l="1"/>
  <c r="L389" i="1"/>
  <c r="Q388" i="1"/>
  <c r="N388" i="1" s="1"/>
  <c r="P388" i="1"/>
  <c r="M388" i="1" s="1"/>
  <c r="O388" i="1"/>
  <c r="R388" i="1" l="1"/>
  <c r="L390" i="1"/>
  <c r="Q389" i="1"/>
  <c r="N389" i="1" s="1"/>
  <c r="P389" i="1"/>
  <c r="M389" i="1" s="1"/>
  <c r="O389" i="1"/>
  <c r="R389" i="1" l="1"/>
  <c r="L391" i="1"/>
  <c r="Q390" i="1"/>
  <c r="N390" i="1" s="1"/>
  <c r="P390" i="1"/>
  <c r="M390" i="1" s="1"/>
  <c r="O390" i="1"/>
  <c r="R390" i="1" l="1"/>
  <c r="L392" i="1"/>
  <c r="P391" i="1"/>
  <c r="M391" i="1" s="1"/>
  <c r="Q391" i="1"/>
  <c r="N391" i="1" s="1"/>
  <c r="O391" i="1"/>
  <c r="R391" i="1" l="1"/>
  <c r="L393" i="1"/>
  <c r="Q392" i="1"/>
  <c r="N392" i="1" s="1"/>
  <c r="P392" i="1"/>
  <c r="M392" i="1" s="1"/>
  <c r="O392" i="1"/>
  <c r="R392" i="1" l="1"/>
  <c r="L394" i="1"/>
  <c r="Q393" i="1"/>
  <c r="N393" i="1" s="1"/>
  <c r="P393" i="1"/>
  <c r="M393" i="1" s="1"/>
  <c r="O393" i="1"/>
  <c r="R393" i="1" l="1"/>
  <c r="L395" i="1"/>
  <c r="P394" i="1"/>
  <c r="M394" i="1" s="1"/>
  <c r="Q394" i="1"/>
  <c r="N394" i="1" s="1"/>
  <c r="O394" i="1"/>
  <c r="R394" i="1" l="1"/>
  <c r="L396" i="1"/>
  <c r="P395" i="1"/>
  <c r="M395" i="1" s="1"/>
  <c r="Q395" i="1"/>
  <c r="N395" i="1" s="1"/>
  <c r="O395" i="1"/>
  <c r="R395" i="1" l="1"/>
  <c r="L397" i="1"/>
  <c r="Q396" i="1"/>
  <c r="N396" i="1" s="1"/>
  <c r="P396" i="1"/>
  <c r="M396" i="1" s="1"/>
  <c r="O396" i="1"/>
  <c r="R396" i="1" l="1"/>
  <c r="L398" i="1"/>
  <c r="Q397" i="1"/>
  <c r="N397" i="1" s="1"/>
  <c r="P397" i="1"/>
  <c r="M397" i="1" s="1"/>
  <c r="O397" i="1"/>
  <c r="R397" i="1" l="1"/>
  <c r="L399" i="1"/>
  <c r="P398" i="1"/>
  <c r="M398" i="1" s="1"/>
  <c r="Q398" i="1"/>
  <c r="N398" i="1" s="1"/>
  <c r="O398" i="1"/>
  <c r="R398" i="1" l="1"/>
  <c r="L400" i="1"/>
  <c r="Q399" i="1"/>
  <c r="N399" i="1" s="1"/>
  <c r="P399" i="1"/>
  <c r="M399" i="1" s="1"/>
  <c r="O399" i="1"/>
  <c r="R399" i="1" l="1"/>
  <c r="L401" i="1"/>
  <c r="Q400" i="1"/>
  <c r="N400" i="1" s="1"/>
  <c r="P400" i="1"/>
  <c r="M400" i="1" s="1"/>
  <c r="O400" i="1"/>
  <c r="R400" i="1" l="1"/>
  <c r="L402" i="1"/>
  <c r="P401" i="1"/>
  <c r="M401" i="1" s="1"/>
  <c r="Q401" i="1"/>
  <c r="N401" i="1" s="1"/>
  <c r="O401" i="1"/>
  <c r="R401" i="1" l="1"/>
  <c r="L403" i="1"/>
  <c r="Q402" i="1"/>
  <c r="N402" i="1" s="1"/>
  <c r="P402" i="1"/>
  <c r="M402" i="1" s="1"/>
  <c r="O402" i="1"/>
  <c r="R402" i="1" l="1"/>
  <c r="L404" i="1"/>
  <c r="Q403" i="1"/>
  <c r="N403" i="1" s="1"/>
  <c r="P403" i="1"/>
  <c r="M403" i="1" s="1"/>
  <c r="O403" i="1"/>
  <c r="R403" i="1" l="1"/>
  <c r="L405" i="1"/>
  <c r="Q404" i="1"/>
  <c r="N404" i="1" s="1"/>
  <c r="P404" i="1"/>
  <c r="M404" i="1" s="1"/>
  <c r="O404" i="1"/>
  <c r="R404" i="1" l="1"/>
  <c r="L406" i="1"/>
  <c r="P405" i="1"/>
  <c r="M405" i="1" s="1"/>
  <c r="Q405" i="1"/>
  <c r="N405" i="1" s="1"/>
  <c r="O405" i="1"/>
  <c r="R405" i="1" l="1"/>
  <c r="L407" i="1"/>
  <c r="P406" i="1"/>
  <c r="M406" i="1" s="1"/>
  <c r="Q406" i="1"/>
  <c r="N406" i="1" s="1"/>
  <c r="O406" i="1"/>
  <c r="R406" i="1" l="1"/>
  <c r="L408" i="1"/>
  <c r="P407" i="1"/>
  <c r="M407" i="1" s="1"/>
  <c r="Q407" i="1"/>
  <c r="N407" i="1" s="1"/>
  <c r="O407" i="1"/>
  <c r="R407" i="1" l="1"/>
  <c r="L409" i="1"/>
  <c r="P408" i="1"/>
  <c r="M408" i="1" s="1"/>
  <c r="Q408" i="1"/>
  <c r="N408" i="1" s="1"/>
  <c r="O408" i="1"/>
  <c r="R408" i="1" l="1"/>
  <c r="L410" i="1"/>
  <c r="P409" i="1"/>
  <c r="M409" i="1" s="1"/>
  <c r="Q409" i="1"/>
  <c r="N409" i="1" s="1"/>
  <c r="O409" i="1"/>
  <c r="R409" i="1" l="1"/>
  <c r="L411" i="1"/>
  <c r="Q410" i="1"/>
  <c r="N410" i="1" s="1"/>
  <c r="P410" i="1"/>
  <c r="M410" i="1" s="1"/>
  <c r="O410" i="1"/>
  <c r="R410" i="1" l="1"/>
  <c r="L412" i="1"/>
  <c r="P411" i="1"/>
  <c r="M411" i="1" s="1"/>
  <c r="Q411" i="1"/>
  <c r="N411" i="1" s="1"/>
  <c r="O411" i="1"/>
  <c r="R411" i="1" l="1"/>
  <c r="P412" i="1"/>
  <c r="M412" i="1" s="1"/>
  <c r="Q412" i="1"/>
  <c r="N412" i="1" s="1"/>
  <c r="T1" i="1"/>
  <c r="U1" i="1"/>
  <c r="O412" i="1"/>
  <c r="U4" i="1"/>
  <c r="R412" i="1" l="1"/>
  <c r="V1" i="1"/>
</calcChain>
</file>

<file path=xl/sharedStrings.xml><?xml version="1.0" encoding="utf-8"?>
<sst xmlns="http://schemas.openxmlformats.org/spreadsheetml/2006/main" count="39" uniqueCount="34">
  <si>
    <t>EP</t>
  </si>
  <si>
    <t>Symbol</t>
  </si>
  <si>
    <t>Ask/Bid</t>
  </si>
  <si>
    <t>Last Trade</t>
  </si>
  <si>
    <t>Prices</t>
  </si>
  <si>
    <t>Volume</t>
  </si>
  <si>
    <t>Ask</t>
  </si>
  <si>
    <t>Bid</t>
  </si>
  <si>
    <t>Total Volume At</t>
  </si>
  <si>
    <t>This Price</t>
  </si>
  <si>
    <t>Open</t>
  </si>
  <si>
    <t>High</t>
  </si>
  <si>
    <t>Low</t>
  </si>
  <si>
    <t>Tick Chart</t>
  </si>
  <si>
    <t>Full Symbol</t>
  </si>
  <si>
    <t>Net Change</t>
  </si>
  <si>
    <t>% Net Change</t>
  </si>
  <si>
    <t>#</t>
  </si>
  <si>
    <t>#.0</t>
  </si>
  <si>
    <t>#.00</t>
  </si>
  <si>
    <t>#.000</t>
  </si>
  <si>
    <t>#.0000</t>
  </si>
  <si>
    <t>#.00000</t>
  </si>
  <si>
    <t>#.000000</t>
  </si>
  <si>
    <t>#.0000000</t>
  </si>
  <si>
    <t>CQG One-Second Line Chart and BA Volume Cross</t>
  </si>
  <si>
    <t>CQG Five-Second Bar Chart and BA Volume Cross</t>
  </si>
  <si>
    <t>Level 1 Depth-of-Market</t>
  </si>
  <si>
    <t>1-Second</t>
  </si>
  <si>
    <t>Sub-minute</t>
  </si>
  <si>
    <t>Buys &amp; Sells Filter</t>
  </si>
  <si>
    <t>5-Second</t>
  </si>
  <si>
    <t xml:space="preserve">  Copyright © 2018</t>
  </si>
  <si>
    <t>Designed by Thom Hartle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</si>
</sst>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h:mm:ss;@"/>
    <numFmt numFmtId="166" formatCode="0.000"/>
  </numFmts>
  <fonts count="23" x14ac:knownFonts="1">
    <font>
      <sz val="11"/>
      <color theme="1"/>
      <name val="Century Gothic"/>
      <family val="2"/>
    </font>
    <font>
      <sz val="11"/>
      <color rgb="FF333333"/>
      <name val="Century Gothic"/>
      <family val="2"/>
    </font>
    <font>
      <b/>
      <sz val="11"/>
      <color rgb="FFFF0000"/>
      <name val="Century Gothic"/>
      <family val="2"/>
    </font>
    <font>
      <b/>
      <sz val="11"/>
      <color rgb="FF00B050"/>
      <name val="Century Gothic"/>
      <family val="2"/>
    </font>
    <font>
      <sz val="11"/>
      <color theme="0"/>
      <name val="Century Gothic"/>
      <family val="2"/>
    </font>
    <font>
      <sz val="11"/>
      <color rgb="FFFF0000"/>
      <name val="Century Gothic"/>
      <family val="2"/>
    </font>
    <font>
      <sz val="9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17"/>
      <color theme="0"/>
      <name val="Century Gothic"/>
      <family val="2"/>
    </font>
    <font>
      <sz val="13"/>
      <color theme="0"/>
      <name val="Century Gothic"/>
      <family val="2"/>
    </font>
    <font>
      <sz val="13"/>
      <color theme="1"/>
      <name val="Century Gothic"/>
      <family val="2"/>
    </font>
    <font>
      <sz val="8"/>
      <color theme="0"/>
      <name val="Century Gothic"/>
      <family val="2"/>
    </font>
    <font>
      <sz val="9"/>
      <color theme="1"/>
      <name val="Century Gothic"/>
      <family val="2"/>
    </font>
    <font>
      <sz val="10"/>
      <color theme="0"/>
      <name val="Century Gothic"/>
      <family val="2"/>
    </font>
    <font>
      <sz val="22"/>
      <color theme="0"/>
      <name val="Century Gothic"/>
      <family val="2"/>
    </font>
    <font>
      <sz val="15"/>
      <color theme="0"/>
      <name val="Century Gothic"/>
      <family val="2"/>
    </font>
    <font>
      <sz val="11"/>
      <color rgb="FF00000F"/>
      <name val="Century Gothic"/>
      <family val="2"/>
    </font>
    <font>
      <sz val="1"/>
      <color rgb="FF002060"/>
      <name val="Century Gothic"/>
      <family val="2"/>
    </font>
    <font>
      <sz val="14"/>
      <color rgb="FF00B050"/>
      <name val="Century Gothic"/>
      <family val="2"/>
    </font>
    <font>
      <sz val="14"/>
      <color rgb="FFFF0000"/>
      <name val="Century Gothic"/>
      <family val="2"/>
    </font>
    <font>
      <sz val="11"/>
      <color theme="4"/>
      <name val="Century Gothic"/>
      <family val="2"/>
    </font>
    <font>
      <sz val="14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patternFill patternType="solid">
        <fgColor rgb="FF0000FF"/>
        <bgColor indexed="64"/>
      </patternFill>
    </fill>
    <fill>
      <gradientFill>
        <stop position="0">
          <color rgb="FF0000BF"/>
        </stop>
        <stop position="1">
          <color rgb="FF0000F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0F"/>
        </stop>
        <stop position="1">
          <color rgb="FF000040"/>
        </stop>
      </gradient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>
        <stop position="0">
          <color rgb="FF000064"/>
        </stop>
        <stop position="1">
          <color rgb="FF000032"/>
        </stop>
      </gradientFill>
    </fill>
    <fill>
      <gradientFill>
        <stop position="0">
          <color rgb="FF000032"/>
        </stop>
        <stop position="1">
          <color rgb="FF00000F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rgb="FF00000F"/>
        </stop>
        <stop position="0.5">
          <color rgb="FF000032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00B0F0"/>
      </left>
      <right/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rgb="FF002060"/>
      </left>
      <right/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theme="4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theme="4"/>
      </right>
      <top style="thin">
        <color theme="4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theme="4"/>
      </top>
      <bottom/>
      <diagonal/>
    </border>
    <border>
      <left style="thin">
        <color rgb="FF002060"/>
      </left>
      <right style="thin">
        <color rgb="FF002060"/>
      </right>
      <top style="thin">
        <color theme="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4" fillId="2" borderId="0" xfId="0" applyFont="1" applyFill="1" applyAlignment="1">
      <alignment shrinkToFit="1"/>
    </xf>
    <xf numFmtId="0" fontId="4" fillId="7" borderId="0" xfId="0" applyFont="1" applyFill="1" applyBorder="1" applyAlignment="1">
      <alignment shrinkToFit="1"/>
    </xf>
    <xf numFmtId="0" fontId="4" fillId="12" borderId="0" xfId="0" applyFont="1" applyFill="1" applyBorder="1" applyAlignment="1">
      <alignment shrinkToFit="1"/>
    </xf>
    <xf numFmtId="0" fontId="17" fillId="2" borderId="0" xfId="0" applyFont="1" applyFill="1" applyBorder="1" applyAlignment="1">
      <alignment shrinkToFit="1"/>
    </xf>
    <xf numFmtId="0" fontId="17" fillId="2" borderId="0" xfId="0" applyFont="1" applyFill="1" applyBorder="1" applyAlignment="1">
      <alignment horizontal="center" shrinkToFit="1"/>
    </xf>
    <xf numFmtId="0" fontId="17" fillId="2" borderId="0" xfId="0" applyFont="1" applyFill="1" applyAlignment="1">
      <alignment shrinkToFit="1"/>
    </xf>
    <xf numFmtId="0" fontId="14" fillId="2" borderId="0" xfId="0" applyFont="1" applyFill="1" applyAlignment="1">
      <alignment shrinkToFit="1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shrinkToFit="1"/>
    </xf>
    <xf numFmtId="0" fontId="4" fillId="2" borderId="0" xfId="0" applyFont="1" applyFill="1" applyAlignment="1">
      <alignment shrinkToFit="1"/>
    </xf>
    <xf numFmtId="0" fontId="4" fillId="2" borderId="0" xfId="0" applyFont="1" applyFill="1" applyBorder="1" applyAlignment="1">
      <alignment shrinkToFit="1"/>
    </xf>
    <xf numFmtId="0" fontId="4" fillId="2" borderId="0" xfId="0" applyFont="1" applyFill="1" applyAlignment="1">
      <alignment horizontal="center" vertical="center" shrinkToFit="1"/>
    </xf>
    <xf numFmtId="0" fontId="4" fillId="4" borderId="22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shrinkToFit="1"/>
    </xf>
    <xf numFmtId="0" fontId="4" fillId="2" borderId="15" xfId="0" applyFont="1" applyFill="1" applyBorder="1" applyAlignment="1">
      <alignment shrinkToFit="1"/>
    </xf>
    <xf numFmtId="0" fontId="4" fillId="2" borderId="10" xfId="0" applyFont="1" applyFill="1" applyBorder="1" applyAlignment="1">
      <alignment shrinkToFit="1"/>
    </xf>
    <xf numFmtId="0" fontId="4" fillId="2" borderId="5" xfId="0" applyFont="1" applyFill="1" applyBorder="1" applyAlignment="1">
      <alignment shrinkToFit="1"/>
    </xf>
    <xf numFmtId="0" fontId="4" fillId="2" borderId="6" xfId="0" applyFont="1" applyFill="1" applyBorder="1" applyAlignment="1">
      <alignment shrinkToFit="1"/>
    </xf>
    <xf numFmtId="0" fontId="6" fillId="2" borderId="0" xfId="0" applyFont="1" applyFill="1" applyAlignment="1">
      <alignment horizontal="center" vertical="center" shrinkToFit="1"/>
    </xf>
    <xf numFmtId="0" fontId="4" fillId="6" borderId="33" xfId="0" applyFont="1" applyFill="1" applyBorder="1" applyAlignment="1" applyProtection="1">
      <alignment horizontal="center" vertical="center" shrinkToFit="1"/>
      <protection locked="0"/>
    </xf>
    <xf numFmtId="0" fontId="0" fillId="19" borderId="0" xfId="0" applyFont="1" applyFill="1" applyBorder="1"/>
    <xf numFmtId="0" fontId="0" fillId="19" borderId="0" xfId="0" applyNumberFormat="1" applyFont="1" applyFill="1" applyBorder="1" applyAlignment="1">
      <alignment horizontal="center"/>
    </xf>
    <xf numFmtId="1" fontId="3" fillId="19" borderId="0" xfId="0" applyNumberFormat="1" applyFont="1" applyFill="1" applyBorder="1" applyAlignment="1">
      <alignment horizontal="left" shrinkToFit="1"/>
    </xf>
    <xf numFmtId="1" fontId="2" fillId="19" borderId="0" xfId="0" applyNumberFormat="1" applyFont="1" applyFill="1" applyBorder="1" applyAlignment="1">
      <alignment horizontal="right" shrinkToFit="1"/>
    </xf>
    <xf numFmtId="0" fontId="0" fillId="19" borderId="0" xfId="0" applyFont="1" applyFill="1" applyBorder="1" applyAlignment="1">
      <alignment horizontal="center"/>
    </xf>
    <xf numFmtId="1" fontId="1" fillId="19" borderId="0" xfId="0" applyNumberFormat="1" applyFont="1" applyFill="1" applyBorder="1" applyAlignment="1">
      <alignment vertical="center"/>
    </xf>
    <xf numFmtId="165" fontId="0" fillId="19" borderId="0" xfId="0" applyNumberFormat="1" applyFont="1" applyFill="1" applyBorder="1"/>
    <xf numFmtId="2" fontId="0" fillId="19" borderId="0" xfId="0" applyNumberFormat="1" applyFont="1" applyFill="1" applyBorder="1"/>
    <xf numFmtId="166" fontId="0" fillId="19" borderId="0" xfId="0" applyNumberFormat="1" applyFont="1" applyFill="1" applyBorder="1"/>
    <xf numFmtId="1" fontId="0" fillId="19" borderId="0" xfId="0" applyNumberFormat="1" applyFont="1" applyFill="1" applyBorder="1"/>
    <xf numFmtId="0" fontId="0" fillId="19" borderId="0" xfId="0" applyFont="1" applyFill="1" applyBorder="1" applyProtection="1">
      <protection locked="0"/>
    </xf>
    <xf numFmtId="0" fontId="4" fillId="4" borderId="25" xfId="0" applyFont="1" applyFill="1" applyBorder="1" applyAlignment="1">
      <alignment horizontal="center" shrinkToFit="1"/>
    </xf>
    <xf numFmtId="0" fontId="6" fillId="4" borderId="11" xfId="0" applyFont="1" applyFill="1" applyBorder="1" applyAlignment="1">
      <alignment horizontal="right" shrinkToFit="1"/>
    </xf>
    <xf numFmtId="0" fontId="6" fillId="4" borderId="22" xfId="0" applyFont="1" applyFill="1" applyBorder="1" applyAlignment="1">
      <alignment horizontal="right" shrinkToFit="1"/>
    </xf>
    <xf numFmtId="0" fontId="6" fillId="4" borderId="22" xfId="0" applyFont="1" applyFill="1" applyBorder="1" applyAlignment="1">
      <alignment horizontal="center" shrinkToFit="1"/>
    </xf>
    <xf numFmtId="0" fontId="4" fillId="2" borderId="13" xfId="0" quotePrefix="1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22" fillId="17" borderId="8" xfId="0" applyFont="1" applyFill="1" applyBorder="1" applyAlignment="1">
      <alignment horizontal="center" vertical="center" shrinkToFit="1"/>
    </xf>
    <xf numFmtId="0" fontId="22" fillId="17" borderId="3" xfId="0" applyFont="1" applyFill="1" applyBorder="1" applyAlignment="1">
      <alignment horizontal="center" vertical="center" shrinkToFit="1"/>
    </xf>
    <xf numFmtId="0" fontId="22" fillId="17" borderId="31" xfId="0" applyFont="1" applyFill="1" applyBorder="1" applyAlignment="1">
      <alignment horizontal="center" vertical="center" shrinkToFit="1"/>
    </xf>
    <xf numFmtId="0" fontId="22" fillId="17" borderId="19" xfId="0" applyFont="1" applyFill="1" applyBorder="1" applyAlignment="1">
      <alignment horizontal="center" vertical="center" shrinkToFit="1"/>
    </xf>
    <xf numFmtId="0" fontId="22" fillId="17" borderId="20" xfId="0" applyFont="1" applyFill="1" applyBorder="1" applyAlignment="1">
      <alignment horizontal="center" vertical="center" shrinkToFit="1"/>
    </xf>
    <xf numFmtId="0" fontId="22" fillId="17" borderId="28" xfId="0" applyFont="1" applyFill="1" applyBorder="1" applyAlignment="1">
      <alignment horizontal="center" vertical="center" shrinkToFit="1"/>
    </xf>
    <xf numFmtId="0" fontId="4" fillId="17" borderId="32" xfId="0" applyFont="1" applyFill="1" applyBorder="1" applyAlignment="1">
      <alignment horizontal="center" vertical="center" shrinkToFit="1"/>
    </xf>
    <xf numFmtId="0" fontId="0" fillId="17" borderId="32" xfId="0" applyFill="1" applyBorder="1" applyAlignment="1">
      <alignment horizontal="center" vertical="center" shrinkToFit="1"/>
    </xf>
    <xf numFmtId="0" fontId="4" fillId="17" borderId="33" xfId="0" applyFont="1" applyFill="1" applyBorder="1" applyAlignment="1">
      <alignment horizontal="center" vertical="center" shrinkToFit="1"/>
    </xf>
    <xf numFmtId="0" fontId="0" fillId="17" borderId="33" xfId="0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1" fontId="4" fillId="2" borderId="0" xfId="0" applyNumberFormat="1" applyFont="1" applyFill="1" applyAlignment="1">
      <alignment horizontal="center" vertical="center" shrinkToFit="1"/>
    </xf>
    <xf numFmtId="1" fontId="20" fillId="2" borderId="23" xfId="0" applyNumberFormat="1" applyFont="1" applyFill="1" applyBorder="1" applyAlignment="1">
      <alignment horizontal="right" vertical="center" shrinkToFit="1"/>
    </xf>
    <xf numFmtId="0" fontId="14" fillId="2" borderId="25" xfId="0" applyNumberFormat="1" applyFont="1" applyFill="1" applyBorder="1" applyAlignment="1">
      <alignment horizontal="center" vertical="center" shrinkToFit="1"/>
    </xf>
    <xf numFmtId="0" fontId="14" fillId="2" borderId="26" xfId="0" applyNumberFormat="1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shrinkToFit="1"/>
    </xf>
    <xf numFmtId="0" fontId="17" fillId="2" borderId="0" xfId="0" applyFont="1" applyFill="1" applyBorder="1" applyAlignment="1">
      <alignment shrinkToFit="1"/>
    </xf>
    <xf numFmtId="0" fontId="14" fillId="2" borderId="28" xfId="0" applyNumberFormat="1" applyFont="1" applyFill="1" applyBorder="1" applyAlignment="1">
      <alignment horizontal="center" vertical="center" shrinkToFit="1"/>
    </xf>
    <xf numFmtId="0" fontId="14" fillId="2" borderId="27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shrinkToFit="1"/>
    </xf>
    <xf numFmtId="0" fontId="4" fillId="2" borderId="3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10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4" fillId="4" borderId="11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shrinkToFit="1"/>
    </xf>
    <xf numFmtId="0" fontId="4" fillId="4" borderId="29" xfId="0" applyFont="1" applyFill="1" applyBorder="1" applyAlignment="1">
      <alignment horizontal="center" shrinkToFit="1"/>
    </xf>
    <xf numFmtId="0" fontId="4" fillId="4" borderId="14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4" fillId="4" borderId="30" xfId="0" applyFont="1" applyFill="1" applyBorder="1" applyAlignment="1">
      <alignment horizontal="center" shrinkToFit="1"/>
    </xf>
    <xf numFmtId="0" fontId="4" fillId="18" borderId="14" xfId="0" applyFont="1" applyFill="1" applyBorder="1" applyAlignment="1">
      <alignment horizontal="center" shrinkToFit="1"/>
    </xf>
    <xf numFmtId="0" fontId="4" fillId="18" borderId="21" xfId="0" applyFont="1" applyFill="1" applyBorder="1" applyAlignment="1">
      <alignment horizontal="center" shrinkToFit="1"/>
    </xf>
    <xf numFmtId="0" fontId="4" fillId="18" borderId="30" xfId="0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0" fontId="4" fillId="2" borderId="0" xfId="0" applyNumberFormat="1" applyFont="1" applyFill="1" applyBorder="1" applyAlignment="1">
      <alignment horizontal="center" shrinkToFit="1"/>
    </xf>
    <xf numFmtId="10" fontId="4" fillId="2" borderId="15" xfId="0" applyNumberFormat="1" applyFont="1" applyFill="1" applyBorder="1" applyAlignment="1">
      <alignment horizontal="center" shrinkToFit="1"/>
    </xf>
    <xf numFmtId="10" fontId="4" fillId="2" borderId="5" xfId="0" applyNumberFormat="1" applyFont="1" applyFill="1" applyBorder="1" applyAlignment="1">
      <alignment horizontal="center" shrinkToFit="1"/>
    </xf>
    <xf numFmtId="10" fontId="4" fillId="2" borderId="6" xfId="0" applyNumberFormat="1" applyFont="1" applyFill="1" applyBorder="1" applyAlignment="1">
      <alignment horizontal="center" shrinkToFit="1"/>
    </xf>
    <xf numFmtId="0" fontId="14" fillId="2" borderId="13" xfId="0" applyFont="1" applyFill="1" applyBorder="1" applyAlignment="1">
      <alignment horizontal="center" vertical="center" shrinkToFit="1"/>
    </xf>
    <xf numFmtId="0" fontId="4" fillId="17" borderId="1" xfId="0" applyFont="1" applyFill="1" applyBorder="1" applyAlignment="1">
      <alignment shrinkToFit="1"/>
    </xf>
    <xf numFmtId="0" fontId="4" fillId="17" borderId="2" xfId="0" applyFont="1" applyFill="1" applyBorder="1" applyAlignment="1">
      <alignment shrinkToFit="1"/>
    </xf>
    <xf numFmtId="0" fontId="4" fillId="17" borderId="9" xfId="0" applyFont="1" applyFill="1" applyBorder="1" applyAlignment="1">
      <alignment shrinkToFit="1"/>
    </xf>
    <xf numFmtId="0" fontId="4" fillId="17" borderId="0" xfId="0" applyFont="1" applyFill="1" applyBorder="1" applyAlignment="1">
      <alignment shrinkToFit="1"/>
    </xf>
    <xf numFmtId="2" fontId="12" fillId="11" borderId="8" xfId="0" applyNumberFormat="1" applyFont="1" applyFill="1" applyBorder="1" applyAlignment="1" applyProtection="1">
      <alignment horizontal="center" vertical="center" shrinkToFit="1"/>
    </xf>
    <xf numFmtId="2" fontId="12" fillId="11" borderId="7" xfId="0" applyNumberFormat="1" applyFont="1" applyFill="1" applyBorder="1" applyAlignment="1" applyProtection="1">
      <alignment horizontal="center" vertical="center" shrinkToFit="1"/>
    </xf>
    <xf numFmtId="0" fontId="6" fillId="10" borderId="3" xfId="0" applyFont="1" applyFill="1" applyBorder="1" applyAlignment="1">
      <alignment horizontal="center" vertical="center" shrinkToFit="1"/>
    </xf>
    <xf numFmtId="0" fontId="6" fillId="10" borderId="0" xfId="0" applyFont="1" applyFill="1" applyBorder="1" applyAlignment="1">
      <alignment horizontal="center" vertical="center" shrinkToFit="1"/>
    </xf>
    <xf numFmtId="0" fontId="13" fillId="10" borderId="0" xfId="0" applyFont="1" applyFill="1" applyBorder="1" applyAlignment="1">
      <alignment horizontal="center" vertical="center" shrinkToFit="1"/>
    </xf>
    <xf numFmtId="0" fontId="4" fillId="9" borderId="3" xfId="0" applyFont="1" applyFill="1" applyBorder="1" applyAlignment="1">
      <alignment horizontal="center" vertical="center" shrinkToFit="1"/>
    </xf>
    <xf numFmtId="0" fontId="4" fillId="9" borderId="0" xfId="0" applyFont="1" applyFill="1" applyBorder="1" applyAlignment="1">
      <alignment horizontal="center" vertical="center" shrinkToFit="1"/>
    </xf>
    <xf numFmtId="0" fontId="0" fillId="9" borderId="0" xfId="0" applyFont="1" applyFill="1" applyBorder="1" applyAlignment="1">
      <alignment horizontal="center" vertical="center" shrinkToFit="1"/>
    </xf>
    <xf numFmtId="0" fontId="10" fillId="8" borderId="3" xfId="0" applyFont="1" applyFill="1" applyBorder="1" applyAlignment="1">
      <alignment horizontal="center" vertical="center" shrinkToFit="1"/>
    </xf>
    <xf numFmtId="0" fontId="10" fillId="8" borderId="0" xfId="0" applyFont="1" applyFill="1" applyBorder="1" applyAlignment="1">
      <alignment horizontal="center" vertical="center" shrinkToFit="1"/>
    </xf>
    <xf numFmtId="0" fontId="11" fillId="8" borderId="0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9" fillId="12" borderId="3" xfId="0" applyFont="1" applyFill="1" applyBorder="1" applyAlignment="1">
      <alignment horizontal="left" shrinkToFit="1"/>
    </xf>
    <xf numFmtId="0" fontId="9" fillId="12" borderId="0" xfId="0" applyFont="1" applyFill="1" applyBorder="1" applyAlignment="1">
      <alignment horizontal="left" shrinkToFit="1"/>
    </xf>
    <xf numFmtId="0" fontId="16" fillId="12" borderId="3" xfId="0" applyFont="1" applyFill="1" applyBorder="1" applyAlignment="1">
      <alignment horizontal="right" shrinkToFit="1"/>
    </xf>
    <xf numFmtId="0" fontId="16" fillId="12" borderId="0" xfId="0" applyFont="1" applyFill="1" applyBorder="1" applyAlignment="1">
      <alignment horizontal="right" shrinkToFit="1"/>
    </xf>
    <xf numFmtId="0" fontId="16" fillId="7" borderId="3" xfId="0" applyFont="1" applyFill="1" applyBorder="1" applyAlignment="1">
      <alignment horizontal="right" vertical="center" shrinkToFit="1"/>
    </xf>
    <xf numFmtId="0" fontId="16" fillId="7" borderId="0" xfId="0" applyFont="1" applyFill="1" applyBorder="1" applyAlignment="1">
      <alignment horizontal="right" vertical="center" shrinkToFit="1"/>
    </xf>
    <xf numFmtId="0" fontId="9" fillId="7" borderId="3" xfId="0" applyFont="1" applyFill="1" applyBorder="1" applyAlignment="1">
      <alignment horizontal="left" shrinkToFit="1"/>
    </xf>
    <xf numFmtId="0" fontId="9" fillId="7" borderId="0" xfId="0" applyFont="1" applyFill="1" applyBorder="1" applyAlignment="1">
      <alignment horizontal="left" shrinkToFit="1"/>
    </xf>
    <xf numFmtId="0" fontId="10" fillId="13" borderId="3" xfId="0" applyFont="1" applyFill="1" applyBorder="1" applyAlignment="1">
      <alignment horizontal="center" vertical="center" shrinkToFit="1"/>
    </xf>
    <xf numFmtId="0" fontId="10" fillId="13" borderId="0" xfId="0" applyFont="1" applyFill="1" applyBorder="1" applyAlignment="1">
      <alignment horizontal="center" vertical="center" shrinkToFit="1"/>
    </xf>
    <xf numFmtId="0" fontId="4" fillId="14" borderId="3" xfId="0" applyFont="1" applyFill="1" applyBorder="1" applyAlignment="1">
      <alignment horizontal="center" vertical="center" shrinkToFit="1"/>
    </xf>
    <xf numFmtId="0" fontId="4" fillId="14" borderId="0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0" xfId="0" applyFont="1" applyFill="1" applyBorder="1" applyAlignment="1">
      <alignment horizontal="center" vertical="center" shrinkToFit="1"/>
    </xf>
    <xf numFmtId="1" fontId="19" fillId="2" borderId="24" xfId="0" applyNumberFormat="1" applyFont="1" applyFill="1" applyBorder="1" applyAlignment="1">
      <alignment horizontal="left" vertical="center" shrinkToFit="1"/>
    </xf>
    <xf numFmtId="1" fontId="14" fillId="2" borderId="23" xfId="0" applyNumberFormat="1" applyFont="1" applyFill="1" applyBorder="1" applyAlignment="1">
      <alignment horizontal="center" vertical="center" shrinkToFit="1"/>
    </xf>
    <xf numFmtId="165" fontId="6" fillId="2" borderId="13" xfId="0" applyNumberFormat="1" applyFont="1" applyFill="1" applyBorder="1" applyAlignment="1">
      <alignment horizontal="center" vertical="center" shrinkToFit="1"/>
    </xf>
    <xf numFmtId="0" fontId="12" fillId="16" borderId="4" xfId="0" applyFont="1" applyFill="1" applyBorder="1" applyAlignment="1">
      <alignment horizontal="center" vertical="center" shrinkToFit="1"/>
    </xf>
    <xf numFmtId="0" fontId="12" fillId="16" borderId="15" xfId="0" applyFont="1" applyFill="1" applyBorder="1" applyAlignment="1">
      <alignment horizontal="center" vertical="center" shrinkToFit="1"/>
    </xf>
    <xf numFmtId="0" fontId="4" fillId="12" borderId="0" xfId="0" applyFont="1" applyFill="1" applyBorder="1" applyAlignment="1">
      <alignment horizontal="center" shrinkToFit="1"/>
    </xf>
    <xf numFmtId="0" fontId="4" fillId="12" borderId="5" xfId="0" applyFont="1" applyFill="1" applyBorder="1" applyAlignment="1">
      <alignment horizontal="center" shrinkToFit="1"/>
    </xf>
    <xf numFmtId="0" fontId="14" fillId="2" borderId="16" xfId="0" applyFont="1" applyFill="1" applyBorder="1" applyAlignment="1">
      <alignment horizontal="center" shrinkToFit="1"/>
    </xf>
    <xf numFmtId="0" fontId="14" fillId="2" borderId="17" xfId="0" applyFont="1" applyFill="1" applyBorder="1" applyAlignment="1">
      <alignment horizontal="center" shrinkToFit="1"/>
    </xf>
    <xf numFmtId="0" fontId="14" fillId="2" borderId="18" xfId="0" applyFont="1" applyFill="1" applyBorder="1" applyAlignment="1">
      <alignment horizontal="center" shrinkToFit="1"/>
    </xf>
    <xf numFmtId="0" fontId="14" fillId="2" borderId="8" xfId="0" applyFont="1" applyFill="1" applyBorder="1" applyAlignment="1">
      <alignment horizontal="center" shrinkToFit="1"/>
    </xf>
    <xf numFmtId="0" fontId="14" fillId="2" borderId="4" xfId="0" applyFont="1" applyFill="1" applyBorder="1" applyAlignment="1">
      <alignment horizontal="center" shrinkToFit="1"/>
    </xf>
    <xf numFmtId="0" fontId="14" fillId="2" borderId="7" xfId="0" applyFont="1" applyFill="1" applyBorder="1" applyAlignment="1">
      <alignment horizontal="center" shrinkToFit="1"/>
    </xf>
    <xf numFmtId="0" fontId="14" fillId="2" borderId="15" xfId="0" applyFont="1" applyFill="1" applyBorder="1" applyAlignment="1">
      <alignment horizontal="center" shrinkToFit="1"/>
    </xf>
    <xf numFmtId="0" fontId="14" fillId="2" borderId="10" xfId="0" applyFont="1" applyFill="1" applyBorder="1" applyAlignment="1">
      <alignment horizontal="center" shrinkToFit="1"/>
    </xf>
    <xf numFmtId="0" fontId="14" fillId="2" borderId="6" xfId="0" applyFont="1" applyFill="1" applyBorder="1" applyAlignment="1">
      <alignment horizontal="center" shrinkToFit="1"/>
    </xf>
    <xf numFmtId="0" fontId="4" fillId="11" borderId="7" xfId="0" applyFont="1" applyFill="1" applyBorder="1" applyAlignment="1">
      <alignment horizontal="center" shrinkToFit="1"/>
    </xf>
    <xf numFmtId="0" fontId="4" fillId="11" borderId="7" xfId="0" applyFont="1" applyFill="1" applyBorder="1" applyAlignment="1">
      <alignment shrinkToFit="1"/>
    </xf>
    <xf numFmtId="0" fontId="4" fillId="11" borderId="10" xfId="0" applyFont="1" applyFill="1" applyBorder="1" applyAlignment="1">
      <alignment shrinkToFit="1"/>
    </xf>
    <xf numFmtId="0" fontId="4" fillId="10" borderId="0" xfId="0" applyFont="1" applyFill="1" applyBorder="1" applyAlignment="1">
      <alignment horizontal="center" shrinkToFit="1"/>
    </xf>
    <xf numFmtId="0" fontId="4" fillId="10" borderId="0" xfId="0" applyFont="1" applyFill="1" applyBorder="1" applyAlignment="1">
      <alignment shrinkToFit="1"/>
    </xf>
    <xf numFmtId="0" fontId="4" fillId="10" borderId="5" xfId="0" applyFont="1" applyFill="1" applyBorder="1" applyAlignment="1">
      <alignment shrinkToFit="1"/>
    </xf>
    <xf numFmtId="0" fontId="4" fillId="9" borderId="0" xfId="0" applyFont="1" applyFill="1" applyBorder="1" applyAlignment="1">
      <alignment horizontal="center" shrinkToFit="1"/>
    </xf>
    <xf numFmtId="0" fontId="4" fillId="9" borderId="0" xfId="0" applyFont="1" applyFill="1" applyBorder="1" applyAlignment="1">
      <alignment shrinkToFit="1"/>
    </xf>
    <xf numFmtId="0" fontId="4" fillId="9" borderId="5" xfId="0" applyFont="1" applyFill="1" applyBorder="1" applyAlignment="1">
      <alignment shrinkToFit="1"/>
    </xf>
    <xf numFmtId="0" fontId="4" fillId="8" borderId="0" xfId="0" applyFont="1" applyFill="1" applyBorder="1" applyAlignment="1">
      <alignment horizontal="center" shrinkToFit="1"/>
    </xf>
    <xf numFmtId="0" fontId="4" fillId="8" borderId="0" xfId="0" applyFont="1" applyFill="1" applyBorder="1" applyAlignment="1">
      <alignment shrinkToFit="1"/>
    </xf>
    <xf numFmtId="0" fontId="4" fillId="8" borderId="5" xfId="0" applyFont="1" applyFill="1" applyBorder="1" applyAlignment="1">
      <alignment shrinkToFit="1"/>
    </xf>
    <xf numFmtId="0" fontId="4" fillId="7" borderId="0" xfId="0" applyFont="1" applyFill="1" applyBorder="1" applyAlignment="1">
      <alignment horizontal="center" shrinkToFit="1"/>
    </xf>
    <xf numFmtId="0" fontId="4" fillId="7" borderId="5" xfId="0" applyFont="1" applyFill="1" applyBorder="1" applyAlignment="1">
      <alignment horizontal="center" shrinkToFit="1"/>
    </xf>
    <xf numFmtId="0" fontId="4" fillId="13" borderId="0" xfId="0" applyFont="1" applyFill="1" applyBorder="1" applyAlignment="1">
      <alignment horizontal="center" shrinkToFit="1"/>
    </xf>
    <xf numFmtId="0" fontId="4" fillId="13" borderId="5" xfId="0" applyFont="1" applyFill="1" applyBorder="1" applyAlignment="1">
      <alignment horizontal="center" shrinkToFit="1"/>
    </xf>
    <xf numFmtId="0" fontId="4" fillId="14" borderId="0" xfId="0" applyFont="1" applyFill="1" applyBorder="1" applyAlignment="1">
      <alignment horizontal="center" shrinkToFit="1"/>
    </xf>
    <xf numFmtId="0" fontId="4" fillId="14" borderId="5" xfId="0" applyFont="1" applyFill="1" applyBorder="1" applyAlignment="1">
      <alignment horizontal="center" shrinkToFit="1"/>
    </xf>
    <xf numFmtId="0" fontId="4" fillId="15" borderId="0" xfId="0" applyFont="1" applyFill="1" applyBorder="1" applyAlignment="1">
      <alignment horizontal="center" shrinkToFit="1"/>
    </xf>
    <xf numFmtId="0" fontId="4" fillId="15" borderId="5" xfId="0" applyFont="1" applyFill="1" applyBorder="1" applyAlignment="1">
      <alignment horizontal="center" shrinkToFit="1"/>
    </xf>
    <xf numFmtId="0" fontId="4" fillId="16" borderId="15" xfId="0" applyFont="1" applyFill="1" applyBorder="1" applyAlignment="1">
      <alignment horizontal="center" shrinkToFit="1"/>
    </xf>
    <xf numFmtId="0" fontId="4" fillId="16" borderId="6" xfId="0" applyFont="1" applyFill="1" applyBorder="1" applyAlignment="1">
      <alignment horizontal="center" shrinkToFit="1"/>
    </xf>
    <xf numFmtId="0" fontId="17" fillId="2" borderId="15" xfId="0" applyFont="1" applyFill="1" applyBorder="1" applyAlignment="1">
      <alignment horizontal="center" shrinkToFit="1"/>
    </xf>
    <xf numFmtId="0" fontId="17" fillId="2" borderId="15" xfId="0" applyFont="1" applyFill="1" applyBorder="1" applyAlignment="1">
      <alignment shrinkToFit="1"/>
    </xf>
    <xf numFmtId="0" fontId="14" fillId="5" borderId="3" xfId="0" applyFont="1" applyFill="1" applyBorder="1" applyAlignment="1">
      <alignment horizontal="center" shrinkToFit="1"/>
    </xf>
    <xf numFmtId="0" fontId="14" fillId="5" borderId="0" xfId="0" applyFont="1" applyFill="1" applyBorder="1" applyAlignment="1">
      <alignment horizontal="center" shrinkToFit="1"/>
    </xf>
    <xf numFmtId="0" fontId="14" fillId="6" borderId="0" xfId="0" applyFont="1" applyFill="1" applyBorder="1" applyAlignment="1">
      <alignment horizontal="center" shrinkToFit="1"/>
    </xf>
    <xf numFmtId="0" fontId="14" fillId="6" borderId="20" xfId="0" applyFont="1" applyFill="1" applyBorder="1" applyAlignment="1">
      <alignment horizontal="center" shrinkToFit="1"/>
    </xf>
    <xf numFmtId="0" fontId="4" fillId="2" borderId="13" xfId="0" applyFont="1" applyFill="1" applyBorder="1" applyAlignment="1">
      <alignment horizontal="center" shrinkToFit="1"/>
    </xf>
    <xf numFmtId="0" fontId="4" fillId="2" borderId="13" xfId="0" applyFont="1" applyFill="1" applyBorder="1" applyAlignment="1">
      <alignment shrinkToFit="1"/>
    </xf>
    <xf numFmtId="0" fontId="8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14" fillId="5" borderId="0" xfId="0" applyFont="1" applyFill="1" applyBorder="1" applyAlignment="1">
      <alignment shrinkToFit="1"/>
    </xf>
    <xf numFmtId="0" fontId="14" fillId="6" borderId="0" xfId="0" applyFont="1" applyFill="1" applyBorder="1" applyAlignment="1">
      <alignment shrinkToFit="1"/>
    </xf>
    <xf numFmtId="0" fontId="14" fillId="6" borderId="20" xfId="0" applyFont="1" applyFill="1" applyBorder="1" applyAlignment="1">
      <alignment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7" xfId="0" applyFont="1" applyFill="1" applyBorder="1" applyAlignment="1">
      <alignment horizontal="center" vertical="center" shrinkToFit="1"/>
    </xf>
    <xf numFmtId="0" fontId="14" fillId="4" borderId="19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15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18" fillId="4" borderId="7" xfId="0" applyFont="1" applyFill="1" applyBorder="1" applyAlignment="1">
      <alignment horizontal="center" vertical="center" shrinkToFit="1"/>
    </xf>
    <xf numFmtId="0" fontId="18" fillId="4" borderId="10" xfId="0" applyFont="1" applyFill="1" applyBorder="1" applyAlignment="1">
      <alignment horizontal="center" vertical="center" shrinkToFit="1"/>
    </xf>
    <xf numFmtId="0" fontId="14" fillId="4" borderId="3" xfId="0" applyFont="1" applyFill="1" applyBorder="1" applyAlignment="1">
      <alignment horizontal="center" vertical="center" shrinkToFit="1"/>
    </xf>
    <xf numFmtId="0" fontId="14" fillId="4" borderId="0" xfId="0" applyFont="1" applyFill="1" applyBorder="1" applyAlignment="1">
      <alignment horizontal="center" vertical="center" shrinkToFit="1"/>
    </xf>
    <xf numFmtId="0" fontId="14" fillId="4" borderId="20" xfId="0" applyFont="1" applyFill="1" applyBorder="1" applyAlignment="1">
      <alignment horizontal="center" vertical="center" shrinkToFit="1"/>
    </xf>
    <xf numFmtId="165" fontId="6" fillId="2" borderId="34" xfId="0" applyNumberFormat="1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21" fillId="17" borderId="8" xfId="0" applyFont="1" applyFill="1" applyBorder="1" applyAlignment="1">
      <alignment horizontal="center" vertical="center" shrinkToFit="1"/>
    </xf>
    <xf numFmtId="0" fontId="21" fillId="17" borderId="3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horizontal="center" vertical="center" shrinkToFit="1"/>
    </xf>
    <xf numFmtId="0" fontId="21" fillId="17" borderId="7" xfId="0" applyFont="1" applyFill="1" applyBorder="1" applyAlignment="1">
      <alignment horizontal="center" vertical="center" shrinkToFit="1"/>
    </xf>
    <xf numFmtId="0" fontId="21" fillId="17" borderId="0" xfId="0" applyFont="1" applyFill="1" applyBorder="1" applyAlignment="1">
      <alignment horizontal="center" vertical="center" shrinkToFit="1"/>
    </xf>
    <xf numFmtId="0" fontId="21" fillId="17" borderId="15" xfId="0" applyFont="1" applyFill="1" applyBorder="1" applyAlignment="1">
      <alignment horizontal="center" vertical="center" shrinkToFit="1"/>
    </xf>
    <xf numFmtId="0" fontId="21" fillId="17" borderId="10" xfId="0" applyFont="1" applyFill="1" applyBorder="1" applyAlignment="1">
      <alignment horizontal="center" vertical="center" shrinkToFit="1"/>
    </xf>
    <xf numFmtId="0" fontId="21" fillId="17" borderId="5" xfId="0" applyFont="1" applyFill="1" applyBorder="1" applyAlignment="1">
      <alignment horizontal="center" vertical="center" shrinkToFit="1"/>
    </xf>
    <xf numFmtId="0" fontId="21" fillId="17" borderId="6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164" fontId="15" fillId="17" borderId="3" xfId="0" applyNumberFormat="1" applyFont="1" applyFill="1" applyBorder="1" applyAlignment="1">
      <alignment horizontal="center" vertical="center" shrinkToFit="1"/>
    </xf>
    <xf numFmtId="164" fontId="15" fillId="17" borderId="4" xfId="0" applyNumberFormat="1" applyFont="1" applyFill="1" applyBorder="1" applyAlignment="1">
      <alignment horizontal="center" vertical="center" shrinkToFit="1"/>
    </xf>
    <xf numFmtId="164" fontId="15" fillId="17" borderId="5" xfId="0" applyNumberFormat="1" applyFont="1" applyFill="1" applyBorder="1" applyAlignment="1">
      <alignment horizontal="center" vertical="center" shrinkToFit="1"/>
    </xf>
    <xf numFmtId="164" fontId="15" fillId="17" borderId="6" xfId="0" applyNumberFormat="1" applyFont="1" applyFill="1" applyBorder="1" applyAlignment="1">
      <alignment horizontal="center" vertical="center" shrinkToFit="1"/>
    </xf>
    <xf numFmtId="0" fontId="15" fillId="17" borderId="3" xfId="0" applyFont="1" applyFill="1" applyBorder="1" applyAlignment="1">
      <alignment horizontal="center" vertical="center" shrinkToFit="1"/>
    </xf>
    <xf numFmtId="0" fontId="15" fillId="17" borderId="5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502"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1"/>
      </font>
      <fill>
        <gradientFill degree="90">
          <stop position="0">
            <color theme="4"/>
          </stop>
          <stop position="0.5">
            <color theme="0"/>
          </stop>
          <stop position="1">
            <color theme="4"/>
          </stop>
        </gradientFill>
      </fill>
    </dxf>
    <dxf>
      <font>
        <color theme="0"/>
      </font>
      <fill>
        <gradientFill degree="90"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 degree="90">
          <stop position="0">
            <color rgb="FF002060"/>
          </stop>
          <stop position="0.5">
            <color rgb="FF00B0F0"/>
          </stop>
          <stop position="1">
            <color rgb="FF002060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FF0000"/>
          </stop>
          <stop position="1">
            <color rgb="FF00000F"/>
          </stop>
        </gradientFill>
      </fill>
    </dxf>
    <dxf>
      <font>
        <color theme="0"/>
      </font>
      <fill>
        <gradientFill>
          <stop position="0">
            <color rgb="FF00000F"/>
          </stop>
          <stop position="0.5">
            <color rgb="FF00B050"/>
          </stop>
          <stop position="1">
            <color rgb="FF00000F"/>
          </stop>
        </gradientFill>
      </fill>
    </dxf>
    <dxf>
      <font>
        <color rgb="FF00B050"/>
      </font>
    </dxf>
    <dxf>
      <fill>
        <gradientFill degree="90">
          <stop position="0">
            <color theme="3"/>
          </stop>
          <stop position="0.5">
            <color theme="2"/>
          </stop>
          <stop position="1">
            <color theme="3"/>
          </stop>
        </gradientFill>
      </fill>
    </dxf>
    <dxf>
      <fill>
        <gradientFill degree="90">
          <stop position="0">
            <color theme="3"/>
          </stop>
          <stop position="0.5">
            <color theme="2"/>
          </stop>
          <stop position="1">
            <color theme="3"/>
          </stop>
        </gradientFill>
      </fill>
    </dxf>
    <dxf>
      <fill>
        <gradientFill degree="90">
          <stop position="0">
            <color theme="3"/>
          </stop>
          <stop position="0.5">
            <color theme="2"/>
          </stop>
          <stop position="1">
            <color theme="3"/>
          </stop>
        </gradientFill>
      </fill>
    </dxf>
  </dxfs>
  <tableStyles count="0" defaultTableStyle="TableStyleMedium2" defaultPivotStyle="PivotStyleLight16"/>
  <colors>
    <mruColors>
      <color rgb="FF00000F"/>
      <color rgb="FF000032"/>
      <color rgb="FF000064"/>
      <color rgb="FF000096"/>
      <color rgb="FF0000C8"/>
      <color rgb="FF000040"/>
      <color rgb="FF00007F"/>
      <color rgb="FF0000B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StudyData</stp>
        <stp>FPVol(FootprintOp (EP, 0),2740.75)</stp>
        <stp>Bar</stp>
        <stp/>
        <stp>Close</stp>
        <stp>D</stp>
        <stp>0</stp>
        <stp>all</stp>
        <stp/>
        <stp/>
        <stp/>
        <stp>T</stp>
        <tr r="M18" s="2"/>
        <tr r="M18" s="2"/>
      </tp>
      <tp>
        <v>3853</v>
        <stp/>
        <stp>StudyData</stp>
        <stp>FPVol(FootprintOp (EP, 0),2739.75)</stp>
        <stp>Bar</stp>
        <stp/>
        <stp>Close</stp>
        <stp>D</stp>
        <stp>0</stp>
        <stp>all</stp>
        <stp/>
        <stp/>
        <stp/>
        <stp>T</stp>
        <tr r="F18" s="2"/>
        <tr r="F18" s="2"/>
        <tr r="H18" s="2"/>
        <tr r="H18" s="2"/>
        <tr r="O4" s="1"/>
      </tp>
      <tp>
        <v>16018</v>
        <stp/>
        <stp>StudyData</stp>
        <stp>FPVol(FootprintOp (EP, 0),2738.75)</stp>
        <stp>Bar</stp>
        <stp/>
        <stp>Close</stp>
        <stp>D</stp>
        <stp>0</stp>
        <stp>all</stp>
        <stp/>
        <stp/>
        <stp/>
        <stp>T</stp>
        <tr r="B18" s="2"/>
        <tr r="B18" s="2"/>
        <tr r="O8" s="1"/>
      </tp>
      <tp>
        <v>19068</v>
        <stp/>
        <stp>StudyData</stp>
        <stp>FPVol(FootprintOp (EP, 0),2733.75)</stp>
        <stp>Bar</stp>
        <stp/>
        <stp>Close</stp>
        <stp>D</stp>
        <stp>0</stp>
        <stp>all</stp>
        <stp/>
        <stp/>
        <stp/>
        <stp>T</stp>
        <tr r="O28" s="1"/>
      </tp>
      <tp>
        <v>15389</v>
        <stp/>
        <stp>StudyData</stp>
        <stp>FPVol(FootprintOp (EP, 0),2732.75)</stp>
        <stp>Bar</stp>
        <stp/>
        <stp>Close</stp>
        <stp>D</stp>
        <stp>0</stp>
        <stp>all</stp>
        <stp/>
        <stp/>
        <stp/>
        <stp>T</stp>
        <tr r="O32" s="1"/>
      </tp>
      <tp>
        <v>17005</v>
        <stp/>
        <stp>StudyData</stp>
        <stp>FPVol(FootprintOp (EP, 0),2731.75)</stp>
        <stp>Bar</stp>
        <stp/>
        <stp>Close</stp>
        <stp>D</stp>
        <stp>0</stp>
        <stp>all</stp>
        <stp/>
        <stp/>
        <stp/>
        <stp>T</stp>
        <tr r="O36" s="1"/>
      </tp>
      <tp>
        <v>19185</v>
        <stp/>
        <stp>StudyData</stp>
        <stp>FPVol(FootprintOp (EP, 0),2730.75)</stp>
        <stp>Bar</stp>
        <stp/>
        <stp>Close</stp>
        <stp>D</stp>
        <stp>0</stp>
        <stp>all</stp>
        <stp/>
        <stp/>
        <stp/>
        <stp>T</stp>
        <tr r="O40" s="1"/>
      </tp>
      <tp>
        <v>8540</v>
        <stp/>
        <stp>StudyData</stp>
        <stp>FPVol(FootprintOp (EP, 0),2737.75)</stp>
        <stp>Bar</stp>
        <stp/>
        <stp>Close</stp>
        <stp>D</stp>
        <stp>0</stp>
        <stp>all</stp>
        <stp/>
        <stp/>
        <stp/>
        <stp>T</stp>
        <tr r="O12" s="1"/>
      </tp>
      <tp>
        <v>10424</v>
        <stp/>
        <stp>StudyData</stp>
        <stp>FPVol(FootprintOp (EP, 0),2736.75)</stp>
        <stp>Bar</stp>
        <stp/>
        <stp>Close</stp>
        <stp>D</stp>
        <stp>0</stp>
        <stp>all</stp>
        <stp/>
        <stp/>
        <stp/>
        <stp>T</stp>
        <tr r="O16" s="1"/>
      </tp>
      <tp>
        <v>11213</v>
        <stp/>
        <stp>StudyData</stp>
        <stp>FPVol(FootprintOp (EP, 0),2735.75)</stp>
        <stp>Bar</stp>
        <stp/>
        <stp>Close</stp>
        <stp>D</stp>
        <stp>0</stp>
        <stp>all</stp>
        <stp/>
        <stp/>
        <stp/>
        <stp>T</stp>
        <tr r="O20" s="1"/>
      </tp>
      <tp>
        <v>15874</v>
        <stp/>
        <stp>StudyData</stp>
        <stp>FPVol(FootprintOp (EP, 0),2734.75)</stp>
        <stp>Bar</stp>
        <stp/>
        <stp>Close</stp>
        <stp>D</stp>
        <stp>0</stp>
        <stp>all</stp>
        <stp/>
        <stp/>
        <stp/>
        <stp>T</stp>
        <tr r="O24" s="1"/>
      </tp>
      <tp>
        <v>20673</v>
        <stp/>
        <stp>StudyData</stp>
        <stp>FPVol(FootprintOp (EP, 0),2729.75)</stp>
        <stp>Bar</stp>
        <stp/>
        <stp>Close</stp>
        <stp>D</stp>
        <stp>0</stp>
        <stp>all</stp>
        <stp/>
        <stp/>
        <stp/>
        <stp>T</stp>
        <tr r="O44" s="1"/>
      </tp>
      <tp>
        <v>23028</v>
        <stp/>
        <stp>StudyData</stp>
        <stp>FPVol(FootprintOp (EP, 0),2728.75)</stp>
        <stp>Bar</stp>
        <stp/>
        <stp>Close</stp>
        <stp>D</stp>
        <stp>0</stp>
        <stp>all</stp>
        <stp/>
        <stp/>
        <stp/>
        <stp>T</stp>
        <tr r="O48" s="1"/>
      </tp>
      <tp>
        <v>11123</v>
        <stp/>
        <stp>StudyData</stp>
        <stp>FPVol(FootprintOp (EP, 0),2723.75)</stp>
        <stp>Bar</stp>
        <stp/>
        <stp>Close</stp>
        <stp>D</stp>
        <stp>0</stp>
        <stp>all</stp>
        <stp/>
        <stp/>
        <stp/>
        <stp>T</stp>
        <tr r="O68" s="1"/>
      </tp>
      <tp>
        <v>4366</v>
        <stp/>
        <stp>StudyData</stp>
        <stp>FPVol(FootprintOp (EP, 0),2722.75)</stp>
        <stp>Bar</stp>
        <stp/>
        <stp>Close</stp>
        <stp>D</stp>
        <stp>0</stp>
        <stp>all</stp>
        <stp/>
        <stp/>
        <stp/>
        <stp>T</stp>
        <tr r="O72" s="1"/>
      </tp>
      <tp>
        <v>1755</v>
        <stp/>
        <stp>StudyData</stp>
        <stp>FPVol(FootprintOp (EP, 0),2721.75)</stp>
        <stp>Bar</stp>
        <stp/>
        <stp>Close</stp>
        <stp>D</stp>
        <stp>0</stp>
        <stp>all</stp>
        <stp/>
        <stp/>
        <stp/>
        <stp>T</stp>
        <tr r="O76" s="1"/>
      </tp>
      <tp>
        <v>928</v>
        <stp/>
        <stp>StudyData</stp>
        <stp>FPVol(FootprintOp (EP, 0),2720.75)</stp>
        <stp>Bar</stp>
        <stp/>
        <stp>Close</stp>
        <stp>D</stp>
        <stp>0</stp>
        <stp>all</stp>
        <stp/>
        <stp/>
        <stp/>
        <stp>T</stp>
        <tr r="O80" s="1"/>
      </tp>
      <tp>
        <v>16211</v>
        <stp/>
        <stp>StudyData</stp>
        <stp>FPVol(FootprintOp (EP, 0),2727.75)</stp>
        <stp>Bar</stp>
        <stp/>
        <stp>Close</stp>
        <stp>D</stp>
        <stp>0</stp>
        <stp>all</stp>
        <stp/>
        <stp/>
        <stp/>
        <stp>T</stp>
        <tr r="O52" s="1"/>
      </tp>
      <tp>
        <v>14556</v>
        <stp/>
        <stp>StudyData</stp>
        <stp>FPVol(FootprintOp (EP, 0),2726.75)</stp>
        <stp>Bar</stp>
        <stp/>
        <stp>Close</stp>
        <stp>D</stp>
        <stp>0</stp>
        <stp>all</stp>
        <stp/>
        <stp/>
        <stp/>
        <stp>T</stp>
        <tr r="O56" s="1"/>
      </tp>
      <tp>
        <v>14996</v>
        <stp/>
        <stp>StudyData</stp>
        <stp>FPVol(FootprintOp (EP, 0),2725.75)</stp>
        <stp>Bar</stp>
        <stp/>
        <stp>Close</stp>
        <stp>D</stp>
        <stp>0</stp>
        <stp>all</stp>
        <stp/>
        <stp/>
        <stp/>
        <stp>T</stp>
        <tr r="O60" s="1"/>
      </tp>
      <tp>
        <v>11805</v>
        <stp/>
        <stp>StudyData</stp>
        <stp>FPVol(FootprintOp (EP, 0),2724.75)</stp>
        <stp>Bar</stp>
        <stp/>
        <stp>Close</stp>
        <stp>D</stp>
        <stp>0</stp>
        <stp>all</stp>
        <stp/>
        <stp/>
        <stp/>
        <stp>T</stp>
        <tr r="O64" s="1"/>
      </tp>
      <tp t="s">
        <v/>
        <stp/>
        <stp>StudyData</stp>
        <stp>FPVol(FootprintOp (EP, 0),2719.75)</stp>
        <stp>Bar</stp>
        <stp/>
        <stp>Close</stp>
        <stp>D</stp>
        <stp>0</stp>
        <stp>all</stp>
        <stp/>
        <stp/>
        <stp/>
        <stp>T</stp>
        <tr r="O84" s="1"/>
      </tp>
      <tp t="s">
        <v/>
        <stp/>
        <stp>StudyData</stp>
        <stp>FPVol(FootprintOp (EP, 0),2718.75)</stp>
        <stp>Bar</stp>
        <stp/>
        <stp>Close</stp>
        <stp>D</stp>
        <stp>0</stp>
        <stp>all</stp>
        <stp/>
        <stp/>
        <stp/>
        <stp>T</stp>
        <tr r="O88" s="1"/>
      </tp>
      <tp t="s">
        <v/>
        <stp/>
        <stp>StudyData</stp>
        <stp>FPVol(FootprintOp (EP, 0),2713.75)</stp>
        <stp>Bar</stp>
        <stp/>
        <stp>Close</stp>
        <stp>D</stp>
        <stp>0</stp>
        <stp>all</stp>
        <stp/>
        <stp/>
        <stp/>
        <stp>T</stp>
        <tr r="O108" s="1"/>
      </tp>
      <tp t="s">
        <v/>
        <stp/>
        <stp>StudyData</stp>
        <stp>FPVol(FootprintOp (EP, 0),2712.75)</stp>
        <stp>Bar</stp>
        <stp/>
        <stp>Close</stp>
        <stp>D</stp>
        <stp>0</stp>
        <stp>all</stp>
        <stp/>
        <stp/>
        <stp/>
        <stp>T</stp>
        <tr r="O112" s="1"/>
      </tp>
      <tp t="s">
        <v/>
        <stp/>
        <stp>StudyData</stp>
        <stp>FPVol(FootprintOp (EP, 0),2711.75)</stp>
        <stp>Bar</stp>
        <stp/>
        <stp>Close</stp>
        <stp>D</stp>
        <stp>0</stp>
        <stp>all</stp>
        <stp/>
        <stp/>
        <stp/>
        <stp>T</stp>
        <tr r="O116" s="1"/>
      </tp>
      <tp t="s">
        <v/>
        <stp/>
        <stp>StudyData</stp>
        <stp>FPVol(FootprintOp (EP, 0),2710.75)</stp>
        <stp>Bar</stp>
        <stp/>
        <stp>Close</stp>
        <stp>D</stp>
        <stp>0</stp>
        <stp>all</stp>
        <stp/>
        <stp/>
        <stp/>
        <stp>T</stp>
        <tr r="O120" s="1"/>
      </tp>
      <tp t="s">
        <v/>
        <stp/>
        <stp>StudyData</stp>
        <stp>FPVol(FootprintOp (EP, 0),2717.75)</stp>
        <stp>Bar</stp>
        <stp/>
        <stp>Close</stp>
        <stp>D</stp>
        <stp>0</stp>
        <stp>all</stp>
        <stp/>
        <stp/>
        <stp/>
        <stp>T</stp>
        <tr r="O92" s="1"/>
      </tp>
      <tp t="s">
        <v/>
        <stp/>
        <stp>StudyData</stp>
        <stp>FPVol(FootprintOp (EP, 0),2716.75)</stp>
        <stp>Bar</stp>
        <stp/>
        <stp>Close</stp>
        <stp>D</stp>
        <stp>0</stp>
        <stp>all</stp>
        <stp/>
        <stp/>
        <stp/>
        <stp>T</stp>
        <tr r="O96" s="1"/>
      </tp>
      <tp t="s">
        <v/>
        <stp/>
        <stp>StudyData</stp>
        <stp>FPVol(FootprintOp (EP, 0),2715.75)</stp>
        <stp>Bar</stp>
        <stp/>
        <stp>Close</stp>
        <stp>D</stp>
        <stp>0</stp>
        <stp>all</stp>
        <stp/>
        <stp/>
        <stp/>
        <stp>T</stp>
        <tr r="O100" s="1"/>
      </tp>
      <tp t="s">
        <v/>
        <stp/>
        <stp>StudyData</stp>
        <stp>FPVol(FootprintOp (EP, 0),2714.75)</stp>
        <stp>Bar</stp>
        <stp/>
        <stp>Close</stp>
        <stp>D</stp>
        <stp>0</stp>
        <stp>all</stp>
        <stp/>
        <stp/>
        <stp/>
        <stp>T</stp>
        <tr r="O104" s="1"/>
      </tp>
      <tp t="s">
        <v/>
        <stp/>
        <stp>StudyData</stp>
        <stp>FPVol(FootprintOp (EP, 0),2709.75)</stp>
        <stp>Bar</stp>
        <stp/>
        <stp>Close</stp>
        <stp>D</stp>
        <stp>0</stp>
        <stp>all</stp>
        <stp/>
        <stp/>
        <stp/>
        <stp>T</stp>
        <tr r="O124" s="1"/>
      </tp>
      <tp t="s">
        <v/>
        <stp/>
        <stp>StudyData</stp>
        <stp>FPVol(FootprintOp (EP, 0),2708.75)</stp>
        <stp>Bar</stp>
        <stp/>
        <stp>Close</stp>
        <stp>D</stp>
        <stp>0</stp>
        <stp>all</stp>
        <stp/>
        <stp/>
        <stp/>
        <stp>T</stp>
        <tr r="O128" s="1"/>
      </tp>
      <tp t="s">
        <v/>
        <stp/>
        <stp>StudyData</stp>
        <stp>FPVol(FootprintOp (EP, 0),2703.75)</stp>
        <stp>Bar</stp>
        <stp/>
        <stp>Close</stp>
        <stp>D</stp>
        <stp>0</stp>
        <stp>all</stp>
        <stp/>
        <stp/>
        <stp/>
        <stp>T</stp>
        <tr r="O148" s="1"/>
      </tp>
      <tp t="s">
        <v/>
        <stp/>
        <stp>StudyData</stp>
        <stp>FPVol(FootprintOp (EP, 0),2702.75)</stp>
        <stp>Bar</stp>
        <stp/>
        <stp>Close</stp>
        <stp>D</stp>
        <stp>0</stp>
        <stp>all</stp>
        <stp/>
        <stp/>
        <stp/>
        <stp>T</stp>
        <tr r="O152" s="1"/>
      </tp>
      <tp t="s">
        <v/>
        <stp/>
        <stp>StudyData</stp>
        <stp>FPVol(FootprintOp (EP, 0),2701.75)</stp>
        <stp>Bar</stp>
        <stp/>
        <stp>Close</stp>
        <stp>D</stp>
        <stp>0</stp>
        <stp>all</stp>
        <stp/>
        <stp/>
        <stp/>
        <stp>T</stp>
        <tr r="O156" s="1"/>
      </tp>
      <tp t="s">
        <v/>
        <stp/>
        <stp>StudyData</stp>
        <stp>FPVol(FootprintOp (EP, 0),2700.75)</stp>
        <stp>Bar</stp>
        <stp/>
        <stp>Close</stp>
        <stp>D</stp>
        <stp>0</stp>
        <stp>all</stp>
        <stp/>
        <stp/>
        <stp/>
        <stp>T</stp>
        <tr r="O160" s="1"/>
      </tp>
      <tp t="s">
        <v/>
        <stp/>
        <stp>StudyData</stp>
        <stp>FPVol(FootprintOp (EP, 0),2707.75)</stp>
        <stp>Bar</stp>
        <stp/>
        <stp>Close</stp>
        <stp>D</stp>
        <stp>0</stp>
        <stp>all</stp>
        <stp/>
        <stp/>
        <stp/>
        <stp>T</stp>
        <tr r="O132" s="1"/>
      </tp>
      <tp t="s">
        <v/>
        <stp/>
        <stp>StudyData</stp>
        <stp>FPVol(FootprintOp (EP, 0),2706.75)</stp>
        <stp>Bar</stp>
        <stp/>
        <stp>Close</stp>
        <stp>D</stp>
        <stp>0</stp>
        <stp>all</stp>
        <stp/>
        <stp/>
        <stp/>
        <stp>T</stp>
        <tr r="O136" s="1"/>
      </tp>
      <tp t="s">
        <v/>
        <stp/>
        <stp>StudyData</stp>
        <stp>FPVol(FootprintOp (EP, 0),2705.75)</stp>
        <stp>Bar</stp>
        <stp/>
        <stp>Close</stp>
        <stp>D</stp>
        <stp>0</stp>
        <stp>all</stp>
        <stp/>
        <stp/>
        <stp/>
        <stp>T</stp>
        <tr r="O140" s="1"/>
      </tp>
      <tp t="s">
        <v/>
        <stp/>
        <stp>StudyData</stp>
        <stp>FPVol(FootprintOp (EP, 0),2704.75)</stp>
        <stp>Bar</stp>
        <stp/>
        <stp>Close</stp>
        <stp>D</stp>
        <stp>0</stp>
        <stp>all</stp>
        <stp/>
        <stp/>
        <stp/>
        <stp>T</stp>
        <tr r="O144" s="1"/>
      </tp>
      <tp>
        <v>0</v>
        <stp/>
        <stp>StudyData</stp>
        <stp>AlgOrdAskVol(SUBMINUTE((EP),5,Regular),1,0)</stp>
        <stp>Bar</stp>
        <stp/>
        <stp>Open</stp>
        <stp>5</stp>
        <stp>-6</stp>
        <stp/>
        <stp/>
        <stp/>
        <stp/>
        <stp>T</stp>
        <tr r="AB24" s="2"/>
        <tr r="AB24" s="2"/>
      </tp>
      <tp>
        <v>18</v>
        <stp/>
        <stp>StudyData</stp>
        <stp>AlgOrdAskVol(SUBMINUTE((EP),1,Regular),1,0)</stp>
        <stp>Bar</stp>
        <stp/>
        <stp>Open</stp>
        <stp>5</stp>
        <stp>-6</stp>
        <stp/>
        <stp/>
        <stp/>
        <stp/>
        <stp>T</stp>
        <tr r="W24" s="2"/>
        <tr r="W24" s="2"/>
      </tp>
      <tp>
        <v>30</v>
        <stp/>
        <stp>StudyData</stp>
        <stp>AlgOrdBidVol(SUBMINUTE((EP),1,Regular),1,0)</stp>
        <stp>Bar</stp>
        <stp/>
        <stp>Open</stp>
        <stp>5</stp>
        <stp>-6</stp>
        <stp/>
        <stp/>
        <stp/>
        <stp/>
        <stp>T</stp>
        <tr r="V24" s="2"/>
        <tr r="V24" s="2"/>
      </tp>
      <tp>
        <v>74</v>
        <stp/>
        <stp>StudyData</stp>
        <stp>AlgOrdBidVol(SUBMINUTE((EP),5,Regular),1,0)</stp>
        <stp>Bar</stp>
        <stp/>
        <stp>Open</stp>
        <stp>5</stp>
        <stp>-6</stp>
        <stp/>
        <stp/>
        <stp/>
        <stp/>
        <stp>T</stp>
        <tr r="AA24" s="2"/>
        <tr r="AA24" s="2"/>
      </tp>
      <tp t="s">
        <v/>
        <stp/>
        <stp>StudyData</stp>
        <stp>FPVol(FootprintOp (EP, 0),2679.75)</stp>
        <stp>Bar</stp>
        <stp/>
        <stp>Close</stp>
        <stp>D</stp>
        <stp>0</stp>
        <stp>all</stp>
        <stp/>
        <stp/>
        <stp/>
        <stp>T</stp>
        <tr r="O244" s="1"/>
      </tp>
      <tp t="s">
        <v/>
        <stp/>
        <stp>StudyData</stp>
        <stp>FPVol(FootprintOp (EP, 0),2678.75)</stp>
        <stp>Bar</stp>
        <stp/>
        <stp>Close</stp>
        <stp>D</stp>
        <stp>0</stp>
        <stp>all</stp>
        <stp/>
        <stp/>
        <stp/>
        <stp>T</stp>
        <tr r="O248" s="1"/>
      </tp>
      <tp t="s">
        <v/>
        <stp/>
        <stp>StudyData</stp>
        <stp>FPVol(FootprintOp (EP, 0),2673.75)</stp>
        <stp>Bar</stp>
        <stp/>
        <stp>Close</stp>
        <stp>D</stp>
        <stp>0</stp>
        <stp>all</stp>
        <stp/>
        <stp/>
        <stp/>
        <stp>T</stp>
        <tr r="O268" s="1"/>
      </tp>
      <tp t="s">
        <v/>
        <stp/>
        <stp>StudyData</stp>
        <stp>FPVol(FootprintOp (EP, 0),2672.75)</stp>
        <stp>Bar</stp>
        <stp/>
        <stp>Close</stp>
        <stp>D</stp>
        <stp>0</stp>
        <stp>all</stp>
        <stp/>
        <stp/>
        <stp/>
        <stp>T</stp>
        <tr r="O272" s="1"/>
      </tp>
      <tp t="s">
        <v/>
        <stp/>
        <stp>StudyData</stp>
        <stp>FPVol(FootprintOp (EP, 0),2671.75)</stp>
        <stp>Bar</stp>
        <stp/>
        <stp>Close</stp>
        <stp>D</stp>
        <stp>0</stp>
        <stp>all</stp>
        <stp/>
        <stp/>
        <stp/>
        <stp>T</stp>
        <tr r="O276" s="1"/>
      </tp>
      <tp t="s">
        <v/>
        <stp/>
        <stp>StudyData</stp>
        <stp>FPVol(FootprintOp (EP, 0),2670.75)</stp>
        <stp>Bar</stp>
        <stp/>
        <stp>Close</stp>
        <stp>D</stp>
        <stp>0</stp>
        <stp>all</stp>
        <stp/>
        <stp/>
        <stp/>
        <stp>T</stp>
        <tr r="O280" s="1"/>
      </tp>
      <tp t="s">
        <v/>
        <stp/>
        <stp>StudyData</stp>
        <stp>FPVol(FootprintOp (EP, 0),2677.75)</stp>
        <stp>Bar</stp>
        <stp/>
        <stp>Close</stp>
        <stp>D</stp>
        <stp>0</stp>
        <stp>all</stp>
        <stp/>
        <stp/>
        <stp/>
        <stp>T</stp>
        <tr r="O252" s="1"/>
      </tp>
      <tp t="s">
        <v/>
        <stp/>
        <stp>StudyData</stp>
        <stp>FPVol(FootprintOp (EP, 0),2676.75)</stp>
        <stp>Bar</stp>
        <stp/>
        <stp>Close</stp>
        <stp>D</stp>
        <stp>0</stp>
        <stp>all</stp>
        <stp/>
        <stp/>
        <stp/>
        <stp>T</stp>
        <tr r="O256" s="1"/>
      </tp>
      <tp t="s">
        <v/>
        <stp/>
        <stp>StudyData</stp>
        <stp>FPVol(FootprintOp (EP, 0),2675.75)</stp>
        <stp>Bar</stp>
        <stp/>
        <stp>Close</stp>
        <stp>D</stp>
        <stp>0</stp>
        <stp>all</stp>
        <stp/>
        <stp/>
        <stp/>
        <stp>T</stp>
        <tr r="O260" s="1"/>
      </tp>
      <tp t="s">
        <v/>
        <stp/>
        <stp>StudyData</stp>
        <stp>FPVol(FootprintOp (EP, 0),2674.75)</stp>
        <stp>Bar</stp>
        <stp/>
        <stp>Close</stp>
        <stp>D</stp>
        <stp>0</stp>
        <stp>all</stp>
        <stp/>
        <stp/>
        <stp/>
        <stp>T</stp>
        <tr r="O264" s="1"/>
      </tp>
      <tp t="s">
        <v/>
        <stp/>
        <stp>StudyData</stp>
        <stp>FPVol(FootprintOp (EP, 0),2669.75)</stp>
        <stp>Bar</stp>
        <stp/>
        <stp>Close</stp>
        <stp>D</stp>
        <stp>0</stp>
        <stp>all</stp>
        <stp/>
        <stp/>
        <stp/>
        <stp>T</stp>
        <tr r="O284" s="1"/>
      </tp>
      <tp t="s">
        <v/>
        <stp/>
        <stp>StudyData</stp>
        <stp>FPVol(FootprintOp (EP, 0),2668.75)</stp>
        <stp>Bar</stp>
        <stp/>
        <stp>Close</stp>
        <stp>D</stp>
        <stp>0</stp>
        <stp>all</stp>
        <stp/>
        <stp/>
        <stp/>
        <stp>T</stp>
        <tr r="O288" s="1"/>
      </tp>
      <tp t="s">
        <v/>
        <stp/>
        <stp>StudyData</stp>
        <stp>FPVol(FootprintOp (EP, 0),2663.75)</stp>
        <stp>Bar</stp>
        <stp/>
        <stp>Close</stp>
        <stp>D</stp>
        <stp>0</stp>
        <stp>all</stp>
        <stp/>
        <stp/>
        <stp/>
        <stp>T</stp>
        <tr r="O308" s="1"/>
      </tp>
      <tp t="s">
        <v/>
        <stp/>
        <stp>StudyData</stp>
        <stp>FPVol(FootprintOp (EP, 0),2662.75)</stp>
        <stp>Bar</stp>
        <stp/>
        <stp>Close</stp>
        <stp>D</stp>
        <stp>0</stp>
        <stp>all</stp>
        <stp/>
        <stp/>
        <stp/>
        <stp>T</stp>
        <tr r="O312" s="1"/>
      </tp>
      <tp t="s">
        <v/>
        <stp/>
        <stp>StudyData</stp>
        <stp>FPVol(FootprintOp (EP, 0),2661.75)</stp>
        <stp>Bar</stp>
        <stp/>
        <stp>Close</stp>
        <stp>D</stp>
        <stp>0</stp>
        <stp>all</stp>
        <stp/>
        <stp/>
        <stp/>
        <stp>T</stp>
        <tr r="O316" s="1"/>
      </tp>
      <tp t="s">
        <v/>
        <stp/>
        <stp>StudyData</stp>
        <stp>FPVol(FootprintOp (EP, 0),2660.75)</stp>
        <stp>Bar</stp>
        <stp/>
        <stp>Close</stp>
        <stp>D</stp>
        <stp>0</stp>
        <stp>all</stp>
        <stp/>
        <stp/>
        <stp/>
        <stp>T</stp>
        <tr r="O320" s="1"/>
      </tp>
      <tp t="s">
        <v/>
        <stp/>
        <stp>StudyData</stp>
        <stp>FPVol(FootprintOp (EP, 0),2667.75)</stp>
        <stp>Bar</stp>
        <stp/>
        <stp>Close</stp>
        <stp>D</stp>
        <stp>0</stp>
        <stp>all</stp>
        <stp/>
        <stp/>
        <stp/>
        <stp>T</stp>
        <tr r="O292" s="1"/>
      </tp>
      <tp t="s">
        <v/>
        <stp/>
        <stp>StudyData</stp>
        <stp>FPVol(FootprintOp (EP, 0),2666.75)</stp>
        <stp>Bar</stp>
        <stp/>
        <stp>Close</stp>
        <stp>D</stp>
        <stp>0</stp>
        <stp>all</stp>
        <stp/>
        <stp/>
        <stp/>
        <stp>T</stp>
        <tr r="O296" s="1"/>
      </tp>
      <tp t="s">
        <v/>
        <stp/>
        <stp>StudyData</stp>
        <stp>FPVol(FootprintOp (EP, 0),2665.75)</stp>
        <stp>Bar</stp>
        <stp/>
        <stp>Close</stp>
        <stp>D</stp>
        <stp>0</stp>
        <stp>all</stp>
        <stp/>
        <stp/>
        <stp/>
        <stp>T</stp>
        <tr r="O300" s="1"/>
      </tp>
      <tp t="s">
        <v/>
        <stp/>
        <stp>StudyData</stp>
        <stp>FPVol(FootprintOp (EP, 0),2664.75)</stp>
        <stp>Bar</stp>
        <stp/>
        <stp>Close</stp>
        <stp>D</stp>
        <stp>0</stp>
        <stp>all</stp>
        <stp/>
        <stp/>
        <stp/>
        <stp>T</stp>
        <tr r="O304" s="1"/>
      </tp>
      <tp t="s">
        <v/>
        <stp/>
        <stp>StudyData</stp>
        <stp>FPVol(FootprintOp (EP, 0),2659.75)</stp>
        <stp>Bar</stp>
        <stp/>
        <stp>Close</stp>
        <stp>D</stp>
        <stp>0</stp>
        <stp>all</stp>
        <stp/>
        <stp/>
        <stp/>
        <stp>T</stp>
        <tr r="O324" s="1"/>
      </tp>
      <tp t="s">
        <v/>
        <stp/>
        <stp>StudyData</stp>
        <stp>FPVol(FootprintOp (EP, 0),2658.75)</stp>
        <stp>Bar</stp>
        <stp/>
        <stp>Close</stp>
        <stp>D</stp>
        <stp>0</stp>
        <stp>all</stp>
        <stp/>
        <stp/>
        <stp/>
        <stp>T</stp>
        <tr r="O328" s="1"/>
      </tp>
      <tp t="s">
        <v/>
        <stp/>
        <stp>StudyData</stp>
        <stp>FPVol(FootprintOp (EP, 0),2653.75)</stp>
        <stp>Bar</stp>
        <stp/>
        <stp>Close</stp>
        <stp>D</stp>
        <stp>0</stp>
        <stp>all</stp>
        <stp/>
        <stp/>
        <stp/>
        <stp>T</stp>
        <tr r="O348" s="1"/>
      </tp>
      <tp t="s">
        <v/>
        <stp/>
        <stp>StudyData</stp>
        <stp>FPVol(FootprintOp (EP, 0),2652.75)</stp>
        <stp>Bar</stp>
        <stp/>
        <stp>Close</stp>
        <stp>D</stp>
        <stp>0</stp>
        <stp>all</stp>
        <stp/>
        <stp/>
        <stp/>
        <stp>T</stp>
        <tr r="O352" s="1"/>
      </tp>
      <tp t="s">
        <v/>
        <stp/>
        <stp>StudyData</stp>
        <stp>FPVol(FootprintOp (EP, 0),2651.75)</stp>
        <stp>Bar</stp>
        <stp/>
        <stp>Close</stp>
        <stp>D</stp>
        <stp>0</stp>
        <stp>all</stp>
        <stp/>
        <stp/>
        <stp/>
        <stp>T</stp>
        <tr r="O356" s="1"/>
      </tp>
      <tp t="s">
        <v/>
        <stp/>
        <stp>StudyData</stp>
        <stp>FPVol(FootprintOp (EP, 0),2650.75)</stp>
        <stp>Bar</stp>
        <stp/>
        <stp>Close</stp>
        <stp>D</stp>
        <stp>0</stp>
        <stp>all</stp>
        <stp/>
        <stp/>
        <stp/>
        <stp>T</stp>
        <tr r="O360" s="1"/>
      </tp>
      <tp t="s">
        <v/>
        <stp/>
        <stp>StudyData</stp>
        <stp>FPVol(FootprintOp (EP, 0),2657.75)</stp>
        <stp>Bar</stp>
        <stp/>
        <stp>Close</stp>
        <stp>D</stp>
        <stp>0</stp>
        <stp>all</stp>
        <stp/>
        <stp/>
        <stp/>
        <stp>T</stp>
        <tr r="O332" s="1"/>
      </tp>
      <tp t="s">
        <v/>
        <stp/>
        <stp>StudyData</stp>
        <stp>FPVol(FootprintOp (EP, 0),2656.75)</stp>
        <stp>Bar</stp>
        <stp/>
        <stp>Close</stp>
        <stp>D</stp>
        <stp>0</stp>
        <stp>all</stp>
        <stp/>
        <stp/>
        <stp/>
        <stp>T</stp>
        <tr r="O336" s="1"/>
      </tp>
      <tp t="s">
        <v/>
        <stp/>
        <stp>StudyData</stp>
        <stp>FPVol(FootprintOp (EP, 0),2655.75)</stp>
        <stp>Bar</stp>
        <stp/>
        <stp>Close</stp>
        <stp>D</stp>
        <stp>0</stp>
        <stp>all</stp>
        <stp/>
        <stp/>
        <stp/>
        <stp>T</stp>
        <tr r="O340" s="1"/>
      </tp>
      <tp t="s">
        <v/>
        <stp/>
        <stp>StudyData</stp>
        <stp>FPVol(FootprintOp (EP, 0),2654.75)</stp>
        <stp>Bar</stp>
        <stp/>
        <stp>Close</stp>
        <stp>D</stp>
        <stp>0</stp>
        <stp>all</stp>
        <stp/>
        <stp/>
        <stp/>
        <stp>T</stp>
        <tr r="O344" s="1"/>
      </tp>
      <tp t="s">
        <v/>
        <stp/>
        <stp>StudyData</stp>
        <stp>FPVol(FootprintOp (EP, 0),2649.75)</stp>
        <stp>Bar</stp>
        <stp/>
        <stp>Close</stp>
        <stp>D</stp>
        <stp>0</stp>
        <stp>all</stp>
        <stp/>
        <stp/>
        <stp/>
        <stp>T</stp>
        <tr r="O364" s="1"/>
      </tp>
      <tp t="s">
        <v/>
        <stp/>
        <stp>StudyData</stp>
        <stp>FPVol(FootprintOp (EP, 0),2648.75)</stp>
        <stp>Bar</stp>
        <stp/>
        <stp>Close</stp>
        <stp>D</stp>
        <stp>0</stp>
        <stp>all</stp>
        <stp/>
        <stp/>
        <stp/>
        <stp>T</stp>
        <tr r="O368" s="1"/>
      </tp>
      <tp t="s">
        <v/>
        <stp/>
        <stp>StudyData</stp>
        <stp>FPVol(FootprintOp (EP, 0),2643.75)</stp>
        <stp>Bar</stp>
        <stp/>
        <stp>Close</stp>
        <stp>D</stp>
        <stp>0</stp>
        <stp>all</stp>
        <stp/>
        <stp/>
        <stp/>
        <stp>T</stp>
        <tr r="O388" s="1"/>
      </tp>
      <tp t="s">
        <v/>
        <stp/>
        <stp>StudyData</stp>
        <stp>FPVol(FootprintOp (EP, 0),2642.75)</stp>
        <stp>Bar</stp>
        <stp/>
        <stp>Close</stp>
        <stp>D</stp>
        <stp>0</stp>
        <stp>all</stp>
        <stp/>
        <stp/>
        <stp/>
        <stp>T</stp>
        <tr r="O392" s="1"/>
      </tp>
      <tp t="s">
        <v/>
        <stp/>
        <stp>StudyData</stp>
        <stp>FPVol(FootprintOp (EP, 0),2641.75)</stp>
        <stp>Bar</stp>
        <stp/>
        <stp>Close</stp>
        <stp>D</stp>
        <stp>0</stp>
        <stp>all</stp>
        <stp/>
        <stp/>
        <stp/>
        <stp>T</stp>
        <tr r="O396" s="1"/>
      </tp>
      <tp t="s">
        <v/>
        <stp/>
        <stp>StudyData</stp>
        <stp>FPVol(FootprintOp (EP, 0),2640.75)</stp>
        <stp>Bar</stp>
        <stp/>
        <stp>Close</stp>
        <stp>D</stp>
        <stp>0</stp>
        <stp>all</stp>
        <stp/>
        <stp/>
        <stp/>
        <stp>T</stp>
        <tr r="O400" s="1"/>
      </tp>
      <tp t="s">
        <v/>
        <stp/>
        <stp>StudyData</stp>
        <stp>FPVol(FootprintOp (EP, 0),2647.75)</stp>
        <stp>Bar</stp>
        <stp/>
        <stp>Close</stp>
        <stp>D</stp>
        <stp>0</stp>
        <stp>all</stp>
        <stp/>
        <stp/>
        <stp/>
        <stp>T</stp>
        <tr r="O372" s="1"/>
      </tp>
      <tp t="s">
        <v/>
        <stp/>
        <stp>StudyData</stp>
        <stp>FPVol(FootprintOp (EP, 0),2646.75)</stp>
        <stp>Bar</stp>
        <stp/>
        <stp>Close</stp>
        <stp>D</stp>
        <stp>0</stp>
        <stp>all</stp>
        <stp/>
        <stp/>
        <stp/>
        <stp>T</stp>
        <tr r="O376" s="1"/>
      </tp>
      <tp t="s">
        <v/>
        <stp/>
        <stp>StudyData</stp>
        <stp>FPVol(FootprintOp (EP, 0),2645.75)</stp>
        <stp>Bar</stp>
        <stp/>
        <stp>Close</stp>
        <stp>D</stp>
        <stp>0</stp>
        <stp>all</stp>
        <stp/>
        <stp/>
        <stp/>
        <stp>T</stp>
        <tr r="O380" s="1"/>
      </tp>
      <tp t="s">
        <v/>
        <stp/>
        <stp>StudyData</stp>
        <stp>FPVol(FootprintOp (EP, 0),2644.75)</stp>
        <stp>Bar</stp>
        <stp/>
        <stp>Close</stp>
        <stp>D</stp>
        <stp>0</stp>
        <stp>all</stp>
        <stp/>
        <stp/>
        <stp/>
        <stp>T</stp>
        <tr r="O384" s="1"/>
      </tp>
      <tp t="s">
        <v/>
        <stp/>
        <stp>StudyData</stp>
        <stp>FPVol(FootprintOp (EP, 0),2639.75)</stp>
        <stp>Bar</stp>
        <stp/>
        <stp>Close</stp>
        <stp>D</stp>
        <stp>0</stp>
        <stp>all</stp>
        <stp/>
        <stp/>
        <stp/>
        <stp>T</stp>
        <tr r="O404" s="1"/>
      </tp>
      <tp t="s">
        <v/>
        <stp/>
        <stp>StudyData</stp>
        <stp>FPVol(FootprintOp (EP, 0),2638.75)</stp>
        <stp>Bar</stp>
        <stp/>
        <stp>Close</stp>
        <stp>D</stp>
        <stp>0</stp>
        <stp>all</stp>
        <stp/>
        <stp/>
        <stp/>
        <stp>T</stp>
        <tr r="O408" s="1"/>
      </tp>
      <tp t="s">
        <v/>
        <stp/>
        <stp>StudyData</stp>
        <stp>FPVol(FootprintOp (EP, 0),2637.75)</stp>
        <stp>Bar</stp>
        <stp/>
        <stp>Close</stp>
        <stp>D</stp>
        <stp>0</stp>
        <stp>all</stp>
        <stp/>
        <stp/>
        <stp/>
        <stp>T</stp>
        <tr r="O412" s="1"/>
      </tp>
      <tp t="s">
        <v/>
        <stp/>
        <stp>StudyData</stp>
        <stp>FPVol(FootprintOp (EP, 0),2699.75)</stp>
        <stp>Bar</stp>
        <stp/>
        <stp>Close</stp>
        <stp>D</stp>
        <stp>0</stp>
        <stp>all</stp>
        <stp/>
        <stp/>
        <stp/>
        <stp>T</stp>
        <tr r="O164" s="1"/>
      </tp>
      <tp t="s">
        <v/>
        <stp/>
        <stp>StudyData</stp>
        <stp>FPVol(FootprintOp (EP, 0),2698.75)</stp>
        <stp>Bar</stp>
        <stp/>
        <stp>Close</stp>
        <stp>D</stp>
        <stp>0</stp>
        <stp>all</stp>
        <stp/>
        <stp/>
        <stp/>
        <stp>T</stp>
        <tr r="O168" s="1"/>
      </tp>
      <tp t="s">
        <v/>
        <stp/>
        <stp>StudyData</stp>
        <stp>FPVol(FootprintOp (EP, 0),2693.75)</stp>
        <stp>Bar</stp>
        <stp/>
        <stp>Close</stp>
        <stp>D</stp>
        <stp>0</stp>
        <stp>all</stp>
        <stp/>
        <stp/>
        <stp/>
        <stp>T</stp>
        <tr r="O188" s="1"/>
      </tp>
      <tp t="s">
        <v/>
        <stp/>
        <stp>StudyData</stp>
        <stp>FPVol(FootprintOp (EP, 0),2692.75)</stp>
        <stp>Bar</stp>
        <stp/>
        <stp>Close</stp>
        <stp>D</stp>
        <stp>0</stp>
        <stp>all</stp>
        <stp/>
        <stp/>
        <stp/>
        <stp>T</stp>
        <tr r="O192" s="1"/>
      </tp>
      <tp t="s">
        <v/>
        <stp/>
        <stp>StudyData</stp>
        <stp>FPVol(FootprintOp (EP, 0),2691.75)</stp>
        <stp>Bar</stp>
        <stp/>
        <stp>Close</stp>
        <stp>D</stp>
        <stp>0</stp>
        <stp>all</stp>
        <stp/>
        <stp/>
        <stp/>
        <stp>T</stp>
        <tr r="O196" s="1"/>
      </tp>
      <tp t="s">
        <v/>
        <stp/>
        <stp>StudyData</stp>
        <stp>FPVol(FootprintOp (EP, 0),2690.75)</stp>
        <stp>Bar</stp>
        <stp/>
        <stp>Close</stp>
        <stp>D</stp>
        <stp>0</stp>
        <stp>all</stp>
        <stp/>
        <stp/>
        <stp/>
        <stp>T</stp>
        <tr r="O200" s="1"/>
      </tp>
      <tp t="s">
        <v/>
        <stp/>
        <stp>StudyData</stp>
        <stp>FPVol(FootprintOp (EP, 0),2697.75)</stp>
        <stp>Bar</stp>
        <stp/>
        <stp>Close</stp>
        <stp>D</stp>
        <stp>0</stp>
        <stp>all</stp>
        <stp/>
        <stp/>
        <stp/>
        <stp>T</stp>
        <tr r="O172" s="1"/>
      </tp>
      <tp t="s">
        <v/>
        <stp/>
        <stp>StudyData</stp>
        <stp>FPVol(FootprintOp (EP, 0),2696.75)</stp>
        <stp>Bar</stp>
        <stp/>
        <stp>Close</stp>
        <stp>D</stp>
        <stp>0</stp>
        <stp>all</stp>
        <stp/>
        <stp/>
        <stp/>
        <stp>T</stp>
        <tr r="O176" s="1"/>
      </tp>
      <tp t="s">
        <v/>
        <stp/>
        <stp>StudyData</stp>
        <stp>FPVol(FootprintOp (EP, 0),2695.75)</stp>
        <stp>Bar</stp>
        <stp/>
        <stp>Close</stp>
        <stp>D</stp>
        <stp>0</stp>
        <stp>all</stp>
        <stp/>
        <stp/>
        <stp/>
        <stp>T</stp>
        <tr r="O180" s="1"/>
      </tp>
      <tp t="s">
        <v/>
        <stp/>
        <stp>StudyData</stp>
        <stp>FPVol(FootprintOp (EP, 0),2694.75)</stp>
        <stp>Bar</stp>
        <stp/>
        <stp>Close</stp>
        <stp>D</stp>
        <stp>0</stp>
        <stp>all</stp>
        <stp/>
        <stp/>
        <stp/>
        <stp>T</stp>
        <tr r="O184" s="1"/>
      </tp>
      <tp t="s">
        <v/>
        <stp/>
        <stp>StudyData</stp>
        <stp>FPVol(FootprintOp (EP, 0),2689.75)</stp>
        <stp>Bar</stp>
        <stp/>
        <stp>Close</stp>
        <stp>D</stp>
        <stp>0</stp>
        <stp>all</stp>
        <stp/>
        <stp/>
        <stp/>
        <stp>T</stp>
        <tr r="O204" s="1"/>
      </tp>
      <tp t="s">
        <v/>
        <stp/>
        <stp>StudyData</stp>
        <stp>FPVol(FootprintOp (EP, 0),2688.75)</stp>
        <stp>Bar</stp>
        <stp/>
        <stp>Close</stp>
        <stp>D</stp>
        <stp>0</stp>
        <stp>all</stp>
        <stp/>
        <stp/>
        <stp/>
        <stp>T</stp>
        <tr r="O208" s="1"/>
      </tp>
      <tp t="s">
        <v/>
        <stp/>
        <stp>StudyData</stp>
        <stp>FPVol(FootprintOp (EP, 0),2683.75)</stp>
        <stp>Bar</stp>
        <stp/>
        <stp>Close</stp>
        <stp>D</stp>
        <stp>0</stp>
        <stp>all</stp>
        <stp/>
        <stp/>
        <stp/>
        <stp>T</stp>
        <tr r="O228" s="1"/>
      </tp>
      <tp t="s">
        <v/>
        <stp/>
        <stp>StudyData</stp>
        <stp>FPVol(FootprintOp (EP, 0),2682.75)</stp>
        <stp>Bar</stp>
        <stp/>
        <stp>Close</stp>
        <stp>D</stp>
        <stp>0</stp>
        <stp>all</stp>
        <stp/>
        <stp/>
        <stp/>
        <stp>T</stp>
        <tr r="O232" s="1"/>
      </tp>
      <tp t="s">
        <v/>
        <stp/>
        <stp>StudyData</stp>
        <stp>FPVol(FootprintOp (EP, 0),2681.75)</stp>
        <stp>Bar</stp>
        <stp/>
        <stp>Close</stp>
        <stp>D</stp>
        <stp>0</stp>
        <stp>all</stp>
        <stp/>
        <stp/>
        <stp/>
        <stp>T</stp>
        <tr r="O236" s="1"/>
      </tp>
      <tp t="s">
        <v/>
        <stp/>
        <stp>StudyData</stp>
        <stp>FPVol(FootprintOp (EP, 0),2680.75)</stp>
        <stp>Bar</stp>
        <stp/>
        <stp>Close</stp>
        <stp>D</stp>
        <stp>0</stp>
        <stp>all</stp>
        <stp/>
        <stp/>
        <stp/>
        <stp>T</stp>
        <tr r="O240" s="1"/>
      </tp>
      <tp t="s">
        <v/>
        <stp/>
        <stp>StudyData</stp>
        <stp>FPVol(FootprintOp (EP, 0),2687.75)</stp>
        <stp>Bar</stp>
        <stp/>
        <stp>Close</stp>
        <stp>D</stp>
        <stp>0</stp>
        <stp>all</stp>
        <stp/>
        <stp/>
        <stp/>
        <stp>T</stp>
        <tr r="O212" s="1"/>
      </tp>
      <tp t="s">
        <v/>
        <stp/>
        <stp>StudyData</stp>
        <stp>FPVol(FootprintOp (EP, 0),2686.75)</stp>
        <stp>Bar</stp>
        <stp/>
        <stp>Close</stp>
        <stp>D</stp>
        <stp>0</stp>
        <stp>all</stp>
        <stp/>
        <stp/>
        <stp/>
        <stp>T</stp>
        <tr r="O216" s="1"/>
      </tp>
      <tp t="s">
        <v/>
        <stp/>
        <stp>StudyData</stp>
        <stp>FPVol(FootprintOp (EP, 0),2685.75)</stp>
        <stp>Bar</stp>
        <stp/>
        <stp>Close</stp>
        <stp>D</stp>
        <stp>0</stp>
        <stp>all</stp>
        <stp/>
        <stp/>
        <stp/>
        <stp>T</stp>
        <tr r="O220" s="1"/>
      </tp>
      <tp t="s">
        <v/>
        <stp/>
        <stp>StudyData</stp>
        <stp>FPVol(FootprintOp (EP, 0),2684.75)</stp>
        <stp>Bar</stp>
        <stp/>
        <stp>Close</stp>
        <stp>D</stp>
        <stp>0</stp>
        <stp>all</stp>
        <stp/>
        <stp/>
        <stp/>
        <stp>T</stp>
        <tr r="O224" s="1"/>
      </tp>
      <tp>
        <v>0</v>
        <stp/>
        <stp>StudyData</stp>
        <stp>AlgOrdAskVol(SUBMINUTE((EP),5,Regular),1,0)</stp>
        <stp>Bar</stp>
        <stp/>
        <stp>Open</stp>
        <stp>5</stp>
        <stp>-7</stp>
        <stp/>
        <stp/>
        <stp/>
        <stp/>
        <stp>T</stp>
        <tr r="AB27" s="2"/>
        <tr r="AB27" s="2"/>
      </tp>
      <tp>
        <v>0</v>
        <stp/>
        <stp>StudyData</stp>
        <stp>AlgOrdAskVol(SUBMINUTE((EP),1,Regular),1,0)</stp>
        <stp>Bar</stp>
        <stp/>
        <stp>Open</stp>
        <stp>5</stp>
        <stp>-7</stp>
        <stp/>
        <stp/>
        <stp/>
        <stp/>
        <stp>T</stp>
        <tr r="W27" s="2"/>
        <tr r="W27" s="2"/>
      </tp>
      <tp>
        <v>0</v>
        <stp/>
        <stp>StudyData</stp>
        <stp>AlgOrdBidVol(SUBMINUTE((EP),1,Regular),1,0)</stp>
        <stp>Bar</stp>
        <stp/>
        <stp>Open</stp>
        <stp>5</stp>
        <stp>-7</stp>
        <stp/>
        <stp/>
        <stp/>
        <stp/>
        <stp>T</stp>
        <tr r="V27" s="2"/>
        <tr r="V27" s="2"/>
      </tp>
      <tp>
        <v>265</v>
        <stp/>
        <stp>StudyData</stp>
        <stp>AlgOrdBidVol(SUBMINUTE((EP),5,Regular),1,0)</stp>
        <stp>Bar</stp>
        <stp/>
        <stp>Open</stp>
        <stp>5</stp>
        <stp>-7</stp>
        <stp/>
        <stp/>
        <stp/>
        <stp/>
        <stp>T</stp>
        <tr r="AA27" s="2"/>
        <tr r="AA27" s="2"/>
      </tp>
      <tp>
        <v>0</v>
        <stp/>
        <stp>StudyData</stp>
        <stp>AlgOrdAskVol(SUBMINUTE((EP),1,Regular),1,0)</stp>
        <stp>Bar</stp>
        <stp/>
        <stp>Open</stp>
        <stp>5</stp>
        <stp>0</stp>
        <stp/>
        <stp/>
        <stp/>
        <stp/>
        <stp>T</stp>
        <tr r="W6" s="2"/>
        <tr r="W6" s="2"/>
      </tp>
      <tp>
        <v>22429</v>
        <stp/>
        <stp>StudyData</stp>
        <stp>FPVol(FootprintOp (EP, 0),2729.50)</stp>
        <stp>Bar</stp>
        <stp/>
        <stp>Close</stp>
        <stp>D</stp>
        <stp>0</stp>
        <stp>all</stp>
        <stp/>
        <stp/>
        <stp/>
        <stp>T</stp>
        <tr r="O45" s="1"/>
      </tp>
      <tp>
        <v>22730</v>
        <stp/>
        <stp>StudyData</stp>
        <stp>FPVol(FootprintOp (EP, 0),2728.50)</stp>
        <stp>Bar</stp>
        <stp/>
        <stp>Close</stp>
        <stp>D</stp>
        <stp>0</stp>
        <stp>all</stp>
        <stp/>
        <stp/>
        <stp/>
        <stp>T</stp>
        <tr r="O49" s="1"/>
      </tp>
      <tp>
        <v>6737</v>
        <stp/>
        <stp>StudyData</stp>
        <stp>FPVol(FootprintOp (EP, 0),2723.50)</stp>
        <stp>Bar</stp>
        <stp/>
        <stp>Close</stp>
        <stp>D</stp>
        <stp>0</stp>
        <stp>all</stp>
        <stp/>
        <stp/>
        <stp/>
        <stp>T</stp>
        <tr r="O69" s="1"/>
      </tp>
      <tp>
        <v>4540</v>
        <stp/>
        <stp>StudyData</stp>
        <stp>FPVol(FootprintOp (EP, 0),2722.50)</stp>
        <stp>Bar</stp>
        <stp/>
        <stp>Close</stp>
        <stp>D</stp>
        <stp>0</stp>
        <stp>all</stp>
        <stp/>
        <stp/>
        <stp/>
        <stp>T</stp>
        <tr r="O73" s="1"/>
      </tp>
      <tp>
        <v>1476</v>
        <stp/>
        <stp>StudyData</stp>
        <stp>FPVol(FootprintOp (EP, 0),2721.50)</stp>
        <stp>Bar</stp>
        <stp/>
        <stp>Close</stp>
        <stp>D</stp>
        <stp>0</stp>
        <stp>all</stp>
        <stp/>
        <stp/>
        <stp/>
        <stp>T</stp>
        <tr r="O77" s="1"/>
      </tp>
      <tp>
        <v>998</v>
        <stp/>
        <stp>StudyData</stp>
        <stp>FPVol(FootprintOp (EP, 0),2720.50)</stp>
        <stp>Bar</stp>
        <stp/>
        <stp>Close</stp>
        <stp>D</stp>
        <stp>0</stp>
        <stp>all</stp>
        <stp/>
        <stp/>
        <stp/>
        <stp>T</stp>
        <tr r="O81" s="1"/>
      </tp>
      <tp>
        <v>14831</v>
        <stp/>
        <stp>StudyData</stp>
        <stp>FPVol(FootprintOp (EP, 0),2727.50)</stp>
        <stp>Bar</stp>
        <stp/>
        <stp>Close</stp>
        <stp>D</stp>
        <stp>0</stp>
        <stp>all</stp>
        <stp/>
        <stp/>
        <stp/>
        <stp>T</stp>
        <tr r="O53" s="1"/>
      </tp>
      <tp>
        <v>18121</v>
        <stp/>
        <stp>StudyData</stp>
        <stp>FPVol(FootprintOp (EP, 0),2726.50)</stp>
        <stp>Bar</stp>
        <stp/>
        <stp>Close</stp>
        <stp>D</stp>
        <stp>0</stp>
        <stp>all</stp>
        <stp/>
        <stp/>
        <stp/>
        <stp>T</stp>
        <tr r="O57" s="1"/>
      </tp>
      <tp>
        <v>13215</v>
        <stp/>
        <stp>StudyData</stp>
        <stp>FPVol(FootprintOp (EP, 0),2725.50)</stp>
        <stp>Bar</stp>
        <stp/>
        <stp>Close</stp>
        <stp>D</stp>
        <stp>0</stp>
        <stp>all</stp>
        <stp/>
        <stp/>
        <stp/>
        <stp>T</stp>
        <tr r="O61" s="1"/>
      </tp>
      <tp>
        <v>12268</v>
        <stp/>
        <stp>StudyData</stp>
        <stp>FPVol(FootprintOp (EP, 0),2724.50)</stp>
        <stp>Bar</stp>
        <stp/>
        <stp>Close</stp>
        <stp>D</stp>
        <stp>0</stp>
        <stp>all</stp>
        <stp/>
        <stp/>
        <stp/>
        <stp>T</stp>
        <tr r="O65" s="1"/>
      </tp>
      <tp>
        <v>7646</v>
        <stp/>
        <stp>StudyData</stp>
        <stp>FPVol(FootprintOp (EP, 0),2739.50)</stp>
        <stp>Bar</stp>
        <stp/>
        <stp>Close</stp>
        <stp>D</stp>
        <stp>0</stp>
        <stp>all</stp>
        <stp/>
        <stp/>
        <stp/>
        <stp>T</stp>
        <tr r="O5" s="1"/>
      </tp>
      <tp>
        <v>14654</v>
        <stp/>
        <stp>StudyData</stp>
        <stp>FPVol(FootprintOp (EP, 0),2738.50)</stp>
        <stp>Bar</stp>
        <stp/>
        <stp>Close</stp>
        <stp>D</stp>
        <stp>0</stp>
        <stp>all</stp>
        <stp/>
        <stp/>
        <stp/>
        <stp>T</stp>
        <tr r="O9" s="1"/>
      </tp>
      <tp>
        <v>21025</v>
        <stp/>
        <stp>StudyData</stp>
        <stp>FPVol(FootprintOp (EP, 0),2733.50)</stp>
        <stp>Bar</stp>
        <stp/>
        <stp>Close</stp>
        <stp>D</stp>
        <stp>0</stp>
        <stp>all</stp>
        <stp/>
        <stp/>
        <stp/>
        <stp>T</stp>
        <tr r="O29" s="1"/>
      </tp>
      <tp>
        <v>17141</v>
        <stp/>
        <stp>StudyData</stp>
        <stp>FPVol(FootprintOp (EP, 0),2732.50)</stp>
        <stp>Bar</stp>
        <stp/>
        <stp>Close</stp>
        <stp>D</stp>
        <stp>0</stp>
        <stp>all</stp>
        <stp/>
        <stp/>
        <stp/>
        <stp>T</stp>
        <tr r="O33" s="1"/>
      </tp>
      <tp>
        <v>18603</v>
        <stp/>
        <stp>StudyData</stp>
        <stp>FPVol(FootprintOp (EP, 0),2731.50)</stp>
        <stp>Bar</stp>
        <stp/>
        <stp>Close</stp>
        <stp>D</stp>
        <stp>0</stp>
        <stp>all</stp>
        <stp/>
        <stp/>
        <stp/>
        <stp>T</stp>
        <tr r="O37" s="1"/>
      </tp>
      <tp>
        <v>21303</v>
        <stp/>
        <stp>StudyData</stp>
        <stp>FPVol(FootprintOp (EP, 0),2730.50)</stp>
        <stp>Bar</stp>
        <stp/>
        <stp>Close</stp>
        <stp>D</stp>
        <stp>0</stp>
        <stp>all</stp>
        <stp/>
        <stp/>
        <stp/>
        <stp>T</stp>
        <tr r="O41" s="1"/>
      </tp>
      <tp>
        <v>7376</v>
        <stp/>
        <stp>StudyData</stp>
        <stp>FPVol(FootprintOp (EP, 0),2737.50)</stp>
        <stp>Bar</stp>
        <stp/>
        <stp>Close</stp>
        <stp>D</stp>
        <stp>0</stp>
        <stp>all</stp>
        <stp/>
        <stp/>
        <stp/>
        <stp>T</stp>
        <tr r="O13" s="1"/>
      </tp>
      <tp>
        <v>14311</v>
        <stp/>
        <stp>StudyData</stp>
        <stp>FPVol(FootprintOp (EP, 0),2736.50)</stp>
        <stp>Bar</stp>
        <stp/>
        <stp>Close</stp>
        <stp>D</stp>
        <stp>0</stp>
        <stp>all</stp>
        <stp/>
        <stp/>
        <stp/>
        <stp>T</stp>
        <tr r="O17" s="1"/>
      </tp>
      <tp>
        <v>10761</v>
        <stp/>
        <stp>StudyData</stp>
        <stp>FPVol(FootprintOp (EP, 0),2735.50)</stp>
        <stp>Bar</stp>
        <stp/>
        <stp>Close</stp>
        <stp>D</stp>
        <stp>0</stp>
        <stp>all</stp>
        <stp/>
        <stp/>
        <stp/>
        <stp>T</stp>
        <tr r="O21" s="1"/>
      </tp>
      <tp>
        <v>21124</v>
        <stp/>
        <stp>StudyData</stp>
        <stp>FPVol(FootprintOp (EP, 0),2734.50)</stp>
        <stp>Bar</stp>
        <stp/>
        <stp>Close</stp>
        <stp>D</stp>
        <stp>0</stp>
        <stp>all</stp>
        <stp/>
        <stp/>
        <stp/>
        <stp>T</stp>
        <tr r="O25" s="1"/>
      </tp>
      <tp t="s">
        <v/>
        <stp/>
        <stp>StudyData</stp>
        <stp>FPVol(FootprintOp (EP, 0),2709.50)</stp>
        <stp>Bar</stp>
        <stp/>
        <stp>Close</stp>
        <stp>D</stp>
        <stp>0</stp>
        <stp>all</stp>
        <stp/>
        <stp/>
        <stp/>
        <stp>T</stp>
        <tr r="O125" s="1"/>
      </tp>
      <tp t="s">
        <v/>
        <stp/>
        <stp>StudyData</stp>
        <stp>FPVol(FootprintOp (EP, 0),2708.50)</stp>
        <stp>Bar</stp>
        <stp/>
        <stp>Close</stp>
        <stp>D</stp>
        <stp>0</stp>
        <stp>all</stp>
        <stp/>
        <stp/>
        <stp/>
        <stp>T</stp>
        <tr r="O129" s="1"/>
      </tp>
      <tp t="s">
        <v/>
        <stp/>
        <stp>StudyData</stp>
        <stp>FPVol(FootprintOp (EP, 0),2703.50)</stp>
        <stp>Bar</stp>
        <stp/>
        <stp>Close</stp>
        <stp>D</stp>
        <stp>0</stp>
        <stp>all</stp>
        <stp/>
        <stp/>
        <stp/>
        <stp>T</stp>
        <tr r="O149" s="1"/>
      </tp>
      <tp t="s">
        <v/>
        <stp/>
        <stp>StudyData</stp>
        <stp>FPVol(FootprintOp (EP, 0),2702.50)</stp>
        <stp>Bar</stp>
        <stp/>
        <stp>Close</stp>
        <stp>D</stp>
        <stp>0</stp>
        <stp>all</stp>
        <stp/>
        <stp/>
        <stp/>
        <stp>T</stp>
        <tr r="O153" s="1"/>
      </tp>
      <tp t="s">
        <v/>
        <stp/>
        <stp>StudyData</stp>
        <stp>FPVol(FootprintOp (EP, 0),2701.50)</stp>
        <stp>Bar</stp>
        <stp/>
        <stp>Close</stp>
        <stp>D</stp>
        <stp>0</stp>
        <stp>all</stp>
        <stp/>
        <stp/>
        <stp/>
        <stp>T</stp>
        <tr r="O157" s="1"/>
      </tp>
      <tp t="s">
        <v/>
        <stp/>
        <stp>StudyData</stp>
        <stp>FPVol(FootprintOp (EP, 0),2700.50)</stp>
        <stp>Bar</stp>
        <stp/>
        <stp>Close</stp>
        <stp>D</stp>
        <stp>0</stp>
        <stp>all</stp>
        <stp/>
        <stp/>
        <stp/>
        <stp>T</stp>
        <tr r="O161" s="1"/>
      </tp>
      <tp t="s">
        <v/>
        <stp/>
        <stp>StudyData</stp>
        <stp>FPVol(FootprintOp (EP, 0),2707.50)</stp>
        <stp>Bar</stp>
        <stp/>
        <stp>Close</stp>
        <stp>D</stp>
        <stp>0</stp>
        <stp>all</stp>
        <stp/>
        <stp/>
        <stp/>
        <stp>T</stp>
        <tr r="O133" s="1"/>
      </tp>
      <tp t="s">
        <v/>
        <stp/>
        <stp>StudyData</stp>
        <stp>FPVol(FootprintOp (EP, 0),2706.50)</stp>
        <stp>Bar</stp>
        <stp/>
        <stp>Close</stp>
        <stp>D</stp>
        <stp>0</stp>
        <stp>all</stp>
        <stp/>
        <stp/>
        <stp/>
        <stp>T</stp>
        <tr r="O137" s="1"/>
      </tp>
      <tp t="s">
        <v/>
        <stp/>
        <stp>StudyData</stp>
        <stp>FPVol(FootprintOp (EP, 0),2705.50)</stp>
        <stp>Bar</stp>
        <stp/>
        <stp>Close</stp>
        <stp>D</stp>
        <stp>0</stp>
        <stp>all</stp>
        <stp/>
        <stp/>
        <stp/>
        <stp>T</stp>
        <tr r="O141" s="1"/>
      </tp>
      <tp t="s">
        <v/>
        <stp/>
        <stp>StudyData</stp>
        <stp>FPVol(FootprintOp (EP, 0),2704.50)</stp>
        <stp>Bar</stp>
        <stp/>
        <stp>Close</stp>
        <stp>D</stp>
        <stp>0</stp>
        <stp>all</stp>
        <stp/>
        <stp/>
        <stp/>
        <stp>T</stp>
        <tr r="O145" s="1"/>
      </tp>
      <tp t="s">
        <v/>
        <stp/>
        <stp>StudyData</stp>
        <stp>FPVol(FootprintOp (EP, 0),2719.50)</stp>
        <stp>Bar</stp>
        <stp/>
        <stp>Close</stp>
        <stp>D</stp>
        <stp>0</stp>
        <stp>all</stp>
        <stp/>
        <stp/>
        <stp/>
        <stp>T</stp>
        <tr r="O85" s="1"/>
      </tp>
      <tp t="s">
        <v/>
        <stp/>
        <stp>StudyData</stp>
        <stp>FPVol(FootprintOp (EP, 0),2718.50)</stp>
        <stp>Bar</stp>
        <stp/>
        <stp>Close</stp>
        <stp>D</stp>
        <stp>0</stp>
        <stp>all</stp>
        <stp/>
        <stp/>
        <stp/>
        <stp>T</stp>
        <tr r="O89" s="1"/>
      </tp>
      <tp t="s">
        <v/>
        <stp/>
        <stp>StudyData</stp>
        <stp>FPVol(FootprintOp (EP, 0),2713.50)</stp>
        <stp>Bar</stp>
        <stp/>
        <stp>Close</stp>
        <stp>D</stp>
        <stp>0</stp>
        <stp>all</stp>
        <stp/>
        <stp/>
        <stp/>
        <stp>T</stp>
        <tr r="O109" s="1"/>
      </tp>
      <tp t="s">
        <v/>
        <stp/>
        <stp>StudyData</stp>
        <stp>FPVol(FootprintOp (EP, 0),2712.50)</stp>
        <stp>Bar</stp>
        <stp/>
        <stp>Close</stp>
        <stp>D</stp>
        <stp>0</stp>
        <stp>all</stp>
        <stp/>
        <stp/>
        <stp/>
        <stp>T</stp>
        <tr r="O113" s="1"/>
      </tp>
      <tp t="s">
        <v/>
        <stp/>
        <stp>StudyData</stp>
        <stp>FPVol(FootprintOp (EP, 0),2711.50)</stp>
        <stp>Bar</stp>
        <stp/>
        <stp>Close</stp>
        <stp>D</stp>
        <stp>0</stp>
        <stp>all</stp>
        <stp/>
        <stp/>
        <stp/>
        <stp>T</stp>
        <tr r="O117" s="1"/>
      </tp>
      <tp t="s">
        <v/>
        <stp/>
        <stp>StudyData</stp>
        <stp>FPVol(FootprintOp (EP, 0),2710.50)</stp>
        <stp>Bar</stp>
        <stp/>
        <stp>Close</stp>
        <stp>D</stp>
        <stp>0</stp>
        <stp>all</stp>
        <stp/>
        <stp/>
        <stp/>
        <stp>T</stp>
        <tr r="O121" s="1"/>
      </tp>
      <tp t="s">
        <v/>
        <stp/>
        <stp>StudyData</stp>
        <stp>FPVol(FootprintOp (EP, 0),2717.50)</stp>
        <stp>Bar</stp>
        <stp/>
        <stp>Close</stp>
        <stp>D</stp>
        <stp>0</stp>
        <stp>all</stp>
        <stp/>
        <stp/>
        <stp/>
        <stp>T</stp>
        <tr r="O93" s="1"/>
      </tp>
      <tp t="s">
        <v/>
        <stp/>
        <stp>StudyData</stp>
        <stp>FPVol(FootprintOp (EP, 0),2716.50)</stp>
        <stp>Bar</stp>
        <stp/>
        <stp>Close</stp>
        <stp>D</stp>
        <stp>0</stp>
        <stp>all</stp>
        <stp/>
        <stp/>
        <stp/>
        <stp>T</stp>
        <tr r="O97" s="1"/>
      </tp>
      <tp t="s">
        <v/>
        <stp/>
        <stp>StudyData</stp>
        <stp>FPVol(FootprintOp (EP, 0),2715.50)</stp>
        <stp>Bar</stp>
        <stp/>
        <stp>Close</stp>
        <stp>D</stp>
        <stp>0</stp>
        <stp>all</stp>
        <stp/>
        <stp/>
        <stp/>
        <stp>T</stp>
        <tr r="O101" s="1"/>
      </tp>
      <tp t="s">
        <v/>
        <stp/>
        <stp>StudyData</stp>
        <stp>FPVol(FootprintOp (EP, 0),2714.50)</stp>
        <stp>Bar</stp>
        <stp/>
        <stp>Close</stp>
        <stp>D</stp>
        <stp>0</stp>
        <stp>all</stp>
        <stp/>
        <stp/>
        <stp/>
        <stp>T</stp>
        <tr r="O105" s="1"/>
      </tp>
      <tp>
        <v>207</v>
        <stp/>
        <stp>StudyData</stp>
        <stp>FPVol(FootprintOp (EP, 0),2740.50)</stp>
        <stp>Bar</stp>
        <stp/>
        <stp>Close</stp>
        <stp>D</stp>
        <stp>0</stp>
        <stp>all</stp>
        <stp/>
        <stp/>
        <stp/>
        <stp>T</stp>
        <tr r="O1" s="1"/>
      </tp>
      <tp>
        <v>187</v>
        <stp/>
        <stp>StudyData</stp>
        <stp>AlgOrdAskVol(SUBMINUTE((EP),5,Regular),1,0)</stp>
        <stp>Bar</stp>
        <stp/>
        <stp>Open</stp>
        <stp>5</stp>
        <stp>-4</stp>
        <stp/>
        <stp/>
        <stp/>
        <stp/>
        <stp>T</stp>
        <tr r="AB18" s="2"/>
        <tr r="AB18" s="2"/>
      </tp>
      <tp>
        <v>115</v>
        <stp/>
        <stp>StudyData</stp>
        <stp>AlgOrdAskVol(SUBMINUTE((EP),1,Regular),1,0)</stp>
        <stp>Bar</stp>
        <stp/>
        <stp>Open</stp>
        <stp>5</stp>
        <stp>-4</stp>
        <stp/>
        <stp/>
        <stp/>
        <stp/>
        <stp>T</stp>
        <tr r="W18" s="2"/>
        <tr r="W18" s="2"/>
      </tp>
      <tp>
        <v>0</v>
        <stp/>
        <stp>StudyData</stp>
        <stp>AlgOrdBidVol(SUBMINUTE((EP),1,Regular),1,0)</stp>
        <stp>Bar</stp>
        <stp/>
        <stp>Open</stp>
        <stp>5</stp>
        <stp>-4</stp>
        <stp/>
        <stp/>
        <stp/>
        <stp/>
        <stp>T</stp>
        <tr r="V18" s="2"/>
        <tr r="V18" s="2"/>
      </tp>
      <tp>
        <v>0</v>
        <stp/>
        <stp>StudyData</stp>
        <stp>AlgOrdBidVol(SUBMINUTE((EP),5,Regular),1,0)</stp>
        <stp>Bar</stp>
        <stp/>
        <stp>Open</stp>
        <stp>5</stp>
        <stp>-4</stp>
        <stp/>
        <stp/>
        <stp/>
        <stp/>
        <stp>T</stp>
        <tr r="AA18" s="2"/>
        <tr r="AA18" s="2"/>
      </tp>
      <tp>
        <v>16</v>
        <stp/>
        <stp>ContractData</stp>
        <stp>EP</stp>
        <stp>NetLastTradeToday</stp>
        <stp/>
        <stp/>
        <tr r="A14" s="2"/>
      </tp>
      <tp t="s">
        <v/>
        <stp/>
        <stp>StudyData</stp>
        <stp>FPVol(FootprintOp (EP, 0),2639.50)</stp>
        <stp>Bar</stp>
        <stp/>
        <stp>Close</stp>
        <stp>D</stp>
        <stp>0</stp>
        <stp>all</stp>
        <stp/>
        <stp/>
        <stp/>
        <stp>T</stp>
        <tr r="O405" s="1"/>
      </tp>
      <tp t="s">
        <v/>
        <stp/>
        <stp>StudyData</stp>
        <stp>FPVol(FootprintOp (EP, 0),2638.50)</stp>
        <stp>Bar</stp>
        <stp/>
        <stp>Close</stp>
        <stp>D</stp>
        <stp>0</stp>
        <stp>all</stp>
        <stp/>
        <stp/>
        <stp/>
        <stp>T</stp>
        <tr r="O409" s="1"/>
      </tp>
      <tp t="s">
        <v/>
        <stp/>
        <stp>StudyData</stp>
        <stp>FPVol(FootprintOp (EP, 0),2669.50)</stp>
        <stp>Bar</stp>
        <stp/>
        <stp>Close</stp>
        <stp>D</stp>
        <stp>0</stp>
        <stp>all</stp>
        <stp/>
        <stp/>
        <stp/>
        <stp>T</stp>
        <tr r="O285" s="1"/>
      </tp>
      <tp t="s">
        <v/>
        <stp/>
        <stp>StudyData</stp>
        <stp>FPVol(FootprintOp (EP, 0),2668.50)</stp>
        <stp>Bar</stp>
        <stp/>
        <stp>Close</stp>
        <stp>D</stp>
        <stp>0</stp>
        <stp>all</stp>
        <stp/>
        <stp/>
        <stp/>
        <stp>T</stp>
        <tr r="O289" s="1"/>
      </tp>
      <tp t="s">
        <v/>
        <stp/>
        <stp>StudyData</stp>
        <stp>FPVol(FootprintOp (EP, 0),2663.50)</stp>
        <stp>Bar</stp>
        <stp/>
        <stp>Close</stp>
        <stp>D</stp>
        <stp>0</stp>
        <stp>all</stp>
        <stp/>
        <stp/>
        <stp/>
        <stp>T</stp>
        <tr r="O309" s="1"/>
      </tp>
      <tp t="s">
        <v/>
        <stp/>
        <stp>StudyData</stp>
        <stp>FPVol(FootprintOp (EP, 0),2662.50)</stp>
        <stp>Bar</stp>
        <stp/>
        <stp>Close</stp>
        <stp>D</stp>
        <stp>0</stp>
        <stp>all</stp>
        <stp/>
        <stp/>
        <stp/>
        <stp>T</stp>
        <tr r="O313" s="1"/>
      </tp>
      <tp t="s">
        <v/>
        <stp/>
        <stp>StudyData</stp>
        <stp>FPVol(FootprintOp (EP, 0),2661.50)</stp>
        <stp>Bar</stp>
        <stp/>
        <stp>Close</stp>
        <stp>D</stp>
        <stp>0</stp>
        <stp>all</stp>
        <stp/>
        <stp/>
        <stp/>
        <stp>T</stp>
        <tr r="O317" s="1"/>
      </tp>
      <tp t="s">
        <v/>
        <stp/>
        <stp>StudyData</stp>
        <stp>FPVol(FootprintOp (EP, 0),2660.50)</stp>
        <stp>Bar</stp>
        <stp/>
        <stp>Close</stp>
        <stp>D</stp>
        <stp>0</stp>
        <stp>all</stp>
        <stp/>
        <stp/>
        <stp/>
        <stp>T</stp>
        <tr r="O321" s="1"/>
      </tp>
      <tp t="s">
        <v/>
        <stp/>
        <stp>StudyData</stp>
        <stp>FPVol(FootprintOp (EP, 0),2667.50)</stp>
        <stp>Bar</stp>
        <stp/>
        <stp>Close</stp>
        <stp>D</stp>
        <stp>0</stp>
        <stp>all</stp>
        <stp/>
        <stp/>
        <stp/>
        <stp>T</stp>
        <tr r="O293" s="1"/>
      </tp>
      <tp t="s">
        <v/>
        <stp/>
        <stp>StudyData</stp>
        <stp>FPVol(FootprintOp (EP, 0),2666.50)</stp>
        <stp>Bar</stp>
        <stp/>
        <stp>Close</stp>
        <stp>D</stp>
        <stp>0</stp>
        <stp>all</stp>
        <stp/>
        <stp/>
        <stp/>
        <stp>T</stp>
        <tr r="O297" s="1"/>
      </tp>
      <tp t="s">
        <v/>
        <stp/>
        <stp>StudyData</stp>
        <stp>FPVol(FootprintOp (EP, 0),2665.50)</stp>
        <stp>Bar</stp>
        <stp/>
        <stp>Close</stp>
        <stp>D</stp>
        <stp>0</stp>
        <stp>all</stp>
        <stp/>
        <stp/>
        <stp/>
        <stp>T</stp>
        <tr r="O301" s="1"/>
      </tp>
      <tp t="s">
        <v/>
        <stp/>
        <stp>StudyData</stp>
        <stp>FPVol(FootprintOp (EP, 0),2664.50)</stp>
        <stp>Bar</stp>
        <stp/>
        <stp>Close</stp>
        <stp>D</stp>
        <stp>0</stp>
        <stp>all</stp>
        <stp/>
        <stp/>
        <stp/>
        <stp>T</stp>
        <tr r="O305" s="1"/>
      </tp>
      <tp t="s">
        <v/>
        <stp/>
        <stp>StudyData</stp>
        <stp>FPVol(FootprintOp (EP, 0),2679.50)</stp>
        <stp>Bar</stp>
        <stp/>
        <stp>Close</stp>
        <stp>D</stp>
        <stp>0</stp>
        <stp>all</stp>
        <stp/>
        <stp/>
        <stp/>
        <stp>T</stp>
        <tr r="O245" s="1"/>
      </tp>
      <tp t="s">
        <v/>
        <stp/>
        <stp>StudyData</stp>
        <stp>FPVol(FootprintOp (EP, 0),2678.50)</stp>
        <stp>Bar</stp>
        <stp/>
        <stp>Close</stp>
        <stp>D</stp>
        <stp>0</stp>
        <stp>all</stp>
        <stp/>
        <stp/>
        <stp/>
        <stp>T</stp>
        <tr r="O249" s="1"/>
      </tp>
      <tp t="s">
        <v/>
        <stp/>
        <stp>StudyData</stp>
        <stp>FPVol(FootprintOp (EP, 0),2673.50)</stp>
        <stp>Bar</stp>
        <stp/>
        <stp>Close</stp>
        <stp>D</stp>
        <stp>0</stp>
        <stp>all</stp>
        <stp/>
        <stp/>
        <stp/>
        <stp>T</stp>
        <tr r="O269" s="1"/>
      </tp>
      <tp t="s">
        <v/>
        <stp/>
        <stp>StudyData</stp>
        <stp>FPVol(FootprintOp (EP, 0),2672.50)</stp>
        <stp>Bar</stp>
        <stp/>
        <stp>Close</stp>
        <stp>D</stp>
        <stp>0</stp>
        <stp>all</stp>
        <stp/>
        <stp/>
        <stp/>
        <stp>T</stp>
        <tr r="O273" s="1"/>
      </tp>
      <tp t="s">
        <v/>
        <stp/>
        <stp>StudyData</stp>
        <stp>FPVol(FootprintOp (EP, 0),2671.50)</stp>
        <stp>Bar</stp>
        <stp/>
        <stp>Close</stp>
        <stp>D</stp>
        <stp>0</stp>
        <stp>all</stp>
        <stp/>
        <stp/>
        <stp/>
        <stp>T</stp>
        <tr r="O277" s="1"/>
      </tp>
      <tp t="s">
        <v/>
        <stp/>
        <stp>StudyData</stp>
        <stp>FPVol(FootprintOp (EP, 0),2670.50)</stp>
        <stp>Bar</stp>
        <stp/>
        <stp>Close</stp>
        <stp>D</stp>
        <stp>0</stp>
        <stp>all</stp>
        <stp/>
        <stp/>
        <stp/>
        <stp>T</stp>
        <tr r="O281" s="1"/>
      </tp>
      <tp t="s">
        <v/>
        <stp/>
        <stp>StudyData</stp>
        <stp>FPVol(FootprintOp (EP, 0),2677.50)</stp>
        <stp>Bar</stp>
        <stp/>
        <stp>Close</stp>
        <stp>D</stp>
        <stp>0</stp>
        <stp>all</stp>
        <stp/>
        <stp/>
        <stp/>
        <stp>T</stp>
        <tr r="O253" s="1"/>
      </tp>
      <tp t="s">
        <v/>
        <stp/>
        <stp>StudyData</stp>
        <stp>FPVol(FootprintOp (EP, 0),2676.50)</stp>
        <stp>Bar</stp>
        <stp/>
        <stp>Close</stp>
        <stp>D</stp>
        <stp>0</stp>
        <stp>all</stp>
        <stp/>
        <stp/>
        <stp/>
        <stp>T</stp>
        <tr r="O257" s="1"/>
      </tp>
      <tp t="s">
        <v/>
        <stp/>
        <stp>StudyData</stp>
        <stp>FPVol(FootprintOp (EP, 0),2675.50)</stp>
        <stp>Bar</stp>
        <stp/>
        <stp>Close</stp>
        <stp>D</stp>
        <stp>0</stp>
        <stp>all</stp>
        <stp/>
        <stp/>
        <stp/>
        <stp>T</stp>
        <tr r="O261" s="1"/>
      </tp>
      <tp t="s">
        <v/>
        <stp/>
        <stp>StudyData</stp>
        <stp>FPVol(FootprintOp (EP, 0),2674.50)</stp>
        <stp>Bar</stp>
        <stp/>
        <stp>Close</stp>
        <stp>D</stp>
        <stp>0</stp>
        <stp>all</stp>
        <stp/>
        <stp/>
        <stp/>
        <stp>T</stp>
        <tr r="O265" s="1"/>
      </tp>
      <tp t="s">
        <v/>
        <stp/>
        <stp>StudyData</stp>
        <stp>FPVol(FootprintOp (EP, 0),2649.50)</stp>
        <stp>Bar</stp>
        <stp/>
        <stp>Close</stp>
        <stp>D</stp>
        <stp>0</stp>
        <stp>all</stp>
        <stp/>
        <stp/>
        <stp/>
        <stp>T</stp>
        <tr r="O365" s="1"/>
      </tp>
      <tp t="s">
        <v/>
        <stp/>
        <stp>StudyData</stp>
        <stp>FPVol(FootprintOp (EP, 0),2648.50)</stp>
        <stp>Bar</stp>
        <stp/>
        <stp>Close</stp>
        <stp>D</stp>
        <stp>0</stp>
        <stp>all</stp>
        <stp/>
        <stp/>
        <stp/>
        <stp>T</stp>
        <tr r="O369" s="1"/>
      </tp>
      <tp t="s">
        <v/>
        <stp/>
        <stp>StudyData</stp>
        <stp>FPVol(FootprintOp (EP, 0),2643.50)</stp>
        <stp>Bar</stp>
        <stp/>
        <stp>Close</stp>
        <stp>D</stp>
        <stp>0</stp>
        <stp>all</stp>
        <stp/>
        <stp/>
        <stp/>
        <stp>T</stp>
        <tr r="O389" s="1"/>
      </tp>
      <tp t="s">
        <v/>
        <stp/>
        <stp>StudyData</stp>
        <stp>FPVol(FootprintOp (EP, 0),2642.50)</stp>
        <stp>Bar</stp>
        <stp/>
        <stp>Close</stp>
        <stp>D</stp>
        <stp>0</stp>
        <stp>all</stp>
        <stp/>
        <stp/>
        <stp/>
        <stp>T</stp>
        <tr r="O393" s="1"/>
      </tp>
      <tp t="s">
        <v/>
        <stp/>
        <stp>StudyData</stp>
        <stp>FPVol(FootprintOp (EP, 0),2641.50)</stp>
        <stp>Bar</stp>
        <stp/>
        <stp>Close</stp>
        <stp>D</stp>
        <stp>0</stp>
        <stp>all</stp>
        <stp/>
        <stp/>
        <stp/>
        <stp>T</stp>
        <tr r="O397" s="1"/>
      </tp>
      <tp t="s">
        <v/>
        <stp/>
        <stp>StudyData</stp>
        <stp>FPVol(FootprintOp (EP, 0),2640.50)</stp>
        <stp>Bar</stp>
        <stp/>
        <stp>Close</stp>
        <stp>D</stp>
        <stp>0</stp>
        <stp>all</stp>
        <stp/>
        <stp/>
        <stp/>
        <stp>T</stp>
        <tr r="O401" s="1"/>
      </tp>
      <tp t="s">
        <v/>
        <stp/>
        <stp>StudyData</stp>
        <stp>FPVol(FootprintOp (EP, 0),2647.50)</stp>
        <stp>Bar</stp>
        <stp/>
        <stp>Close</stp>
        <stp>D</stp>
        <stp>0</stp>
        <stp>all</stp>
        <stp/>
        <stp/>
        <stp/>
        <stp>T</stp>
        <tr r="O373" s="1"/>
      </tp>
      <tp t="s">
        <v/>
        <stp/>
        <stp>StudyData</stp>
        <stp>FPVol(FootprintOp (EP, 0),2646.50)</stp>
        <stp>Bar</stp>
        <stp/>
        <stp>Close</stp>
        <stp>D</stp>
        <stp>0</stp>
        <stp>all</stp>
        <stp/>
        <stp/>
        <stp/>
        <stp>T</stp>
        <tr r="O377" s="1"/>
      </tp>
      <tp t="s">
        <v/>
        <stp/>
        <stp>StudyData</stp>
        <stp>FPVol(FootprintOp (EP, 0),2645.50)</stp>
        <stp>Bar</stp>
        <stp/>
        <stp>Close</stp>
        <stp>D</stp>
        <stp>0</stp>
        <stp>all</stp>
        <stp/>
        <stp/>
        <stp/>
        <stp>T</stp>
        <tr r="O381" s="1"/>
      </tp>
      <tp t="s">
        <v/>
        <stp/>
        <stp>StudyData</stp>
        <stp>FPVol(FootprintOp (EP, 0),2644.50)</stp>
        <stp>Bar</stp>
        <stp/>
        <stp>Close</stp>
        <stp>D</stp>
        <stp>0</stp>
        <stp>all</stp>
        <stp/>
        <stp/>
        <stp/>
        <stp>T</stp>
        <tr r="O385" s="1"/>
      </tp>
      <tp t="s">
        <v/>
        <stp/>
        <stp>StudyData</stp>
        <stp>FPVol(FootprintOp (EP, 0),2659.50)</stp>
        <stp>Bar</stp>
        <stp/>
        <stp>Close</stp>
        <stp>D</stp>
        <stp>0</stp>
        <stp>all</stp>
        <stp/>
        <stp/>
        <stp/>
        <stp>T</stp>
        <tr r="O325" s="1"/>
      </tp>
      <tp t="s">
        <v/>
        <stp/>
        <stp>StudyData</stp>
        <stp>FPVol(FootprintOp (EP, 0),2658.50)</stp>
        <stp>Bar</stp>
        <stp/>
        <stp>Close</stp>
        <stp>D</stp>
        <stp>0</stp>
        <stp>all</stp>
        <stp/>
        <stp/>
        <stp/>
        <stp>T</stp>
        <tr r="O329" s="1"/>
      </tp>
      <tp t="s">
        <v/>
        <stp/>
        <stp>StudyData</stp>
        <stp>FPVol(FootprintOp (EP, 0),2653.50)</stp>
        <stp>Bar</stp>
        <stp/>
        <stp>Close</stp>
        <stp>D</stp>
        <stp>0</stp>
        <stp>all</stp>
        <stp/>
        <stp/>
        <stp/>
        <stp>T</stp>
        <tr r="O349" s="1"/>
      </tp>
      <tp t="s">
        <v/>
        <stp/>
        <stp>StudyData</stp>
        <stp>FPVol(FootprintOp (EP, 0),2652.50)</stp>
        <stp>Bar</stp>
        <stp/>
        <stp>Close</stp>
        <stp>D</stp>
        <stp>0</stp>
        <stp>all</stp>
        <stp/>
        <stp/>
        <stp/>
        <stp>T</stp>
        <tr r="O353" s="1"/>
      </tp>
      <tp t="s">
        <v/>
        <stp/>
        <stp>StudyData</stp>
        <stp>FPVol(FootprintOp (EP, 0),2651.50)</stp>
        <stp>Bar</stp>
        <stp/>
        <stp>Close</stp>
        <stp>D</stp>
        <stp>0</stp>
        <stp>all</stp>
        <stp/>
        <stp/>
        <stp/>
        <stp>T</stp>
        <tr r="O357" s="1"/>
      </tp>
      <tp t="s">
        <v/>
        <stp/>
        <stp>StudyData</stp>
        <stp>FPVol(FootprintOp (EP, 0),2650.50)</stp>
        <stp>Bar</stp>
        <stp/>
        <stp>Close</stp>
        <stp>D</stp>
        <stp>0</stp>
        <stp>all</stp>
        <stp/>
        <stp/>
        <stp/>
        <stp>T</stp>
        <tr r="O361" s="1"/>
      </tp>
      <tp t="s">
        <v/>
        <stp/>
        <stp>StudyData</stp>
        <stp>FPVol(FootprintOp (EP, 0),2657.50)</stp>
        <stp>Bar</stp>
        <stp/>
        <stp>Close</stp>
        <stp>D</stp>
        <stp>0</stp>
        <stp>all</stp>
        <stp/>
        <stp/>
        <stp/>
        <stp>T</stp>
        <tr r="O333" s="1"/>
      </tp>
      <tp t="s">
        <v/>
        <stp/>
        <stp>StudyData</stp>
        <stp>FPVol(FootprintOp (EP, 0),2656.50)</stp>
        <stp>Bar</stp>
        <stp/>
        <stp>Close</stp>
        <stp>D</stp>
        <stp>0</stp>
        <stp>all</stp>
        <stp/>
        <stp/>
        <stp/>
        <stp>T</stp>
        <tr r="O337" s="1"/>
      </tp>
      <tp t="s">
        <v/>
        <stp/>
        <stp>StudyData</stp>
        <stp>FPVol(FootprintOp (EP, 0),2655.50)</stp>
        <stp>Bar</stp>
        <stp/>
        <stp>Close</stp>
        <stp>D</stp>
        <stp>0</stp>
        <stp>all</stp>
        <stp/>
        <stp/>
        <stp/>
        <stp>T</stp>
        <tr r="O341" s="1"/>
      </tp>
      <tp t="s">
        <v/>
        <stp/>
        <stp>StudyData</stp>
        <stp>FPVol(FootprintOp (EP, 0),2654.50)</stp>
        <stp>Bar</stp>
        <stp/>
        <stp>Close</stp>
        <stp>D</stp>
        <stp>0</stp>
        <stp>all</stp>
        <stp/>
        <stp/>
        <stp/>
        <stp>T</stp>
        <tr r="O345" s="1"/>
      </tp>
      <tp t="s">
        <v/>
        <stp/>
        <stp>StudyData</stp>
        <stp>FPVol(FootprintOp (EP, 0),2689.50)</stp>
        <stp>Bar</stp>
        <stp/>
        <stp>Close</stp>
        <stp>D</stp>
        <stp>0</stp>
        <stp>all</stp>
        <stp/>
        <stp/>
        <stp/>
        <stp>T</stp>
        <tr r="O205" s="1"/>
      </tp>
      <tp t="s">
        <v/>
        <stp/>
        <stp>StudyData</stp>
        <stp>FPVol(FootprintOp (EP, 0),2688.50)</stp>
        <stp>Bar</stp>
        <stp/>
        <stp>Close</stp>
        <stp>D</stp>
        <stp>0</stp>
        <stp>all</stp>
        <stp/>
        <stp/>
        <stp/>
        <stp>T</stp>
        <tr r="O209" s="1"/>
      </tp>
      <tp t="s">
        <v/>
        <stp/>
        <stp>StudyData</stp>
        <stp>FPVol(FootprintOp (EP, 0),2683.50)</stp>
        <stp>Bar</stp>
        <stp/>
        <stp>Close</stp>
        <stp>D</stp>
        <stp>0</stp>
        <stp>all</stp>
        <stp/>
        <stp/>
        <stp/>
        <stp>T</stp>
        <tr r="O229" s="1"/>
      </tp>
      <tp t="s">
        <v/>
        <stp/>
        <stp>StudyData</stp>
        <stp>FPVol(FootprintOp (EP, 0),2682.50)</stp>
        <stp>Bar</stp>
        <stp/>
        <stp>Close</stp>
        <stp>D</stp>
        <stp>0</stp>
        <stp>all</stp>
        <stp/>
        <stp/>
        <stp/>
        <stp>T</stp>
        <tr r="O233" s="1"/>
      </tp>
      <tp t="s">
        <v/>
        <stp/>
        <stp>StudyData</stp>
        <stp>FPVol(FootprintOp (EP, 0),2681.50)</stp>
        <stp>Bar</stp>
        <stp/>
        <stp>Close</stp>
        <stp>D</stp>
        <stp>0</stp>
        <stp>all</stp>
        <stp/>
        <stp/>
        <stp/>
        <stp>T</stp>
        <tr r="O237" s="1"/>
      </tp>
      <tp t="s">
        <v/>
        <stp/>
        <stp>StudyData</stp>
        <stp>FPVol(FootprintOp (EP, 0),2680.50)</stp>
        <stp>Bar</stp>
        <stp/>
        <stp>Close</stp>
        <stp>D</stp>
        <stp>0</stp>
        <stp>all</stp>
        <stp/>
        <stp/>
        <stp/>
        <stp>T</stp>
        <tr r="O241" s="1"/>
      </tp>
      <tp t="s">
        <v/>
        <stp/>
        <stp>StudyData</stp>
        <stp>FPVol(FootprintOp (EP, 0),2687.50)</stp>
        <stp>Bar</stp>
        <stp/>
        <stp>Close</stp>
        <stp>D</stp>
        <stp>0</stp>
        <stp>all</stp>
        <stp/>
        <stp/>
        <stp/>
        <stp>T</stp>
        <tr r="O213" s="1"/>
      </tp>
      <tp t="s">
        <v/>
        <stp/>
        <stp>StudyData</stp>
        <stp>FPVol(FootprintOp (EP, 0),2686.50)</stp>
        <stp>Bar</stp>
        <stp/>
        <stp>Close</stp>
        <stp>D</stp>
        <stp>0</stp>
        <stp>all</stp>
        <stp/>
        <stp/>
        <stp/>
        <stp>T</stp>
        <tr r="O217" s="1"/>
      </tp>
      <tp t="s">
        <v/>
        <stp/>
        <stp>StudyData</stp>
        <stp>FPVol(FootprintOp (EP, 0),2685.50)</stp>
        <stp>Bar</stp>
        <stp/>
        <stp>Close</stp>
        <stp>D</stp>
        <stp>0</stp>
        <stp>all</stp>
        <stp/>
        <stp/>
        <stp/>
        <stp>T</stp>
        <tr r="O221" s="1"/>
      </tp>
      <tp t="s">
        <v/>
        <stp/>
        <stp>StudyData</stp>
        <stp>FPVol(FootprintOp (EP, 0),2684.50)</stp>
        <stp>Bar</stp>
        <stp/>
        <stp>Close</stp>
        <stp>D</stp>
        <stp>0</stp>
        <stp>all</stp>
        <stp/>
        <stp/>
        <stp/>
        <stp>T</stp>
        <tr r="O225" s="1"/>
      </tp>
      <tp t="s">
        <v/>
        <stp/>
        <stp>StudyData</stp>
        <stp>FPVol(FootprintOp (EP, 0),2699.50)</stp>
        <stp>Bar</stp>
        <stp/>
        <stp>Close</stp>
        <stp>D</stp>
        <stp>0</stp>
        <stp>all</stp>
        <stp/>
        <stp/>
        <stp/>
        <stp>T</stp>
        <tr r="O165" s="1"/>
      </tp>
      <tp t="s">
        <v/>
        <stp/>
        <stp>StudyData</stp>
        <stp>FPVol(FootprintOp (EP, 0),2698.50)</stp>
        <stp>Bar</stp>
        <stp/>
        <stp>Close</stp>
        <stp>D</stp>
        <stp>0</stp>
        <stp>all</stp>
        <stp/>
        <stp/>
        <stp/>
        <stp>T</stp>
        <tr r="O169" s="1"/>
      </tp>
      <tp t="s">
        <v/>
        <stp/>
        <stp>StudyData</stp>
        <stp>FPVol(FootprintOp (EP, 0),2693.50)</stp>
        <stp>Bar</stp>
        <stp/>
        <stp>Close</stp>
        <stp>D</stp>
        <stp>0</stp>
        <stp>all</stp>
        <stp/>
        <stp/>
        <stp/>
        <stp>T</stp>
        <tr r="O189" s="1"/>
      </tp>
      <tp t="s">
        <v/>
        <stp/>
        <stp>StudyData</stp>
        <stp>FPVol(FootprintOp (EP, 0),2692.50)</stp>
        <stp>Bar</stp>
        <stp/>
        <stp>Close</stp>
        <stp>D</stp>
        <stp>0</stp>
        <stp>all</stp>
        <stp/>
        <stp/>
        <stp/>
        <stp>T</stp>
        <tr r="O193" s="1"/>
      </tp>
      <tp t="s">
        <v/>
        <stp/>
        <stp>StudyData</stp>
        <stp>FPVol(FootprintOp (EP, 0),2691.50)</stp>
        <stp>Bar</stp>
        <stp/>
        <stp>Close</stp>
        <stp>D</stp>
        <stp>0</stp>
        <stp>all</stp>
        <stp/>
        <stp/>
        <stp/>
        <stp>T</stp>
        <tr r="O197" s="1"/>
      </tp>
      <tp t="s">
        <v/>
        <stp/>
        <stp>StudyData</stp>
        <stp>FPVol(FootprintOp (EP, 0),2690.50)</stp>
        <stp>Bar</stp>
        <stp/>
        <stp>Close</stp>
        <stp>D</stp>
        <stp>0</stp>
        <stp>all</stp>
        <stp/>
        <stp/>
        <stp/>
        <stp>T</stp>
        <tr r="O201" s="1"/>
      </tp>
      <tp t="s">
        <v/>
        <stp/>
        <stp>StudyData</stp>
        <stp>FPVol(FootprintOp (EP, 0),2697.50)</stp>
        <stp>Bar</stp>
        <stp/>
        <stp>Close</stp>
        <stp>D</stp>
        <stp>0</stp>
        <stp>all</stp>
        <stp/>
        <stp/>
        <stp/>
        <stp>T</stp>
        <tr r="O173" s="1"/>
      </tp>
      <tp t="s">
        <v/>
        <stp/>
        <stp>StudyData</stp>
        <stp>FPVol(FootprintOp (EP, 0),2696.50)</stp>
        <stp>Bar</stp>
        <stp/>
        <stp>Close</stp>
        <stp>D</stp>
        <stp>0</stp>
        <stp>all</stp>
        <stp/>
        <stp/>
        <stp/>
        <stp>T</stp>
        <tr r="O177" s="1"/>
      </tp>
      <tp t="s">
        <v/>
        <stp/>
        <stp>StudyData</stp>
        <stp>FPVol(FootprintOp (EP, 0),2695.50)</stp>
        <stp>Bar</stp>
        <stp/>
        <stp>Close</stp>
        <stp>D</stp>
        <stp>0</stp>
        <stp>all</stp>
        <stp/>
        <stp/>
        <stp/>
        <stp>T</stp>
        <tr r="O181" s="1"/>
      </tp>
      <tp t="s">
        <v/>
        <stp/>
        <stp>StudyData</stp>
        <stp>FPVol(FootprintOp (EP, 0),2694.50)</stp>
        <stp>Bar</stp>
        <stp/>
        <stp>Close</stp>
        <stp>D</stp>
        <stp>0</stp>
        <stp>all</stp>
        <stp/>
        <stp/>
        <stp/>
        <stp>T</stp>
        <tr r="O185" s="1"/>
      </tp>
      <tp>
        <v>46</v>
        <stp/>
        <stp>StudyData</stp>
        <stp>AlgOrdAskVol(SUBMINUTE((EP),5,Regular),1,0)</stp>
        <stp>Bar</stp>
        <stp/>
        <stp>Open</stp>
        <stp>5</stp>
        <stp>-5</stp>
        <stp/>
        <stp/>
        <stp/>
        <stp/>
        <stp>T</stp>
        <tr r="AB21" s="2"/>
        <tr r="AB21" s="2"/>
      </tp>
      <tp>
        <v>0</v>
        <stp/>
        <stp>StudyData</stp>
        <stp>AlgOrdAskVol(SUBMINUTE((EP),1,Regular),1,0)</stp>
        <stp>Bar</stp>
        <stp/>
        <stp>Open</stp>
        <stp>5</stp>
        <stp>-5</stp>
        <stp/>
        <stp/>
        <stp/>
        <stp/>
        <stp>T</stp>
        <tr r="W21" s="2"/>
        <tr r="W21" s="2"/>
      </tp>
      <tp>
        <v>0</v>
        <stp/>
        <stp>StudyData</stp>
        <stp>AlgOrdBidVol(SUBMINUTE((EP),1,Regular),1,0)</stp>
        <stp>Bar</stp>
        <stp/>
        <stp>Open</stp>
        <stp>5</stp>
        <stp>-5</stp>
        <stp/>
        <stp/>
        <stp/>
        <stp/>
        <stp>T</stp>
        <tr r="V21" s="2"/>
        <tr r="V21" s="2"/>
      </tp>
      <tp>
        <v>0</v>
        <stp/>
        <stp>StudyData</stp>
        <stp>AlgOrdBidVol(SUBMINUTE((EP),5,Regular),1,0)</stp>
        <stp>Bar</stp>
        <stp/>
        <stp>Open</stp>
        <stp>5</stp>
        <stp>-5</stp>
        <stp/>
        <stp/>
        <stp/>
        <stp/>
        <stp>T</stp>
        <tr r="AA21" s="2"/>
        <tr r="AA21" s="2"/>
      </tp>
      <tp t="s">
        <v>E-Mini S&amp;P 500, Mar 18</v>
        <stp/>
        <stp>ContractData</stp>
        <stp>EP</stp>
        <stp>LongDescription</stp>
        <stp/>
        <stp>T</stp>
        <tr r="B4" s="2"/>
      </tp>
      <tp t="s">
        <v>F.US.EPH18</v>
        <stp/>
        <stp>ContractData</stp>
        <stp>EP</stp>
        <stp>LongSymbol</stp>
        <stp/>
        <stp>T</stp>
        <tr r="B26" s="2"/>
      </tp>
      <tp t="s">
        <v/>
        <stp/>
        <stp>StudyData</stp>
        <stp>FPVol(FootprintOp (EP, 0),2679.25)</stp>
        <stp>Bar</stp>
        <stp/>
        <stp>Close</stp>
        <stp>D</stp>
        <stp>0</stp>
        <stp>all</stp>
        <stp/>
        <stp/>
        <stp/>
        <stp>T</stp>
        <tr r="O246" s="1"/>
      </tp>
      <tp t="s">
        <v/>
        <stp/>
        <stp>StudyData</stp>
        <stp>FPVol(FootprintOp (EP, 0),2678.25)</stp>
        <stp>Bar</stp>
        <stp/>
        <stp>Close</stp>
        <stp>D</stp>
        <stp>0</stp>
        <stp>all</stp>
        <stp/>
        <stp/>
        <stp/>
        <stp>T</stp>
        <tr r="O250" s="1"/>
      </tp>
      <tp t="s">
        <v/>
        <stp/>
        <stp>StudyData</stp>
        <stp>FPVol(FootprintOp (EP, 0),2673.25)</stp>
        <stp>Bar</stp>
        <stp/>
        <stp>Close</stp>
        <stp>D</stp>
        <stp>0</stp>
        <stp>all</stp>
        <stp/>
        <stp/>
        <stp/>
        <stp>T</stp>
        <tr r="O270" s="1"/>
      </tp>
      <tp t="s">
        <v/>
        <stp/>
        <stp>StudyData</stp>
        <stp>FPVol(FootprintOp (EP, 0),2672.25)</stp>
        <stp>Bar</stp>
        <stp/>
        <stp>Close</stp>
        <stp>D</stp>
        <stp>0</stp>
        <stp>all</stp>
        <stp/>
        <stp/>
        <stp/>
        <stp>T</stp>
        <tr r="O274" s="1"/>
      </tp>
      <tp t="s">
        <v/>
        <stp/>
        <stp>StudyData</stp>
        <stp>FPVol(FootprintOp (EP, 0),2671.25)</stp>
        <stp>Bar</stp>
        <stp/>
        <stp>Close</stp>
        <stp>D</stp>
        <stp>0</stp>
        <stp>all</stp>
        <stp/>
        <stp/>
        <stp/>
        <stp>T</stp>
        <tr r="O278" s="1"/>
      </tp>
      <tp t="s">
        <v/>
        <stp/>
        <stp>StudyData</stp>
        <stp>FPVol(FootprintOp (EP, 0),2670.25)</stp>
        <stp>Bar</stp>
        <stp/>
        <stp>Close</stp>
        <stp>D</stp>
        <stp>0</stp>
        <stp>all</stp>
        <stp/>
        <stp/>
        <stp/>
        <stp>T</stp>
        <tr r="O282" s="1"/>
      </tp>
      <tp t="s">
        <v/>
        <stp/>
        <stp>StudyData</stp>
        <stp>FPVol(FootprintOp (EP, 0),2677.25)</stp>
        <stp>Bar</stp>
        <stp/>
        <stp>Close</stp>
        <stp>D</stp>
        <stp>0</stp>
        <stp>all</stp>
        <stp/>
        <stp/>
        <stp/>
        <stp>T</stp>
        <tr r="O254" s="1"/>
      </tp>
      <tp t="s">
        <v/>
        <stp/>
        <stp>StudyData</stp>
        <stp>FPVol(FootprintOp (EP, 0),2676.25)</stp>
        <stp>Bar</stp>
        <stp/>
        <stp>Close</stp>
        <stp>D</stp>
        <stp>0</stp>
        <stp>all</stp>
        <stp/>
        <stp/>
        <stp/>
        <stp>T</stp>
        <tr r="O258" s="1"/>
      </tp>
      <tp t="s">
        <v/>
        <stp/>
        <stp>StudyData</stp>
        <stp>FPVol(FootprintOp (EP, 0),2675.25)</stp>
        <stp>Bar</stp>
        <stp/>
        <stp>Close</stp>
        <stp>D</stp>
        <stp>0</stp>
        <stp>all</stp>
        <stp/>
        <stp/>
        <stp/>
        <stp>T</stp>
        <tr r="O262" s="1"/>
      </tp>
      <tp t="s">
        <v/>
        <stp/>
        <stp>StudyData</stp>
        <stp>FPVol(FootprintOp (EP, 0),2674.25)</stp>
        <stp>Bar</stp>
        <stp/>
        <stp>Close</stp>
        <stp>D</stp>
        <stp>0</stp>
        <stp>all</stp>
        <stp/>
        <stp/>
        <stp/>
        <stp>T</stp>
        <tr r="O266" s="1"/>
      </tp>
      <tp t="s">
        <v/>
        <stp/>
        <stp>StudyData</stp>
        <stp>FPVol(FootprintOp (EP, 0),2669.25)</stp>
        <stp>Bar</stp>
        <stp/>
        <stp>Close</stp>
        <stp>D</stp>
        <stp>0</stp>
        <stp>all</stp>
        <stp/>
        <stp/>
        <stp/>
        <stp>T</stp>
        <tr r="O286" s="1"/>
      </tp>
      <tp t="s">
        <v/>
        <stp/>
        <stp>StudyData</stp>
        <stp>FPVol(FootprintOp (EP, 0),2668.25)</stp>
        <stp>Bar</stp>
        <stp/>
        <stp>Close</stp>
        <stp>D</stp>
        <stp>0</stp>
        <stp>all</stp>
        <stp/>
        <stp/>
        <stp/>
        <stp>T</stp>
        <tr r="O290" s="1"/>
      </tp>
      <tp t="s">
        <v/>
        <stp/>
        <stp>StudyData</stp>
        <stp>FPVol(FootprintOp (EP, 0),2663.25)</stp>
        <stp>Bar</stp>
        <stp/>
        <stp>Close</stp>
        <stp>D</stp>
        <stp>0</stp>
        <stp>all</stp>
        <stp/>
        <stp/>
        <stp/>
        <stp>T</stp>
        <tr r="O310" s="1"/>
      </tp>
      <tp t="s">
        <v/>
        <stp/>
        <stp>StudyData</stp>
        <stp>FPVol(FootprintOp (EP, 0),2662.25)</stp>
        <stp>Bar</stp>
        <stp/>
        <stp>Close</stp>
        <stp>D</stp>
        <stp>0</stp>
        <stp>all</stp>
        <stp/>
        <stp/>
        <stp/>
        <stp>T</stp>
        <tr r="O314" s="1"/>
      </tp>
      <tp t="s">
        <v/>
        <stp/>
        <stp>StudyData</stp>
        <stp>FPVol(FootprintOp (EP, 0),2661.25)</stp>
        <stp>Bar</stp>
        <stp/>
        <stp>Close</stp>
        <stp>D</stp>
        <stp>0</stp>
        <stp>all</stp>
        <stp/>
        <stp/>
        <stp/>
        <stp>T</stp>
        <tr r="O318" s="1"/>
      </tp>
      <tp t="s">
        <v/>
        <stp/>
        <stp>StudyData</stp>
        <stp>FPVol(FootprintOp (EP, 0),2660.25)</stp>
        <stp>Bar</stp>
        <stp/>
        <stp>Close</stp>
        <stp>D</stp>
        <stp>0</stp>
        <stp>all</stp>
        <stp/>
        <stp/>
        <stp/>
        <stp>T</stp>
        <tr r="O322" s="1"/>
      </tp>
      <tp t="s">
        <v/>
        <stp/>
        <stp>StudyData</stp>
        <stp>FPVol(FootprintOp (EP, 0),2667.25)</stp>
        <stp>Bar</stp>
        <stp/>
        <stp>Close</stp>
        <stp>D</stp>
        <stp>0</stp>
        <stp>all</stp>
        <stp/>
        <stp/>
        <stp/>
        <stp>T</stp>
        <tr r="O294" s="1"/>
      </tp>
      <tp t="s">
        <v/>
        <stp/>
        <stp>StudyData</stp>
        <stp>FPVol(FootprintOp (EP, 0),2666.25)</stp>
        <stp>Bar</stp>
        <stp/>
        <stp>Close</stp>
        <stp>D</stp>
        <stp>0</stp>
        <stp>all</stp>
        <stp/>
        <stp/>
        <stp/>
        <stp>T</stp>
        <tr r="O298" s="1"/>
      </tp>
      <tp t="s">
        <v/>
        <stp/>
        <stp>StudyData</stp>
        <stp>FPVol(FootprintOp (EP, 0),2665.25)</stp>
        <stp>Bar</stp>
        <stp/>
        <stp>Close</stp>
        <stp>D</stp>
        <stp>0</stp>
        <stp>all</stp>
        <stp/>
        <stp/>
        <stp/>
        <stp>T</stp>
        <tr r="O302" s="1"/>
      </tp>
      <tp t="s">
        <v/>
        <stp/>
        <stp>StudyData</stp>
        <stp>FPVol(FootprintOp (EP, 0),2664.25)</stp>
        <stp>Bar</stp>
        <stp/>
        <stp>Close</stp>
        <stp>D</stp>
        <stp>0</stp>
        <stp>all</stp>
        <stp/>
        <stp/>
        <stp/>
        <stp>T</stp>
        <tr r="O306" s="1"/>
      </tp>
      <tp t="s">
        <v/>
        <stp/>
        <stp>StudyData</stp>
        <stp>FPVol(FootprintOp (EP, 0),2659.25)</stp>
        <stp>Bar</stp>
        <stp/>
        <stp>Close</stp>
        <stp>D</stp>
        <stp>0</stp>
        <stp>all</stp>
        <stp/>
        <stp/>
        <stp/>
        <stp>T</stp>
        <tr r="O326" s="1"/>
      </tp>
      <tp t="s">
        <v/>
        <stp/>
        <stp>StudyData</stp>
        <stp>FPVol(FootprintOp (EP, 0),2658.25)</stp>
        <stp>Bar</stp>
        <stp/>
        <stp>Close</stp>
        <stp>D</stp>
        <stp>0</stp>
        <stp>all</stp>
        <stp/>
        <stp/>
        <stp/>
        <stp>T</stp>
        <tr r="O330" s="1"/>
      </tp>
      <tp t="s">
        <v/>
        <stp/>
        <stp>StudyData</stp>
        <stp>FPVol(FootprintOp (EP, 0),2653.25)</stp>
        <stp>Bar</stp>
        <stp/>
        <stp>Close</stp>
        <stp>D</stp>
        <stp>0</stp>
        <stp>all</stp>
        <stp/>
        <stp/>
        <stp/>
        <stp>T</stp>
        <tr r="O350" s="1"/>
      </tp>
      <tp t="s">
        <v/>
        <stp/>
        <stp>StudyData</stp>
        <stp>FPVol(FootprintOp (EP, 0),2652.25)</stp>
        <stp>Bar</stp>
        <stp/>
        <stp>Close</stp>
        <stp>D</stp>
        <stp>0</stp>
        <stp>all</stp>
        <stp/>
        <stp/>
        <stp/>
        <stp>T</stp>
        <tr r="O354" s="1"/>
      </tp>
      <tp t="s">
        <v/>
        <stp/>
        <stp>StudyData</stp>
        <stp>FPVol(FootprintOp (EP, 0),2651.25)</stp>
        <stp>Bar</stp>
        <stp/>
        <stp>Close</stp>
        <stp>D</stp>
        <stp>0</stp>
        <stp>all</stp>
        <stp/>
        <stp/>
        <stp/>
        <stp>T</stp>
        <tr r="O358" s="1"/>
      </tp>
      <tp t="s">
        <v/>
        <stp/>
        <stp>StudyData</stp>
        <stp>FPVol(FootprintOp (EP, 0),2650.25)</stp>
        <stp>Bar</stp>
        <stp/>
        <stp>Close</stp>
        <stp>D</stp>
        <stp>0</stp>
        <stp>all</stp>
        <stp/>
        <stp/>
        <stp/>
        <stp>T</stp>
        <tr r="O362" s="1"/>
      </tp>
      <tp t="s">
        <v/>
        <stp/>
        <stp>StudyData</stp>
        <stp>FPVol(FootprintOp (EP, 0),2657.25)</stp>
        <stp>Bar</stp>
        <stp/>
        <stp>Close</stp>
        <stp>D</stp>
        <stp>0</stp>
        <stp>all</stp>
        <stp/>
        <stp/>
        <stp/>
        <stp>T</stp>
        <tr r="O334" s="1"/>
      </tp>
      <tp t="s">
        <v/>
        <stp/>
        <stp>StudyData</stp>
        <stp>FPVol(FootprintOp (EP, 0),2656.25)</stp>
        <stp>Bar</stp>
        <stp/>
        <stp>Close</stp>
        <stp>D</stp>
        <stp>0</stp>
        <stp>all</stp>
        <stp/>
        <stp/>
        <stp/>
        <stp>T</stp>
        <tr r="O338" s="1"/>
      </tp>
      <tp t="s">
        <v/>
        <stp/>
        <stp>StudyData</stp>
        <stp>FPVol(FootprintOp (EP, 0),2655.25)</stp>
        <stp>Bar</stp>
        <stp/>
        <stp>Close</stp>
        <stp>D</stp>
        <stp>0</stp>
        <stp>all</stp>
        <stp/>
        <stp/>
        <stp/>
        <stp>T</stp>
        <tr r="O342" s="1"/>
      </tp>
      <tp t="s">
        <v/>
        <stp/>
        <stp>StudyData</stp>
        <stp>FPVol(FootprintOp (EP, 0),2654.25)</stp>
        <stp>Bar</stp>
        <stp/>
        <stp>Close</stp>
        <stp>D</stp>
        <stp>0</stp>
        <stp>all</stp>
        <stp/>
        <stp/>
        <stp/>
        <stp>T</stp>
        <tr r="O346" s="1"/>
      </tp>
      <tp t="s">
        <v/>
        <stp/>
        <stp>StudyData</stp>
        <stp>FPVol(FootprintOp (EP, 0),2649.25)</stp>
        <stp>Bar</stp>
        <stp/>
        <stp>Close</stp>
        <stp>D</stp>
        <stp>0</stp>
        <stp>all</stp>
        <stp/>
        <stp/>
        <stp/>
        <stp>T</stp>
        <tr r="O366" s="1"/>
      </tp>
      <tp t="s">
        <v/>
        <stp/>
        <stp>StudyData</stp>
        <stp>FPVol(FootprintOp (EP, 0),2648.25)</stp>
        <stp>Bar</stp>
        <stp/>
        <stp>Close</stp>
        <stp>D</stp>
        <stp>0</stp>
        <stp>all</stp>
        <stp/>
        <stp/>
        <stp/>
        <stp>T</stp>
        <tr r="O370" s="1"/>
      </tp>
      <tp t="s">
        <v/>
        <stp/>
        <stp>StudyData</stp>
        <stp>FPVol(FootprintOp (EP, 0),2643.25)</stp>
        <stp>Bar</stp>
        <stp/>
        <stp>Close</stp>
        <stp>D</stp>
        <stp>0</stp>
        <stp>all</stp>
        <stp/>
        <stp/>
        <stp/>
        <stp>T</stp>
        <tr r="O390" s="1"/>
      </tp>
      <tp t="s">
        <v/>
        <stp/>
        <stp>StudyData</stp>
        <stp>FPVol(FootprintOp (EP, 0),2642.25)</stp>
        <stp>Bar</stp>
        <stp/>
        <stp>Close</stp>
        <stp>D</stp>
        <stp>0</stp>
        <stp>all</stp>
        <stp/>
        <stp/>
        <stp/>
        <stp>T</stp>
        <tr r="O394" s="1"/>
      </tp>
      <tp t="s">
        <v/>
        <stp/>
        <stp>StudyData</stp>
        <stp>FPVol(FootprintOp (EP, 0),2641.25)</stp>
        <stp>Bar</stp>
        <stp/>
        <stp>Close</stp>
        <stp>D</stp>
        <stp>0</stp>
        <stp>all</stp>
        <stp/>
        <stp/>
        <stp/>
        <stp>T</stp>
        <tr r="O398" s="1"/>
      </tp>
      <tp t="s">
        <v/>
        <stp/>
        <stp>StudyData</stp>
        <stp>FPVol(FootprintOp (EP, 0),2640.25)</stp>
        <stp>Bar</stp>
        <stp/>
        <stp>Close</stp>
        <stp>D</stp>
        <stp>0</stp>
        <stp>all</stp>
        <stp/>
        <stp/>
        <stp/>
        <stp>T</stp>
        <tr r="O402" s="1"/>
      </tp>
      <tp t="s">
        <v/>
        <stp/>
        <stp>StudyData</stp>
        <stp>FPVol(FootprintOp (EP, 0),2647.25)</stp>
        <stp>Bar</stp>
        <stp/>
        <stp>Close</stp>
        <stp>D</stp>
        <stp>0</stp>
        <stp>all</stp>
        <stp/>
        <stp/>
        <stp/>
        <stp>T</stp>
        <tr r="O374" s="1"/>
      </tp>
      <tp t="s">
        <v/>
        <stp/>
        <stp>StudyData</stp>
        <stp>FPVol(FootprintOp (EP, 0),2646.25)</stp>
        <stp>Bar</stp>
        <stp/>
        <stp>Close</stp>
        <stp>D</stp>
        <stp>0</stp>
        <stp>all</stp>
        <stp/>
        <stp/>
        <stp/>
        <stp>T</stp>
        <tr r="O378" s="1"/>
      </tp>
      <tp t="s">
        <v/>
        <stp/>
        <stp>StudyData</stp>
        <stp>FPVol(FootprintOp (EP, 0),2645.25)</stp>
        <stp>Bar</stp>
        <stp/>
        <stp>Close</stp>
        <stp>D</stp>
        <stp>0</stp>
        <stp>all</stp>
        <stp/>
        <stp/>
        <stp/>
        <stp>T</stp>
        <tr r="O382" s="1"/>
      </tp>
      <tp t="s">
        <v/>
        <stp/>
        <stp>StudyData</stp>
        <stp>FPVol(FootprintOp (EP, 0),2644.25)</stp>
        <stp>Bar</stp>
        <stp/>
        <stp>Close</stp>
        <stp>D</stp>
        <stp>0</stp>
        <stp>all</stp>
        <stp/>
        <stp/>
        <stp/>
        <stp>T</stp>
        <tr r="O386" s="1"/>
      </tp>
      <tp t="s">
        <v/>
        <stp/>
        <stp>StudyData</stp>
        <stp>FPVol(FootprintOp (EP, 0),2639.25)</stp>
        <stp>Bar</stp>
        <stp/>
        <stp>Close</stp>
        <stp>D</stp>
        <stp>0</stp>
        <stp>all</stp>
        <stp/>
        <stp/>
        <stp/>
        <stp>T</stp>
        <tr r="O406" s="1"/>
      </tp>
      <tp t="s">
        <v/>
        <stp/>
        <stp>StudyData</stp>
        <stp>FPVol(FootprintOp (EP, 0),2638.25)</stp>
        <stp>Bar</stp>
        <stp/>
        <stp>Close</stp>
        <stp>D</stp>
        <stp>0</stp>
        <stp>all</stp>
        <stp/>
        <stp/>
        <stp/>
        <stp>T</stp>
        <tr r="O410" s="1"/>
      </tp>
      <tp t="s">
        <v/>
        <stp/>
        <stp>StudyData</stp>
        <stp>FPVol(FootprintOp (EP, 0),2699.25)</stp>
        <stp>Bar</stp>
        <stp/>
        <stp>Close</stp>
        <stp>D</stp>
        <stp>0</stp>
        <stp>all</stp>
        <stp/>
        <stp/>
        <stp/>
        <stp>T</stp>
        <tr r="O166" s="1"/>
      </tp>
      <tp t="s">
        <v/>
        <stp/>
        <stp>StudyData</stp>
        <stp>FPVol(FootprintOp (EP, 0),2698.25)</stp>
        <stp>Bar</stp>
        <stp/>
        <stp>Close</stp>
        <stp>D</stp>
        <stp>0</stp>
        <stp>all</stp>
        <stp/>
        <stp/>
        <stp/>
        <stp>T</stp>
        <tr r="O170" s="1"/>
      </tp>
      <tp t="s">
        <v/>
        <stp/>
        <stp>StudyData</stp>
        <stp>FPVol(FootprintOp (EP, 0),2693.25)</stp>
        <stp>Bar</stp>
        <stp/>
        <stp>Close</stp>
        <stp>D</stp>
        <stp>0</stp>
        <stp>all</stp>
        <stp/>
        <stp/>
        <stp/>
        <stp>T</stp>
        <tr r="O190" s="1"/>
      </tp>
      <tp t="s">
        <v/>
        <stp/>
        <stp>StudyData</stp>
        <stp>FPVol(FootprintOp (EP, 0),2692.25)</stp>
        <stp>Bar</stp>
        <stp/>
        <stp>Close</stp>
        <stp>D</stp>
        <stp>0</stp>
        <stp>all</stp>
        <stp/>
        <stp/>
        <stp/>
        <stp>T</stp>
        <tr r="O194" s="1"/>
      </tp>
      <tp t="s">
        <v/>
        <stp/>
        <stp>StudyData</stp>
        <stp>FPVol(FootprintOp (EP, 0),2691.25)</stp>
        <stp>Bar</stp>
        <stp/>
        <stp>Close</stp>
        <stp>D</stp>
        <stp>0</stp>
        <stp>all</stp>
        <stp/>
        <stp/>
        <stp/>
        <stp>T</stp>
        <tr r="O198" s="1"/>
      </tp>
      <tp t="s">
        <v/>
        <stp/>
        <stp>StudyData</stp>
        <stp>FPVol(FootprintOp (EP, 0),2690.25)</stp>
        <stp>Bar</stp>
        <stp/>
        <stp>Close</stp>
        <stp>D</stp>
        <stp>0</stp>
        <stp>all</stp>
        <stp/>
        <stp/>
        <stp/>
        <stp>T</stp>
        <tr r="O202" s="1"/>
      </tp>
      <tp t="s">
        <v/>
        <stp/>
        <stp>StudyData</stp>
        <stp>FPVol(FootprintOp (EP, 0),2697.25)</stp>
        <stp>Bar</stp>
        <stp/>
        <stp>Close</stp>
        <stp>D</stp>
        <stp>0</stp>
        <stp>all</stp>
        <stp/>
        <stp/>
        <stp/>
        <stp>T</stp>
        <tr r="O174" s="1"/>
      </tp>
      <tp t="s">
        <v/>
        <stp/>
        <stp>StudyData</stp>
        <stp>FPVol(FootprintOp (EP, 0),2696.25)</stp>
        <stp>Bar</stp>
        <stp/>
        <stp>Close</stp>
        <stp>D</stp>
        <stp>0</stp>
        <stp>all</stp>
        <stp/>
        <stp/>
        <stp/>
        <stp>T</stp>
        <tr r="O178" s="1"/>
      </tp>
      <tp t="s">
        <v/>
        <stp/>
        <stp>StudyData</stp>
        <stp>FPVol(FootprintOp (EP, 0),2695.25)</stp>
        <stp>Bar</stp>
        <stp/>
        <stp>Close</stp>
        <stp>D</stp>
        <stp>0</stp>
        <stp>all</stp>
        <stp/>
        <stp/>
        <stp/>
        <stp>T</stp>
        <tr r="O182" s="1"/>
      </tp>
      <tp t="s">
        <v/>
        <stp/>
        <stp>StudyData</stp>
        <stp>FPVol(FootprintOp (EP, 0),2694.25)</stp>
        <stp>Bar</stp>
        <stp/>
        <stp>Close</stp>
        <stp>D</stp>
        <stp>0</stp>
        <stp>all</stp>
        <stp/>
        <stp/>
        <stp/>
        <stp>T</stp>
        <tr r="O186" s="1"/>
      </tp>
      <tp t="s">
        <v/>
        <stp/>
        <stp>StudyData</stp>
        <stp>FPVol(FootprintOp (EP, 0),2689.25)</stp>
        <stp>Bar</stp>
        <stp/>
        <stp>Close</stp>
        <stp>D</stp>
        <stp>0</stp>
        <stp>all</stp>
        <stp/>
        <stp/>
        <stp/>
        <stp>T</stp>
        <tr r="O206" s="1"/>
      </tp>
      <tp t="s">
        <v/>
        <stp/>
        <stp>StudyData</stp>
        <stp>FPVol(FootprintOp (EP, 0),2688.25)</stp>
        <stp>Bar</stp>
        <stp/>
        <stp>Close</stp>
        <stp>D</stp>
        <stp>0</stp>
        <stp>all</stp>
        <stp/>
        <stp/>
        <stp/>
        <stp>T</stp>
        <tr r="O210" s="1"/>
      </tp>
      <tp t="s">
        <v/>
        <stp/>
        <stp>StudyData</stp>
        <stp>FPVol(FootprintOp (EP, 0),2683.25)</stp>
        <stp>Bar</stp>
        <stp/>
        <stp>Close</stp>
        <stp>D</stp>
        <stp>0</stp>
        <stp>all</stp>
        <stp/>
        <stp/>
        <stp/>
        <stp>T</stp>
        <tr r="O230" s="1"/>
      </tp>
      <tp t="s">
        <v/>
        <stp/>
        <stp>StudyData</stp>
        <stp>FPVol(FootprintOp (EP, 0),2682.25)</stp>
        <stp>Bar</stp>
        <stp/>
        <stp>Close</stp>
        <stp>D</stp>
        <stp>0</stp>
        <stp>all</stp>
        <stp/>
        <stp/>
        <stp/>
        <stp>T</stp>
        <tr r="O234" s="1"/>
      </tp>
      <tp t="s">
        <v/>
        <stp/>
        <stp>StudyData</stp>
        <stp>FPVol(FootprintOp (EP, 0),2681.25)</stp>
        <stp>Bar</stp>
        <stp/>
        <stp>Close</stp>
        <stp>D</stp>
        <stp>0</stp>
        <stp>all</stp>
        <stp/>
        <stp/>
        <stp/>
        <stp>T</stp>
        <tr r="O238" s="1"/>
      </tp>
      <tp t="s">
        <v/>
        <stp/>
        <stp>StudyData</stp>
        <stp>FPVol(FootprintOp (EP, 0),2680.25)</stp>
        <stp>Bar</stp>
        <stp/>
        <stp>Close</stp>
        <stp>D</stp>
        <stp>0</stp>
        <stp>all</stp>
        <stp/>
        <stp/>
        <stp/>
        <stp>T</stp>
        <tr r="O242" s="1"/>
      </tp>
      <tp t="s">
        <v/>
        <stp/>
        <stp>StudyData</stp>
        <stp>FPVol(FootprintOp (EP, 0),2687.25)</stp>
        <stp>Bar</stp>
        <stp/>
        <stp>Close</stp>
        <stp>D</stp>
        <stp>0</stp>
        <stp>all</stp>
        <stp/>
        <stp/>
        <stp/>
        <stp>T</stp>
        <tr r="O214" s="1"/>
      </tp>
      <tp t="s">
        <v/>
        <stp/>
        <stp>StudyData</stp>
        <stp>FPVol(FootprintOp (EP, 0),2686.25)</stp>
        <stp>Bar</stp>
        <stp/>
        <stp>Close</stp>
        <stp>D</stp>
        <stp>0</stp>
        <stp>all</stp>
        <stp/>
        <stp/>
        <stp/>
        <stp>T</stp>
        <tr r="O218" s="1"/>
      </tp>
      <tp t="s">
        <v/>
        <stp/>
        <stp>StudyData</stp>
        <stp>FPVol(FootprintOp (EP, 0),2685.25)</stp>
        <stp>Bar</stp>
        <stp/>
        <stp>Close</stp>
        <stp>D</stp>
        <stp>0</stp>
        <stp>all</stp>
        <stp/>
        <stp/>
        <stp/>
        <stp>T</stp>
        <tr r="O222" s="1"/>
      </tp>
      <tp t="s">
        <v/>
        <stp/>
        <stp>StudyData</stp>
        <stp>FPVol(FootprintOp (EP, 0),2684.25)</stp>
        <stp>Bar</stp>
        <stp/>
        <stp>Close</stp>
        <stp>D</stp>
        <stp>0</stp>
        <stp>all</stp>
        <stp/>
        <stp/>
        <stp/>
        <stp>T</stp>
        <tr r="O226" s="1"/>
      </tp>
      <tp>
        <v>18</v>
        <stp/>
        <stp>StudyData</stp>
        <stp>AlgOrdAskVol(SUBMINUTE((EP),5,Regular),1,0)</stp>
        <stp>Bar</stp>
        <stp/>
        <stp>Open</stp>
        <stp>5</stp>
        <stp>-2</stp>
        <stp/>
        <stp/>
        <stp/>
        <stp/>
        <stp>T</stp>
        <tr r="AB12" s="2"/>
        <tr r="AB12" s="2"/>
      </tp>
      <tp>
        <v>0</v>
        <stp/>
        <stp>StudyData</stp>
        <stp>AlgOrdAskVol(SUBMINUTE((EP),1,Regular),1,0)</stp>
        <stp>Bar</stp>
        <stp/>
        <stp>Open</stp>
        <stp>5</stp>
        <stp>-2</stp>
        <stp/>
        <stp/>
        <stp/>
        <stp/>
        <stp>T</stp>
        <tr r="W12" s="2"/>
        <tr r="W12" s="2"/>
      </tp>
      <tp>
        <v>0</v>
        <stp/>
        <stp>StudyData</stp>
        <stp>AlgOrdBidVol(SUBMINUTE((EP),1,Regular),1,0)</stp>
        <stp>Bar</stp>
        <stp/>
        <stp>Open</stp>
        <stp>5</stp>
        <stp>-2</stp>
        <stp/>
        <stp/>
        <stp/>
        <stp/>
        <stp>T</stp>
        <tr r="V12" s="2"/>
        <tr r="V12" s="2"/>
      </tp>
      <tp>
        <v>99</v>
        <stp/>
        <stp>StudyData</stp>
        <stp>AlgOrdBidVol(SUBMINUTE((EP),5,Regular),1,0)</stp>
        <stp>Bar</stp>
        <stp/>
        <stp>Open</stp>
        <stp>5</stp>
        <stp>-2</stp>
        <stp/>
        <stp/>
        <stp/>
        <stp/>
        <stp>T</stp>
        <tr r="AA12" s="2"/>
        <tr r="AA12" s="2"/>
      </tp>
      <tp>
        <v>299</v>
        <stp/>
        <stp>StudyData</stp>
        <stp>BAVolCr.AskVol^(SUBMINUTE((EP),5,FillGap),5,0)</stp>
        <stp>Bar</stp>
        <stp/>
        <stp>Open</stp>
        <stp>5</stp>
        <stp>-48</stp>
        <stp/>
        <stp/>
        <stp/>
        <stp/>
        <stp>T</stp>
        <tr r="AK49" s="1"/>
      </tp>
      <tp>
        <v>301</v>
        <stp/>
        <stp>StudyData</stp>
        <stp>BAVolCr.AskVol^(SUBMINUTE((EP),5,FillGap),5,0)</stp>
        <stp>Bar</stp>
        <stp/>
        <stp>Open</stp>
        <stp>5</stp>
        <stp>-58</stp>
        <stp/>
        <stp/>
        <stp/>
        <stp/>
        <stp>T</stp>
        <tr r="AK59" s="1"/>
      </tp>
      <tp>
        <v>330</v>
        <stp/>
        <stp>StudyData</stp>
        <stp>BAVolCr.AskVol^(SUBMINUTE((EP),5,FillGap),5,0)</stp>
        <stp>Bar</stp>
        <stp/>
        <stp>Open</stp>
        <stp>5</stp>
        <stp>-18</stp>
        <stp/>
        <stp/>
        <stp/>
        <stp/>
        <stp>T</stp>
        <tr r="AK19" s="1"/>
      </tp>
      <tp>
        <v>240</v>
        <stp/>
        <stp>StudyData</stp>
        <stp>BAVolCr.AskVol^(SUBMINUTE((EP),5,FillGap),5,0)</stp>
        <stp>Bar</stp>
        <stp/>
        <stp>Open</stp>
        <stp>5</stp>
        <stp>-28</stp>
        <stp/>
        <stp/>
        <stp/>
        <stp/>
        <stp>T</stp>
        <tr r="AK29" s="1"/>
      </tp>
      <tp>
        <v>367</v>
        <stp/>
        <stp>StudyData</stp>
        <stp>BAVolCr.AskVol^(SUBMINUTE((EP),5,FillGap),5,0)</stp>
        <stp>Bar</stp>
        <stp/>
        <stp>Open</stp>
        <stp>5</stp>
        <stp>-38</stp>
        <stp/>
        <stp/>
        <stp/>
        <stp/>
        <stp>T</stp>
        <tr r="AK39" s="1"/>
      </tp>
      <tp>
        <v>219</v>
        <stp/>
        <stp>StudyData</stp>
        <stp>BAVolCr.AskVol^(SUBMINUTE((EP),1,FillGap),5,0)</stp>
        <stp>Bar</stp>
        <stp/>
        <stp>Open</stp>
        <stp>5</stp>
        <stp>-48</stp>
        <stp/>
        <stp/>
        <stp/>
        <stp/>
        <stp>T</stp>
        <tr r="AC49" s="1"/>
      </tp>
      <tp>
        <v>61</v>
        <stp/>
        <stp>StudyData</stp>
        <stp>BAVolCr.AskVol^(SUBMINUTE((EP),1,FillGap),5,0)</stp>
        <stp>Bar</stp>
        <stp/>
        <stp>Open</stp>
        <stp>5</stp>
        <stp>-58</stp>
        <stp/>
        <stp/>
        <stp/>
        <stp/>
        <stp>T</stp>
        <tr r="AC59" s="1"/>
      </tp>
      <tp>
        <v>205</v>
        <stp/>
        <stp>StudyData</stp>
        <stp>BAVolCr.AskVol^(SUBMINUTE((EP),1,FillGap),5,0)</stp>
        <stp>Bar</stp>
        <stp/>
        <stp>Open</stp>
        <stp>5</stp>
        <stp>-18</stp>
        <stp/>
        <stp/>
        <stp/>
        <stp/>
        <stp>T</stp>
        <tr r="AC19" s="1"/>
      </tp>
      <tp>
        <v>416</v>
        <stp/>
        <stp>StudyData</stp>
        <stp>BAVolCr.AskVol^(SUBMINUTE((EP),1,FillGap),5,0)</stp>
        <stp>Bar</stp>
        <stp/>
        <stp>Open</stp>
        <stp>5</stp>
        <stp>-28</stp>
        <stp/>
        <stp/>
        <stp/>
        <stp/>
        <stp>T</stp>
        <tr r="AC29" s="1"/>
      </tp>
      <tp>
        <v>1055</v>
        <stp/>
        <stp>StudyData</stp>
        <stp>BAVolCr.AskVol^(SUBMINUTE((EP),1,FillGap),5,0)</stp>
        <stp>Bar</stp>
        <stp/>
        <stp>Open</stp>
        <stp>5</stp>
        <stp>-38</stp>
        <stp/>
        <stp/>
        <stp/>
        <stp/>
        <stp>T</stp>
        <tr r="AC39" s="1"/>
      </tp>
      <tp>
        <v>1212</v>
        <stp/>
        <stp>StudyData</stp>
        <stp>FPVol(FootprintOp (EP, 0),2740.25)</stp>
        <stp>Bar</stp>
        <stp/>
        <stp>Close</stp>
        <stp>D</stp>
        <stp>0</stp>
        <stp>all</stp>
        <stp/>
        <stp/>
        <stp/>
        <stp>T</stp>
        <tr r="K18" s="2"/>
        <tr r="K18" s="2"/>
        <tr r="O2" s="1"/>
      </tp>
      <tp>
        <v>13114</v>
        <stp/>
        <stp>StudyData</stp>
        <stp>FPVol(FootprintOp (EP, 0),2739.25)</stp>
        <stp>Bar</stp>
        <stp/>
        <stp>Close</stp>
        <stp>D</stp>
        <stp>0</stp>
        <stp>all</stp>
        <stp/>
        <stp/>
        <stp/>
        <stp>T</stp>
        <tr r="D18" s="2"/>
        <tr r="D18" s="2"/>
        <tr r="O6" s="1"/>
        <tr r="I38" s="2"/>
      </tp>
      <tp>
        <v>15538</v>
        <stp/>
        <stp>StudyData</stp>
        <stp>FPVol(FootprintOp (EP, 0),2738.25)</stp>
        <stp>Bar</stp>
        <stp/>
        <stp>Close</stp>
        <stp>D</stp>
        <stp>0</stp>
        <stp>all</stp>
        <stp/>
        <stp/>
        <stp/>
        <stp>T</stp>
        <tr r="O10" s="1"/>
      </tp>
      <tp>
        <v>21249</v>
        <stp/>
        <stp>StudyData</stp>
        <stp>FPVol(FootprintOp (EP, 0),2733.25)</stp>
        <stp>Bar</stp>
        <stp/>
        <stp>Close</stp>
        <stp>D</stp>
        <stp>0</stp>
        <stp>all</stp>
        <stp/>
        <stp/>
        <stp/>
        <stp>T</stp>
        <tr r="O30" s="1"/>
      </tp>
      <tp>
        <v>16879</v>
        <stp/>
        <stp>StudyData</stp>
        <stp>FPVol(FootprintOp (EP, 0),2732.25)</stp>
        <stp>Bar</stp>
        <stp/>
        <stp>Close</stp>
        <stp>D</stp>
        <stp>0</stp>
        <stp>all</stp>
        <stp/>
        <stp/>
        <stp/>
        <stp>T</stp>
        <tr r="O34" s="1"/>
      </tp>
      <tp>
        <v>18966</v>
        <stp/>
        <stp>StudyData</stp>
        <stp>FPVol(FootprintOp (EP, 0),2731.25)</stp>
        <stp>Bar</stp>
        <stp/>
        <stp>Close</stp>
        <stp>D</stp>
        <stp>0</stp>
        <stp>all</stp>
        <stp/>
        <stp/>
        <stp/>
        <stp>T</stp>
        <tr r="O38" s="1"/>
      </tp>
      <tp>
        <v>22107</v>
        <stp/>
        <stp>StudyData</stp>
        <stp>FPVol(FootprintOp (EP, 0),2730.25)</stp>
        <stp>Bar</stp>
        <stp/>
        <stp>Close</stp>
        <stp>D</stp>
        <stp>0</stp>
        <stp>all</stp>
        <stp/>
        <stp/>
        <stp/>
        <stp>T</stp>
        <tr r="O42" s="1"/>
      </tp>
      <tp>
        <v>8751</v>
        <stp/>
        <stp>StudyData</stp>
        <stp>FPVol(FootprintOp (EP, 0),2737.25)</stp>
        <stp>Bar</stp>
        <stp/>
        <stp>Close</stp>
        <stp>D</stp>
        <stp>0</stp>
        <stp>all</stp>
        <stp/>
        <stp/>
        <stp/>
        <stp>T</stp>
        <tr r="O14" s="1"/>
      </tp>
      <tp>
        <v>12205</v>
        <stp/>
        <stp>StudyData</stp>
        <stp>FPVol(FootprintOp (EP, 0),2736.25)</stp>
        <stp>Bar</stp>
        <stp/>
        <stp>Close</stp>
        <stp>D</stp>
        <stp>0</stp>
        <stp>all</stp>
        <stp/>
        <stp/>
        <stp/>
        <stp>T</stp>
        <tr r="O18" s="1"/>
      </tp>
      <tp>
        <v>13408</v>
        <stp/>
        <stp>StudyData</stp>
        <stp>FPVol(FootprintOp (EP, 0),2735.25)</stp>
        <stp>Bar</stp>
        <stp/>
        <stp>Close</stp>
        <stp>D</stp>
        <stp>0</stp>
        <stp>all</stp>
        <stp/>
        <stp/>
        <stp/>
        <stp>T</stp>
        <tr r="O22" s="1"/>
      </tp>
      <tp>
        <v>23147</v>
        <stp/>
        <stp>StudyData</stp>
        <stp>FPVol(FootprintOp (EP, 0),2734.25)</stp>
        <stp>Bar</stp>
        <stp/>
        <stp>Close</stp>
        <stp>D</stp>
        <stp>0</stp>
        <stp>all</stp>
        <stp/>
        <stp/>
        <stp/>
        <stp>T</stp>
        <tr r="O26" s="1"/>
        <tr r="A10" s="2"/>
      </tp>
      <tp>
        <v>21638</v>
        <stp/>
        <stp>StudyData</stp>
        <stp>FPVol(FootprintOp (EP, 0),2729.25)</stp>
        <stp>Bar</stp>
        <stp/>
        <stp>Close</stp>
        <stp>D</stp>
        <stp>0</stp>
        <stp>all</stp>
        <stp/>
        <stp/>
        <stp/>
        <stp>T</stp>
        <tr r="O46" s="1"/>
      </tp>
      <tp>
        <v>19163</v>
        <stp/>
        <stp>StudyData</stp>
        <stp>FPVol(FootprintOp (EP, 0),2728.25)</stp>
        <stp>Bar</stp>
        <stp/>
        <stp>Close</stp>
        <stp>D</stp>
        <stp>0</stp>
        <stp>all</stp>
        <stp/>
        <stp/>
        <stp/>
        <stp>T</stp>
        <tr r="O50" s="1"/>
      </tp>
      <tp>
        <v>5313</v>
        <stp/>
        <stp>StudyData</stp>
        <stp>FPVol(FootprintOp (EP, 0),2723.25)</stp>
        <stp>Bar</stp>
        <stp/>
        <stp>Close</stp>
        <stp>D</stp>
        <stp>0</stp>
        <stp>all</stp>
        <stp/>
        <stp/>
        <stp/>
        <stp>T</stp>
        <tr r="O70" s="1"/>
      </tp>
      <tp>
        <v>3514</v>
        <stp/>
        <stp>StudyData</stp>
        <stp>FPVol(FootprintOp (EP, 0),2722.25)</stp>
        <stp>Bar</stp>
        <stp/>
        <stp>Close</stp>
        <stp>D</stp>
        <stp>0</stp>
        <stp>all</stp>
        <stp/>
        <stp/>
        <stp/>
        <stp>T</stp>
        <tr r="O74" s="1"/>
      </tp>
      <tp>
        <v>2018</v>
        <stp/>
        <stp>StudyData</stp>
        <stp>FPVol(FootprintOp (EP, 0),2721.25)</stp>
        <stp>Bar</stp>
        <stp/>
        <stp>Close</stp>
        <stp>D</stp>
        <stp>0</stp>
        <stp>all</stp>
        <stp/>
        <stp/>
        <stp/>
        <stp>T</stp>
        <tr r="O78" s="1"/>
      </tp>
      <tp>
        <v>1244</v>
        <stp/>
        <stp>StudyData</stp>
        <stp>FPVol(FootprintOp (EP, 0),2720.25)</stp>
        <stp>Bar</stp>
        <stp/>
        <stp>Close</stp>
        <stp>D</stp>
        <stp>0</stp>
        <stp>all</stp>
        <stp/>
        <stp/>
        <stp/>
        <stp>T</stp>
        <tr r="O82" s="1"/>
      </tp>
      <tp>
        <v>13926</v>
        <stp/>
        <stp>StudyData</stp>
        <stp>FPVol(FootprintOp (EP, 0),2727.25)</stp>
        <stp>Bar</stp>
        <stp/>
        <stp>Close</stp>
        <stp>D</stp>
        <stp>0</stp>
        <stp>all</stp>
        <stp/>
        <stp/>
        <stp/>
        <stp>T</stp>
        <tr r="O54" s="1"/>
      </tp>
      <tp>
        <v>20880</v>
        <stp/>
        <stp>StudyData</stp>
        <stp>FPVol(FootprintOp (EP, 0),2726.25)</stp>
        <stp>Bar</stp>
        <stp/>
        <stp>Close</stp>
        <stp>D</stp>
        <stp>0</stp>
        <stp>all</stp>
        <stp/>
        <stp/>
        <stp/>
        <stp>T</stp>
        <tr r="O58" s="1"/>
      </tp>
      <tp>
        <v>15522</v>
        <stp/>
        <stp>StudyData</stp>
        <stp>FPVol(FootprintOp (EP, 0),2725.25)</stp>
        <stp>Bar</stp>
        <stp/>
        <stp>Close</stp>
        <stp>D</stp>
        <stp>0</stp>
        <stp>all</stp>
        <stp/>
        <stp/>
        <stp/>
        <stp>T</stp>
        <tr r="O62" s="1"/>
      </tp>
      <tp>
        <v>12068</v>
        <stp/>
        <stp>StudyData</stp>
        <stp>FPVol(FootprintOp (EP, 0),2724.25)</stp>
        <stp>Bar</stp>
        <stp/>
        <stp>Close</stp>
        <stp>D</stp>
        <stp>0</stp>
        <stp>all</stp>
        <stp/>
        <stp/>
        <stp/>
        <stp>T</stp>
        <tr r="O66" s="1"/>
      </tp>
      <tp t="s">
        <v/>
        <stp/>
        <stp>StudyData</stp>
        <stp>FPVol(FootprintOp (EP, 0),2719.25)</stp>
        <stp>Bar</stp>
        <stp/>
        <stp>Close</stp>
        <stp>D</stp>
        <stp>0</stp>
        <stp>all</stp>
        <stp/>
        <stp/>
        <stp/>
        <stp>T</stp>
        <tr r="O86" s="1"/>
      </tp>
      <tp t="s">
        <v/>
        <stp/>
        <stp>StudyData</stp>
        <stp>FPVol(FootprintOp (EP, 0),2718.25)</stp>
        <stp>Bar</stp>
        <stp/>
        <stp>Close</stp>
        <stp>D</stp>
        <stp>0</stp>
        <stp>all</stp>
        <stp/>
        <stp/>
        <stp/>
        <stp>T</stp>
        <tr r="O90" s="1"/>
      </tp>
      <tp t="s">
        <v/>
        <stp/>
        <stp>StudyData</stp>
        <stp>FPVol(FootprintOp (EP, 0),2713.25)</stp>
        <stp>Bar</stp>
        <stp/>
        <stp>Close</stp>
        <stp>D</stp>
        <stp>0</stp>
        <stp>all</stp>
        <stp/>
        <stp/>
        <stp/>
        <stp>T</stp>
        <tr r="O110" s="1"/>
      </tp>
      <tp t="s">
        <v/>
        <stp/>
        <stp>StudyData</stp>
        <stp>FPVol(FootprintOp (EP, 0),2712.25)</stp>
        <stp>Bar</stp>
        <stp/>
        <stp>Close</stp>
        <stp>D</stp>
        <stp>0</stp>
        <stp>all</stp>
        <stp/>
        <stp/>
        <stp/>
        <stp>T</stp>
        <tr r="O114" s="1"/>
      </tp>
      <tp t="s">
        <v/>
        <stp/>
        <stp>StudyData</stp>
        <stp>FPVol(FootprintOp (EP, 0),2711.25)</stp>
        <stp>Bar</stp>
        <stp/>
        <stp>Close</stp>
        <stp>D</stp>
        <stp>0</stp>
        <stp>all</stp>
        <stp/>
        <stp/>
        <stp/>
        <stp>T</stp>
        <tr r="O118" s="1"/>
      </tp>
      <tp t="s">
        <v/>
        <stp/>
        <stp>StudyData</stp>
        <stp>FPVol(FootprintOp (EP, 0),2710.25)</stp>
        <stp>Bar</stp>
        <stp/>
        <stp>Close</stp>
        <stp>D</stp>
        <stp>0</stp>
        <stp>all</stp>
        <stp/>
        <stp/>
        <stp/>
        <stp>T</stp>
        <tr r="O122" s="1"/>
      </tp>
      <tp t="s">
        <v/>
        <stp/>
        <stp>StudyData</stp>
        <stp>FPVol(FootprintOp (EP, 0),2717.25)</stp>
        <stp>Bar</stp>
        <stp/>
        <stp>Close</stp>
        <stp>D</stp>
        <stp>0</stp>
        <stp>all</stp>
        <stp/>
        <stp/>
        <stp/>
        <stp>T</stp>
        <tr r="O94" s="1"/>
      </tp>
      <tp t="s">
        <v/>
        <stp/>
        <stp>StudyData</stp>
        <stp>FPVol(FootprintOp (EP, 0),2716.25)</stp>
        <stp>Bar</stp>
        <stp/>
        <stp>Close</stp>
        <stp>D</stp>
        <stp>0</stp>
        <stp>all</stp>
        <stp/>
        <stp/>
        <stp/>
        <stp>T</stp>
        <tr r="O98" s="1"/>
      </tp>
      <tp t="s">
        <v/>
        <stp/>
        <stp>StudyData</stp>
        <stp>FPVol(FootprintOp (EP, 0),2715.25)</stp>
        <stp>Bar</stp>
        <stp/>
        <stp>Close</stp>
        <stp>D</stp>
        <stp>0</stp>
        <stp>all</stp>
        <stp/>
        <stp/>
        <stp/>
        <stp>T</stp>
        <tr r="O102" s="1"/>
      </tp>
      <tp t="s">
        <v/>
        <stp/>
        <stp>StudyData</stp>
        <stp>FPVol(FootprintOp (EP, 0),2714.25)</stp>
        <stp>Bar</stp>
        <stp/>
        <stp>Close</stp>
        <stp>D</stp>
        <stp>0</stp>
        <stp>all</stp>
        <stp/>
        <stp/>
        <stp/>
        <stp>T</stp>
        <tr r="O106" s="1"/>
      </tp>
      <tp t="s">
        <v/>
        <stp/>
        <stp>StudyData</stp>
        <stp>FPVol(FootprintOp (EP, 0),2709.25)</stp>
        <stp>Bar</stp>
        <stp/>
        <stp>Close</stp>
        <stp>D</stp>
        <stp>0</stp>
        <stp>all</stp>
        <stp/>
        <stp/>
        <stp/>
        <stp>T</stp>
        <tr r="O126" s="1"/>
      </tp>
      <tp t="s">
        <v/>
        <stp/>
        <stp>StudyData</stp>
        <stp>FPVol(FootprintOp (EP, 0),2708.25)</stp>
        <stp>Bar</stp>
        <stp/>
        <stp>Close</stp>
        <stp>D</stp>
        <stp>0</stp>
        <stp>all</stp>
        <stp/>
        <stp/>
        <stp/>
        <stp>T</stp>
        <tr r="O130" s="1"/>
      </tp>
      <tp t="s">
        <v/>
        <stp/>
        <stp>StudyData</stp>
        <stp>FPVol(FootprintOp (EP, 0),2703.25)</stp>
        <stp>Bar</stp>
        <stp/>
        <stp>Close</stp>
        <stp>D</stp>
        <stp>0</stp>
        <stp>all</stp>
        <stp/>
        <stp/>
        <stp/>
        <stp>T</stp>
        <tr r="O150" s="1"/>
      </tp>
      <tp t="s">
        <v/>
        <stp/>
        <stp>StudyData</stp>
        <stp>FPVol(FootprintOp (EP, 0),2702.25)</stp>
        <stp>Bar</stp>
        <stp/>
        <stp>Close</stp>
        <stp>D</stp>
        <stp>0</stp>
        <stp>all</stp>
        <stp/>
        <stp/>
        <stp/>
        <stp>T</stp>
        <tr r="O154" s="1"/>
      </tp>
      <tp t="s">
        <v/>
        <stp/>
        <stp>StudyData</stp>
        <stp>FPVol(FootprintOp (EP, 0),2701.25)</stp>
        <stp>Bar</stp>
        <stp/>
        <stp>Close</stp>
        <stp>D</stp>
        <stp>0</stp>
        <stp>all</stp>
        <stp/>
        <stp/>
        <stp/>
        <stp>T</stp>
        <tr r="O158" s="1"/>
      </tp>
      <tp t="s">
        <v/>
        <stp/>
        <stp>StudyData</stp>
        <stp>FPVol(FootprintOp (EP, 0),2700.25)</stp>
        <stp>Bar</stp>
        <stp/>
        <stp>Close</stp>
        <stp>D</stp>
        <stp>0</stp>
        <stp>all</stp>
        <stp/>
        <stp/>
        <stp/>
        <stp>T</stp>
        <tr r="O162" s="1"/>
      </tp>
      <tp t="s">
        <v/>
        <stp/>
        <stp>StudyData</stp>
        <stp>FPVol(FootprintOp (EP, 0),2707.25)</stp>
        <stp>Bar</stp>
        <stp/>
        <stp>Close</stp>
        <stp>D</stp>
        <stp>0</stp>
        <stp>all</stp>
        <stp/>
        <stp/>
        <stp/>
        <stp>T</stp>
        <tr r="O134" s="1"/>
      </tp>
      <tp t="s">
        <v/>
        <stp/>
        <stp>StudyData</stp>
        <stp>FPVol(FootprintOp (EP, 0),2706.25)</stp>
        <stp>Bar</stp>
        <stp/>
        <stp>Close</stp>
        <stp>D</stp>
        <stp>0</stp>
        <stp>all</stp>
        <stp/>
        <stp/>
        <stp/>
        <stp>T</stp>
        <tr r="O138" s="1"/>
      </tp>
      <tp t="s">
        <v/>
        <stp/>
        <stp>StudyData</stp>
        <stp>FPVol(FootprintOp (EP, 0),2705.25)</stp>
        <stp>Bar</stp>
        <stp/>
        <stp>Close</stp>
        <stp>D</stp>
        <stp>0</stp>
        <stp>all</stp>
        <stp/>
        <stp/>
        <stp/>
        <stp>T</stp>
        <tr r="O142" s="1"/>
      </tp>
      <tp t="s">
        <v/>
        <stp/>
        <stp>StudyData</stp>
        <stp>FPVol(FootprintOp (EP, 0),2704.25)</stp>
        <stp>Bar</stp>
        <stp/>
        <stp>Close</stp>
        <stp>D</stp>
        <stp>0</stp>
        <stp>all</stp>
        <stp/>
        <stp/>
        <stp/>
        <stp>T</stp>
        <tr r="O146" s="1"/>
      </tp>
      <tp>
        <v>19</v>
        <stp/>
        <stp>StudyData</stp>
        <stp>AlgOrdAskVol(SUBMINUTE((EP),5,Regular),1,0)</stp>
        <stp>Bar</stp>
        <stp/>
        <stp>Open</stp>
        <stp>5</stp>
        <stp>-3</stp>
        <stp/>
        <stp/>
        <stp/>
        <stp/>
        <stp>T</stp>
        <tr r="AB15" s="2"/>
        <tr r="AB15" s="2"/>
      </tp>
      <tp>
        <v>0</v>
        <stp/>
        <stp>StudyData</stp>
        <stp>AlgOrdAskVol(SUBMINUTE((EP),1,Regular),1,0)</stp>
        <stp>Bar</stp>
        <stp/>
        <stp>Open</stp>
        <stp>5</stp>
        <stp>-3</stp>
        <stp/>
        <stp/>
        <stp/>
        <stp/>
        <stp>T</stp>
        <tr r="W15" s="2"/>
        <tr r="W15" s="2"/>
      </tp>
      <tp>
        <v>0</v>
        <stp/>
        <stp>StudyData</stp>
        <stp>AlgOrdBidVol(SUBMINUTE((EP),1,Regular),1,0)</stp>
        <stp>Bar</stp>
        <stp/>
        <stp>Open</stp>
        <stp>5</stp>
        <stp>-3</stp>
        <stp/>
        <stp/>
        <stp/>
        <stp/>
        <stp>T</stp>
        <tr r="V15" s="2"/>
        <tr r="V15" s="2"/>
      </tp>
      <tp>
        <v>47</v>
        <stp/>
        <stp>StudyData</stp>
        <stp>AlgOrdBidVol(SUBMINUTE((EP),5,Regular),1,0)</stp>
        <stp>Bar</stp>
        <stp/>
        <stp>Open</stp>
        <stp>5</stp>
        <stp>-3</stp>
        <stp/>
        <stp/>
        <stp/>
        <stp/>
        <stp>T</stp>
        <tr r="AA15" s="2"/>
        <tr r="AA15" s="2"/>
      </tp>
      <tp>
        <v>191</v>
        <stp/>
        <stp>StudyData</stp>
        <stp>BAVolCr.AskVol^(SUBMINUTE((EP),5,FillGap),5,0)</stp>
        <stp>Bar</stp>
        <stp/>
        <stp>Open</stp>
        <stp>5</stp>
        <stp>-49</stp>
        <stp/>
        <stp/>
        <stp/>
        <stp/>
        <stp>T</stp>
        <tr r="AK50" s="1"/>
      </tp>
      <tp>
        <v>347</v>
        <stp/>
        <stp>StudyData</stp>
        <stp>BAVolCr.AskVol^(SUBMINUTE((EP),5,FillGap),5,0)</stp>
        <stp>Bar</stp>
        <stp/>
        <stp>Open</stp>
        <stp>5</stp>
        <stp>-59</stp>
        <stp/>
        <stp/>
        <stp/>
        <stp/>
        <stp>T</stp>
        <tr r="AK60" s="1"/>
      </tp>
      <tp>
        <v>423</v>
        <stp/>
        <stp>StudyData</stp>
        <stp>BAVolCr.AskVol^(SUBMINUTE((EP),5,FillGap),5,0)</stp>
        <stp>Bar</stp>
        <stp/>
        <stp>Open</stp>
        <stp>5</stp>
        <stp>-19</stp>
        <stp/>
        <stp/>
        <stp/>
        <stp/>
        <stp>T</stp>
        <tr r="AK20" s="1"/>
      </tp>
      <tp>
        <v>182</v>
        <stp/>
        <stp>StudyData</stp>
        <stp>BAVolCr.AskVol^(SUBMINUTE((EP),5,FillGap),5,0)</stp>
        <stp>Bar</stp>
        <stp/>
        <stp>Open</stp>
        <stp>5</stp>
        <stp>-29</stp>
        <stp/>
        <stp/>
        <stp/>
        <stp/>
        <stp>T</stp>
        <tr r="AK30" s="1"/>
      </tp>
      <tp>
        <v>370</v>
        <stp/>
        <stp>StudyData</stp>
        <stp>BAVolCr.AskVol^(SUBMINUTE((EP),5,FillGap),5,0)</stp>
        <stp>Bar</stp>
        <stp/>
        <stp>Open</stp>
        <stp>5</stp>
        <stp>-39</stp>
        <stp/>
        <stp/>
        <stp/>
        <stp/>
        <stp>T</stp>
        <tr r="AK40" s="1"/>
      </tp>
      <tp>
        <v>219</v>
        <stp/>
        <stp>StudyData</stp>
        <stp>BAVolCr.AskVol^(SUBMINUTE((EP),1,FillGap),5,0)</stp>
        <stp>Bar</stp>
        <stp/>
        <stp>Open</stp>
        <stp>5</stp>
        <stp>-49</stp>
        <stp/>
        <stp/>
        <stp/>
        <stp/>
        <stp>T</stp>
        <tr r="AC50" s="1"/>
      </tp>
      <tp>
        <v>37</v>
        <stp/>
        <stp>StudyData</stp>
        <stp>BAVolCr.AskVol^(SUBMINUTE((EP),1,FillGap),5,0)</stp>
        <stp>Bar</stp>
        <stp/>
        <stp>Open</stp>
        <stp>5</stp>
        <stp>-59</stp>
        <stp/>
        <stp/>
        <stp/>
        <stp/>
        <stp>T</stp>
        <tr r="AC60" s="1"/>
      </tp>
      <tp>
        <v>215</v>
        <stp/>
        <stp>StudyData</stp>
        <stp>BAVolCr.AskVol^(SUBMINUTE((EP),1,FillGap),5,0)</stp>
        <stp>Bar</stp>
        <stp/>
        <stp>Open</stp>
        <stp>5</stp>
        <stp>-19</stp>
        <stp/>
        <stp/>
        <stp/>
        <stp/>
        <stp>T</stp>
        <tr r="AC20" s="1"/>
      </tp>
      <tp>
        <v>400</v>
        <stp/>
        <stp>StudyData</stp>
        <stp>BAVolCr.AskVol^(SUBMINUTE((EP),1,FillGap),5,0)</stp>
        <stp>Bar</stp>
        <stp/>
        <stp>Open</stp>
        <stp>5</stp>
        <stp>-29</stp>
        <stp/>
        <stp/>
        <stp/>
        <stp/>
        <stp>T</stp>
        <tr r="AC30" s="1"/>
      </tp>
      <tp>
        <v>1048</v>
        <stp/>
        <stp>StudyData</stp>
        <stp>BAVolCr.AskVol^(SUBMINUTE((EP),1,FillGap),5,0)</stp>
        <stp>Bar</stp>
        <stp/>
        <stp>Open</stp>
        <stp>5</stp>
        <stp>-39</stp>
        <stp/>
        <stp/>
        <stp/>
        <stp/>
        <stp>T</stp>
        <tr r="AC40" s="1"/>
      </tp>
      <tp>
        <v>0</v>
        <stp/>
        <stp>StudyData</stp>
        <stp>AlgOrdAskVol(SUBMINUTE((EP),5,Regular),1,0)</stp>
        <stp>Bar</stp>
        <stp/>
        <stp>Open</stp>
        <stp>5</stp>
        <stp>0</stp>
        <stp/>
        <stp/>
        <stp/>
        <stp/>
        <stp>T</stp>
        <tr r="AB6" s="2"/>
        <tr r="AB6" s="2"/>
      </tp>
      <tp t="s">
        <v/>
        <stp/>
        <stp>StudyData</stp>
        <stp>FPVol(FootprintOp (EP, 0),2639.00)</stp>
        <stp>Bar</stp>
        <stp/>
        <stp>Close</stp>
        <stp>D</stp>
        <stp>0</stp>
        <stp>all</stp>
        <stp/>
        <stp/>
        <stp/>
        <stp>T</stp>
        <tr r="O407" s="1"/>
      </tp>
      <tp t="s">
        <v/>
        <stp/>
        <stp>StudyData</stp>
        <stp>FPVol(FootprintOp (EP, 0),2638.00)</stp>
        <stp>Bar</stp>
        <stp/>
        <stp>Close</stp>
        <stp>D</stp>
        <stp>0</stp>
        <stp>all</stp>
        <stp/>
        <stp/>
        <stp/>
        <stp>T</stp>
        <tr r="O411" s="1"/>
      </tp>
      <tp t="s">
        <v/>
        <stp/>
        <stp>StudyData</stp>
        <stp>FPVol(FootprintOp (EP, 0),2669.00)</stp>
        <stp>Bar</stp>
        <stp/>
        <stp>Close</stp>
        <stp>D</stp>
        <stp>0</stp>
        <stp>all</stp>
        <stp/>
        <stp/>
        <stp/>
        <stp>T</stp>
        <tr r="O287" s="1"/>
      </tp>
      <tp t="s">
        <v/>
        <stp/>
        <stp>StudyData</stp>
        <stp>FPVol(FootprintOp (EP, 0),2668.00)</stp>
        <stp>Bar</stp>
        <stp/>
        <stp>Close</stp>
        <stp>D</stp>
        <stp>0</stp>
        <stp>all</stp>
        <stp/>
        <stp/>
        <stp/>
        <stp>T</stp>
        <tr r="O291" s="1"/>
      </tp>
      <tp t="s">
        <v/>
        <stp/>
        <stp>StudyData</stp>
        <stp>FPVol(FootprintOp (EP, 0),2663.00)</stp>
        <stp>Bar</stp>
        <stp/>
        <stp>Close</stp>
        <stp>D</stp>
        <stp>0</stp>
        <stp>all</stp>
        <stp/>
        <stp/>
        <stp/>
        <stp>T</stp>
        <tr r="O311" s="1"/>
      </tp>
      <tp t="s">
        <v/>
        <stp/>
        <stp>StudyData</stp>
        <stp>FPVol(FootprintOp (EP, 0),2662.00)</stp>
        <stp>Bar</stp>
        <stp/>
        <stp>Close</stp>
        <stp>D</stp>
        <stp>0</stp>
        <stp>all</stp>
        <stp/>
        <stp/>
        <stp/>
        <stp>T</stp>
        <tr r="O315" s="1"/>
      </tp>
      <tp t="s">
        <v/>
        <stp/>
        <stp>StudyData</stp>
        <stp>FPVol(FootprintOp (EP, 0),2661.00)</stp>
        <stp>Bar</stp>
        <stp/>
        <stp>Close</stp>
        <stp>D</stp>
        <stp>0</stp>
        <stp>all</stp>
        <stp/>
        <stp/>
        <stp/>
        <stp>T</stp>
        <tr r="O319" s="1"/>
      </tp>
      <tp t="s">
        <v/>
        <stp/>
        <stp>StudyData</stp>
        <stp>FPVol(FootprintOp (EP, 0),2660.00)</stp>
        <stp>Bar</stp>
        <stp/>
        <stp>Close</stp>
        <stp>D</stp>
        <stp>0</stp>
        <stp>all</stp>
        <stp/>
        <stp/>
        <stp/>
        <stp>T</stp>
        <tr r="O323" s="1"/>
      </tp>
      <tp t="s">
        <v/>
        <stp/>
        <stp>StudyData</stp>
        <stp>FPVol(FootprintOp (EP, 0),2667.00)</stp>
        <stp>Bar</stp>
        <stp/>
        <stp>Close</stp>
        <stp>D</stp>
        <stp>0</stp>
        <stp>all</stp>
        <stp/>
        <stp/>
        <stp/>
        <stp>T</stp>
        <tr r="O295" s="1"/>
      </tp>
      <tp t="s">
        <v/>
        <stp/>
        <stp>StudyData</stp>
        <stp>FPVol(FootprintOp (EP, 0),2666.00)</stp>
        <stp>Bar</stp>
        <stp/>
        <stp>Close</stp>
        <stp>D</stp>
        <stp>0</stp>
        <stp>all</stp>
        <stp/>
        <stp/>
        <stp/>
        <stp>T</stp>
        <tr r="O299" s="1"/>
      </tp>
      <tp t="s">
        <v/>
        <stp/>
        <stp>StudyData</stp>
        <stp>FPVol(FootprintOp (EP, 0),2665.00)</stp>
        <stp>Bar</stp>
        <stp/>
        <stp>Close</stp>
        <stp>D</stp>
        <stp>0</stp>
        <stp>all</stp>
        <stp/>
        <stp/>
        <stp/>
        <stp>T</stp>
        <tr r="O303" s="1"/>
      </tp>
      <tp t="s">
        <v/>
        <stp/>
        <stp>StudyData</stp>
        <stp>FPVol(FootprintOp (EP, 0),2664.00)</stp>
        <stp>Bar</stp>
        <stp/>
        <stp>Close</stp>
        <stp>D</stp>
        <stp>0</stp>
        <stp>all</stp>
        <stp/>
        <stp/>
        <stp/>
        <stp>T</stp>
        <tr r="O307" s="1"/>
      </tp>
      <tp t="s">
        <v/>
        <stp/>
        <stp>StudyData</stp>
        <stp>FPVol(FootprintOp (EP, 0),2679.00)</stp>
        <stp>Bar</stp>
        <stp/>
        <stp>Close</stp>
        <stp>D</stp>
        <stp>0</stp>
        <stp>all</stp>
        <stp/>
        <stp/>
        <stp/>
        <stp>T</stp>
        <tr r="O247" s="1"/>
      </tp>
      <tp t="s">
        <v/>
        <stp/>
        <stp>StudyData</stp>
        <stp>FPVol(FootprintOp (EP, 0),2678.00)</stp>
        <stp>Bar</stp>
        <stp/>
        <stp>Close</stp>
        <stp>D</stp>
        <stp>0</stp>
        <stp>all</stp>
        <stp/>
        <stp/>
        <stp/>
        <stp>T</stp>
        <tr r="O251" s="1"/>
      </tp>
      <tp t="s">
        <v/>
        <stp/>
        <stp>StudyData</stp>
        <stp>FPVol(FootprintOp (EP, 0),2673.00)</stp>
        <stp>Bar</stp>
        <stp/>
        <stp>Close</stp>
        <stp>D</stp>
        <stp>0</stp>
        <stp>all</stp>
        <stp/>
        <stp/>
        <stp/>
        <stp>T</stp>
        <tr r="O271" s="1"/>
      </tp>
      <tp t="s">
        <v/>
        <stp/>
        <stp>StudyData</stp>
        <stp>FPVol(FootprintOp (EP, 0),2672.00)</stp>
        <stp>Bar</stp>
        <stp/>
        <stp>Close</stp>
        <stp>D</stp>
        <stp>0</stp>
        <stp>all</stp>
        <stp/>
        <stp/>
        <stp/>
        <stp>T</stp>
        <tr r="O275" s="1"/>
      </tp>
      <tp t="s">
        <v/>
        <stp/>
        <stp>StudyData</stp>
        <stp>FPVol(FootprintOp (EP, 0),2671.00)</stp>
        <stp>Bar</stp>
        <stp/>
        <stp>Close</stp>
        <stp>D</stp>
        <stp>0</stp>
        <stp>all</stp>
        <stp/>
        <stp/>
        <stp/>
        <stp>T</stp>
        <tr r="O279" s="1"/>
      </tp>
      <tp t="s">
        <v/>
        <stp/>
        <stp>StudyData</stp>
        <stp>FPVol(FootprintOp (EP, 0),2670.00)</stp>
        <stp>Bar</stp>
        <stp/>
        <stp>Close</stp>
        <stp>D</stp>
        <stp>0</stp>
        <stp>all</stp>
        <stp/>
        <stp/>
        <stp/>
        <stp>T</stp>
        <tr r="O283" s="1"/>
      </tp>
      <tp t="s">
        <v/>
        <stp/>
        <stp>StudyData</stp>
        <stp>FPVol(FootprintOp (EP, 0),2677.00)</stp>
        <stp>Bar</stp>
        <stp/>
        <stp>Close</stp>
        <stp>D</stp>
        <stp>0</stp>
        <stp>all</stp>
        <stp/>
        <stp/>
        <stp/>
        <stp>T</stp>
        <tr r="O255" s="1"/>
      </tp>
      <tp t="s">
        <v/>
        <stp/>
        <stp>StudyData</stp>
        <stp>FPVol(FootprintOp (EP, 0),2676.00)</stp>
        <stp>Bar</stp>
        <stp/>
        <stp>Close</stp>
        <stp>D</stp>
        <stp>0</stp>
        <stp>all</stp>
        <stp/>
        <stp/>
        <stp/>
        <stp>T</stp>
        <tr r="O259" s="1"/>
      </tp>
      <tp t="s">
        <v/>
        <stp/>
        <stp>StudyData</stp>
        <stp>FPVol(FootprintOp (EP, 0),2675.00)</stp>
        <stp>Bar</stp>
        <stp/>
        <stp>Close</stp>
        <stp>D</stp>
        <stp>0</stp>
        <stp>all</stp>
        <stp/>
        <stp/>
        <stp/>
        <stp>T</stp>
        <tr r="O263" s="1"/>
      </tp>
      <tp t="s">
        <v/>
        <stp/>
        <stp>StudyData</stp>
        <stp>FPVol(FootprintOp (EP, 0),2674.00)</stp>
        <stp>Bar</stp>
        <stp/>
        <stp>Close</stp>
        <stp>D</stp>
        <stp>0</stp>
        <stp>all</stp>
        <stp/>
        <stp/>
        <stp/>
        <stp>T</stp>
        <tr r="O267" s="1"/>
      </tp>
      <tp t="s">
        <v/>
        <stp/>
        <stp>StudyData</stp>
        <stp>FPVol(FootprintOp (EP, 0),2649.00)</stp>
        <stp>Bar</stp>
        <stp/>
        <stp>Close</stp>
        <stp>D</stp>
        <stp>0</stp>
        <stp>all</stp>
        <stp/>
        <stp/>
        <stp/>
        <stp>T</stp>
        <tr r="O367" s="1"/>
      </tp>
      <tp t="s">
        <v/>
        <stp/>
        <stp>StudyData</stp>
        <stp>FPVol(FootprintOp (EP, 0),2648.00)</stp>
        <stp>Bar</stp>
        <stp/>
        <stp>Close</stp>
        <stp>D</stp>
        <stp>0</stp>
        <stp>all</stp>
        <stp/>
        <stp/>
        <stp/>
        <stp>T</stp>
        <tr r="O371" s="1"/>
      </tp>
      <tp t="s">
        <v/>
        <stp/>
        <stp>StudyData</stp>
        <stp>FPVol(FootprintOp (EP, 0),2643.00)</stp>
        <stp>Bar</stp>
        <stp/>
        <stp>Close</stp>
        <stp>D</stp>
        <stp>0</stp>
        <stp>all</stp>
        <stp/>
        <stp/>
        <stp/>
        <stp>T</stp>
        <tr r="O391" s="1"/>
      </tp>
      <tp t="s">
        <v/>
        <stp/>
        <stp>StudyData</stp>
        <stp>FPVol(FootprintOp (EP, 0),2642.00)</stp>
        <stp>Bar</stp>
        <stp/>
        <stp>Close</stp>
        <stp>D</stp>
        <stp>0</stp>
        <stp>all</stp>
        <stp/>
        <stp/>
        <stp/>
        <stp>T</stp>
        <tr r="O395" s="1"/>
      </tp>
      <tp t="s">
        <v/>
        <stp/>
        <stp>StudyData</stp>
        <stp>FPVol(FootprintOp (EP, 0),2641.00)</stp>
        <stp>Bar</stp>
        <stp/>
        <stp>Close</stp>
        <stp>D</stp>
        <stp>0</stp>
        <stp>all</stp>
        <stp/>
        <stp/>
        <stp/>
        <stp>T</stp>
        <tr r="O399" s="1"/>
      </tp>
      <tp t="s">
        <v/>
        <stp/>
        <stp>StudyData</stp>
        <stp>FPVol(FootprintOp (EP, 0),2640.00)</stp>
        <stp>Bar</stp>
        <stp/>
        <stp>Close</stp>
        <stp>D</stp>
        <stp>0</stp>
        <stp>all</stp>
        <stp/>
        <stp/>
        <stp/>
        <stp>T</stp>
        <tr r="O403" s="1"/>
      </tp>
      <tp t="s">
        <v/>
        <stp/>
        <stp>StudyData</stp>
        <stp>FPVol(FootprintOp (EP, 0),2647.00)</stp>
        <stp>Bar</stp>
        <stp/>
        <stp>Close</stp>
        <stp>D</stp>
        <stp>0</stp>
        <stp>all</stp>
        <stp/>
        <stp/>
        <stp/>
        <stp>T</stp>
        <tr r="O375" s="1"/>
      </tp>
      <tp t="s">
        <v/>
        <stp/>
        <stp>StudyData</stp>
        <stp>FPVol(FootprintOp (EP, 0),2646.00)</stp>
        <stp>Bar</stp>
        <stp/>
        <stp>Close</stp>
        <stp>D</stp>
        <stp>0</stp>
        <stp>all</stp>
        <stp/>
        <stp/>
        <stp/>
        <stp>T</stp>
        <tr r="O379" s="1"/>
      </tp>
      <tp t="s">
        <v/>
        <stp/>
        <stp>StudyData</stp>
        <stp>FPVol(FootprintOp (EP, 0),2645.00)</stp>
        <stp>Bar</stp>
        <stp/>
        <stp>Close</stp>
        <stp>D</stp>
        <stp>0</stp>
        <stp>all</stp>
        <stp/>
        <stp/>
        <stp/>
        <stp>T</stp>
        <tr r="O383" s="1"/>
      </tp>
      <tp t="s">
        <v/>
        <stp/>
        <stp>StudyData</stp>
        <stp>FPVol(FootprintOp (EP, 0),2644.00)</stp>
        <stp>Bar</stp>
        <stp/>
        <stp>Close</stp>
        <stp>D</stp>
        <stp>0</stp>
        <stp>all</stp>
        <stp/>
        <stp/>
        <stp/>
        <stp>T</stp>
        <tr r="O387" s="1"/>
      </tp>
      <tp t="s">
        <v/>
        <stp/>
        <stp>StudyData</stp>
        <stp>FPVol(FootprintOp (EP, 0),2659.00)</stp>
        <stp>Bar</stp>
        <stp/>
        <stp>Close</stp>
        <stp>D</stp>
        <stp>0</stp>
        <stp>all</stp>
        <stp/>
        <stp/>
        <stp/>
        <stp>T</stp>
        <tr r="O327" s="1"/>
      </tp>
      <tp t="s">
        <v/>
        <stp/>
        <stp>StudyData</stp>
        <stp>FPVol(FootprintOp (EP, 0),2658.00)</stp>
        <stp>Bar</stp>
        <stp/>
        <stp>Close</stp>
        <stp>D</stp>
        <stp>0</stp>
        <stp>all</stp>
        <stp/>
        <stp/>
        <stp/>
        <stp>T</stp>
        <tr r="O331" s="1"/>
      </tp>
      <tp t="s">
        <v/>
        <stp/>
        <stp>StudyData</stp>
        <stp>FPVol(FootprintOp (EP, 0),2653.00)</stp>
        <stp>Bar</stp>
        <stp/>
        <stp>Close</stp>
        <stp>D</stp>
        <stp>0</stp>
        <stp>all</stp>
        <stp/>
        <stp/>
        <stp/>
        <stp>T</stp>
        <tr r="O351" s="1"/>
      </tp>
      <tp t="s">
        <v/>
        <stp/>
        <stp>StudyData</stp>
        <stp>FPVol(FootprintOp (EP, 0),2652.00)</stp>
        <stp>Bar</stp>
        <stp/>
        <stp>Close</stp>
        <stp>D</stp>
        <stp>0</stp>
        <stp>all</stp>
        <stp/>
        <stp/>
        <stp/>
        <stp>T</stp>
        <tr r="O355" s="1"/>
      </tp>
      <tp t="s">
        <v/>
        <stp/>
        <stp>StudyData</stp>
        <stp>FPVol(FootprintOp (EP, 0),2651.00)</stp>
        <stp>Bar</stp>
        <stp/>
        <stp>Close</stp>
        <stp>D</stp>
        <stp>0</stp>
        <stp>all</stp>
        <stp/>
        <stp/>
        <stp/>
        <stp>T</stp>
        <tr r="O359" s="1"/>
      </tp>
      <tp t="s">
        <v/>
        <stp/>
        <stp>StudyData</stp>
        <stp>FPVol(FootprintOp (EP, 0),2650.00)</stp>
        <stp>Bar</stp>
        <stp/>
        <stp>Close</stp>
        <stp>D</stp>
        <stp>0</stp>
        <stp>all</stp>
        <stp/>
        <stp/>
        <stp/>
        <stp>T</stp>
        <tr r="O363" s="1"/>
      </tp>
      <tp t="s">
        <v/>
        <stp/>
        <stp>StudyData</stp>
        <stp>FPVol(FootprintOp (EP, 0),2657.00)</stp>
        <stp>Bar</stp>
        <stp/>
        <stp>Close</stp>
        <stp>D</stp>
        <stp>0</stp>
        <stp>all</stp>
        <stp/>
        <stp/>
        <stp/>
        <stp>T</stp>
        <tr r="O335" s="1"/>
      </tp>
      <tp t="s">
        <v/>
        <stp/>
        <stp>StudyData</stp>
        <stp>FPVol(FootprintOp (EP, 0),2656.00)</stp>
        <stp>Bar</stp>
        <stp/>
        <stp>Close</stp>
        <stp>D</stp>
        <stp>0</stp>
        <stp>all</stp>
        <stp/>
        <stp/>
        <stp/>
        <stp>T</stp>
        <tr r="O339" s="1"/>
      </tp>
      <tp t="s">
        <v/>
        <stp/>
        <stp>StudyData</stp>
        <stp>FPVol(FootprintOp (EP, 0),2655.00)</stp>
        <stp>Bar</stp>
        <stp/>
        <stp>Close</stp>
        <stp>D</stp>
        <stp>0</stp>
        <stp>all</stp>
        <stp/>
        <stp/>
        <stp/>
        <stp>T</stp>
        <tr r="O343" s="1"/>
      </tp>
      <tp t="s">
        <v/>
        <stp/>
        <stp>StudyData</stp>
        <stp>FPVol(FootprintOp (EP, 0),2654.00)</stp>
        <stp>Bar</stp>
        <stp/>
        <stp>Close</stp>
        <stp>D</stp>
        <stp>0</stp>
        <stp>all</stp>
        <stp/>
        <stp/>
        <stp/>
        <stp>T</stp>
        <tr r="O347" s="1"/>
      </tp>
      <tp t="s">
        <v/>
        <stp/>
        <stp>StudyData</stp>
        <stp>FPVol(FootprintOp (EP, 0),2689.00)</stp>
        <stp>Bar</stp>
        <stp/>
        <stp>Close</stp>
        <stp>D</stp>
        <stp>0</stp>
        <stp>all</stp>
        <stp/>
        <stp/>
        <stp/>
        <stp>T</stp>
        <tr r="O207" s="1"/>
      </tp>
      <tp t="s">
        <v/>
        <stp/>
        <stp>StudyData</stp>
        <stp>FPVol(FootprintOp (EP, 0),2688.00)</stp>
        <stp>Bar</stp>
        <stp/>
        <stp>Close</stp>
        <stp>D</stp>
        <stp>0</stp>
        <stp>all</stp>
        <stp/>
        <stp/>
        <stp/>
        <stp>T</stp>
        <tr r="O211" s="1"/>
      </tp>
      <tp t="s">
        <v/>
        <stp/>
        <stp>StudyData</stp>
        <stp>FPVol(FootprintOp (EP, 0),2683.00)</stp>
        <stp>Bar</stp>
        <stp/>
        <stp>Close</stp>
        <stp>D</stp>
        <stp>0</stp>
        <stp>all</stp>
        <stp/>
        <stp/>
        <stp/>
        <stp>T</stp>
        <tr r="O231" s="1"/>
      </tp>
      <tp t="s">
        <v/>
        <stp/>
        <stp>StudyData</stp>
        <stp>FPVol(FootprintOp (EP, 0),2682.00)</stp>
        <stp>Bar</stp>
        <stp/>
        <stp>Close</stp>
        <stp>D</stp>
        <stp>0</stp>
        <stp>all</stp>
        <stp/>
        <stp/>
        <stp/>
        <stp>T</stp>
        <tr r="O235" s="1"/>
      </tp>
      <tp t="s">
        <v/>
        <stp/>
        <stp>StudyData</stp>
        <stp>FPVol(FootprintOp (EP, 0),2681.00)</stp>
        <stp>Bar</stp>
        <stp/>
        <stp>Close</stp>
        <stp>D</stp>
        <stp>0</stp>
        <stp>all</stp>
        <stp/>
        <stp/>
        <stp/>
        <stp>T</stp>
        <tr r="O239" s="1"/>
      </tp>
      <tp t="s">
        <v/>
        <stp/>
        <stp>StudyData</stp>
        <stp>FPVol(FootprintOp (EP, 0),2680.00)</stp>
        <stp>Bar</stp>
        <stp/>
        <stp>Close</stp>
        <stp>D</stp>
        <stp>0</stp>
        <stp>all</stp>
        <stp/>
        <stp/>
        <stp/>
        <stp>T</stp>
        <tr r="O243" s="1"/>
      </tp>
      <tp t="s">
        <v/>
        <stp/>
        <stp>StudyData</stp>
        <stp>FPVol(FootprintOp (EP, 0),2687.00)</stp>
        <stp>Bar</stp>
        <stp/>
        <stp>Close</stp>
        <stp>D</stp>
        <stp>0</stp>
        <stp>all</stp>
        <stp/>
        <stp/>
        <stp/>
        <stp>T</stp>
        <tr r="O215" s="1"/>
      </tp>
      <tp t="s">
        <v/>
        <stp/>
        <stp>StudyData</stp>
        <stp>FPVol(FootprintOp (EP, 0),2686.00)</stp>
        <stp>Bar</stp>
        <stp/>
        <stp>Close</stp>
        <stp>D</stp>
        <stp>0</stp>
        <stp>all</stp>
        <stp/>
        <stp/>
        <stp/>
        <stp>T</stp>
        <tr r="O219" s="1"/>
      </tp>
      <tp t="s">
        <v/>
        <stp/>
        <stp>StudyData</stp>
        <stp>FPVol(FootprintOp (EP, 0),2685.00)</stp>
        <stp>Bar</stp>
        <stp/>
        <stp>Close</stp>
        <stp>D</stp>
        <stp>0</stp>
        <stp>all</stp>
        <stp/>
        <stp/>
        <stp/>
        <stp>T</stp>
        <tr r="O223" s="1"/>
      </tp>
      <tp t="s">
        <v/>
        <stp/>
        <stp>StudyData</stp>
        <stp>FPVol(FootprintOp (EP, 0),2684.00)</stp>
        <stp>Bar</stp>
        <stp/>
        <stp>Close</stp>
        <stp>D</stp>
        <stp>0</stp>
        <stp>all</stp>
        <stp/>
        <stp/>
        <stp/>
        <stp>T</stp>
        <tr r="O227" s="1"/>
      </tp>
      <tp t="s">
        <v/>
        <stp/>
        <stp>StudyData</stp>
        <stp>FPVol(FootprintOp (EP, 0),2699.00)</stp>
        <stp>Bar</stp>
        <stp/>
        <stp>Close</stp>
        <stp>D</stp>
        <stp>0</stp>
        <stp>all</stp>
        <stp/>
        <stp/>
        <stp/>
        <stp>T</stp>
        <tr r="O167" s="1"/>
      </tp>
      <tp t="s">
        <v/>
        <stp/>
        <stp>StudyData</stp>
        <stp>FPVol(FootprintOp (EP, 0),2698.00)</stp>
        <stp>Bar</stp>
        <stp/>
        <stp>Close</stp>
        <stp>D</stp>
        <stp>0</stp>
        <stp>all</stp>
        <stp/>
        <stp/>
        <stp/>
        <stp>T</stp>
        <tr r="O171" s="1"/>
      </tp>
      <tp t="s">
        <v/>
        <stp/>
        <stp>StudyData</stp>
        <stp>FPVol(FootprintOp (EP, 0),2693.00)</stp>
        <stp>Bar</stp>
        <stp/>
        <stp>Close</stp>
        <stp>D</stp>
        <stp>0</stp>
        <stp>all</stp>
        <stp/>
        <stp/>
        <stp/>
        <stp>T</stp>
        <tr r="O191" s="1"/>
      </tp>
      <tp t="s">
        <v/>
        <stp/>
        <stp>StudyData</stp>
        <stp>FPVol(FootprintOp (EP, 0),2692.00)</stp>
        <stp>Bar</stp>
        <stp/>
        <stp>Close</stp>
        <stp>D</stp>
        <stp>0</stp>
        <stp>all</stp>
        <stp/>
        <stp/>
        <stp/>
        <stp>T</stp>
        <tr r="O195" s="1"/>
      </tp>
      <tp t="s">
        <v/>
        <stp/>
        <stp>StudyData</stp>
        <stp>FPVol(FootprintOp (EP, 0),2691.00)</stp>
        <stp>Bar</stp>
        <stp/>
        <stp>Close</stp>
        <stp>D</stp>
        <stp>0</stp>
        <stp>all</stp>
        <stp/>
        <stp/>
        <stp/>
        <stp>T</stp>
        <tr r="O199" s="1"/>
      </tp>
      <tp t="s">
        <v/>
        <stp/>
        <stp>StudyData</stp>
        <stp>FPVol(FootprintOp (EP, 0),2690.00)</stp>
        <stp>Bar</stp>
        <stp/>
        <stp>Close</stp>
        <stp>D</stp>
        <stp>0</stp>
        <stp>all</stp>
        <stp/>
        <stp/>
        <stp/>
        <stp>T</stp>
        <tr r="O203" s="1"/>
      </tp>
      <tp t="s">
        <v/>
        <stp/>
        <stp>StudyData</stp>
        <stp>FPVol(FootprintOp (EP, 0),2697.00)</stp>
        <stp>Bar</stp>
        <stp/>
        <stp>Close</stp>
        <stp>D</stp>
        <stp>0</stp>
        <stp>all</stp>
        <stp/>
        <stp/>
        <stp/>
        <stp>T</stp>
        <tr r="O175" s="1"/>
      </tp>
      <tp t="s">
        <v/>
        <stp/>
        <stp>StudyData</stp>
        <stp>FPVol(FootprintOp (EP, 0),2696.00)</stp>
        <stp>Bar</stp>
        <stp/>
        <stp>Close</stp>
        <stp>D</stp>
        <stp>0</stp>
        <stp>all</stp>
        <stp/>
        <stp/>
        <stp/>
        <stp>T</stp>
        <tr r="O179" s="1"/>
      </tp>
      <tp t="s">
        <v/>
        <stp/>
        <stp>StudyData</stp>
        <stp>FPVol(FootprintOp (EP, 0),2695.00)</stp>
        <stp>Bar</stp>
        <stp/>
        <stp>Close</stp>
        <stp>D</stp>
        <stp>0</stp>
        <stp>all</stp>
        <stp/>
        <stp/>
        <stp/>
        <stp>T</stp>
        <tr r="O183" s="1"/>
      </tp>
      <tp t="s">
        <v/>
        <stp/>
        <stp>StudyData</stp>
        <stp>FPVol(FootprintOp (EP, 0),2694.00)</stp>
        <stp>Bar</stp>
        <stp/>
        <stp>Close</stp>
        <stp>D</stp>
        <stp>0</stp>
        <stp>all</stp>
        <stp/>
        <stp/>
        <stp/>
        <stp>T</stp>
        <tr r="O187" s="1"/>
      </tp>
      <tp>
        <v>129</v>
        <stp/>
        <stp>DOMData</stp>
        <stp>EP</stp>
        <stp>Volume</stp>
        <stp>-3</stp>
        <tr r="D14" s="2"/>
      </tp>
      <tp>
        <v>30</v>
        <stp/>
        <stp>DOMData</stp>
        <stp>EP</stp>
        <stp>Volume</stp>
        <stp>-2</stp>
        <tr r="E14" s="2"/>
      </tp>
      <tp>
        <v>110</v>
        <stp/>
        <stp>DOMData</stp>
        <stp>EP</stp>
        <stp>Volume</stp>
        <stp>-1</stp>
        <tr r="F14" s="2"/>
      </tp>
      <tp>
        <v>105</v>
        <stp/>
        <stp>DOMData</stp>
        <stp>EP</stp>
        <stp>Volume</stp>
        <stp>-5</stp>
        <tr r="B14" s="2"/>
      </tp>
      <tp>
        <v>91</v>
        <stp/>
        <stp>DOMData</stp>
        <stp>EP</stp>
        <stp>Volume</stp>
        <stp>-4</stp>
        <tr r="C14" s="2"/>
      </tp>
      <tp>
        <v>22223</v>
        <stp/>
        <stp>StudyData</stp>
        <stp>FPVol(FootprintOp (EP, 0),2729.00)</stp>
        <stp>Bar</stp>
        <stp/>
        <stp>Close</stp>
        <stp>D</stp>
        <stp>0</stp>
        <stp>all</stp>
        <stp/>
        <stp/>
        <stp/>
        <stp>T</stp>
        <tr r="O47" s="1"/>
      </tp>
      <tp>
        <v>17081</v>
        <stp/>
        <stp>StudyData</stp>
        <stp>FPVol(FootprintOp (EP, 0),2728.00)</stp>
        <stp>Bar</stp>
        <stp/>
        <stp>Close</stp>
        <stp>D</stp>
        <stp>0</stp>
        <stp>all</stp>
        <stp/>
        <stp/>
        <stp/>
        <stp>T</stp>
        <tr r="O51" s="1"/>
      </tp>
      <tp>
        <v>6603</v>
        <stp/>
        <stp>StudyData</stp>
        <stp>FPVol(FootprintOp (EP, 0),2723.00)</stp>
        <stp>Bar</stp>
        <stp/>
        <stp>Close</stp>
        <stp>D</stp>
        <stp>0</stp>
        <stp>all</stp>
        <stp/>
        <stp/>
        <stp/>
        <stp>T</stp>
        <tr r="O71" s="1"/>
      </tp>
      <tp>
        <v>3134</v>
        <stp/>
        <stp>StudyData</stp>
        <stp>FPVol(FootprintOp (EP, 0),2722.00)</stp>
        <stp>Bar</stp>
        <stp/>
        <stp>Close</stp>
        <stp>D</stp>
        <stp>0</stp>
        <stp>all</stp>
        <stp/>
        <stp/>
        <stp/>
        <stp>T</stp>
        <tr r="O75" s="1"/>
      </tp>
      <tp>
        <v>1712</v>
        <stp/>
        <stp>StudyData</stp>
        <stp>FPVol(FootprintOp (EP, 0),2721.00)</stp>
        <stp>Bar</stp>
        <stp/>
        <stp>Close</stp>
        <stp>D</stp>
        <stp>0</stp>
        <stp>all</stp>
        <stp/>
        <stp/>
        <stp/>
        <stp>T</stp>
        <tr r="O79" s="1"/>
      </tp>
      <tp>
        <v>861</v>
        <stp/>
        <stp>StudyData</stp>
        <stp>FPVol(FootprintOp (EP, 0),2720.00)</stp>
        <stp>Bar</stp>
        <stp/>
        <stp>Close</stp>
        <stp>D</stp>
        <stp>0</stp>
        <stp>all</stp>
        <stp/>
        <stp/>
        <stp/>
        <stp>T</stp>
        <tr r="O83" s="1"/>
      </tp>
      <tp>
        <v>13361</v>
        <stp/>
        <stp>StudyData</stp>
        <stp>FPVol(FootprintOp (EP, 0),2727.00)</stp>
        <stp>Bar</stp>
        <stp/>
        <stp>Close</stp>
        <stp>D</stp>
        <stp>0</stp>
        <stp>all</stp>
        <stp/>
        <stp/>
        <stp/>
        <stp>T</stp>
        <tr r="O55" s="1"/>
      </tp>
      <tp>
        <v>18461</v>
        <stp/>
        <stp>StudyData</stp>
        <stp>FPVol(FootprintOp (EP, 0),2726.00)</stp>
        <stp>Bar</stp>
        <stp/>
        <stp>Close</stp>
        <stp>D</stp>
        <stp>0</stp>
        <stp>all</stp>
        <stp/>
        <stp/>
        <stp/>
        <stp>T</stp>
        <tr r="O59" s="1"/>
      </tp>
      <tp>
        <v>15741</v>
        <stp/>
        <stp>StudyData</stp>
        <stp>FPVol(FootprintOp (EP, 0),2725.00)</stp>
        <stp>Bar</stp>
        <stp/>
        <stp>Close</stp>
        <stp>D</stp>
        <stp>0</stp>
        <stp>all</stp>
        <stp/>
        <stp/>
        <stp/>
        <stp>T</stp>
        <tr r="O63" s="1"/>
      </tp>
      <tp>
        <v>11725</v>
        <stp/>
        <stp>StudyData</stp>
        <stp>FPVol(FootprintOp (EP, 0),2724.00)</stp>
        <stp>Bar</stp>
        <stp/>
        <stp>Close</stp>
        <stp>D</stp>
        <stp>0</stp>
        <stp>all</stp>
        <stp/>
        <stp/>
        <stp/>
        <stp>T</stp>
        <tr r="O67" s="1"/>
      </tp>
      <tp>
        <v>14220</v>
        <stp/>
        <stp>StudyData</stp>
        <stp>FPVol(FootprintOp (EP, 0),2739.00)</stp>
        <stp>Bar</stp>
        <stp/>
        <stp>Close</stp>
        <stp>D</stp>
        <stp>0</stp>
        <stp>all</stp>
        <stp/>
        <stp/>
        <stp/>
        <stp>T</stp>
        <tr r="O7" s="1"/>
      </tp>
      <tp>
        <v>11236</v>
        <stp/>
        <stp>StudyData</stp>
        <stp>FPVol(FootprintOp (EP, 0),2738.00)</stp>
        <stp>Bar</stp>
        <stp/>
        <stp>Close</stp>
        <stp>D</stp>
        <stp>0</stp>
        <stp>all</stp>
        <stp/>
        <stp/>
        <stp/>
        <stp>T</stp>
        <tr r="O11" s="1"/>
      </tp>
      <tp>
        <v>18250</v>
        <stp/>
        <stp>StudyData</stp>
        <stp>FPVol(FootprintOp (EP, 0),2733.00)</stp>
        <stp>Bar</stp>
        <stp/>
        <stp>Close</stp>
        <stp>D</stp>
        <stp>0</stp>
        <stp>all</stp>
        <stp/>
        <stp/>
        <stp/>
        <stp>T</stp>
        <tr r="O31" s="1"/>
      </tp>
      <tp>
        <v>17666</v>
        <stp/>
        <stp>StudyData</stp>
        <stp>FPVol(FootprintOp (EP, 0),2732.00)</stp>
        <stp>Bar</stp>
        <stp/>
        <stp>Close</stp>
        <stp>D</stp>
        <stp>0</stp>
        <stp>all</stp>
        <stp/>
        <stp/>
        <stp/>
        <stp>T</stp>
        <tr r="O35" s="1"/>
      </tp>
      <tp>
        <v>17656</v>
        <stp/>
        <stp>StudyData</stp>
        <stp>FPVol(FootprintOp (EP, 0),2731.00)</stp>
        <stp>Bar</stp>
        <stp/>
        <stp>Close</stp>
        <stp>D</stp>
        <stp>0</stp>
        <stp>all</stp>
        <stp/>
        <stp/>
        <stp/>
        <stp>T</stp>
        <tr r="O39" s="1"/>
      </tp>
      <tp>
        <v>21211</v>
        <stp/>
        <stp>StudyData</stp>
        <stp>FPVol(FootprintOp (EP, 0),2730.00)</stp>
        <stp>Bar</stp>
        <stp/>
        <stp>Close</stp>
        <stp>D</stp>
        <stp>0</stp>
        <stp>all</stp>
        <stp/>
        <stp/>
        <stp/>
        <stp>T</stp>
        <tr r="O43" s="1"/>
      </tp>
      <tp>
        <v>8063</v>
        <stp/>
        <stp>StudyData</stp>
        <stp>FPVol(FootprintOp (EP, 0),2737.00)</stp>
        <stp>Bar</stp>
        <stp/>
        <stp>Close</stp>
        <stp>D</stp>
        <stp>0</stp>
        <stp>all</stp>
        <stp/>
        <stp/>
        <stp/>
        <stp>T</stp>
        <tr r="O15" s="1"/>
      </tp>
      <tp>
        <v>13486</v>
        <stp/>
        <stp>StudyData</stp>
        <stp>FPVol(FootprintOp (EP, 0),2736.00)</stp>
        <stp>Bar</stp>
        <stp/>
        <stp>Close</stp>
        <stp>D</stp>
        <stp>0</stp>
        <stp>all</stp>
        <stp/>
        <stp/>
        <stp/>
        <stp>T</stp>
        <tr r="O19" s="1"/>
      </tp>
      <tp>
        <v>19268</v>
        <stp/>
        <stp>StudyData</stp>
        <stp>FPVol(FootprintOp (EP, 0),2735.00)</stp>
        <stp>Bar</stp>
        <stp/>
        <stp>Close</stp>
        <stp>D</stp>
        <stp>0</stp>
        <stp>all</stp>
        <stp/>
        <stp/>
        <stp/>
        <stp>T</stp>
        <tr r="O23" s="1"/>
      </tp>
      <tp>
        <v>22427</v>
        <stp/>
        <stp>StudyData</stp>
        <stp>FPVol(FootprintOp (EP, 0),2734.00)</stp>
        <stp>Bar</stp>
        <stp/>
        <stp>Close</stp>
        <stp>D</stp>
        <stp>0</stp>
        <stp>all</stp>
        <stp/>
        <stp/>
        <stp/>
        <stp>T</stp>
        <tr r="O27" s="1"/>
      </tp>
      <tp t="s">
        <v/>
        <stp/>
        <stp>StudyData</stp>
        <stp>FPVol(FootprintOp (EP, 0),2709.00)</stp>
        <stp>Bar</stp>
        <stp/>
        <stp>Close</stp>
        <stp>D</stp>
        <stp>0</stp>
        <stp>all</stp>
        <stp/>
        <stp/>
        <stp/>
        <stp>T</stp>
        <tr r="O127" s="1"/>
      </tp>
      <tp t="s">
        <v/>
        <stp/>
        <stp>StudyData</stp>
        <stp>FPVol(FootprintOp (EP, 0),2708.00)</stp>
        <stp>Bar</stp>
        <stp/>
        <stp>Close</stp>
        <stp>D</stp>
        <stp>0</stp>
        <stp>all</stp>
        <stp/>
        <stp/>
        <stp/>
        <stp>T</stp>
        <tr r="O131" s="1"/>
      </tp>
      <tp t="s">
        <v/>
        <stp/>
        <stp>StudyData</stp>
        <stp>FPVol(FootprintOp (EP, 0),2703.00)</stp>
        <stp>Bar</stp>
        <stp/>
        <stp>Close</stp>
        <stp>D</stp>
        <stp>0</stp>
        <stp>all</stp>
        <stp/>
        <stp/>
        <stp/>
        <stp>T</stp>
        <tr r="O151" s="1"/>
      </tp>
      <tp t="s">
        <v/>
        <stp/>
        <stp>StudyData</stp>
        <stp>FPVol(FootprintOp (EP, 0),2702.00)</stp>
        <stp>Bar</stp>
        <stp/>
        <stp>Close</stp>
        <stp>D</stp>
        <stp>0</stp>
        <stp>all</stp>
        <stp/>
        <stp/>
        <stp/>
        <stp>T</stp>
        <tr r="O155" s="1"/>
      </tp>
      <tp t="s">
        <v/>
        <stp/>
        <stp>StudyData</stp>
        <stp>FPVol(FootprintOp (EP, 0),2701.00)</stp>
        <stp>Bar</stp>
        <stp/>
        <stp>Close</stp>
        <stp>D</stp>
        <stp>0</stp>
        <stp>all</stp>
        <stp/>
        <stp/>
        <stp/>
        <stp>T</stp>
        <tr r="O159" s="1"/>
      </tp>
      <tp t="s">
        <v/>
        <stp/>
        <stp>StudyData</stp>
        <stp>FPVol(FootprintOp (EP, 0),2700.00)</stp>
        <stp>Bar</stp>
        <stp/>
        <stp>Close</stp>
        <stp>D</stp>
        <stp>0</stp>
        <stp>all</stp>
        <stp/>
        <stp/>
        <stp/>
        <stp>T</stp>
        <tr r="O163" s="1"/>
      </tp>
      <tp t="s">
        <v/>
        <stp/>
        <stp>StudyData</stp>
        <stp>FPVol(FootprintOp (EP, 0),2707.00)</stp>
        <stp>Bar</stp>
        <stp/>
        <stp>Close</stp>
        <stp>D</stp>
        <stp>0</stp>
        <stp>all</stp>
        <stp/>
        <stp/>
        <stp/>
        <stp>T</stp>
        <tr r="O135" s="1"/>
      </tp>
      <tp t="s">
        <v/>
        <stp/>
        <stp>StudyData</stp>
        <stp>FPVol(FootprintOp (EP, 0),2706.00)</stp>
        <stp>Bar</stp>
        <stp/>
        <stp>Close</stp>
        <stp>D</stp>
        <stp>0</stp>
        <stp>all</stp>
        <stp/>
        <stp/>
        <stp/>
        <stp>T</stp>
        <tr r="O139" s="1"/>
      </tp>
      <tp t="s">
        <v/>
        <stp/>
        <stp>StudyData</stp>
        <stp>FPVol(FootprintOp (EP, 0),2705.00)</stp>
        <stp>Bar</stp>
        <stp/>
        <stp>Close</stp>
        <stp>D</stp>
        <stp>0</stp>
        <stp>all</stp>
        <stp/>
        <stp/>
        <stp/>
        <stp>T</stp>
        <tr r="O143" s="1"/>
      </tp>
      <tp t="s">
        <v/>
        <stp/>
        <stp>StudyData</stp>
        <stp>FPVol(FootprintOp (EP, 0),2704.00)</stp>
        <stp>Bar</stp>
        <stp/>
        <stp>Close</stp>
        <stp>D</stp>
        <stp>0</stp>
        <stp>all</stp>
        <stp/>
        <stp/>
        <stp/>
        <stp>T</stp>
        <tr r="O147" s="1"/>
      </tp>
      <tp t="s">
        <v/>
        <stp/>
        <stp>StudyData</stp>
        <stp>FPVol(FootprintOp (EP, 0),2719.00)</stp>
        <stp>Bar</stp>
        <stp/>
        <stp>Close</stp>
        <stp>D</stp>
        <stp>0</stp>
        <stp>all</stp>
        <stp/>
        <stp/>
        <stp/>
        <stp>T</stp>
        <tr r="O87" s="1"/>
      </tp>
      <tp t="s">
        <v/>
        <stp/>
        <stp>StudyData</stp>
        <stp>FPVol(FootprintOp (EP, 0),2718.00)</stp>
        <stp>Bar</stp>
        <stp/>
        <stp>Close</stp>
        <stp>D</stp>
        <stp>0</stp>
        <stp>all</stp>
        <stp/>
        <stp/>
        <stp/>
        <stp>T</stp>
        <tr r="O91" s="1"/>
      </tp>
      <tp t="s">
        <v/>
        <stp/>
        <stp>StudyData</stp>
        <stp>FPVol(FootprintOp (EP, 0),2713.00)</stp>
        <stp>Bar</stp>
        <stp/>
        <stp>Close</stp>
        <stp>D</stp>
        <stp>0</stp>
        <stp>all</stp>
        <stp/>
        <stp/>
        <stp/>
        <stp>T</stp>
        <tr r="O111" s="1"/>
      </tp>
      <tp t="s">
        <v/>
        <stp/>
        <stp>StudyData</stp>
        <stp>FPVol(FootprintOp (EP, 0),2712.00)</stp>
        <stp>Bar</stp>
        <stp/>
        <stp>Close</stp>
        <stp>D</stp>
        <stp>0</stp>
        <stp>all</stp>
        <stp/>
        <stp/>
        <stp/>
        <stp>T</stp>
        <tr r="O115" s="1"/>
      </tp>
      <tp t="s">
        <v/>
        <stp/>
        <stp>StudyData</stp>
        <stp>FPVol(FootprintOp (EP, 0),2711.00)</stp>
        <stp>Bar</stp>
        <stp/>
        <stp>Close</stp>
        <stp>D</stp>
        <stp>0</stp>
        <stp>all</stp>
        <stp/>
        <stp/>
        <stp/>
        <stp>T</stp>
        <tr r="O119" s="1"/>
      </tp>
      <tp t="s">
        <v/>
        <stp/>
        <stp>StudyData</stp>
        <stp>FPVol(FootprintOp (EP, 0),2710.00)</stp>
        <stp>Bar</stp>
        <stp/>
        <stp>Close</stp>
        <stp>D</stp>
        <stp>0</stp>
        <stp>all</stp>
        <stp/>
        <stp/>
        <stp/>
        <stp>T</stp>
        <tr r="O123" s="1"/>
      </tp>
      <tp t="s">
        <v/>
        <stp/>
        <stp>StudyData</stp>
        <stp>FPVol(FootprintOp (EP, 0),2717.00)</stp>
        <stp>Bar</stp>
        <stp/>
        <stp>Close</stp>
        <stp>D</stp>
        <stp>0</stp>
        <stp>all</stp>
        <stp/>
        <stp/>
        <stp/>
        <stp>T</stp>
        <tr r="O95" s="1"/>
      </tp>
      <tp t="s">
        <v/>
        <stp/>
        <stp>StudyData</stp>
        <stp>FPVol(FootprintOp (EP, 0),2716.00)</stp>
        <stp>Bar</stp>
        <stp/>
        <stp>Close</stp>
        <stp>D</stp>
        <stp>0</stp>
        <stp>all</stp>
        <stp/>
        <stp/>
        <stp/>
        <stp>T</stp>
        <tr r="O99" s="1"/>
      </tp>
      <tp t="s">
        <v/>
        <stp/>
        <stp>StudyData</stp>
        <stp>FPVol(FootprintOp (EP, 0),2715.00)</stp>
        <stp>Bar</stp>
        <stp/>
        <stp>Close</stp>
        <stp>D</stp>
        <stp>0</stp>
        <stp>all</stp>
        <stp/>
        <stp/>
        <stp/>
        <stp>T</stp>
        <tr r="O103" s="1"/>
      </tp>
      <tp t="s">
        <v/>
        <stp/>
        <stp>StudyData</stp>
        <stp>FPVol(FootprintOp (EP, 0),2714.00)</stp>
        <stp>Bar</stp>
        <stp/>
        <stp>Close</stp>
        <stp>D</stp>
        <stp>0</stp>
        <stp>all</stp>
        <stp/>
        <stp/>
        <stp/>
        <stp>T</stp>
        <tr r="O107" s="1"/>
      </tp>
      <tp>
        <v>1801</v>
        <stp/>
        <stp>StudyData</stp>
        <stp>FPVol(FootprintOp (EP, 0),2740.00)</stp>
        <stp>Bar</stp>
        <stp/>
        <stp>Close</stp>
        <stp>D</stp>
        <stp>0</stp>
        <stp>all</stp>
        <stp/>
        <stp/>
        <stp/>
        <stp>T</stp>
        <tr r="O3" s="1"/>
      </tp>
      <tp>
        <v>123</v>
        <stp/>
        <stp>StudyData</stp>
        <stp>AlgOrdAskVol(SUBMINUTE((EP),5,Regular),1,0)</stp>
        <stp>Bar</stp>
        <stp/>
        <stp>Open</stp>
        <stp>5</stp>
        <stp>-1</stp>
        <stp/>
        <stp/>
        <stp/>
        <stp/>
        <stp>T</stp>
        <tr r="AB9" s="2"/>
        <tr r="AB9" s="2"/>
      </tp>
      <tp>
        <v>8</v>
        <stp/>
        <stp>StudyData</stp>
        <stp>AlgOrdAskVol(SUBMINUTE((EP),1,Regular),1,0)</stp>
        <stp>Bar</stp>
        <stp/>
        <stp>Open</stp>
        <stp>5</stp>
        <stp>-1</stp>
        <stp/>
        <stp/>
        <stp/>
        <stp/>
        <stp>T</stp>
        <tr r="W9" s="2"/>
        <tr r="W9" s="2"/>
      </tp>
      <tp>
        <v>212</v>
        <stp/>
        <stp>StudyData</stp>
        <stp>AlgOrdBidVol(SUBMINUTE((EP),1,Regular),1,0)</stp>
        <stp>Bar</stp>
        <stp/>
        <stp>Open</stp>
        <stp>5</stp>
        <stp>-1</stp>
        <stp/>
        <stp/>
        <stp/>
        <stp/>
        <stp>T</stp>
        <tr r="V9" s="2"/>
        <tr r="V9" s="2"/>
      </tp>
      <tp>
        <v>212</v>
        <stp/>
        <stp>StudyData</stp>
        <stp>AlgOrdBidVol(SUBMINUTE((EP),5,Regular),1,0)</stp>
        <stp>Bar</stp>
        <stp/>
        <stp>Open</stp>
        <stp>5</stp>
        <stp>-1</stp>
        <stp/>
        <stp/>
        <stp/>
        <stp/>
        <stp>T</stp>
        <tr r="AA9" s="2"/>
        <tr r="AA9" s="2"/>
      </tp>
      <tp>
        <v>436</v>
        <stp/>
        <stp>StudyData</stp>
        <stp>BAVolCr.AskVol^(SUBMINUTE((EP),5,FillGap),5,0)</stp>
        <stp>Bar</stp>
        <stp/>
        <stp>Open</stp>
        <stp>5</stp>
        <stp>-44</stp>
        <stp/>
        <stp/>
        <stp/>
        <stp/>
        <stp>T</stp>
        <tr r="AK45" s="1"/>
      </tp>
      <tp>
        <v>283</v>
        <stp/>
        <stp>StudyData</stp>
        <stp>BAVolCr.AskVol^(SUBMINUTE((EP),5,FillGap),5,0)</stp>
        <stp>Bar</stp>
        <stp/>
        <stp>Open</stp>
        <stp>5</stp>
        <stp>-54</stp>
        <stp/>
        <stp/>
        <stp/>
        <stp/>
        <stp>T</stp>
        <tr r="AK55" s="1"/>
      </tp>
      <tp>
        <v>48</v>
        <stp/>
        <stp>StudyData</stp>
        <stp>BAVolCr.AskVol^(SUBMINUTE((EP),5,FillGap),5,0)</stp>
        <stp>Bar</stp>
        <stp/>
        <stp>Open</stp>
        <stp>5</stp>
        <stp>-14</stp>
        <stp/>
        <stp/>
        <stp/>
        <stp/>
        <stp>T</stp>
        <tr r="AK15" s="1"/>
      </tp>
      <tp>
        <v>355</v>
        <stp/>
        <stp>StudyData</stp>
        <stp>BAVolCr.AskVol^(SUBMINUTE((EP),5,FillGap),5,0)</stp>
        <stp>Bar</stp>
        <stp/>
        <stp>Open</stp>
        <stp>5</stp>
        <stp>-24</stp>
        <stp/>
        <stp/>
        <stp/>
        <stp/>
        <stp>T</stp>
        <tr r="AK25" s="1"/>
      </tp>
      <tp>
        <v>230</v>
        <stp/>
        <stp>StudyData</stp>
        <stp>BAVolCr.AskVol^(SUBMINUTE((EP),5,FillGap),5,0)</stp>
        <stp>Bar</stp>
        <stp/>
        <stp>Open</stp>
        <stp>5</stp>
        <stp>-34</stp>
        <stp/>
        <stp/>
        <stp/>
        <stp/>
        <stp>T</stp>
        <tr r="AK35" s="1"/>
      </tp>
      <tp>
        <v>0</v>
        <stp/>
        <stp>StudyData</stp>
        <stp>BAVolCr.AskVol^(SUBMINUTE((EP),1,FillGap),5,0)</stp>
        <stp>Bar</stp>
        <stp/>
        <stp>Open</stp>
        <stp>5</stp>
        <stp>-44</stp>
        <stp/>
        <stp/>
        <stp/>
        <stp/>
        <stp>T</stp>
        <tr r="AC45" s="1"/>
      </tp>
      <tp>
        <v>75</v>
        <stp/>
        <stp>StudyData</stp>
        <stp>BAVolCr.AskVol^(SUBMINUTE((EP),1,FillGap),5,0)</stp>
        <stp>Bar</stp>
        <stp/>
        <stp>Open</stp>
        <stp>5</stp>
        <stp>-54</stp>
        <stp/>
        <stp/>
        <stp/>
        <stp/>
        <stp>T</stp>
        <tr r="AC55" s="1"/>
      </tp>
      <tp>
        <v>248</v>
        <stp/>
        <stp>StudyData</stp>
        <stp>BAVolCr.AskVol^(SUBMINUTE((EP),1,FillGap),5,0)</stp>
        <stp>Bar</stp>
        <stp/>
        <stp>Open</stp>
        <stp>5</stp>
        <stp>-14</stp>
        <stp/>
        <stp/>
        <stp/>
        <stp/>
        <stp>T</stp>
        <tr r="AC15" s="1"/>
      </tp>
      <tp>
        <v>372</v>
        <stp/>
        <stp>StudyData</stp>
        <stp>BAVolCr.AskVol^(SUBMINUTE((EP),1,FillGap),5,0)</stp>
        <stp>Bar</stp>
        <stp/>
        <stp>Open</stp>
        <stp>5</stp>
        <stp>-24</stp>
        <stp/>
        <stp/>
        <stp/>
        <stp/>
        <stp>T</stp>
        <tr r="AC25" s="1"/>
      </tp>
      <tp>
        <v>400</v>
        <stp/>
        <stp>StudyData</stp>
        <stp>BAVolCr.AskVol^(SUBMINUTE((EP),1,FillGap),5,0)</stp>
        <stp>Bar</stp>
        <stp/>
        <stp>Open</stp>
        <stp>5</stp>
        <stp>-34</stp>
        <stp/>
        <stp/>
        <stp/>
        <stp/>
        <stp>T</stp>
        <tr r="AC35" s="1"/>
      </tp>
      <tp>
        <v>511</v>
        <stp/>
        <stp>StudyData</stp>
        <stp>BAVolCr.AskVol^(SUBMINUTE((EP),5,FillGap),5,0)</stp>
        <stp>Bar</stp>
        <stp/>
        <stp>Open</stp>
        <stp>5</stp>
        <stp>-45</stp>
        <stp/>
        <stp/>
        <stp/>
        <stp/>
        <stp>T</stp>
        <tr r="AK46" s="1"/>
      </tp>
      <tp>
        <v>252</v>
        <stp/>
        <stp>StudyData</stp>
        <stp>BAVolCr.AskVol^(SUBMINUTE((EP),5,FillGap),5,0)</stp>
        <stp>Bar</stp>
        <stp/>
        <stp>Open</stp>
        <stp>5</stp>
        <stp>-55</stp>
        <stp/>
        <stp/>
        <stp/>
        <stp/>
        <stp>T</stp>
        <tr r="AK56" s="1"/>
      </tp>
      <tp>
        <v>40</v>
        <stp/>
        <stp>StudyData</stp>
        <stp>BAVolCr.AskVol^(SUBMINUTE((EP),5,FillGap),5,0)</stp>
        <stp>Bar</stp>
        <stp/>
        <stp>Open</stp>
        <stp>5</stp>
        <stp>-15</stp>
        <stp/>
        <stp/>
        <stp/>
        <stp/>
        <stp>T</stp>
        <tr r="AK16" s="1"/>
      </tp>
      <tp>
        <v>231</v>
        <stp/>
        <stp>StudyData</stp>
        <stp>BAVolCr.AskVol^(SUBMINUTE((EP),5,FillGap),5,0)</stp>
        <stp>Bar</stp>
        <stp/>
        <stp>Open</stp>
        <stp>5</stp>
        <stp>-25</stp>
        <stp/>
        <stp/>
        <stp/>
        <stp/>
        <stp>T</stp>
        <tr r="AK26" s="1"/>
      </tp>
      <tp>
        <v>254</v>
        <stp/>
        <stp>StudyData</stp>
        <stp>BAVolCr.AskVol^(SUBMINUTE((EP),5,FillGap),5,0)</stp>
        <stp>Bar</stp>
        <stp/>
        <stp>Open</stp>
        <stp>5</stp>
        <stp>-35</stp>
        <stp/>
        <stp/>
        <stp/>
        <stp/>
        <stp>T</stp>
        <tr r="AK36" s="1"/>
      </tp>
      <tp>
        <v>216</v>
        <stp/>
        <stp>StudyData</stp>
        <stp>BAVolCr.AskVol^(SUBMINUTE((EP),1,FillGap),5,0)</stp>
        <stp>Bar</stp>
        <stp/>
        <stp>Open</stp>
        <stp>5</stp>
        <stp>-45</stp>
        <stp/>
        <stp/>
        <stp/>
        <stp/>
        <stp>T</stp>
        <tr r="AC46" s="1"/>
      </tp>
      <tp>
        <v>75</v>
        <stp/>
        <stp>StudyData</stp>
        <stp>BAVolCr.AskVol^(SUBMINUTE((EP),1,FillGap),5,0)</stp>
        <stp>Bar</stp>
        <stp/>
        <stp>Open</stp>
        <stp>5</stp>
        <stp>-55</stp>
        <stp/>
        <stp/>
        <stp/>
        <stp/>
        <stp>T</stp>
        <tr r="AC56" s="1"/>
      </tp>
      <tp>
        <v>257</v>
        <stp/>
        <stp>StudyData</stp>
        <stp>BAVolCr.AskVol^(SUBMINUTE((EP),1,FillGap),5,0)</stp>
        <stp>Bar</stp>
        <stp/>
        <stp>Open</stp>
        <stp>5</stp>
        <stp>-15</stp>
        <stp/>
        <stp/>
        <stp/>
        <stp/>
        <stp>T</stp>
        <tr r="AC16" s="1"/>
      </tp>
      <tp>
        <v>144</v>
        <stp/>
        <stp>StudyData</stp>
        <stp>BAVolCr.AskVol^(SUBMINUTE((EP),1,FillGap),5,0)</stp>
        <stp>Bar</stp>
        <stp/>
        <stp>Open</stp>
        <stp>5</stp>
        <stp>-25</stp>
        <stp/>
        <stp/>
        <stp/>
        <stp/>
        <stp>T</stp>
        <tr r="AC26" s="1"/>
      </tp>
      <tp>
        <v>498</v>
        <stp/>
        <stp>StudyData</stp>
        <stp>BAVolCr.AskVol^(SUBMINUTE((EP),1,FillGap),5,0)</stp>
        <stp>Bar</stp>
        <stp/>
        <stp>Open</stp>
        <stp>5</stp>
        <stp>-35</stp>
        <stp/>
        <stp/>
        <stp/>
        <stp/>
        <stp>T</stp>
        <tr r="AC36" s="1"/>
      </tp>
      <tp>
        <v>437</v>
        <stp/>
        <stp>StudyData</stp>
        <stp>BAVolCr.AskVol^(SUBMINUTE((EP),5,FillGap),5,0)</stp>
        <stp>Bar</stp>
        <stp/>
        <stp>Open</stp>
        <stp>5</stp>
        <stp>-46</stp>
        <stp/>
        <stp/>
        <stp/>
        <stp/>
        <stp>T</stp>
        <tr r="AK47" s="1"/>
      </tp>
      <tp>
        <v>363</v>
        <stp/>
        <stp>StudyData</stp>
        <stp>BAVolCr.AskVol^(SUBMINUTE((EP),5,FillGap),5,0)</stp>
        <stp>Bar</stp>
        <stp/>
        <stp>Open</stp>
        <stp>5</stp>
        <stp>-56</stp>
        <stp/>
        <stp/>
        <stp/>
        <stp/>
        <stp>T</stp>
        <tr r="AK57" s="1"/>
      </tp>
      <tp>
        <v>160</v>
        <stp/>
        <stp>StudyData</stp>
        <stp>BAVolCr.AskVol^(SUBMINUTE((EP),5,FillGap),5,0)</stp>
        <stp>Bar</stp>
        <stp/>
        <stp>Open</stp>
        <stp>5</stp>
        <stp>-16</stp>
        <stp/>
        <stp/>
        <stp/>
        <stp/>
        <stp>T</stp>
        <tr r="AK17" s="1"/>
      </tp>
      <tp>
        <v>237</v>
        <stp/>
        <stp>StudyData</stp>
        <stp>BAVolCr.AskVol^(SUBMINUTE((EP),5,FillGap),5,0)</stp>
        <stp>Bar</stp>
        <stp/>
        <stp>Open</stp>
        <stp>5</stp>
        <stp>-26</stp>
        <stp/>
        <stp/>
        <stp/>
        <stp/>
        <stp>T</stp>
        <tr r="AK27" s="1"/>
      </tp>
      <tp>
        <v>370</v>
        <stp/>
        <stp>StudyData</stp>
        <stp>BAVolCr.AskVol^(SUBMINUTE((EP),5,FillGap),5,0)</stp>
        <stp>Bar</stp>
        <stp/>
        <stp>Open</stp>
        <stp>5</stp>
        <stp>-36</stp>
        <stp/>
        <stp/>
        <stp/>
        <stp/>
        <stp>T</stp>
        <tr r="AK37" s="1"/>
      </tp>
      <tp>
        <v>219</v>
        <stp/>
        <stp>StudyData</stp>
        <stp>BAVolCr.AskVol^(SUBMINUTE((EP),1,FillGap),5,0)</stp>
        <stp>Bar</stp>
        <stp/>
        <stp>Open</stp>
        <stp>5</stp>
        <stp>-46</stp>
        <stp/>
        <stp/>
        <stp/>
        <stp/>
        <stp>T</stp>
        <tr r="AC47" s="1"/>
      </tp>
      <tp>
        <v>94</v>
        <stp/>
        <stp>StudyData</stp>
        <stp>BAVolCr.AskVol^(SUBMINUTE((EP),1,FillGap),5,0)</stp>
        <stp>Bar</stp>
        <stp/>
        <stp>Open</stp>
        <stp>5</stp>
        <stp>-56</stp>
        <stp/>
        <stp/>
        <stp/>
        <stp/>
        <stp>T</stp>
        <tr r="AC57" s="1"/>
      </tp>
      <tp>
        <v>210</v>
        <stp/>
        <stp>StudyData</stp>
        <stp>BAVolCr.AskVol^(SUBMINUTE((EP),1,FillGap),5,0)</stp>
        <stp>Bar</stp>
        <stp/>
        <stp>Open</stp>
        <stp>5</stp>
        <stp>-16</stp>
        <stp/>
        <stp/>
        <stp/>
        <stp/>
        <stp>T</stp>
        <tr r="AC17" s="1"/>
      </tp>
      <tp>
        <v>436</v>
        <stp/>
        <stp>StudyData</stp>
        <stp>BAVolCr.AskVol^(SUBMINUTE((EP),1,FillGap),5,0)</stp>
        <stp>Bar</stp>
        <stp/>
        <stp>Open</stp>
        <stp>5</stp>
        <stp>-26</stp>
        <stp/>
        <stp/>
        <stp/>
        <stp/>
        <stp>T</stp>
        <tr r="AC27" s="1"/>
      </tp>
      <tp>
        <v>922</v>
        <stp/>
        <stp>StudyData</stp>
        <stp>BAVolCr.AskVol^(SUBMINUTE((EP),1,FillGap),5,0)</stp>
        <stp>Bar</stp>
        <stp/>
        <stp>Open</stp>
        <stp>5</stp>
        <stp>-36</stp>
        <stp/>
        <stp/>
        <stp/>
        <stp/>
        <stp>T</stp>
        <tr r="AC37" s="1"/>
      </tp>
      <tp>
        <v>0</v>
        <stp/>
        <stp>StudyData</stp>
        <stp>AlgOrdBidVol(SUBMINUTE((EP),5,Regular),1,0)</stp>
        <stp>Bar</stp>
        <stp/>
        <stp>Open</stp>
        <stp>5</stp>
        <stp>0</stp>
        <stp/>
        <stp/>
        <stp/>
        <stp/>
        <stp>T</stp>
        <tr r="AA6" s="2"/>
        <tr r="AA6" s="2"/>
      </tp>
      <tp>
        <v>367</v>
        <stp/>
        <stp>StudyData</stp>
        <stp>BAVolCr.AskVol^(SUBMINUTE((EP),5,FillGap),5,0)</stp>
        <stp>Bar</stp>
        <stp/>
        <stp>Open</stp>
        <stp>5</stp>
        <stp>-47</stp>
        <stp/>
        <stp/>
        <stp/>
        <stp/>
        <stp>T</stp>
        <tr r="AK48" s="1"/>
      </tp>
      <tp>
        <v>322</v>
        <stp/>
        <stp>StudyData</stp>
        <stp>BAVolCr.AskVol^(SUBMINUTE((EP),5,FillGap),5,0)</stp>
        <stp>Bar</stp>
        <stp/>
        <stp>Open</stp>
        <stp>5</stp>
        <stp>-57</stp>
        <stp/>
        <stp/>
        <stp/>
        <stp/>
        <stp>T</stp>
        <tr r="AK58" s="1"/>
      </tp>
      <tp>
        <v>294</v>
        <stp/>
        <stp>StudyData</stp>
        <stp>BAVolCr.AskVol^(SUBMINUTE((EP),5,FillGap),5,0)</stp>
        <stp>Bar</stp>
        <stp/>
        <stp>Open</stp>
        <stp>5</stp>
        <stp>-17</stp>
        <stp/>
        <stp/>
        <stp/>
        <stp/>
        <stp>T</stp>
        <tr r="AK18" s="1"/>
      </tp>
      <tp>
        <v>171</v>
        <stp/>
        <stp>StudyData</stp>
        <stp>BAVolCr.AskVol^(SUBMINUTE((EP),5,FillGap),5,0)</stp>
        <stp>Bar</stp>
        <stp/>
        <stp>Open</stp>
        <stp>5</stp>
        <stp>-27</stp>
        <stp/>
        <stp/>
        <stp/>
        <stp/>
        <stp>T</stp>
        <tr r="AK28" s="1"/>
      </tp>
      <tp>
        <v>400</v>
        <stp/>
        <stp>StudyData</stp>
        <stp>BAVolCr.AskVol^(SUBMINUTE((EP),5,FillGap),5,0)</stp>
        <stp>Bar</stp>
        <stp/>
        <stp>Open</stp>
        <stp>5</stp>
        <stp>-37</stp>
        <stp/>
        <stp/>
        <stp/>
        <stp/>
        <stp>T</stp>
        <tr r="AK38" s="1"/>
      </tp>
      <tp>
        <v>219</v>
        <stp/>
        <stp>StudyData</stp>
        <stp>BAVolCr.AskVol^(SUBMINUTE((EP),1,FillGap),5,0)</stp>
        <stp>Bar</stp>
        <stp/>
        <stp>Open</stp>
        <stp>5</stp>
        <stp>-47</stp>
        <stp/>
        <stp/>
        <stp/>
        <stp/>
        <stp>T</stp>
        <tr r="AC48" s="1"/>
      </tp>
      <tp>
        <v>88</v>
        <stp/>
        <stp>StudyData</stp>
        <stp>BAVolCr.AskVol^(SUBMINUTE((EP),1,FillGap),5,0)</stp>
        <stp>Bar</stp>
        <stp/>
        <stp>Open</stp>
        <stp>5</stp>
        <stp>-57</stp>
        <stp/>
        <stp/>
        <stp/>
        <stp/>
        <stp>T</stp>
        <tr r="AC58" s="1"/>
      </tp>
      <tp>
        <v>216</v>
        <stp/>
        <stp>StudyData</stp>
        <stp>BAVolCr.AskVol^(SUBMINUTE((EP),1,FillGap),5,0)</stp>
        <stp>Bar</stp>
        <stp/>
        <stp>Open</stp>
        <stp>5</stp>
        <stp>-17</stp>
        <stp/>
        <stp/>
        <stp/>
        <stp/>
        <stp>T</stp>
        <tr r="AC18" s="1"/>
      </tp>
      <tp>
        <v>419</v>
        <stp/>
        <stp>StudyData</stp>
        <stp>BAVolCr.AskVol^(SUBMINUTE((EP),1,FillGap),5,0)</stp>
        <stp>Bar</stp>
        <stp/>
        <stp>Open</stp>
        <stp>5</stp>
        <stp>-27</stp>
        <stp/>
        <stp/>
        <stp/>
        <stp/>
        <stp>T</stp>
        <tr r="AC28" s="1"/>
      </tp>
      <tp>
        <v>1076</v>
        <stp/>
        <stp>StudyData</stp>
        <stp>BAVolCr.AskVol^(SUBMINUTE((EP),1,FillGap),5,0)</stp>
        <stp>Bar</stp>
        <stp/>
        <stp>Open</stp>
        <stp>5</stp>
        <stp>-37</stp>
        <stp/>
        <stp/>
        <stp/>
        <stp/>
        <stp>T</stp>
        <tr r="AC38" s="1"/>
      </tp>
      <tp>
        <v>356</v>
        <stp/>
        <stp>StudyData</stp>
        <stp>BAVolCr.AskVol^(SUBMINUTE((EP),5,FillGap),5,0)</stp>
        <stp>Bar</stp>
        <stp/>
        <stp>Open</stp>
        <stp>5</stp>
        <stp>-40</stp>
        <stp/>
        <stp/>
        <stp/>
        <stp/>
        <stp>T</stp>
        <tr r="AK41" s="1"/>
      </tp>
      <tp>
        <v>172</v>
        <stp/>
        <stp>StudyData</stp>
        <stp>BAVolCr.AskVol^(SUBMINUTE((EP),5,FillGap),5,0)</stp>
        <stp>Bar</stp>
        <stp/>
        <stp>Open</stp>
        <stp>5</stp>
        <stp>-50</stp>
        <stp/>
        <stp/>
        <stp/>
        <stp/>
        <stp>T</stp>
        <tr r="AK51" s="1"/>
      </tp>
      <tp>
        <v>318</v>
        <stp/>
        <stp>StudyData</stp>
        <stp>BAVolCr.AskVol^(SUBMINUTE((EP),5,FillGap),5,0)</stp>
        <stp>Bar</stp>
        <stp/>
        <stp>Open</stp>
        <stp>5</stp>
        <stp>-60</stp>
        <stp/>
        <stp/>
        <stp/>
        <stp/>
        <stp>T</stp>
        <tr r="AK61" s="1"/>
      </tp>
      <tp>
        <v>322</v>
        <stp/>
        <stp>StudyData</stp>
        <stp>BAVolCr.AskVol^(SUBMINUTE((EP),5,FillGap),5,0)</stp>
        <stp>Bar</stp>
        <stp/>
        <stp>Open</stp>
        <stp>5</stp>
        <stp>-10</stp>
        <stp/>
        <stp/>
        <stp/>
        <stp/>
        <stp>T</stp>
        <tr r="AK11" s="1"/>
      </tp>
      <tp>
        <v>538</v>
        <stp/>
        <stp>StudyData</stp>
        <stp>BAVolCr.AskVol^(SUBMINUTE((EP),5,FillGap),5,0)</stp>
        <stp>Bar</stp>
        <stp/>
        <stp>Open</stp>
        <stp>5</stp>
        <stp>-20</stp>
        <stp/>
        <stp/>
        <stp/>
        <stp/>
        <stp>T</stp>
        <tr r="AK21" s="1"/>
      </tp>
      <tp>
        <v>198</v>
        <stp/>
        <stp>StudyData</stp>
        <stp>BAVolCr.AskVol^(SUBMINUTE((EP),5,FillGap),5,0)</stp>
        <stp>Bar</stp>
        <stp/>
        <stp>Open</stp>
        <stp>5</stp>
        <stp>-30</stp>
        <stp/>
        <stp/>
        <stp/>
        <stp/>
        <stp>T</stp>
        <tr r="AK31" s="1"/>
      </tp>
      <tp>
        <v>848</v>
        <stp/>
        <stp>StudyData</stp>
        <stp>BAVolCr.AskVol^(SUBMINUTE((EP),1,FillGap),5,0)</stp>
        <stp>Bar</stp>
        <stp/>
        <stp>Open</stp>
        <stp>5</stp>
        <stp>-40</stp>
        <stp/>
        <stp/>
        <stp/>
        <stp/>
        <stp>T</stp>
        <tr r="AC41" s="1"/>
      </tp>
      <tp>
        <v>3</v>
        <stp/>
        <stp>StudyData</stp>
        <stp>BAVolCr.AskVol^(SUBMINUTE((EP),1,FillGap),5,0)</stp>
        <stp>Bar</stp>
        <stp/>
        <stp>Open</stp>
        <stp>5</stp>
        <stp>-50</stp>
        <stp/>
        <stp/>
        <stp/>
        <stp/>
        <stp>T</stp>
        <tr r="AC51" s="1"/>
      </tp>
      <tp>
        <v>37</v>
        <stp/>
        <stp>StudyData</stp>
        <stp>BAVolCr.AskVol^(SUBMINUTE((EP),1,FillGap),5,0)</stp>
        <stp>Bar</stp>
        <stp/>
        <stp>Open</stp>
        <stp>5</stp>
        <stp>-60</stp>
        <stp/>
        <stp/>
        <stp/>
        <stp/>
        <stp>T</stp>
        <tr r="AC61" s="1"/>
      </tp>
      <tp>
        <v>122</v>
        <stp/>
        <stp>StudyData</stp>
        <stp>BAVolCr.AskVol^(SUBMINUTE((EP),1,FillGap),5,0)</stp>
        <stp>Bar</stp>
        <stp/>
        <stp>Open</stp>
        <stp>5</stp>
        <stp>-10</stp>
        <stp/>
        <stp/>
        <stp/>
        <stp/>
        <stp>T</stp>
        <tr r="AC11" s="1"/>
      </tp>
      <tp>
        <v>429</v>
        <stp/>
        <stp>StudyData</stp>
        <stp>BAVolCr.AskVol^(SUBMINUTE((EP),1,FillGap),5,0)</stp>
        <stp>Bar</stp>
        <stp/>
        <stp>Open</stp>
        <stp>5</stp>
        <stp>-20</stp>
        <stp/>
        <stp/>
        <stp/>
        <stp/>
        <stp>T</stp>
        <tr r="AC21" s="1"/>
      </tp>
      <tp>
        <v>486</v>
        <stp/>
        <stp>StudyData</stp>
        <stp>BAVolCr.AskVol^(SUBMINUTE((EP),1,FillGap),5,0)</stp>
        <stp>Bar</stp>
        <stp/>
        <stp>Open</stp>
        <stp>5</stp>
        <stp>-30</stp>
        <stp/>
        <stp/>
        <stp/>
        <stp/>
        <stp>T</stp>
        <tr r="AC31" s="1"/>
      </tp>
      <tp>
        <v>325</v>
        <stp/>
        <stp>StudyData</stp>
        <stp>BAVolCr.AskVol^(SUBMINUTE((EP),5,FillGap),5,0)</stp>
        <stp>Bar</stp>
        <stp/>
        <stp>Open</stp>
        <stp>5</stp>
        <stp>-41</stp>
        <stp/>
        <stp/>
        <stp/>
        <stp/>
        <stp>T</stp>
        <tr r="AK42" s="1"/>
      </tp>
      <tp>
        <v>136</v>
        <stp/>
        <stp>StudyData</stp>
        <stp>BAVolCr.AskVol^(SUBMINUTE((EP),5,FillGap),5,0)</stp>
        <stp>Bar</stp>
        <stp/>
        <stp>Open</stp>
        <stp>5</stp>
        <stp>-51</stp>
        <stp/>
        <stp/>
        <stp/>
        <stp/>
        <stp>T</stp>
        <tr r="AK52" s="1"/>
      </tp>
      <tp>
        <v>103</v>
        <stp/>
        <stp>StudyData</stp>
        <stp>BAVolCr.AskVol^(SUBMINUTE((EP),5,FillGap),5,0)</stp>
        <stp>Bar</stp>
        <stp/>
        <stp>Open</stp>
        <stp>5</stp>
        <stp>-11</stp>
        <stp/>
        <stp/>
        <stp/>
        <stp/>
        <stp>T</stp>
        <tr r="AK12" s="1"/>
      </tp>
      <tp>
        <v>425</v>
        <stp/>
        <stp>StudyData</stp>
        <stp>BAVolCr.AskVol^(SUBMINUTE((EP),5,FillGap),5,0)</stp>
        <stp>Bar</stp>
        <stp/>
        <stp>Open</stp>
        <stp>5</stp>
        <stp>-21</stp>
        <stp/>
        <stp/>
        <stp/>
        <stp/>
        <stp>T</stp>
        <tr r="AK22" s="1"/>
      </tp>
      <tp>
        <v>210</v>
        <stp/>
        <stp>StudyData</stp>
        <stp>BAVolCr.AskVol^(SUBMINUTE((EP),5,FillGap),5,0)</stp>
        <stp>Bar</stp>
        <stp/>
        <stp>Open</stp>
        <stp>5</stp>
        <stp>-31</stp>
        <stp/>
        <stp/>
        <stp/>
        <stp/>
        <stp>T</stp>
        <tr r="AK32" s="1"/>
      </tp>
      <tp>
        <v>424</v>
        <stp/>
        <stp>StudyData</stp>
        <stp>BAVolCr.AskVol^(SUBMINUTE((EP),1,FillGap),5,0)</stp>
        <stp>Bar</stp>
        <stp/>
        <stp>Open</stp>
        <stp>5</stp>
        <stp>-41</stp>
        <stp/>
        <stp/>
        <stp/>
        <stp/>
        <stp>T</stp>
        <tr r="AC42" s="1"/>
      </tp>
      <tp>
        <v>11</v>
        <stp/>
        <stp>StudyData</stp>
        <stp>BAVolCr.AskVol^(SUBMINUTE((EP),1,FillGap),5,0)</stp>
        <stp>Bar</stp>
        <stp/>
        <stp>Open</stp>
        <stp>5</stp>
        <stp>-51</stp>
        <stp/>
        <stp/>
        <stp/>
        <stp/>
        <stp>T</stp>
        <tr r="AC52" s="1"/>
      </tp>
      <tp>
        <v>169</v>
        <stp/>
        <stp>StudyData</stp>
        <stp>BAVolCr.AskVol^(SUBMINUTE((EP),1,FillGap),5,0)</stp>
        <stp>Bar</stp>
        <stp/>
        <stp>Open</stp>
        <stp>5</stp>
        <stp>-11</stp>
        <stp/>
        <stp/>
        <stp/>
        <stp/>
        <stp>T</stp>
        <tr r="AC12" s="1"/>
      </tp>
      <tp>
        <v>392</v>
        <stp/>
        <stp>StudyData</stp>
        <stp>BAVolCr.AskVol^(SUBMINUTE((EP),1,FillGap),5,0)</stp>
        <stp>Bar</stp>
        <stp/>
        <stp>Open</stp>
        <stp>5</stp>
        <stp>-21</stp>
        <stp/>
        <stp/>
        <stp/>
        <stp/>
        <stp>T</stp>
        <tr r="AC22" s="1"/>
      </tp>
      <tp>
        <v>175</v>
        <stp/>
        <stp>StudyData</stp>
        <stp>BAVolCr.AskVol^(SUBMINUTE((EP),1,FillGap),5,0)</stp>
        <stp>Bar</stp>
        <stp/>
        <stp>Open</stp>
        <stp>5</stp>
        <stp>-31</stp>
        <stp/>
        <stp/>
        <stp/>
        <stp/>
        <stp>T</stp>
        <tr r="AC32" s="1"/>
      </tp>
      <tp>
        <v>25</v>
        <stp/>
        <stp>StudyData</stp>
        <stp>AlgOrdAskVol(SUBMINUTE((EP),5,Regular),1,0)</stp>
        <stp>Bar</stp>
        <stp/>
        <stp>Open</stp>
        <stp>5</stp>
        <stp>-8</stp>
        <stp/>
        <stp/>
        <stp/>
        <stp/>
        <stp>T</stp>
        <tr r="AB30" s="2"/>
        <tr r="AB30" s="2"/>
      </tp>
      <tp>
        <v>0</v>
        <stp/>
        <stp>StudyData</stp>
        <stp>AlgOrdAskVol(SUBMINUTE((EP),1,Regular),1,0)</stp>
        <stp>Bar</stp>
        <stp/>
        <stp>Open</stp>
        <stp>5</stp>
        <stp>-8</stp>
        <stp/>
        <stp/>
        <stp/>
        <stp/>
        <stp>T</stp>
        <tr r="W30" s="2"/>
        <tr r="W30" s="2"/>
      </tp>
      <tp>
        <v>0</v>
        <stp/>
        <stp>StudyData</stp>
        <stp>AlgOrdBidVol(SUBMINUTE((EP),1,Regular),1,0)</stp>
        <stp>Bar</stp>
        <stp/>
        <stp>Open</stp>
        <stp>5</stp>
        <stp>-8</stp>
        <stp/>
        <stp/>
        <stp/>
        <stp/>
        <stp>T</stp>
        <tr r="V30" s="2"/>
        <tr r="V30" s="2"/>
      </tp>
      <tp>
        <v>15</v>
        <stp/>
        <stp>StudyData</stp>
        <stp>AlgOrdBidVol(SUBMINUTE((EP),5,Regular),1,0)</stp>
        <stp>Bar</stp>
        <stp/>
        <stp>Open</stp>
        <stp>5</stp>
        <stp>-8</stp>
        <stp/>
        <stp/>
        <stp/>
        <stp/>
        <stp>T</stp>
        <tr r="AA30" s="2"/>
        <tr r="AA30" s="2"/>
      </tp>
      <tp>
        <v>366</v>
        <stp/>
        <stp>StudyData</stp>
        <stp>BAVolCr.AskVol^(SUBMINUTE((EP),5,FillGap),5,0)</stp>
        <stp>Bar</stp>
        <stp/>
        <stp>Open</stp>
        <stp>5</stp>
        <stp>-42</stp>
        <stp/>
        <stp/>
        <stp/>
        <stp/>
        <stp>T</stp>
        <tr r="AK43" s="1"/>
      </tp>
      <tp>
        <v>130</v>
        <stp/>
        <stp>StudyData</stp>
        <stp>BAVolCr.AskVol^(SUBMINUTE((EP),5,FillGap),5,0)</stp>
        <stp>Bar</stp>
        <stp/>
        <stp>Open</stp>
        <stp>5</stp>
        <stp>-52</stp>
        <stp/>
        <stp/>
        <stp/>
        <stp/>
        <stp>T</stp>
        <tr r="AK53" s="1"/>
      </tp>
      <tp>
        <v>92</v>
        <stp/>
        <stp>StudyData</stp>
        <stp>BAVolCr.AskVol^(SUBMINUTE((EP),5,FillGap),5,0)</stp>
        <stp>Bar</stp>
        <stp/>
        <stp>Open</stp>
        <stp>5</stp>
        <stp>-12</stp>
        <stp/>
        <stp/>
        <stp/>
        <stp/>
        <stp>T</stp>
        <tr r="AK13" s="1"/>
      </tp>
      <tp>
        <v>360</v>
        <stp/>
        <stp>StudyData</stp>
        <stp>BAVolCr.AskVol^(SUBMINUTE((EP),5,FillGap),5,0)</stp>
        <stp>Bar</stp>
        <stp/>
        <stp>Open</stp>
        <stp>5</stp>
        <stp>-22</stp>
        <stp/>
        <stp/>
        <stp/>
        <stp/>
        <stp>T</stp>
        <tr r="AK23" s="1"/>
      </tp>
      <tp>
        <v>259</v>
        <stp/>
        <stp>StudyData</stp>
        <stp>BAVolCr.AskVol^(SUBMINUTE((EP),5,FillGap),5,0)</stp>
        <stp>Bar</stp>
        <stp/>
        <stp>Open</stp>
        <stp>5</stp>
        <stp>-32</stp>
        <stp/>
        <stp/>
        <stp/>
        <stp/>
        <stp>T</stp>
        <tr r="AK33" s="1"/>
      </tp>
      <tp>
        <v>0</v>
        <stp/>
        <stp>StudyData</stp>
        <stp>BAVolCr.AskVol^(SUBMINUTE((EP),1,FillGap),5,0)</stp>
        <stp>Bar</stp>
        <stp/>
        <stp>Open</stp>
        <stp>5</stp>
        <stp>-42</stp>
        <stp/>
        <stp/>
        <stp/>
        <stp/>
        <stp>T</stp>
        <tr r="AC43" s="1"/>
      </tp>
      <tp>
        <v>21</v>
        <stp/>
        <stp>StudyData</stp>
        <stp>BAVolCr.AskVol^(SUBMINUTE((EP),1,FillGap),5,0)</stp>
        <stp>Bar</stp>
        <stp/>
        <stp>Open</stp>
        <stp>5</stp>
        <stp>-52</stp>
        <stp/>
        <stp/>
        <stp/>
        <stp/>
        <stp>T</stp>
        <tr r="AC53" s="1"/>
      </tp>
      <tp>
        <v>192</v>
        <stp/>
        <stp>StudyData</stp>
        <stp>BAVolCr.AskVol^(SUBMINUTE((EP),1,FillGap),5,0)</stp>
        <stp>Bar</stp>
        <stp/>
        <stp>Open</stp>
        <stp>5</stp>
        <stp>-12</stp>
        <stp/>
        <stp/>
        <stp/>
        <stp/>
        <stp>T</stp>
        <tr r="AC13" s="1"/>
      </tp>
      <tp>
        <v>430</v>
        <stp/>
        <stp>StudyData</stp>
        <stp>BAVolCr.AskVol^(SUBMINUTE((EP),1,FillGap),5,0)</stp>
        <stp>Bar</stp>
        <stp/>
        <stp>Open</stp>
        <stp>5</stp>
        <stp>-22</stp>
        <stp/>
        <stp/>
        <stp/>
        <stp/>
        <stp>T</stp>
        <tr r="AC23" s="1"/>
      </tp>
      <tp>
        <v>393</v>
        <stp/>
        <stp>StudyData</stp>
        <stp>BAVolCr.AskVol^(SUBMINUTE((EP),1,FillGap),5,0)</stp>
        <stp>Bar</stp>
        <stp/>
        <stp>Open</stp>
        <stp>5</stp>
        <stp>-32</stp>
        <stp/>
        <stp/>
        <stp/>
        <stp/>
        <stp>T</stp>
        <tr r="AC33" s="1"/>
      </tp>
      <tp>
        <v>0</v>
        <stp/>
        <stp>StudyData</stp>
        <stp>AlgOrdBidVol(SUBMINUTE((EP),1,Regular),1,0)</stp>
        <stp>Bar</stp>
        <stp/>
        <stp>Open</stp>
        <stp>5</stp>
        <stp>0</stp>
        <stp/>
        <stp/>
        <stp/>
        <stp/>
        <stp>T</stp>
        <tr r="V6" s="2"/>
        <tr r="V6" s="2"/>
      </tp>
      <tp>
        <v>1</v>
        <stp/>
        <stp>StudyData</stp>
        <stp>AlgOrdAskVol(SUBMINUTE((EP),5,Regular),1,0)</stp>
        <stp>Bar</stp>
        <stp/>
        <stp>Open</stp>
        <stp>5</stp>
        <stp>-9</stp>
        <stp/>
        <stp/>
        <stp/>
        <stp/>
        <stp>T</stp>
        <tr r="AB33" s="2"/>
        <tr r="AB33" s="2"/>
      </tp>
      <tp>
        <v>0</v>
        <stp/>
        <stp>StudyData</stp>
        <stp>AlgOrdAskVol(SUBMINUTE((EP),1,Regular),1,0)</stp>
        <stp>Bar</stp>
        <stp/>
        <stp>Open</stp>
        <stp>5</stp>
        <stp>-9</stp>
        <stp/>
        <stp/>
        <stp/>
        <stp/>
        <stp>T</stp>
        <tr r="W33" s="2"/>
        <tr r="W33" s="2"/>
      </tp>
      <tp>
        <v>69</v>
        <stp/>
        <stp>StudyData</stp>
        <stp>AlgOrdBidVol(SUBMINUTE((EP),1,Regular),1,0)</stp>
        <stp>Bar</stp>
        <stp/>
        <stp>Open</stp>
        <stp>5</stp>
        <stp>-9</stp>
        <stp/>
        <stp/>
        <stp/>
        <stp/>
        <stp>T</stp>
        <tr r="V33" s="2"/>
        <tr r="V33" s="2"/>
      </tp>
      <tp>
        <v>47</v>
        <stp/>
        <stp>StudyData</stp>
        <stp>AlgOrdBidVol(SUBMINUTE((EP),5,Regular),1,0)</stp>
        <stp>Bar</stp>
        <stp/>
        <stp>Open</stp>
        <stp>5</stp>
        <stp>-9</stp>
        <stp/>
        <stp/>
        <stp/>
        <stp/>
        <stp>T</stp>
        <tr r="AA33" s="2"/>
        <tr r="AA33" s="2"/>
      </tp>
      <tp>
        <v>408</v>
        <stp/>
        <stp>StudyData</stp>
        <stp>BAVolCr.AskVol^(SUBMINUTE((EP),5,FillGap),5,0)</stp>
        <stp>Bar</stp>
        <stp/>
        <stp>Open</stp>
        <stp>5</stp>
        <stp>-43</stp>
        <stp/>
        <stp/>
        <stp/>
        <stp/>
        <stp>T</stp>
        <tr r="AK44" s="1"/>
      </tp>
      <tp>
        <v>248</v>
        <stp/>
        <stp>StudyData</stp>
        <stp>BAVolCr.AskVol^(SUBMINUTE((EP),5,FillGap),5,0)</stp>
        <stp>Bar</stp>
        <stp/>
        <stp>Open</stp>
        <stp>5</stp>
        <stp>-53</stp>
        <stp/>
        <stp/>
        <stp/>
        <stp/>
        <stp>T</stp>
        <tr r="AK54" s="1"/>
      </tp>
      <tp>
        <v>45</v>
        <stp/>
        <stp>StudyData</stp>
        <stp>BAVolCr.AskVol^(SUBMINUTE((EP),5,FillGap),5,0)</stp>
        <stp>Bar</stp>
        <stp/>
        <stp>Open</stp>
        <stp>5</stp>
        <stp>-13</stp>
        <stp/>
        <stp/>
        <stp/>
        <stp/>
        <stp>T</stp>
        <tr r="AK14" s="1"/>
      </tp>
      <tp>
        <v>342</v>
        <stp/>
        <stp>StudyData</stp>
        <stp>BAVolCr.AskVol^(SUBMINUTE((EP),5,FillGap),5,0)</stp>
        <stp>Bar</stp>
        <stp/>
        <stp>Open</stp>
        <stp>5</stp>
        <stp>-23</stp>
        <stp/>
        <stp/>
        <stp/>
        <stp/>
        <stp>T</stp>
        <tr r="AK24" s="1"/>
      </tp>
      <tp>
        <v>211</v>
        <stp/>
        <stp>StudyData</stp>
        <stp>BAVolCr.AskVol^(SUBMINUTE((EP),5,FillGap),5,0)</stp>
        <stp>Bar</stp>
        <stp/>
        <stp>Open</stp>
        <stp>5</stp>
        <stp>-33</stp>
        <stp/>
        <stp/>
        <stp/>
        <stp/>
        <stp>T</stp>
        <tr r="AK34" s="1"/>
      </tp>
      <tp>
        <v>0</v>
        <stp/>
        <stp>StudyData</stp>
        <stp>BAVolCr.AskVol^(SUBMINUTE((EP),1,FillGap),5,0)</stp>
        <stp>Bar</stp>
        <stp/>
        <stp>Open</stp>
        <stp>5</stp>
        <stp>-43</stp>
        <stp/>
        <stp/>
        <stp/>
        <stp/>
        <stp>T</stp>
        <tr r="AC44" s="1"/>
      </tp>
      <tp>
        <v>48</v>
        <stp/>
        <stp>StudyData</stp>
        <stp>BAVolCr.AskVol^(SUBMINUTE((EP),1,FillGap),5,0)</stp>
        <stp>Bar</stp>
        <stp/>
        <stp>Open</stp>
        <stp>5</stp>
        <stp>-53</stp>
        <stp/>
        <stp/>
        <stp/>
        <stp/>
        <stp>T</stp>
        <tr r="AC54" s="1"/>
      </tp>
      <tp>
        <v>206</v>
        <stp/>
        <stp>StudyData</stp>
        <stp>BAVolCr.AskVol^(SUBMINUTE((EP),1,FillGap),5,0)</stp>
        <stp>Bar</stp>
        <stp/>
        <stp>Open</stp>
        <stp>5</stp>
        <stp>-13</stp>
        <stp/>
        <stp/>
        <stp/>
        <stp/>
        <stp>T</stp>
        <tr r="AC14" s="1"/>
      </tp>
      <tp>
        <v>413</v>
        <stp/>
        <stp>StudyData</stp>
        <stp>BAVolCr.AskVol^(SUBMINUTE((EP),1,FillGap),5,0)</stp>
        <stp>Bar</stp>
        <stp/>
        <stp>Open</stp>
        <stp>5</stp>
        <stp>-23</stp>
        <stp/>
        <stp/>
        <stp/>
        <stp/>
        <stp>T</stp>
        <tr r="AC24" s="1"/>
      </tp>
      <tp>
        <v>397</v>
        <stp/>
        <stp>StudyData</stp>
        <stp>BAVolCr.AskVol^(SUBMINUTE((EP),1,FillGap),5,0)</stp>
        <stp>Bar</stp>
        <stp/>
        <stp>Open</stp>
        <stp>5</stp>
        <stp>-33</stp>
        <stp/>
        <stp/>
        <stp/>
        <stp/>
        <stp>T</stp>
        <tr r="AC34" s="1"/>
      </tp>
      <tp>
        <v>249</v>
        <stp/>
        <stp>StudyData</stp>
        <stp>BAVolCr.BidVol^(SUBMINUTE((EP),5,FillGap),5,0)</stp>
        <stp>Bar</stp>
        <stp/>
        <stp>Open</stp>
        <stp>5</stp>
        <stp>-56</stp>
        <stp/>
        <stp/>
        <stp/>
        <stp/>
        <stp>T</stp>
        <tr r="AJ57" s="1"/>
      </tp>
      <tp>
        <v>339</v>
        <stp/>
        <stp>StudyData</stp>
        <stp>BAVolCr.BidVol^(SUBMINUTE((EP),5,FillGap),5,0)</stp>
        <stp>Bar</stp>
        <stp/>
        <stp>Open</stp>
        <stp>5</stp>
        <stp>-46</stp>
        <stp/>
        <stp/>
        <stp/>
        <stp/>
        <stp>T</stp>
        <tr r="AJ47" s="1"/>
      </tp>
      <tp>
        <v>448</v>
        <stp/>
        <stp>StudyData</stp>
        <stp>BAVolCr.BidVol^(SUBMINUTE((EP),5,FillGap),5,0)</stp>
        <stp>Bar</stp>
        <stp/>
        <stp>Open</stp>
        <stp>5</stp>
        <stp>-36</stp>
        <stp/>
        <stp/>
        <stp/>
        <stp/>
        <stp>T</stp>
        <tr r="AJ37" s="1"/>
      </tp>
      <tp>
        <v>266</v>
        <stp/>
        <stp>StudyData</stp>
        <stp>BAVolCr.BidVol^(SUBMINUTE((EP),5,FillGap),5,0)</stp>
        <stp>Bar</stp>
        <stp/>
        <stp>Open</stp>
        <stp>5</stp>
        <stp>-26</stp>
        <stp/>
        <stp/>
        <stp/>
        <stp/>
        <stp>T</stp>
        <tr r="AJ27" s="1"/>
      </tp>
      <tp>
        <v>296</v>
        <stp/>
        <stp>StudyData</stp>
        <stp>BAVolCr.BidVol^(SUBMINUTE((EP),5,FillGap),5,0)</stp>
        <stp>Bar</stp>
        <stp/>
        <stp>Open</stp>
        <stp>5</stp>
        <stp>-16</stp>
        <stp/>
        <stp/>
        <stp/>
        <stp/>
        <stp>T</stp>
        <tr r="AJ17" s="1"/>
      </tp>
      <tp>
        <v>318</v>
        <stp/>
        <stp>StudyData</stp>
        <stp>BAVolCr.BidVol^(SUBMINUTE((EP),1,FillGap),5,0)</stp>
        <stp>Bar</stp>
        <stp/>
        <stp>Open</stp>
        <stp>5</stp>
        <stp>-56</stp>
        <stp/>
        <stp/>
        <stp/>
        <stp/>
        <stp>T</stp>
        <tr r="AB57" s="1"/>
      </tp>
      <tp>
        <v>110</v>
        <stp/>
        <stp>StudyData</stp>
        <stp>BAVolCr.BidVol^(SUBMINUTE((EP),1,FillGap),5,0)</stp>
        <stp>Bar</stp>
        <stp/>
        <stp>Open</stp>
        <stp>5</stp>
        <stp>-46</stp>
        <stp/>
        <stp/>
        <stp/>
        <stp/>
        <stp>T</stp>
        <tr r="AB47" s="1"/>
      </tp>
      <tp>
        <v>148</v>
        <stp/>
        <stp>StudyData</stp>
        <stp>BAVolCr.BidVol^(SUBMINUTE((EP),1,FillGap),5,0)</stp>
        <stp>Bar</stp>
        <stp/>
        <stp>Open</stp>
        <stp>5</stp>
        <stp>-36</stp>
        <stp/>
        <stp/>
        <stp/>
        <stp/>
        <stp>T</stp>
        <tr r="AB37" s="1"/>
      </tp>
      <tp>
        <v>375</v>
        <stp/>
        <stp>StudyData</stp>
        <stp>BAVolCr.BidVol^(SUBMINUTE((EP),1,FillGap),5,0)</stp>
        <stp>Bar</stp>
        <stp/>
        <stp>Open</stp>
        <stp>5</stp>
        <stp>-26</stp>
        <stp/>
        <stp/>
        <stp/>
        <stp/>
        <stp>T</stp>
        <tr r="AB27" s="1"/>
      </tp>
      <tp>
        <v>56</v>
        <stp/>
        <stp>StudyData</stp>
        <stp>BAVolCr.BidVol^(SUBMINUTE((EP),1,FillGap),5,0)</stp>
        <stp>Bar</stp>
        <stp/>
        <stp>Open</stp>
        <stp>5</stp>
        <stp>-16</stp>
        <stp/>
        <stp/>
        <stp/>
        <stp/>
        <stp>T</stp>
        <tr r="AB17" s="1"/>
      </tp>
      <tp>
        <v>2739.25</v>
        <stp/>
        <stp>StudyData</stp>
        <stp>EP</stp>
        <stp>FG</stp>
        <stp/>
        <stp>High</stp>
        <stp>1</stp>
        <stp>0</stp>
        <stp/>
        <stp/>
        <stp/>
        <stp/>
        <stp>T</stp>
        <tr r="W10" s="1"/>
      </tp>
      <tp>
        <v>418</v>
        <stp/>
        <stp>StudyData</stp>
        <stp>BAVolCr.BidVol^(SUBMINUTE((EP),5,FillGap),5,0)</stp>
        <stp>Bar</stp>
        <stp/>
        <stp>Open</stp>
        <stp>5</stp>
        <stp>-57</stp>
        <stp/>
        <stp/>
        <stp/>
        <stp/>
        <stp>T</stp>
        <tr r="AJ58" s="1"/>
      </tp>
      <tp>
        <v>280</v>
        <stp/>
        <stp>StudyData</stp>
        <stp>BAVolCr.BidVol^(SUBMINUTE((EP),5,FillGap),5,0)</stp>
        <stp>Bar</stp>
        <stp/>
        <stp>Open</stp>
        <stp>5</stp>
        <stp>-47</stp>
        <stp/>
        <stp/>
        <stp/>
        <stp/>
        <stp>T</stp>
        <tr r="AJ48" s="1"/>
      </tp>
      <tp>
        <v>517</v>
        <stp/>
        <stp>StudyData</stp>
        <stp>BAVolCr.BidVol^(SUBMINUTE((EP),5,FillGap),5,0)</stp>
        <stp>Bar</stp>
        <stp/>
        <stp>Open</stp>
        <stp>5</stp>
        <stp>-37</stp>
        <stp/>
        <stp/>
        <stp/>
        <stp/>
        <stp>T</stp>
        <tr r="AJ38" s="1"/>
      </tp>
      <tp>
        <v>255</v>
        <stp/>
        <stp>StudyData</stp>
        <stp>BAVolCr.BidVol^(SUBMINUTE((EP),5,FillGap),5,0)</stp>
        <stp>Bar</stp>
        <stp/>
        <stp>Open</stp>
        <stp>5</stp>
        <stp>-27</stp>
        <stp/>
        <stp/>
        <stp/>
        <stp/>
        <stp>T</stp>
        <tr r="AJ28" s="1"/>
      </tp>
      <tp>
        <v>280</v>
        <stp/>
        <stp>StudyData</stp>
        <stp>BAVolCr.BidVol^(SUBMINUTE((EP),5,FillGap),5,0)</stp>
        <stp>Bar</stp>
        <stp/>
        <stp>Open</stp>
        <stp>5</stp>
        <stp>-17</stp>
        <stp/>
        <stp/>
        <stp/>
        <stp/>
        <stp>T</stp>
        <tr r="AJ18" s="1"/>
      </tp>
      <tp>
        <v>326</v>
        <stp/>
        <stp>StudyData</stp>
        <stp>BAVolCr.BidVol^(SUBMINUTE((EP),1,FillGap),5,0)</stp>
        <stp>Bar</stp>
        <stp/>
        <stp>Open</stp>
        <stp>5</stp>
        <stp>-57</stp>
        <stp/>
        <stp/>
        <stp/>
        <stp/>
        <stp>T</stp>
        <tr r="AB58" s="1"/>
      </tp>
      <tp>
        <v>459</v>
        <stp/>
        <stp>StudyData</stp>
        <stp>BAVolCr.BidVol^(SUBMINUTE((EP),1,FillGap),5,0)</stp>
        <stp>Bar</stp>
        <stp/>
        <stp>Open</stp>
        <stp>5</stp>
        <stp>-47</stp>
        <stp/>
        <stp/>
        <stp/>
        <stp/>
        <stp>T</stp>
        <tr r="AB48" s="1"/>
      </tp>
      <tp>
        <v>208</v>
        <stp/>
        <stp>StudyData</stp>
        <stp>BAVolCr.BidVol^(SUBMINUTE((EP),1,FillGap),5,0)</stp>
        <stp>Bar</stp>
        <stp/>
        <stp>Open</stp>
        <stp>5</stp>
        <stp>-37</stp>
        <stp/>
        <stp/>
        <stp/>
        <stp/>
        <stp>T</stp>
        <tr r="AB38" s="1"/>
      </tp>
      <tp>
        <v>610</v>
        <stp/>
        <stp>StudyData</stp>
        <stp>BAVolCr.BidVol^(SUBMINUTE((EP),1,FillGap),5,0)</stp>
        <stp>Bar</stp>
        <stp/>
        <stp>Open</stp>
        <stp>5</stp>
        <stp>-27</stp>
        <stp/>
        <stp/>
        <stp/>
        <stp/>
        <stp>T</stp>
        <tr r="AB28" s="1"/>
      </tp>
      <tp>
        <v>84</v>
        <stp/>
        <stp>StudyData</stp>
        <stp>BAVolCr.BidVol^(SUBMINUTE((EP),1,FillGap),5,0)</stp>
        <stp>Bar</stp>
        <stp/>
        <stp>Open</stp>
        <stp>5</stp>
        <stp>-17</stp>
        <stp/>
        <stp/>
        <stp/>
        <stp/>
        <stp>T</stp>
        <tr r="AB18" s="1"/>
      </tp>
      <tp>
        <v>283</v>
        <stp/>
        <stp>StudyData</stp>
        <stp>BAVolCr.BidVol^(SUBMINUTE((EP),5,FillGap),5,0)</stp>
        <stp>Bar</stp>
        <stp/>
        <stp>Open</stp>
        <stp>5</stp>
        <stp>-54</stp>
        <stp/>
        <stp/>
        <stp/>
        <stp/>
        <stp>T</stp>
        <tr r="AJ55" s="1"/>
      </tp>
      <tp>
        <v>297</v>
        <stp/>
        <stp>StudyData</stp>
        <stp>BAVolCr.BidVol^(SUBMINUTE((EP),5,FillGap),5,0)</stp>
        <stp>Bar</stp>
        <stp/>
        <stp>Open</stp>
        <stp>5</stp>
        <stp>-44</stp>
        <stp/>
        <stp/>
        <stp/>
        <stp/>
        <stp>T</stp>
        <tr r="AJ45" s="1"/>
      </tp>
      <tp>
        <v>432</v>
        <stp/>
        <stp>StudyData</stp>
        <stp>BAVolCr.BidVol^(SUBMINUTE((EP),5,FillGap),5,0)</stp>
        <stp>Bar</stp>
        <stp/>
        <stp>Open</stp>
        <stp>5</stp>
        <stp>-34</stp>
        <stp/>
        <stp/>
        <stp/>
        <stp/>
        <stp>T</stp>
        <tr r="AJ35" s="1"/>
      </tp>
      <tp>
        <v>256</v>
        <stp/>
        <stp>StudyData</stp>
        <stp>BAVolCr.BidVol^(SUBMINUTE((EP),5,FillGap),5,0)</stp>
        <stp>Bar</stp>
        <stp/>
        <stp>Open</stp>
        <stp>5</stp>
        <stp>-24</stp>
        <stp/>
        <stp/>
        <stp/>
        <stp/>
        <stp>T</stp>
        <tr r="AJ25" s="1"/>
      </tp>
      <tp>
        <v>362</v>
        <stp/>
        <stp>StudyData</stp>
        <stp>BAVolCr.BidVol^(SUBMINUTE((EP),5,FillGap),5,0)</stp>
        <stp>Bar</stp>
        <stp/>
        <stp>Open</stp>
        <stp>5</stp>
        <stp>-14</stp>
        <stp/>
        <stp/>
        <stp/>
        <stp/>
        <stp>T</stp>
        <tr r="AJ15" s="1"/>
      </tp>
      <tp>
        <v>96</v>
        <stp/>
        <stp>StudyData</stp>
        <stp>BAVolCr.BidVol^(SUBMINUTE((EP),1,FillGap),5,0)</stp>
        <stp>Bar</stp>
        <stp/>
        <stp>Open</stp>
        <stp>5</stp>
        <stp>-54</stp>
        <stp/>
        <stp/>
        <stp/>
        <stp/>
        <stp>T</stp>
        <tr r="AB55" s="1"/>
      </tp>
      <tp>
        <v>28</v>
        <stp/>
        <stp>StudyData</stp>
        <stp>BAVolCr.BidVol^(SUBMINUTE((EP),1,FillGap),5,0)</stp>
        <stp>Bar</stp>
        <stp/>
        <stp>Open</stp>
        <stp>5</stp>
        <stp>-44</stp>
        <stp/>
        <stp/>
        <stp/>
        <stp/>
        <stp>T</stp>
        <tr r="AB45" s="1"/>
      </tp>
      <tp>
        <v>175</v>
        <stp/>
        <stp>StudyData</stp>
        <stp>BAVolCr.BidVol^(SUBMINUTE((EP),1,FillGap),5,0)</stp>
        <stp>Bar</stp>
        <stp/>
        <stp>Open</stp>
        <stp>5</stp>
        <stp>-34</stp>
        <stp/>
        <stp/>
        <stp/>
        <stp/>
        <stp>T</stp>
        <tr r="AB35" s="1"/>
      </tp>
      <tp>
        <v>224</v>
        <stp/>
        <stp>StudyData</stp>
        <stp>BAVolCr.BidVol^(SUBMINUTE((EP),1,FillGap),5,0)</stp>
        <stp>Bar</stp>
        <stp/>
        <stp>Open</stp>
        <stp>5</stp>
        <stp>-24</stp>
        <stp/>
        <stp/>
        <stp/>
        <stp/>
        <stp>T</stp>
        <tr r="AB25" s="1"/>
      </tp>
      <tp>
        <v>212</v>
        <stp/>
        <stp>StudyData</stp>
        <stp>BAVolCr.BidVol^(SUBMINUTE((EP),1,FillGap),5,0)</stp>
        <stp>Bar</stp>
        <stp/>
        <stp>Open</stp>
        <stp>5</stp>
        <stp>-14</stp>
        <stp/>
        <stp/>
        <stp/>
        <stp/>
        <stp>T</stp>
        <tr r="AB15" s="1"/>
      </tp>
      <tp>
        <v>242</v>
        <stp/>
        <stp>StudyData</stp>
        <stp>BAVolCr.BidVol^(SUBMINUTE((EP),5,FillGap),5,0)</stp>
        <stp>Bar</stp>
        <stp/>
        <stp>Open</stp>
        <stp>5</stp>
        <stp>-55</stp>
        <stp/>
        <stp/>
        <stp/>
        <stp/>
        <stp>T</stp>
        <tr r="AJ56" s="1"/>
      </tp>
      <tp>
        <v>427</v>
        <stp/>
        <stp>StudyData</stp>
        <stp>BAVolCr.BidVol^(SUBMINUTE((EP),5,FillGap),5,0)</stp>
        <stp>Bar</stp>
        <stp/>
        <stp>Open</stp>
        <stp>5</stp>
        <stp>-45</stp>
        <stp/>
        <stp/>
        <stp/>
        <stp/>
        <stp>T</stp>
        <tr r="AJ46" s="1"/>
      </tp>
      <tp>
        <v>415</v>
        <stp/>
        <stp>StudyData</stp>
        <stp>BAVolCr.BidVol^(SUBMINUTE((EP),5,FillGap),5,0)</stp>
        <stp>Bar</stp>
        <stp/>
        <stp>Open</stp>
        <stp>5</stp>
        <stp>-35</stp>
        <stp/>
        <stp/>
        <stp/>
        <stp/>
        <stp>T</stp>
        <tr r="AJ36" s="1"/>
      </tp>
      <tp>
        <v>227</v>
        <stp/>
        <stp>StudyData</stp>
        <stp>BAVolCr.BidVol^(SUBMINUTE((EP),5,FillGap),5,0)</stp>
        <stp>Bar</stp>
        <stp/>
        <stp>Open</stp>
        <stp>5</stp>
        <stp>-25</stp>
        <stp/>
        <stp/>
        <stp/>
        <stp/>
        <stp>T</stp>
        <tr r="AJ26" s="1"/>
      </tp>
      <tp>
        <v>310</v>
        <stp/>
        <stp>StudyData</stp>
        <stp>BAVolCr.BidVol^(SUBMINUTE((EP),5,FillGap),5,0)</stp>
        <stp>Bar</stp>
        <stp/>
        <stp>Open</stp>
        <stp>5</stp>
        <stp>-15</stp>
        <stp/>
        <stp/>
        <stp/>
        <stp/>
        <stp>T</stp>
        <tr r="AJ16" s="1"/>
      </tp>
      <tp>
        <v>116</v>
        <stp/>
        <stp>StudyData</stp>
        <stp>BAVolCr.BidVol^(SUBMINUTE((EP),1,FillGap),5,0)</stp>
        <stp>Bar</stp>
        <stp/>
        <stp>Open</stp>
        <stp>5</stp>
        <stp>-55</stp>
        <stp/>
        <stp/>
        <stp/>
        <stp/>
        <stp>T</stp>
        <tr r="AB56" s="1"/>
      </tp>
      <tp>
        <v>112</v>
        <stp/>
        <stp>StudyData</stp>
        <stp>BAVolCr.BidVol^(SUBMINUTE((EP),1,FillGap),5,0)</stp>
        <stp>Bar</stp>
        <stp/>
        <stp>Open</stp>
        <stp>5</stp>
        <stp>-45</stp>
        <stp/>
        <stp/>
        <stp/>
        <stp/>
        <stp>T</stp>
        <tr r="AB46" s="1"/>
      </tp>
      <tp>
        <v>160</v>
        <stp/>
        <stp>StudyData</stp>
        <stp>BAVolCr.BidVol^(SUBMINUTE((EP),1,FillGap),5,0)</stp>
        <stp>Bar</stp>
        <stp/>
        <stp>Open</stp>
        <stp>5</stp>
        <stp>-35</stp>
        <stp/>
        <stp/>
        <stp/>
        <stp/>
        <stp>T</stp>
        <tr r="AB36" s="1"/>
      </tp>
      <tp>
        <v>228</v>
        <stp/>
        <stp>StudyData</stp>
        <stp>BAVolCr.BidVol^(SUBMINUTE((EP),1,FillGap),5,0)</stp>
        <stp>Bar</stp>
        <stp/>
        <stp>Open</stp>
        <stp>5</stp>
        <stp>-25</stp>
        <stp/>
        <stp/>
        <stp/>
        <stp/>
        <stp>T</stp>
        <tr r="AB26" s="1"/>
      </tp>
      <tp>
        <v>59</v>
        <stp/>
        <stp>StudyData</stp>
        <stp>BAVolCr.BidVol^(SUBMINUTE((EP),1,FillGap),5,0)</stp>
        <stp>Bar</stp>
        <stp/>
        <stp>Open</stp>
        <stp>5</stp>
        <stp>-15</stp>
        <stp/>
        <stp/>
        <stp/>
        <stp/>
        <stp>T</stp>
        <tr r="AB16" s="1"/>
      </tp>
      <tp>
        <v>2739.5</v>
        <stp/>
        <stp>StudyData</stp>
        <stp>EP</stp>
        <stp>Tick</stp>
        <stp>FlatTicks=0</stp>
        <stp>Tick</stp>
        <stp>D</stp>
        <stp>-9</stp>
        <stp>all</stp>
        <tr r="A72" s="2"/>
      </tp>
      <tp>
        <v>2739.25</v>
        <stp/>
        <stp>StudyData</stp>
        <stp>EP</stp>
        <stp>Tick</stp>
        <stp>FlatTicks=0</stp>
        <stp>Tick</stp>
        <stp>D</stp>
        <stp>-8</stp>
        <stp>all</stp>
        <tr r="A73" s="2"/>
      </tp>
      <tp>
        <v>2739.5</v>
        <stp/>
        <stp>StudyData</stp>
        <stp>EP</stp>
        <stp>Tick</stp>
        <stp>FlatTicks=0</stp>
        <stp>Tick</stp>
        <stp>D</stp>
        <stp>-1</stp>
        <stp>all</stp>
        <tr r="A80" s="2"/>
      </tp>
      <tp>
        <v>2739.5</v>
        <stp/>
        <stp>StudyData</stp>
        <stp>EP</stp>
        <stp>Tick</stp>
        <stp>FlatTicks=0</stp>
        <stp>Tick</stp>
        <stp>D</stp>
        <stp>-3</stp>
        <stp>all</stp>
        <tr r="A78" s="2"/>
      </tp>
      <tp>
        <v>2739.25</v>
        <stp/>
        <stp>StudyData</stp>
        <stp>EP</stp>
        <stp>Tick</stp>
        <stp>FlatTicks=0</stp>
        <stp>Tick</stp>
        <stp>D</stp>
        <stp>-2</stp>
        <stp>all</stp>
        <tr r="A79" s="2"/>
      </tp>
      <tp>
        <v>2739.5</v>
        <stp/>
        <stp>StudyData</stp>
        <stp>EP</stp>
        <stp>Tick</stp>
        <stp>FlatTicks=0</stp>
        <stp>Tick</stp>
        <stp>D</stp>
        <stp>-5</stp>
        <stp>all</stp>
        <tr r="A76" s="2"/>
      </tp>
      <tp>
        <v>2739.25</v>
        <stp/>
        <stp>StudyData</stp>
        <stp>EP</stp>
        <stp>Tick</stp>
        <stp>FlatTicks=0</stp>
        <stp>Tick</stp>
        <stp>D</stp>
        <stp>-4</stp>
        <stp>all</stp>
        <tr r="A77" s="2"/>
      </tp>
      <tp>
        <v>2739.5</v>
        <stp/>
        <stp>StudyData</stp>
        <stp>EP</stp>
        <stp>Tick</stp>
        <stp>FlatTicks=0</stp>
        <stp>Tick</stp>
        <stp>D</stp>
        <stp>-7</stp>
        <stp>all</stp>
        <tr r="A74" s="2"/>
      </tp>
      <tp>
        <v>2739.25</v>
        <stp/>
        <stp>StudyData</stp>
        <stp>EP</stp>
        <stp>Tick</stp>
        <stp>FlatTicks=0</stp>
        <stp>Tick</stp>
        <stp>D</stp>
        <stp>-6</stp>
        <stp>all</stp>
        <tr r="A75" s="2"/>
      </tp>
      <tp>
        <v>312</v>
        <stp/>
        <stp>StudyData</stp>
        <stp>BAVolCr.BidVol^(SUBMINUTE((EP),5,FillGap),5,0)</stp>
        <stp>Bar</stp>
        <stp/>
        <stp>Open</stp>
        <stp>5</stp>
        <stp>-52</stp>
        <stp/>
        <stp/>
        <stp/>
        <stp/>
        <stp>T</stp>
        <tr r="AJ53" s="1"/>
      </tp>
      <tp>
        <v>323</v>
        <stp/>
        <stp>StudyData</stp>
        <stp>BAVolCr.BidVol^(SUBMINUTE((EP),5,FillGap),5,0)</stp>
        <stp>Bar</stp>
        <stp/>
        <stp>Open</stp>
        <stp>5</stp>
        <stp>-42</stp>
        <stp/>
        <stp/>
        <stp/>
        <stp/>
        <stp>T</stp>
        <tr r="AJ43" s="1"/>
      </tp>
      <tp>
        <v>226</v>
        <stp/>
        <stp>StudyData</stp>
        <stp>BAVolCr.BidVol^(SUBMINUTE((EP),5,FillGap),5,0)</stp>
        <stp>Bar</stp>
        <stp/>
        <stp>Open</stp>
        <stp>5</stp>
        <stp>-32</stp>
        <stp/>
        <stp/>
        <stp/>
        <stp/>
        <stp>T</stp>
        <tr r="AJ33" s="1"/>
      </tp>
      <tp>
        <v>671</v>
        <stp/>
        <stp>StudyData</stp>
        <stp>BAVolCr.BidVol^(SUBMINUTE((EP),5,FillGap),5,0)</stp>
        <stp>Bar</stp>
        <stp/>
        <stp>Open</stp>
        <stp>5</stp>
        <stp>-22</stp>
        <stp/>
        <stp/>
        <stp/>
        <stp/>
        <stp>T</stp>
        <tr r="AJ23" s="1"/>
      </tp>
      <tp>
        <v>486</v>
        <stp/>
        <stp>StudyData</stp>
        <stp>BAVolCr.BidVol^(SUBMINUTE((EP),5,FillGap),5,0)</stp>
        <stp>Bar</stp>
        <stp/>
        <stp>Open</stp>
        <stp>5</stp>
        <stp>-12</stp>
        <stp/>
        <stp/>
        <stp/>
        <stp/>
        <stp>T</stp>
        <tr r="AJ13" s="1"/>
      </tp>
      <tp>
        <v>81</v>
        <stp/>
        <stp>StudyData</stp>
        <stp>BAVolCr.BidVol^(SUBMINUTE((EP),1,FillGap),5,0)</stp>
        <stp>Bar</stp>
        <stp/>
        <stp>Open</stp>
        <stp>5</stp>
        <stp>-52</stp>
        <stp/>
        <stp/>
        <stp/>
        <stp/>
        <stp>T</stp>
        <tr r="AB53" s="1"/>
      </tp>
      <tp>
        <v>54</v>
        <stp/>
        <stp>StudyData</stp>
        <stp>BAVolCr.BidVol^(SUBMINUTE((EP),1,FillGap),5,0)</stp>
        <stp>Bar</stp>
        <stp/>
        <stp>Open</stp>
        <stp>5</stp>
        <stp>-42</stp>
        <stp/>
        <stp/>
        <stp/>
        <stp/>
        <stp>T</stp>
        <tr r="AB43" s="1"/>
      </tp>
      <tp>
        <v>295</v>
        <stp/>
        <stp>StudyData</stp>
        <stp>BAVolCr.BidVol^(SUBMINUTE((EP),1,FillGap),5,0)</stp>
        <stp>Bar</stp>
        <stp/>
        <stp>Open</stp>
        <stp>5</stp>
        <stp>-32</stp>
        <stp/>
        <stp/>
        <stp/>
        <stp/>
        <stp>T</stp>
        <tr r="AB33" s="1"/>
      </tp>
      <tp>
        <v>265</v>
        <stp/>
        <stp>StudyData</stp>
        <stp>BAVolCr.BidVol^(SUBMINUTE((EP),1,FillGap),5,0)</stp>
        <stp>Bar</stp>
        <stp/>
        <stp>Open</stp>
        <stp>5</stp>
        <stp>-22</stp>
        <stp/>
        <stp/>
        <stp/>
        <stp/>
        <stp>T</stp>
        <tr r="AB23" s="1"/>
      </tp>
      <tp>
        <v>187</v>
        <stp/>
        <stp>StudyData</stp>
        <stp>BAVolCr.BidVol^(SUBMINUTE((EP),1,FillGap),5,0)</stp>
        <stp>Bar</stp>
        <stp/>
        <stp>Open</stp>
        <stp>5</stp>
        <stp>-12</stp>
        <stp/>
        <stp/>
        <stp/>
        <stp/>
        <stp>T</stp>
        <tr r="AB13" s="1"/>
      </tp>
      <tp>
        <v>275</v>
        <stp/>
        <stp>StudyData</stp>
        <stp>BAVolCr.BidVol^(SUBMINUTE((EP),5,FillGap),5,0)</stp>
        <stp>Bar</stp>
        <stp/>
        <stp>Open</stp>
        <stp>5</stp>
        <stp>-53</stp>
        <stp/>
        <stp/>
        <stp/>
        <stp/>
        <stp>T</stp>
        <tr r="AJ54" s="1"/>
      </tp>
      <tp>
        <v>307</v>
        <stp/>
        <stp>StudyData</stp>
        <stp>BAVolCr.BidVol^(SUBMINUTE((EP),5,FillGap),5,0)</stp>
        <stp>Bar</stp>
        <stp/>
        <stp>Open</stp>
        <stp>5</stp>
        <stp>-43</stp>
        <stp/>
        <stp/>
        <stp/>
        <stp/>
        <stp>T</stp>
        <tr r="AJ44" s="1"/>
      </tp>
      <tp>
        <v>252</v>
        <stp/>
        <stp>StudyData</stp>
        <stp>BAVolCr.BidVol^(SUBMINUTE((EP),5,FillGap),5,0)</stp>
        <stp>Bar</stp>
        <stp/>
        <stp>Open</stp>
        <stp>5</stp>
        <stp>-33</stp>
        <stp/>
        <stp/>
        <stp/>
        <stp/>
        <stp>T</stp>
        <tr r="AJ34" s="1"/>
      </tp>
      <tp>
        <v>674</v>
        <stp/>
        <stp>StudyData</stp>
        <stp>BAVolCr.BidVol^(SUBMINUTE((EP),5,FillGap),5,0)</stp>
        <stp>Bar</stp>
        <stp/>
        <stp>Open</stp>
        <stp>5</stp>
        <stp>-23</stp>
        <stp/>
        <stp/>
        <stp/>
        <stp/>
        <stp>T</stp>
        <tr r="AJ24" s="1"/>
      </tp>
      <tp>
        <v>217</v>
        <stp/>
        <stp>StudyData</stp>
        <stp>BAVolCr.BidVol^(SUBMINUTE((EP),5,FillGap),5,0)</stp>
        <stp>Bar</stp>
        <stp/>
        <stp>Open</stp>
        <stp>5</stp>
        <stp>-13</stp>
        <stp/>
        <stp/>
        <stp/>
        <stp/>
        <stp>T</stp>
        <tr r="AJ14" s="1"/>
      </tp>
      <tp>
        <v>102</v>
        <stp/>
        <stp>StudyData</stp>
        <stp>BAVolCr.BidVol^(SUBMINUTE((EP),1,FillGap),5,0)</stp>
        <stp>Bar</stp>
        <stp/>
        <stp>Open</stp>
        <stp>5</stp>
        <stp>-53</stp>
        <stp/>
        <stp/>
        <stp/>
        <stp/>
        <stp>T</stp>
        <tr r="AB54" s="1"/>
      </tp>
      <tp>
        <v>55</v>
        <stp/>
        <stp>StudyData</stp>
        <stp>BAVolCr.BidVol^(SUBMINUTE((EP),1,FillGap),5,0)</stp>
        <stp>Bar</stp>
        <stp/>
        <stp>Open</stp>
        <stp>5</stp>
        <stp>-43</stp>
        <stp/>
        <stp/>
        <stp/>
        <stp/>
        <stp>T</stp>
        <tr r="AB44" s="1"/>
      </tp>
      <tp>
        <v>323</v>
        <stp/>
        <stp>StudyData</stp>
        <stp>BAVolCr.BidVol^(SUBMINUTE((EP),1,FillGap),5,0)</stp>
        <stp>Bar</stp>
        <stp/>
        <stp>Open</stp>
        <stp>5</stp>
        <stp>-33</stp>
        <stp/>
        <stp/>
        <stp/>
        <stp/>
        <stp>T</stp>
        <tr r="AB34" s="1"/>
      </tp>
      <tp>
        <v>227</v>
        <stp/>
        <stp>StudyData</stp>
        <stp>BAVolCr.BidVol^(SUBMINUTE((EP),1,FillGap),5,0)</stp>
        <stp>Bar</stp>
        <stp/>
        <stp>Open</stp>
        <stp>5</stp>
        <stp>-23</stp>
        <stp/>
        <stp/>
        <stp/>
        <stp/>
        <stp>T</stp>
        <tr r="AB24" s="1"/>
      </tp>
      <tp>
        <v>185</v>
        <stp/>
        <stp>StudyData</stp>
        <stp>BAVolCr.BidVol^(SUBMINUTE((EP),1,FillGap),5,0)</stp>
        <stp>Bar</stp>
        <stp/>
        <stp>Open</stp>
        <stp>5</stp>
        <stp>-13</stp>
        <stp/>
        <stp/>
        <stp/>
        <stp/>
        <stp>T</stp>
        <tr r="AB14" s="1"/>
      </tp>
      <tp>
        <v>1</v>
        <stp/>
        <stp>ContractData</stp>
        <stp>EP</stp>
        <stp>VolumeLastTrade</stp>
        <stp/>
        <stp>T</stp>
        <tr r="H4" s="1"/>
        <tr r="H38" s="2"/>
      </tp>
      <tp>
        <v>235</v>
        <stp/>
        <stp>StudyData</stp>
        <stp>BAVolCr.BidVol^(SUBMINUTE((EP),5,FillGap),5,0)</stp>
        <stp>Bar</stp>
        <stp/>
        <stp>Open</stp>
        <stp>5</stp>
        <stp>-60</stp>
        <stp/>
        <stp/>
        <stp/>
        <stp/>
        <stp>T</stp>
        <tr r="AJ61" s="1"/>
      </tp>
      <tp>
        <v>303</v>
        <stp/>
        <stp>StudyData</stp>
        <stp>BAVolCr.BidVol^(SUBMINUTE((EP),5,FillGap),5,0)</stp>
        <stp>Bar</stp>
        <stp/>
        <stp>Open</stp>
        <stp>5</stp>
        <stp>-50</stp>
        <stp/>
        <stp/>
        <stp/>
        <stp/>
        <stp>T</stp>
        <tr r="AJ51" s="1"/>
      </tp>
      <tp>
        <v>357</v>
        <stp/>
        <stp>StudyData</stp>
        <stp>BAVolCr.BidVol^(SUBMINUTE((EP),5,FillGap),5,0)</stp>
        <stp>Bar</stp>
        <stp/>
        <stp>Open</stp>
        <stp>5</stp>
        <stp>-40</stp>
        <stp/>
        <stp/>
        <stp/>
        <stp/>
        <stp>T</stp>
        <tr r="AJ41" s="1"/>
      </tp>
      <tp>
        <v>206</v>
        <stp/>
        <stp>StudyData</stp>
        <stp>BAVolCr.BidVol^(SUBMINUTE((EP),5,FillGap),5,0)</stp>
        <stp>Bar</stp>
        <stp/>
        <stp>Open</stp>
        <stp>5</stp>
        <stp>-30</stp>
        <stp/>
        <stp/>
        <stp/>
        <stp/>
        <stp>T</stp>
        <tr r="AJ31" s="1"/>
      </tp>
      <tp>
        <v>691</v>
        <stp/>
        <stp>StudyData</stp>
        <stp>BAVolCr.BidVol^(SUBMINUTE((EP),5,FillGap),5,0)</stp>
        <stp>Bar</stp>
        <stp/>
        <stp>Open</stp>
        <stp>5</stp>
        <stp>-20</stp>
        <stp/>
        <stp/>
        <stp/>
        <stp/>
        <stp>T</stp>
        <tr r="AJ21" s="1"/>
      </tp>
      <tp>
        <v>890</v>
        <stp/>
        <stp>StudyData</stp>
        <stp>BAVolCr.BidVol^(SUBMINUTE((EP),5,FillGap),5,0)</stp>
        <stp>Bar</stp>
        <stp/>
        <stp>Open</stp>
        <stp>5</stp>
        <stp>-10</stp>
        <stp/>
        <stp/>
        <stp/>
        <stp/>
        <stp>T</stp>
        <tr r="AJ11" s="1"/>
      </tp>
      <tp>
        <v>242</v>
        <stp/>
        <stp>StudyData</stp>
        <stp>BAVolCr.BidVol^(SUBMINUTE((EP),1,FillGap),5,0)</stp>
        <stp>Bar</stp>
        <stp/>
        <stp>Open</stp>
        <stp>5</stp>
        <stp>-60</stp>
        <stp/>
        <stp/>
        <stp/>
        <stp/>
        <stp>T</stp>
        <tr r="AB61" s="1"/>
      </tp>
      <tp>
        <v>424</v>
        <stp/>
        <stp>StudyData</stp>
        <stp>BAVolCr.BidVol^(SUBMINUTE((EP),1,FillGap),5,0)</stp>
        <stp>Bar</stp>
        <stp/>
        <stp>Open</stp>
        <stp>5</stp>
        <stp>-50</stp>
        <stp/>
        <stp/>
        <stp/>
        <stp/>
        <stp>T</stp>
        <tr r="AB51" s="1"/>
      </tp>
      <tp>
        <v>186</v>
        <stp/>
        <stp>StudyData</stp>
        <stp>BAVolCr.BidVol^(SUBMINUTE((EP),1,FillGap),5,0)</stp>
        <stp>Bar</stp>
        <stp/>
        <stp>Open</stp>
        <stp>5</stp>
        <stp>-40</stp>
        <stp/>
        <stp/>
        <stp/>
        <stp/>
        <stp>T</stp>
        <tr r="AB41" s="1"/>
      </tp>
      <tp>
        <v>786</v>
        <stp/>
        <stp>StudyData</stp>
        <stp>BAVolCr.BidVol^(SUBMINUTE((EP),1,FillGap),5,0)</stp>
        <stp>Bar</stp>
        <stp/>
        <stp>Open</stp>
        <stp>5</stp>
        <stp>-30</stp>
        <stp/>
        <stp/>
        <stp/>
        <stp/>
        <stp>T</stp>
        <tr r="AB31" s="1"/>
      </tp>
      <tp>
        <v>101</v>
        <stp/>
        <stp>StudyData</stp>
        <stp>BAVolCr.BidVol^(SUBMINUTE((EP),1,FillGap),5,0)</stp>
        <stp>Bar</stp>
        <stp/>
        <stp>Open</stp>
        <stp>5</stp>
        <stp>-20</stp>
        <stp/>
        <stp/>
        <stp/>
        <stp/>
        <stp>T</stp>
        <tr r="AB21" s="1"/>
      </tp>
      <tp>
        <v>253</v>
        <stp/>
        <stp>StudyData</stp>
        <stp>BAVolCr.BidVol^(SUBMINUTE((EP),1,FillGap),5,0)</stp>
        <stp>Bar</stp>
        <stp/>
        <stp>Open</stp>
        <stp>5</stp>
        <stp>-10</stp>
        <stp/>
        <stp/>
        <stp/>
        <stp/>
        <stp>T</stp>
        <tr r="AB11" s="1"/>
      </tp>
      <tp>
        <v>315</v>
        <stp/>
        <stp>StudyData</stp>
        <stp>BAVolCr.BidVol^(SUBMINUTE((EP),5,FillGap),5,0)</stp>
        <stp>Bar</stp>
        <stp/>
        <stp>Open</stp>
        <stp>5</stp>
        <stp>-51</stp>
        <stp/>
        <stp/>
        <stp/>
        <stp/>
        <stp>T</stp>
        <tr r="AJ52" s="1"/>
      </tp>
      <tp>
        <v>347</v>
        <stp/>
        <stp>StudyData</stp>
        <stp>BAVolCr.BidVol^(SUBMINUTE((EP),5,FillGap),5,0)</stp>
        <stp>Bar</stp>
        <stp/>
        <stp>Open</stp>
        <stp>5</stp>
        <stp>-41</stp>
        <stp/>
        <stp/>
        <stp/>
        <stp/>
        <stp>T</stp>
        <tr r="AJ42" s="1"/>
      </tp>
      <tp>
        <v>204</v>
        <stp/>
        <stp>StudyData</stp>
        <stp>BAVolCr.BidVol^(SUBMINUTE((EP),5,FillGap),5,0)</stp>
        <stp>Bar</stp>
        <stp/>
        <stp>Open</stp>
        <stp>5</stp>
        <stp>-31</stp>
        <stp/>
        <stp/>
        <stp/>
        <stp/>
        <stp>T</stp>
        <tr r="AJ32" s="1"/>
      </tp>
      <tp>
        <v>680</v>
        <stp/>
        <stp>StudyData</stp>
        <stp>BAVolCr.BidVol^(SUBMINUTE((EP),5,FillGap),5,0)</stp>
        <stp>Bar</stp>
        <stp/>
        <stp>Open</stp>
        <stp>5</stp>
        <stp>-21</stp>
        <stp/>
        <stp/>
        <stp/>
        <stp/>
        <stp>T</stp>
        <tr r="AJ22" s="1"/>
      </tp>
      <tp>
        <v>841</v>
        <stp/>
        <stp>StudyData</stp>
        <stp>BAVolCr.BidVol^(SUBMINUTE((EP),5,FillGap),5,0)</stp>
        <stp>Bar</stp>
        <stp/>
        <stp>Open</stp>
        <stp>5</stp>
        <stp>-11</stp>
        <stp/>
        <stp/>
        <stp/>
        <stp/>
        <stp>T</stp>
        <tr r="AJ12" s="1"/>
      </tp>
      <tp>
        <v>426</v>
        <stp/>
        <stp>StudyData</stp>
        <stp>BAVolCr.BidVol^(SUBMINUTE((EP),1,FillGap),5,0)</stp>
        <stp>Bar</stp>
        <stp/>
        <stp>Open</stp>
        <stp>5</stp>
        <stp>-51</stp>
        <stp/>
        <stp/>
        <stp/>
        <stp/>
        <stp>T</stp>
        <tr r="AB52" s="1"/>
      </tp>
      <tp>
        <v>121</v>
        <stp/>
        <stp>StudyData</stp>
        <stp>BAVolCr.BidVol^(SUBMINUTE((EP),1,FillGap),5,0)</stp>
        <stp>Bar</stp>
        <stp/>
        <stp>Open</stp>
        <stp>5</stp>
        <stp>-41</stp>
        <stp/>
        <stp/>
        <stp/>
        <stp/>
        <stp>T</stp>
        <tr r="AB42" s="1"/>
      </tp>
      <tp>
        <v>720</v>
        <stp/>
        <stp>StudyData</stp>
        <stp>BAVolCr.BidVol^(SUBMINUTE((EP),1,FillGap),5,0)</stp>
        <stp>Bar</stp>
        <stp/>
        <stp>Open</stp>
        <stp>5</stp>
        <stp>-31</stp>
        <stp/>
        <stp/>
        <stp/>
        <stp/>
        <stp>T</stp>
        <tr r="AB32" s="1"/>
      </tp>
      <tp>
        <v>96</v>
        <stp/>
        <stp>StudyData</stp>
        <stp>BAVolCr.BidVol^(SUBMINUTE((EP),1,FillGap),5,0)</stp>
        <stp>Bar</stp>
        <stp/>
        <stp>Open</stp>
        <stp>5</stp>
        <stp>-21</stp>
        <stp/>
        <stp/>
        <stp/>
        <stp/>
        <stp>T</stp>
        <tr r="AB22" s="1"/>
      </tp>
      <tp>
        <v>189</v>
        <stp/>
        <stp>StudyData</stp>
        <stp>BAVolCr.BidVol^(SUBMINUTE((EP),1,FillGap),5,0)</stp>
        <stp>Bar</stp>
        <stp/>
        <stp>Open</stp>
        <stp>5</stp>
        <stp>-11</stp>
        <stp/>
        <stp/>
        <stp/>
        <stp/>
        <stp>T</stp>
        <tr r="AB12" s="1"/>
      </tp>
      <tp>
        <v>7646</v>
        <stp/>
        <stp>StudyData</stp>
        <stp>FPVol(FootprintOp (EP, 0),2739.5)</stp>
        <stp>Bar</stp>
        <stp/>
        <stp>Close</stp>
        <stp>D</stp>
        <stp>0</stp>
        <stp>all</stp>
        <stp/>
        <stp/>
        <stp/>
        <stp>T</stp>
        <tr r="E18" s="2"/>
        <tr r="E18" s="2"/>
      </tp>
      <tp>
        <v>207</v>
        <stp/>
        <stp>StudyData</stp>
        <stp>FPVol(FootprintOp (EP, 0),2740.5)</stp>
        <stp>Bar</stp>
        <stp/>
        <stp>Close</stp>
        <stp>D</stp>
        <stp>0</stp>
        <stp>all</stp>
        <stp/>
        <stp/>
        <stp/>
        <stp>T</stp>
        <tr r="L18" s="2"/>
        <tr r="L18" s="2"/>
      </tp>
      <tp>
        <v>412</v>
        <stp/>
        <stp>StudyData</stp>
        <stp>BAVolCr.BidVol^(SUBMINUTE((EP),5,FillGap),5,0)</stp>
        <stp>Bar</stp>
        <stp/>
        <stp>Open</stp>
        <stp>5</stp>
        <stp>-58</stp>
        <stp/>
        <stp/>
        <stp/>
        <stp/>
        <stp>T</stp>
        <tr r="AJ59" s="1"/>
      </tp>
      <tp>
        <v>306</v>
        <stp/>
        <stp>StudyData</stp>
        <stp>BAVolCr.BidVol^(SUBMINUTE((EP),5,FillGap),5,0)</stp>
        <stp>Bar</stp>
        <stp/>
        <stp>Open</stp>
        <stp>5</stp>
        <stp>-48</stp>
        <stp/>
        <stp/>
        <stp/>
        <stp/>
        <stp>T</stp>
        <tr r="AJ49" s="1"/>
      </tp>
      <tp>
        <v>476</v>
        <stp/>
        <stp>StudyData</stp>
        <stp>BAVolCr.BidVol^(SUBMINUTE((EP),5,FillGap),5,0)</stp>
        <stp>Bar</stp>
        <stp/>
        <stp>Open</stp>
        <stp>5</stp>
        <stp>-38</stp>
        <stp/>
        <stp/>
        <stp/>
        <stp/>
        <stp>T</stp>
        <tr r="AJ39" s="1"/>
      </tp>
      <tp>
        <v>293</v>
        <stp/>
        <stp>StudyData</stp>
        <stp>BAVolCr.BidVol^(SUBMINUTE((EP),5,FillGap),5,0)</stp>
        <stp>Bar</stp>
        <stp/>
        <stp>Open</stp>
        <stp>5</stp>
        <stp>-28</stp>
        <stp/>
        <stp/>
        <stp/>
        <stp/>
        <stp>T</stp>
        <tr r="AJ29" s="1"/>
      </tp>
      <tp>
        <v>294</v>
        <stp/>
        <stp>StudyData</stp>
        <stp>BAVolCr.BidVol^(SUBMINUTE((EP),5,FillGap),5,0)</stp>
        <stp>Bar</stp>
        <stp/>
        <stp>Open</stp>
        <stp>5</stp>
        <stp>-18</stp>
        <stp/>
        <stp/>
        <stp/>
        <stp/>
        <stp>T</stp>
        <tr r="AJ19" s="1"/>
      </tp>
      <tp>
        <v>304</v>
        <stp/>
        <stp>StudyData</stp>
        <stp>BAVolCr.BidVol^(SUBMINUTE((EP),1,FillGap),5,0)</stp>
        <stp>Bar</stp>
        <stp/>
        <stp>Open</stp>
        <stp>5</stp>
        <stp>-58</stp>
        <stp/>
        <stp/>
        <stp/>
        <stp/>
        <stp>T</stp>
        <tr r="AB59" s="1"/>
      </tp>
      <tp>
        <v>461</v>
        <stp/>
        <stp>StudyData</stp>
        <stp>BAVolCr.BidVol^(SUBMINUTE((EP),1,FillGap),5,0)</stp>
        <stp>Bar</stp>
        <stp/>
        <stp>Open</stp>
        <stp>5</stp>
        <stp>-48</stp>
        <stp/>
        <stp/>
        <stp/>
        <stp/>
        <stp>T</stp>
        <tr r="AB49" s="1"/>
      </tp>
      <tp>
        <v>153</v>
        <stp/>
        <stp>StudyData</stp>
        <stp>BAVolCr.BidVol^(SUBMINUTE((EP),1,FillGap),5,0)</stp>
        <stp>Bar</stp>
        <stp/>
        <stp>Open</stp>
        <stp>5</stp>
        <stp>-38</stp>
        <stp/>
        <stp/>
        <stp/>
        <stp/>
        <stp>T</stp>
        <tr r="AB39" s="1"/>
      </tp>
      <tp>
        <v>638</v>
        <stp/>
        <stp>StudyData</stp>
        <stp>BAVolCr.BidVol^(SUBMINUTE((EP),1,FillGap),5,0)</stp>
        <stp>Bar</stp>
        <stp/>
        <stp>Open</stp>
        <stp>5</stp>
        <stp>-28</stp>
        <stp/>
        <stp/>
        <stp/>
        <stp/>
        <stp>T</stp>
        <tr r="AB29" s="1"/>
      </tp>
      <tp>
        <v>113</v>
        <stp/>
        <stp>StudyData</stp>
        <stp>BAVolCr.BidVol^(SUBMINUTE((EP),1,FillGap),5,0)</stp>
        <stp>Bar</stp>
        <stp/>
        <stp>Open</stp>
        <stp>5</stp>
        <stp>-18</stp>
        <stp/>
        <stp/>
        <stp/>
        <stp/>
        <stp>T</stp>
        <tr r="AB19" s="1"/>
      </tp>
      <tp>
        <v>406</v>
        <stp/>
        <stp>StudyData</stp>
        <stp>BAVolCr.BidVol^(SUBMINUTE((EP),5,FillGap),5,0)</stp>
        <stp>Bar</stp>
        <stp/>
        <stp>Open</stp>
        <stp>5</stp>
        <stp>-59</stp>
        <stp/>
        <stp/>
        <stp/>
        <stp/>
        <stp>T</stp>
        <tr r="AJ60" s="1"/>
      </tp>
      <tp>
        <v>259</v>
        <stp/>
        <stp>StudyData</stp>
        <stp>BAVolCr.BidVol^(SUBMINUTE((EP),5,FillGap),5,0)</stp>
        <stp>Bar</stp>
        <stp/>
        <stp>Open</stp>
        <stp>5</stp>
        <stp>-49</stp>
        <stp/>
        <stp/>
        <stp/>
        <stp/>
        <stp>T</stp>
        <tr r="AJ50" s="1"/>
      </tp>
      <tp>
        <v>351</v>
        <stp/>
        <stp>StudyData</stp>
        <stp>BAVolCr.BidVol^(SUBMINUTE((EP),5,FillGap),5,0)</stp>
        <stp>Bar</stp>
        <stp/>
        <stp>Open</stp>
        <stp>5</stp>
        <stp>-39</stp>
        <stp/>
        <stp/>
        <stp/>
        <stp/>
        <stp>T</stp>
        <tr r="AJ40" s="1"/>
      </tp>
      <tp>
        <v>178</v>
        <stp/>
        <stp>StudyData</stp>
        <stp>BAVolCr.BidVol^(SUBMINUTE((EP),5,FillGap),5,0)</stp>
        <stp>Bar</stp>
        <stp/>
        <stp>Open</stp>
        <stp>5</stp>
        <stp>-29</stp>
        <stp/>
        <stp/>
        <stp/>
        <stp/>
        <stp>T</stp>
        <tr r="AJ30" s="1"/>
      </tp>
      <tp>
        <v>649</v>
        <stp/>
        <stp>StudyData</stp>
        <stp>BAVolCr.BidVol^(SUBMINUTE((EP),5,FillGap),5,0)</stp>
        <stp>Bar</stp>
        <stp/>
        <stp>Open</stp>
        <stp>5</stp>
        <stp>-19</stp>
        <stp/>
        <stp/>
        <stp/>
        <stp/>
        <stp>T</stp>
        <tr r="AJ20" s="1"/>
      </tp>
      <tp>
        <v>291</v>
        <stp/>
        <stp>StudyData</stp>
        <stp>BAVolCr.BidVol^(SUBMINUTE((EP),1,FillGap),5,0)</stp>
        <stp>Bar</stp>
        <stp/>
        <stp>Open</stp>
        <stp>5</stp>
        <stp>-59</stp>
        <stp/>
        <stp/>
        <stp/>
        <stp/>
        <stp>T</stp>
        <tr r="AB60" s="1"/>
      </tp>
      <tp>
        <v>490</v>
        <stp/>
        <stp>StudyData</stp>
        <stp>BAVolCr.BidVol^(SUBMINUTE((EP),1,FillGap),5,0)</stp>
        <stp>Bar</stp>
        <stp/>
        <stp>Open</stp>
        <stp>5</stp>
        <stp>-49</stp>
        <stp/>
        <stp/>
        <stp/>
        <stp/>
        <stp>T</stp>
        <tr r="AB50" s="1"/>
      </tp>
      <tp>
        <v>183</v>
        <stp/>
        <stp>StudyData</stp>
        <stp>BAVolCr.BidVol^(SUBMINUTE((EP),1,FillGap),5,0)</stp>
        <stp>Bar</stp>
        <stp/>
        <stp>Open</stp>
        <stp>5</stp>
        <stp>-39</stp>
        <stp/>
        <stp/>
        <stp/>
        <stp/>
        <stp>T</stp>
        <tr r="AB40" s="1"/>
      </tp>
      <tp>
        <v>785</v>
        <stp/>
        <stp>StudyData</stp>
        <stp>BAVolCr.BidVol^(SUBMINUTE((EP),1,FillGap),5,0)</stp>
        <stp>Bar</stp>
        <stp/>
        <stp>Open</stp>
        <stp>5</stp>
        <stp>-29</stp>
        <stp/>
        <stp/>
        <stp/>
        <stp/>
        <stp>T</stp>
        <tr r="AB30" s="1"/>
      </tp>
      <tp>
        <v>80</v>
        <stp/>
        <stp>StudyData</stp>
        <stp>BAVolCr.BidVol^(SUBMINUTE((EP),1,FillGap),5,0)</stp>
        <stp>Bar</stp>
        <stp/>
        <stp>Open</stp>
        <stp>5</stp>
        <stp>-19</stp>
        <stp/>
        <stp/>
        <stp/>
        <stp/>
        <stp>T</stp>
        <tr r="AB20" s="1"/>
      </tp>
      <tp>
        <v>1</v>
        <stp/>
        <stp>StudyData</stp>
        <stp>AlgOrdAskVol(SUBMINUTE((EP),1,Regular),1,0)</stp>
        <stp>Bar</stp>
        <stp/>
        <stp>Open</stp>
        <stp>5</stp>
        <stp>-41</stp>
        <stp/>
        <stp/>
        <stp/>
        <stp/>
        <stp>T</stp>
        <tr r="W129" s="2"/>
        <tr r="W129" s="2"/>
      </tp>
      <tp>
        <v>0</v>
        <stp/>
        <stp>StudyData</stp>
        <stp>AlgOrdAskVol(SUBMINUTE((EP),1,Regular),1,0)</stp>
        <stp>Bar</stp>
        <stp/>
        <stp>Open</stp>
        <stp>5</stp>
        <stp>-51</stp>
        <stp/>
        <stp/>
        <stp/>
        <stp/>
        <stp>T</stp>
        <tr r="W159" s="2"/>
        <tr r="W159" s="2"/>
      </tp>
      <tp>
        <v>0</v>
        <stp/>
        <stp>StudyData</stp>
        <stp>AlgOrdAskVol(SUBMINUTE((EP),1,Regular),1,0)</stp>
        <stp>Bar</stp>
        <stp/>
        <stp>Open</stp>
        <stp>5</stp>
        <stp>-21</stp>
        <stp/>
        <stp/>
        <stp/>
        <stp/>
        <stp>T</stp>
        <tr r="W69" s="2"/>
        <tr r="W69" s="2"/>
      </tp>
      <tp>
        <v>0</v>
        <stp/>
        <stp>StudyData</stp>
        <stp>AlgOrdAskVol(SUBMINUTE((EP),1,Regular),1,0)</stp>
        <stp>Bar</stp>
        <stp/>
        <stp>Open</stp>
        <stp>5</stp>
        <stp>-31</stp>
        <stp/>
        <stp/>
        <stp/>
        <stp/>
        <stp>T</stp>
        <tr r="W99" s="2"/>
        <tr r="W99" s="2"/>
      </tp>
      <tp>
        <v>0</v>
        <stp/>
        <stp>StudyData</stp>
        <stp>AlgOrdAskVol(SUBMINUTE((EP),1,Regular),1,0)</stp>
        <stp>Bar</stp>
        <stp/>
        <stp>Open</stp>
        <stp>5</stp>
        <stp>-11</stp>
        <stp/>
        <stp/>
        <stp/>
        <stp/>
        <stp>T</stp>
        <tr r="W39" s="2"/>
        <tr r="W39" s="2"/>
      </tp>
      <tp>
        <v>0</v>
        <stp/>
        <stp>StudyData</stp>
        <stp>AlgOrdAskVol(SUBMINUTE((EP),5,Regular),1,0)</stp>
        <stp>Bar</stp>
        <stp/>
        <stp>Open</stp>
        <stp>5</stp>
        <stp>-41</stp>
        <stp/>
        <stp/>
        <stp/>
        <stp/>
        <stp>T</stp>
        <tr r="AB129" s="2"/>
        <tr r="AB129" s="2"/>
      </tp>
      <tp>
        <v>0</v>
        <stp/>
        <stp>StudyData</stp>
        <stp>AlgOrdAskVol(SUBMINUTE((EP),5,Regular),1,0)</stp>
        <stp>Bar</stp>
        <stp/>
        <stp>Open</stp>
        <stp>5</stp>
        <stp>-51</stp>
        <stp/>
        <stp/>
        <stp/>
        <stp/>
        <stp>T</stp>
        <tr r="AB159" s="2"/>
        <tr r="AB159" s="2"/>
      </tp>
      <tp>
        <v>0</v>
        <stp/>
        <stp>StudyData</stp>
        <stp>AlgOrdAskVol(SUBMINUTE((EP),5,Regular),1,0)</stp>
        <stp>Bar</stp>
        <stp/>
        <stp>Open</stp>
        <stp>5</stp>
        <stp>-21</stp>
        <stp/>
        <stp/>
        <stp/>
        <stp/>
        <stp>T</stp>
        <tr r="AB69" s="2"/>
        <tr r="AB69" s="2"/>
      </tp>
      <tp>
        <v>0</v>
        <stp/>
        <stp>StudyData</stp>
        <stp>AlgOrdAskVol(SUBMINUTE((EP),5,Regular),1,0)</stp>
        <stp>Bar</stp>
        <stp/>
        <stp>Open</stp>
        <stp>5</stp>
        <stp>-31</stp>
        <stp/>
        <stp/>
        <stp/>
        <stp/>
        <stp>T</stp>
        <tr r="AB99" s="2"/>
        <tr r="AB99" s="2"/>
      </tp>
      <tp>
        <v>0</v>
        <stp/>
        <stp>StudyData</stp>
        <stp>AlgOrdAskVol(SUBMINUTE((EP),5,Regular),1,0)</stp>
        <stp>Bar</stp>
        <stp/>
        <stp>Open</stp>
        <stp>5</stp>
        <stp>-11</stp>
        <stp/>
        <stp/>
        <stp/>
        <stp/>
        <stp>T</stp>
        <tr r="AB39" s="2"/>
        <tr r="AB39" s="2"/>
      </tp>
      <tp>
        <v>17</v>
        <stp/>
        <stp>StudyData</stp>
        <stp>AlgOrdBidVol(SUBMINUTE((EP),5,Regular),1,0)</stp>
        <stp>Bar</stp>
        <stp/>
        <stp>Open</stp>
        <stp>5</stp>
        <stp>-42</stp>
        <stp/>
        <stp/>
        <stp/>
        <stp/>
        <stp>T</stp>
        <tr r="AA132" s="2"/>
        <tr r="AA132" s="2"/>
      </tp>
      <tp>
        <v>62</v>
        <stp/>
        <stp>StudyData</stp>
        <stp>AlgOrdBidVol(SUBMINUTE((EP),5,Regular),1,0)</stp>
        <stp>Bar</stp>
        <stp/>
        <stp>Open</stp>
        <stp>5</stp>
        <stp>-52</stp>
        <stp/>
        <stp/>
        <stp/>
        <stp/>
        <stp>T</stp>
        <tr r="AA162" s="2"/>
        <tr r="AA162" s="2"/>
      </tp>
      <tp>
        <v>39</v>
        <stp/>
        <stp>StudyData</stp>
        <stp>AlgOrdBidVol(SUBMINUTE((EP),5,Regular),1,0)</stp>
        <stp>Bar</stp>
        <stp/>
        <stp>Open</stp>
        <stp>5</stp>
        <stp>-22</stp>
        <stp/>
        <stp/>
        <stp/>
        <stp/>
        <stp>T</stp>
        <tr r="AA72" s="2"/>
        <tr r="AA72" s="2"/>
      </tp>
      <tp>
        <v>107</v>
        <stp/>
        <stp>StudyData</stp>
        <stp>AlgOrdBidVol(SUBMINUTE((EP),5,Regular),1,0)</stp>
        <stp>Bar</stp>
        <stp/>
        <stp>Open</stp>
        <stp>5</stp>
        <stp>-32</stp>
        <stp/>
        <stp/>
        <stp/>
        <stp/>
        <stp>T</stp>
        <tr r="AA102" s="2"/>
        <tr r="AA102" s="2"/>
      </tp>
      <tp>
        <v>294</v>
        <stp/>
        <stp>StudyData</stp>
        <stp>AlgOrdBidVol(SUBMINUTE((EP),5,Regular),1,0)</stp>
        <stp>Bar</stp>
        <stp/>
        <stp>Open</stp>
        <stp>5</stp>
        <stp>-12</stp>
        <stp/>
        <stp/>
        <stp/>
        <stp/>
        <stp>T</stp>
        <tr r="AA42" s="2"/>
        <tr r="AA42" s="2"/>
      </tp>
      <tp>
        <v>47</v>
        <stp/>
        <stp>StudyData</stp>
        <stp>AlgOrdBidVol(SUBMINUTE((EP),1,Regular),1,0)</stp>
        <stp>Bar</stp>
        <stp/>
        <stp>Open</stp>
        <stp>5</stp>
        <stp>-42</stp>
        <stp/>
        <stp/>
        <stp/>
        <stp/>
        <stp>T</stp>
        <tr r="V132" s="2"/>
        <tr r="V132" s="2"/>
      </tp>
      <tp>
        <v>0</v>
        <stp/>
        <stp>StudyData</stp>
        <stp>AlgOrdBidVol(SUBMINUTE((EP),1,Regular),1,0)</stp>
        <stp>Bar</stp>
        <stp/>
        <stp>Open</stp>
        <stp>5</stp>
        <stp>-52</stp>
        <stp/>
        <stp/>
        <stp/>
        <stp/>
        <stp>T</stp>
        <tr r="V162" s="2"/>
        <tr r="V162" s="2"/>
      </tp>
      <tp>
        <v>0</v>
        <stp/>
        <stp>StudyData</stp>
        <stp>AlgOrdBidVol(SUBMINUTE((EP),1,Regular),1,0)</stp>
        <stp>Bar</stp>
        <stp/>
        <stp>Open</stp>
        <stp>5</stp>
        <stp>-22</stp>
        <stp/>
        <stp/>
        <stp/>
        <stp/>
        <stp>T</stp>
        <tr r="V72" s="2"/>
        <tr r="V72" s="2"/>
      </tp>
      <tp>
        <v>18</v>
        <stp/>
        <stp>StudyData</stp>
        <stp>AlgOrdBidVol(SUBMINUTE((EP),1,Regular),1,0)</stp>
        <stp>Bar</stp>
        <stp/>
        <stp>Open</stp>
        <stp>5</stp>
        <stp>-32</stp>
        <stp/>
        <stp/>
        <stp/>
        <stp/>
        <stp>T</stp>
        <tr r="V102" s="2"/>
        <tr r="V102" s="2"/>
      </tp>
      <tp>
        <v>0</v>
        <stp/>
        <stp>StudyData</stp>
        <stp>AlgOrdBidVol(SUBMINUTE((EP),1,Regular),1,0)</stp>
        <stp>Bar</stp>
        <stp/>
        <stp>Open</stp>
        <stp>5</stp>
        <stp>-12</stp>
        <stp/>
        <stp/>
        <stp/>
        <stp/>
        <stp>T</stp>
        <tr r="V42" s="2"/>
        <tr r="V42" s="2"/>
      </tp>
      <tp>
        <v>2738.75</v>
        <stp/>
        <stp>StudyData</stp>
        <stp>SUBMINUTE((EP),5,FillGap)</stp>
        <stp>Bar</stp>
        <stp/>
        <stp>Low</stp>
        <stp>5</stp>
        <stp>-5</stp>
        <stp/>
        <stp/>
        <stp/>
        <stp/>
        <stp>T</stp>
        <tr r="AH6" s="1"/>
        <tr r="AH6" s="1"/>
      </tp>
      <tp>
        <v>0</v>
        <stp/>
        <stp>StudyData</stp>
        <stp>AlgOrdAskVol(SUBMINUTE((EP),1,Regular),1,0)</stp>
        <stp>Bar</stp>
        <stp/>
        <stp>Open</stp>
        <stp>5</stp>
        <stp>-60</stp>
        <stp/>
        <stp/>
        <stp/>
        <stp/>
        <stp>T</stp>
        <tr r="W186" s="2"/>
        <tr r="W186" s="2"/>
      </tp>
      <tp>
        <v>0</v>
        <stp/>
        <stp>StudyData</stp>
        <stp>AlgOrdAskVol(SUBMINUTE((EP),1,Regular),1,0)</stp>
        <stp>Bar</stp>
        <stp/>
        <stp>Open</stp>
        <stp>5</stp>
        <stp>-40</stp>
        <stp/>
        <stp/>
        <stp/>
        <stp/>
        <stp>T</stp>
        <tr r="W126" s="2"/>
        <tr r="W126" s="2"/>
      </tp>
      <tp>
        <v>0</v>
        <stp/>
        <stp>StudyData</stp>
        <stp>AlgOrdAskVol(SUBMINUTE((EP),1,Regular),1,0)</stp>
        <stp>Bar</stp>
        <stp/>
        <stp>Open</stp>
        <stp>5</stp>
        <stp>-50</stp>
        <stp/>
        <stp/>
        <stp/>
        <stp/>
        <stp>T</stp>
        <tr r="W156" s="2"/>
        <tr r="W156" s="2"/>
      </tp>
      <tp>
        <v>0</v>
        <stp/>
        <stp>StudyData</stp>
        <stp>AlgOrdAskVol(SUBMINUTE((EP),1,Regular),1,0)</stp>
        <stp>Bar</stp>
        <stp/>
        <stp>Open</stp>
        <stp>5</stp>
        <stp>-20</stp>
        <stp/>
        <stp/>
        <stp/>
        <stp/>
        <stp>T</stp>
        <tr r="W66" s="2"/>
        <tr r="W66" s="2"/>
      </tp>
      <tp>
        <v>0</v>
        <stp/>
        <stp>StudyData</stp>
        <stp>AlgOrdAskVol(SUBMINUTE((EP),1,Regular),1,0)</stp>
        <stp>Bar</stp>
        <stp/>
        <stp>Open</stp>
        <stp>5</stp>
        <stp>-30</stp>
        <stp/>
        <stp/>
        <stp/>
        <stp/>
        <stp>T</stp>
        <tr r="W96" s="2"/>
        <tr r="W96" s="2"/>
      </tp>
      <tp>
        <v>0</v>
        <stp/>
        <stp>StudyData</stp>
        <stp>AlgOrdAskVol(SUBMINUTE((EP),1,Regular),1,0)</stp>
        <stp>Bar</stp>
        <stp/>
        <stp>Open</stp>
        <stp>5</stp>
        <stp>-10</stp>
        <stp/>
        <stp/>
        <stp/>
        <stp/>
        <stp>T</stp>
        <tr r="W36" s="2"/>
        <tr r="W36" s="2"/>
      </tp>
      <tp>
        <v>9</v>
        <stp/>
        <stp>StudyData</stp>
        <stp>AlgOrdAskVol(SUBMINUTE((EP),5,Regular),1,0)</stp>
        <stp>Bar</stp>
        <stp/>
        <stp>Open</stp>
        <stp>5</stp>
        <stp>-60</stp>
        <stp/>
        <stp/>
        <stp/>
        <stp/>
        <stp>T</stp>
        <tr r="AB186" s="2"/>
        <tr r="AB186" s="2"/>
      </tp>
      <tp>
        <v>7</v>
        <stp/>
        <stp>StudyData</stp>
        <stp>AlgOrdAskVol(SUBMINUTE((EP),5,Regular),1,0)</stp>
        <stp>Bar</stp>
        <stp/>
        <stp>Open</stp>
        <stp>5</stp>
        <stp>-40</stp>
        <stp/>
        <stp/>
        <stp/>
        <stp/>
        <stp>T</stp>
        <tr r="AB126" s="2"/>
        <tr r="AB126" s="2"/>
      </tp>
      <tp>
        <v>0</v>
        <stp/>
        <stp>StudyData</stp>
        <stp>AlgOrdAskVol(SUBMINUTE((EP),5,Regular),1,0)</stp>
        <stp>Bar</stp>
        <stp/>
        <stp>Open</stp>
        <stp>5</stp>
        <stp>-50</stp>
        <stp/>
        <stp/>
        <stp/>
        <stp/>
        <stp>T</stp>
        <tr r="AB156" s="2"/>
        <tr r="AB156" s="2"/>
      </tp>
      <tp>
        <v>165</v>
        <stp/>
        <stp>StudyData</stp>
        <stp>AlgOrdAskVol(SUBMINUTE((EP),5,Regular),1,0)</stp>
        <stp>Bar</stp>
        <stp/>
        <stp>Open</stp>
        <stp>5</stp>
        <stp>-20</stp>
        <stp/>
        <stp/>
        <stp/>
        <stp/>
        <stp>T</stp>
        <tr r="AB66" s="2"/>
        <tr r="AB66" s="2"/>
      </tp>
      <tp>
        <v>0</v>
        <stp/>
        <stp>StudyData</stp>
        <stp>AlgOrdAskVol(SUBMINUTE((EP),5,Regular),1,0)</stp>
        <stp>Bar</stp>
        <stp/>
        <stp>Open</stp>
        <stp>5</stp>
        <stp>-30</stp>
        <stp/>
        <stp/>
        <stp/>
        <stp/>
        <stp>T</stp>
        <tr r="AB96" s="2"/>
        <tr r="AB96" s="2"/>
      </tp>
      <tp>
        <v>18</v>
        <stp/>
        <stp>StudyData</stp>
        <stp>AlgOrdAskVol(SUBMINUTE((EP),5,Regular),1,0)</stp>
        <stp>Bar</stp>
        <stp/>
        <stp>Open</stp>
        <stp>5</stp>
        <stp>-10</stp>
        <stp/>
        <stp/>
        <stp/>
        <stp/>
        <stp>T</stp>
        <tr r="AB36" s="2"/>
        <tr r="AB36" s="2"/>
      </tp>
      <tp>
        <v>15</v>
        <stp/>
        <stp>StudyData</stp>
        <stp>AlgOrdBidVol(SUBMINUTE((EP),5,Regular),1,0)</stp>
        <stp>Bar</stp>
        <stp/>
        <stp>Open</stp>
        <stp>5</stp>
        <stp>-43</stp>
        <stp/>
        <stp/>
        <stp/>
        <stp/>
        <stp>T</stp>
        <tr r="AA135" s="2"/>
        <tr r="AA135" s="2"/>
      </tp>
      <tp>
        <v>0</v>
        <stp/>
        <stp>StudyData</stp>
        <stp>AlgOrdBidVol(SUBMINUTE((EP),5,Regular),1,0)</stp>
        <stp>Bar</stp>
        <stp/>
        <stp>Open</stp>
        <stp>5</stp>
        <stp>-53</stp>
        <stp/>
        <stp/>
        <stp/>
        <stp/>
        <stp>T</stp>
        <tr r="AA165" s="2"/>
        <tr r="AA165" s="2"/>
      </tp>
      <tp>
        <v>192</v>
        <stp/>
        <stp>StudyData</stp>
        <stp>AlgOrdBidVol(SUBMINUTE((EP),5,Regular),1,0)</stp>
        <stp>Bar</stp>
        <stp/>
        <stp>Open</stp>
        <stp>5</stp>
        <stp>-23</stp>
        <stp/>
        <stp/>
        <stp/>
        <stp/>
        <stp>T</stp>
        <tr r="AA75" s="2"/>
        <tr r="AA75" s="2"/>
      </tp>
      <tp>
        <v>0</v>
        <stp/>
        <stp>StudyData</stp>
        <stp>AlgOrdBidVol(SUBMINUTE((EP),5,Regular),1,0)</stp>
        <stp>Bar</stp>
        <stp/>
        <stp>Open</stp>
        <stp>5</stp>
        <stp>-33</stp>
        <stp/>
        <stp/>
        <stp/>
        <stp/>
        <stp>T</stp>
        <tr r="AA105" s="2"/>
        <tr r="AA105" s="2"/>
      </tp>
      <tp>
        <v>0</v>
        <stp/>
        <stp>StudyData</stp>
        <stp>AlgOrdBidVol(SUBMINUTE((EP),5,Regular),1,0)</stp>
        <stp>Bar</stp>
        <stp/>
        <stp>Open</stp>
        <stp>5</stp>
        <stp>-13</stp>
        <stp/>
        <stp/>
        <stp/>
        <stp/>
        <stp>T</stp>
        <tr r="AA45" s="2"/>
        <tr r="AA45" s="2"/>
      </tp>
      <tp>
        <v>0</v>
        <stp/>
        <stp>StudyData</stp>
        <stp>AlgOrdBidVol(SUBMINUTE((EP),1,Regular),1,0)</stp>
        <stp>Bar</stp>
        <stp/>
        <stp>Open</stp>
        <stp>5</stp>
        <stp>-43</stp>
        <stp/>
        <stp/>
        <stp/>
        <stp/>
        <stp>T</stp>
        <tr r="V135" s="2"/>
        <tr r="V135" s="2"/>
      </tp>
      <tp>
        <v>0</v>
        <stp/>
        <stp>StudyData</stp>
        <stp>AlgOrdBidVol(SUBMINUTE((EP),1,Regular),1,0)</stp>
        <stp>Bar</stp>
        <stp/>
        <stp>Open</stp>
        <stp>5</stp>
        <stp>-53</stp>
        <stp/>
        <stp/>
        <stp/>
        <stp/>
        <stp>T</stp>
        <tr r="V165" s="2"/>
        <tr r="V165" s="2"/>
      </tp>
      <tp>
        <v>0</v>
        <stp/>
        <stp>StudyData</stp>
        <stp>AlgOrdBidVol(SUBMINUTE((EP),1,Regular),1,0)</stp>
        <stp>Bar</stp>
        <stp/>
        <stp>Open</stp>
        <stp>5</stp>
        <stp>-23</stp>
        <stp/>
        <stp/>
        <stp/>
        <stp/>
        <stp>T</stp>
        <tr r="V75" s="2"/>
        <tr r="V75" s="2"/>
      </tp>
      <tp>
        <v>221</v>
        <stp/>
        <stp>StudyData</stp>
        <stp>AlgOrdBidVol(SUBMINUTE((EP),1,Regular),1,0)</stp>
        <stp>Bar</stp>
        <stp/>
        <stp>Open</stp>
        <stp>5</stp>
        <stp>-33</stp>
        <stp/>
        <stp/>
        <stp/>
        <stp/>
        <stp>T</stp>
        <tr r="V105" s="2"/>
        <tr r="V105" s="2"/>
      </tp>
      <tp>
        <v>0</v>
        <stp/>
        <stp>StudyData</stp>
        <stp>AlgOrdBidVol(SUBMINUTE((EP),1,Regular),1,0)</stp>
        <stp>Bar</stp>
        <stp/>
        <stp>Open</stp>
        <stp>5</stp>
        <stp>-13</stp>
        <stp/>
        <stp/>
        <stp/>
        <stp/>
        <stp>T</stp>
        <tr r="V45" s="2"/>
        <tr r="V45" s="2"/>
      </tp>
      <tp>
        <v>2738.75</v>
        <stp/>
        <stp>StudyData</stp>
        <stp>SUBMINUTE((EP),5,FillGap)</stp>
        <stp>Bar</stp>
        <stp/>
        <stp>Low</stp>
        <stp>5</stp>
        <stp>-4</stp>
        <stp/>
        <stp/>
        <stp/>
        <stp/>
        <stp>T</stp>
        <tr r="AH5" s="1"/>
        <tr r="AH5" s="1"/>
      </tp>
      <tp>
        <v>0</v>
        <stp/>
        <stp>StudyData</stp>
        <stp>AlgOrdAskVol(SUBMINUTE((EP),1,Regular),1,0)</stp>
        <stp>Bar</stp>
        <stp/>
        <stp>Open</stp>
        <stp>5</stp>
        <stp>-43</stp>
        <stp/>
        <stp/>
        <stp/>
        <stp/>
        <stp>T</stp>
        <tr r="W135" s="2"/>
        <tr r="W135" s="2"/>
      </tp>
      <tp>
        <v>0</v>
        <stp/>
        <stp>StudyData</stp>
        <stp>AlgOrdAskVol(SUBMINUTE((EP),1,Regular),1,0)</stp>
        <stp>Bar</stp>
        <stp/>
        <stp>Open</stp>
        <stp>5</stp>
        <stp>-53</stp>
        <stp/>
        <stp/>
        <stp/>
        <stp/>
        <stp>T</stp>
        <tr r="W165" s="2"/>
        <tr r="W165" s="2"/>
      </tp>
      <tp>
        <v>0</v>
        <stp/>
        <stp>StudyData</stp>
        <stp>AlgOrdAskVol(SUBMINUTE((EP),1,Regular),1,0)</stp>
        <stp>Bar</stp>
        <stp/>
        <stp>Open</stp>
        <stp>5</stp>
        <stp>-23</stp>
        <stp/>
        <stp/>
        <stp/>
        <stp/>
        <stp>T</stp>
        <tr r="W75" s="2"/>
        <tr r="W75" s="2"/>
      </tp>
      <tp>
        <v>0</v>
        <stp/>
        <stp>StudyData</stp>
        <stp>AlgOrdAskVol(SUBMINUTE((EP),1,Regular),1,0)</stp>
        <stp>Bar</stp>
        <stp/>
        <stp>Open</stp>
        <stp>5</stp>
        <stp>-33</stp>
        <stp/>
        <stp/>
        <stp/>
        <stp/>
        <stp>T</stp>
        <tr r="W105" s="2"/>
        <tr r="W105" s="2"/>
      </tp>
      <tp>
        <v>0</v>
        <stp/>
        <stp>StudyData</stp>
        <stp>AlgOrdAskVol(SUBMINUTE((EP),1,Regular),1,0)</stp>
        <stp>Bar</stp>
        <stp/>
        <stp>Open</stp>
        <stp>5</stp>
        <stp>-13</stp>
        <stp/>
        <stp/>
        <stp/>
        <stp/>
        <stp>T</stp>
        <tr r="W45" s="2"/>
        <tr r="W45" s="2"/>
      </tp>
      <tp>
        <v>0</v>
        <stp/>
        <stp>StudyData</stp>
        <stp>AlgOrdAskVol(SUBMINUTE((EP),5,Regular),1,0)</stp>
        <stp>Bar</stp>
        <stp/>
        <stp>Open</stp>
        <stp>5</stp>
        <stp>-43</stp>
        <stp/>
        <stp/>
        <stp/>
        <stp/>
        <stp>T</stp>
        <tr r="AB135" s="2"/>
        <tr r="AB135" s="2"/>
      </tp>
      <tp>
        <v>0</v>
        <stp/>
        <stp>StudyData</stp>
        <stp>AlgOrdAskVol(SUBMINUTE((EP),5,Regular),1,0)</stp>
        <stp>Bar</stp>
        <stp/>
        <stp>Open</stp>
        <stp>5</stp>
        <stp>-53</stp>
        <stp/>
        <stp/>
        <stp/>
        <stp/>
        <stp>T</stp>
        <tr r="AB165" s="2"/>
        <tr r="AB165" s="2"/>
      </tp>
      <tp>
        <v>0</v>
        <stp/>
        <stp>StudyData</stp>
        <stp>AlgOrdAskVol(SUBMINUTE((EP),5,Regular),1,0)</stp>
        <stp>Bar</stp>
        <stp/>
        <stp>Open</stp>
        <stp>5</stp>
        <stp>-23</stp>
        <stp/>
        <stp/>
        <stp/>
        <stp/>
        <stp>T</stp>
        <tr r="AB75" s="2"/>
        <tr r="AB75" s="2"/>
      </tp>
      <tp>
        <v>0</v>
        <stp/>
        <stp>StudyData</stp>
        <stp>AlgOrdAskVol(SUBMINUTE((EP),5,Regular),1,0)</stp>
        <stp>Bar</stp>
        <stp/>
        <stp>Open</stp>
        <stp>5</stp>
        <stp>-33</stp>
        <stp/>
        <stp/>
        <stp/>
        <stp/>
        <stp>T</stp>
        <tr r="AB105" s="2"/>
        <tr r="AB105" s="2"/>
      </tp>
      <tp>
        <v>0</v>
        <stp/>
        <stp>StudyData</stp>
        <stp>AlgOrdAskVol(SUBMINUTE((EP),5,Regular),1,0)</stp>
        <stp>Bar</stp>
        <stp/>
        <stp>Open</stp>
        <stp>5</stp>
        <stp>-13</stp>
        <stp/>
        <stp/>
        <stp/>
        <stp/>
        <stp>T</stp>
        <tr r="AB45" s="2"/>
        <tr r="AB45" s="2"/>
      </tp>
      <tp>
        <v>0</v>
        <stp/>
        <stp>StudyData</stp>
        <stp>AlgOrdBidVol(SUBMINUTE((EP),5,Regular),1,0)</stp>
        <stp>Bar</stp>
        <stp/>
        <stp>Open</stp>
        <stp>5</stp>
        <stp>-60</stp>
        <stp/>
        <stp/>
        <stp/>
        <stp/>
        <stp>T</stp>
        <tr r="AA186" s="2"/>
        <tr r="AA186" s="2"/>
      </tp>
      <tp>
        <v>6</v>
        <stp/>
        <stp>StudyData</stp>
        <stp>AlgOrdBidVol(SUBMINUTE((EP),5,Regular),1,0)</stp>
        <stp>Bar</stp>
        <stp/>
        <stp>Open</stp>
        <stp>5</stp>
        <stp>-40</stp>
        <stp/>
        <stp/>
        <stp/>
        <stp/>
        <stp>T</stp>
        <tr r="AA126" s="2"/>
        <tr r="AA126" s="2"/>
      </tp>
      <tp>
        <v>0</v>
        <stp/>
        <stp>StudyData</stp>
        <stp>AlgOrdBidVol(SUBMINUTE((EP),5,Regular),1,0)</stp>
        <stp>Bar</stp>
        <stp/>
        <stp>Open</stp>
        <stp>5</stp>
        <stp>-50</stp>
        <stp/>
        <stp/>
        <stp/>
        <stp/>
        <stp>T</stp>
        <tr r="AA156" s="2"/>
        <tr r="AA156" s="2"/>
      </tp>
      <tp>
        <v>3</v>
        <stp/>
        <stp>StudyData</stp>
        <stp>AlgOrdBidVol(SUBMINUTE((EP),5,Regular),1,0)</stp>
        <stp>Bar</stp>
        <stp/>
        <stp>Open</stp>
        <stp>5</stp>
        <stp>-20</stp>
        <stp/>
        <stp/>
        <stp/>
        <stp/>
        <stp>T</stp>
        <tr r="AA66" s="2"/>
        <tr r="AA66" s="2"/>
      </tp>
      <tp>
        <v>0</v>
        <stp/>
        <stp>StudyData</stp>
        <stp>AlgOrdBidVol(SUBMINUTE((EP),5,Regular),1,0)</stp>
        <stp>Bar</stp>
        <stp/>
        <stp>Open</stp>
        <stp>5</stp>
        <stp>-30</stp>
        <stp/>
        <stp/>
        <stp/>
        <stp/>
        <stp>T</stp>
        <tr r="AA96" s="2"/>
        <tr r="AA96" s="2"/>
      </tp>
      <tp>
        <v>2</v>
        <stp/>
        <stp>StudyData</stp>
        <stp>AlgOrdBidVol(SUBMINUTE((EP),5,Regular),1,0)</stp>
        <stp>Bar</stp>
        <stp/>
        <stp>Open</stp>
        <stp>5</stp>
        <stp>-10</stp>
        <stp/>
        <stp/>
        <stp/>
        <stp/>
        <stp>T</stp>
        <tr r="AA36" s="2"/>
        <tr r="AA36" s="2"/>
      </tp>
      <tp>
        <v>0</v>
        <stp/>
        <stp>StudyData</stp>
        <stp>AlgOrdBidVol(SUBMINUTE((EP),1,Regular),1,0)</stp>
        <stp>Bar</stp>
        <stp/>
        <stp>Open</stp>
        <stp>5</stp>
        <stp>-60</stp>
        <stp/>
        <stp/>
        <stp/>
        <stp/>
        <stp>T</stp>
        <tr r="V186" s="2"/>
        <tr r="V186" s="2"/>
      </tp>
      <tp>
        <v>0</v>
        <stp/>
        <stp>StudyData</stp>
        <stp>AlgOrdBidVol(SUBMINUTE((EP),1,Regular),1,0)</stp>
        <stp>Bar</stp>
        <stp/>
        <stp>Open</stp>
        <stp>5</stp>
        <stp>-40</stp>
        <stp/>
        <stp/>
        <stp/>
        <stp/>
        <stp>T</stp>
        <tr r="V126" s="2"/>
        <tr r="V126" s="2"/>
      </tp>
      <tp>
        <v>0</v>
        <stp/>
        <stp>StudyData</stp>
        <stp>AlgOrdBidVol(SUBMINUTE((EP),1,Regular),1,0)</stp>
        <stp>Bar</stp>
        <stp/>
        <stp>Open</stp>
        <stp>5</stp>
        <stp>-50</stp>
        <stp/>
        <stp/>
        <stp/>
        <stp/>
        <stp>T</stp>
        <tr r="V156" s="2"/>
        <tr r="V156" s="2"/>
      </tp>
      <tp>
        <v>0</v>
        <stp/>
        <stp>StudyData</stp>
        <stp>AlgOrdBidVol(SUBMINUTE((EP),1,Regular),1,0)</stp>
        <stp>Bar</stp>
        <stp/>
        <stp>Open</stp>
        <stp>5</stp>
        <stp>-20</stp>
        <stp/>
        <stp/>
        <stp/>
        <stp/>
        <stp>T</stp>
        <tr r="V66" s="2"/>
        <tr r="V66" s="2"/>
      </tp>
      <tp>
        <v>18</v>
        <stp/>
        <stp>StudyData</stp>
        <stp>AlgOrdBidVol(SUBMINUTE((EP),1,Regular),1,0)</stp>
        <stp>Bar</stp>
        <stp/>
        <stp>Open</stp>
        <stp>5</stp>
        <stp>-30</stp>
        <stp/>
        <stp/>
        <stp/>
        <stp/>
        <stp>T</stp>
        <tr r="V96" s="2"/>
        <tr r="V96" s="2"/>
      </tp>
      <tp>
        <v>0</v>
        <stp/>
        <stp>StudyData</stp>
        <stp>AlgOrdBidVol(SUBMINUTE((EP),1,Regular),1,0)</stp>
        <stp>Bar</stp>
        <stp/>
        <stp>Open</stp>
        <stp>5</stp>
        <stp>-10</stp>
        <stp/>
        <stp/>
        <stp/>
        <stp/>
        <stp>T</stp>
        <tr r="V36" s="2"/>
        <tr r="V36" s="2"/>
      </tp>
      <tp>
        <v>2739.25</v>
        <stp/>
        <stp>StudyData</stp>
        <stp>SUBMINUTE((EP),5,FillGap)</stp>
        <stp>Bar</stp>
        <stp/>
        <stp>Low</stp>
        <stp>5</stp>
        <stp>-7</stp>
        <stp/>
        <stp/>
        <stp/>
        <stp/>
        <stp>T</stp>
        <tr r="AH8" s="1"/>
        <tr r="AH8" s="1"/>
      </tp>
      <tp>
        <v>0</v>
        <stp/>
        <stp>StudyData</stp>
        <stp>AlgOrdAskVol(SUBMINUTE((EP),1,Regular),1,0)</stp>
        <stp>Bar</stp>
        <stp/>
        <stp>Open</stp>
        <stp>5</stp>
        <stp>-42</stp>
        <stp/>
        <stp/>
        <stp/>
        <stp/>
        <stp>T</stp>
        <tr r="W132" s="2"/>
        <tr r="W132" s="2"/>
      </tp>
      <tp>
        <v>0</v>
        <stp/>
        <stp>StudyData</stp>
        <stp>AlgOrdAskVol(SUBMINUTE((EP),1,Regular),1,0)</stp>
        <stp>Bar</stp>
        <stp/>
        <stp>Open</stp>
        <stp>5</stp>
        <stp>-52</stp>
        <stp/>
        <stp/>
        <stp/>
        <stp/>
        <stp>T</stp>
        <tr r="W162" s="2"/>
        <tr r="W162" s="2"/>
      </tp>
      <tp>
        <v>0</v>
        <stp/>
        <stp>StudyData</stp>
        <stp>AlgOrdAskVol(SUBMINUTE((EP),1,Regular),1,0)</stp>
        <stp>Bar</stp>
        <stp/>
        <stp>Open</stp>
        <stp>5</stp>
        <stp>-22</stp>
        <stp/>
        <stp/>
        <stp/>
        <stp/>
        <stp>T</stp>
        <tr r="W72" s="2"/>
        <tr r="W72" s="2"/>
      </tp>
      <tp>
        <v>0</v>
        <stp/>
        <stp>StudyData</stp>
        <stp>AlgOrdAskVol(SUBMINUTE((EP),1,Regular),1,0)</stp>
        <stp>Bar</stp>
        <stp/>
        <stp>Open</stp>
        <stp>5</stp>
        <stp>-32</stp>
        <stp/>
        <stp/>
        <stp/>
        <stp/>
        <stp>T</stp>
        <tr r="W102" s="2"/>
        <tr r="W102" s="2"/>
      </tp>
      <tp>
        <v>11</v>
        <stp/>
        <stp>StudyData</stp>
        <stp>AlgOrdAskVol(SUBMINUTE((EP),1,Regular),1,0)</stp>
        <stp>Bar</stp>
        <stp/>
        <stp>Open</stp>
        <stp>5</stp>
        <stp>-12</stp>
        <stp/>
        <stp/>
        <stp/>
        <stp/>
        <stp>T</stp>
        <tr r="W42" s="2"/>
        <tr r="W42" s="2"/>
      </tp>
      <tp>
        <v>11</v>
        <stp/>
        <stp>StudyData</stp>
        <stp>AlgOrdAskVol(SUBMINUTE((EP),5,Regular),1,0)</stp>
        <stp>Bar</stp>
        <stp/>
        <stp>Open</stp>
        <stp>5</stp>
        <stp>-42</stp>
        <stp/>
        <stp/>
        <stp/>
        <stp/>
        <stp>T</stp>
        <tr r="AB132" s="2"/>
        <tr r="AB132" s="2"/>
      </tp>
      <tp>
        <v>0</v>
        <stp/>
        <stp>StudyData</stp>
        <stp>AlgOrdAskVol(SUBMINUTE((EP),5,Regular),1,0)</stp>
        <stp>Bar</stp>
        <stp/>
        <stp>Open</stp>
        <stp>5</stp>
        <stp>-52</stp>
        <stp/>
        <stp/>
        <stp/>
        <stp/>
        <stp>T</stp>
        <tr r="AB162" s="2"/>
        <tr r="AB162" s="2"/>
      </tp>
      <tp>
        <v>27</v>
        <stp/>
        <stp>StudyData</stp>
        <stp>AlgOrdAskVol(SUBMINUTE((EP),5,Regular),1,0)</stp>
        <stp>Bar</stp>
        <stp/>
        <stp>Open</stp>
        <stp>5</stp>
        <stp>-22</stp>
        <stp/>
        <stp/>
        <stp/>
        <stp/>
        <stp>T</stp>
        <tr r="AB72" s="2"/>
        <tr r="AB72" s="2"/>
      </tp>
      <tp>
        <v>0</v>
        <stp/>
        <stp>StudyData</stp>
        <stp>AlgOrdAskVol(SUBMINUTE((EP),5,Regular),1,0)</stp>
        <stp>Bar</stp>
        <stp/>
        <stp>Open</stp>
        <stp>5</stp>
        <stp>-32</stp>
        <stp/>
        <stp/>
        <stp/>
        <stp/>
        <stp>T</stp>
        <tr r="AB102" s="2"/>
        <tr r="AB102" s="2"/>
      </tp>
      <tp>
        <v>0</v>
        <stp/>
        <stp>StudyData</stp>
        <stp>AlgOrdAskVol(SUBMINUTE((EP),5,Regular),1,0)</stp>
        <stp>Bar</stp>
        <stp/>
        <stp>Open</stp>
        <stp>5</stp>
        <stp>-12</stp>
        <stp/>
        <stp/>
        <stp/>
        <stp/>
        <stp>T</stp>
        <tr r="AB42" s="2"/>
        <tr r="AB42" s="2"/>
      </tp>
      <tp>
        <v>54</v>
        <stp/>
        <stp>StudyData</stp>
        <stp>AlgOrdBidVol(SUBMINUTE((EP),5,Regular),1,0)</stp>
        <stp>Bar</stp>
        <stp/>
        <stp>Open</stp>
        <stp>5</stp>
        <stp>-41</stp>
        <stp/>
        <stp/>
        <stp/>
        <stp/>
        <stp>T</stp>
        <tr r="AA129" s="2"/>
        <tr r="AA129" s="2"/>
      </tp>
      <tp>
        <v>0</v>
        <stp/>
        <stp>StudyData</stp>
        <stp>AlgOrdBidVol(SUBMINUTE((EP),5,Regular),1,0)</stp>
        <stp>Bar</stp>
        <stp/>
        <stp>Open</stp>
        <stp>5</stp>
        <stp>-51</stp>
        <stp/>
        <stp/>
        <stp/>
        <stp/>
        <stp>T</stp>
        <tr r="AA159" s="2"/>
        <tr r="AA159" s="2"/>
      </tp>
      <tp>
        <v>0</v>
        <stp/>
        <stp>StudyData</stp>
        <stp>AlgOrdBidVol(SUBMINUTE((EP),5,Regular),1,0)</stp>
        <stp>Bar</stp>
        <stp/>
        <stp>Open</stp>
        <stp>5</stp>
        <stp>-21</stp>
        <stp/>
        <stp/>
        <stp/>
        <stp/>
        <stp>T</stp>
        <tr r="AA69" s="2"/>
        <tr r="AA69" s="2"/>
      </tp>
      <tp>
        <v>0</v>
        <stp/>
        <stp>StudyData</stp>
        <stp>AlgOrdBidVol(SUBMINUTE((EP),5,Regular),1,0)</stp>
        <stp>Bar</stp>
        <stp/>
        <stp>Open</stp>
        <stp>5</stp>
        <stp>-31</stp>
        <stp/>
        <stp/>
        <stp/>
        <stp/>
        <stp>T</stp>
        <tr r="AA99" s="2"/>
        <tr r="AA99" s="2"/>
      </tp>
      <tp>
        <v>17</v>
        <stp/>
        <stp>StudyData</stp>
        <stp>AlgOrdBidVol(SUBMINUTE((EP),5,Regular),1,0)</stp>
        <stp>Bar</stp>
        <stp/>
        <stp>Open</stp>
        <stp>5</stp>
        <stp>-11</stp>
        <stp/>
        <stp/>
        <stp/>
        <stp/>
        <stp>T</stp>
        <tr r="AA39" s="2"/>
        <tr r="AA39" s="2"/>
      </tp>
      <tp>
        <v>0</v>
        <stp/>
        <stp>StudyData</stp>
        <stp>AlgOrdBidVol(SUBMINUTE((EP),1,Regular),1,0)</stp>
        <stp>Bar</stp>
        <stp/>
        <stp>Open</stp>
        <stp>5</stp>
        <stp>-41</stp>
        <stp/>
        <stp/>
        <stp/>
        <stp/>
        <stp>T</stp>
        <tr r="V129" s="2"/>
        <tr r="V129" s="2"/>
      </tp>
      <tp>
        <v>17</v>
        <stp/>
        <stp>StudyData</stp>
        <stp>AlgOrdBidVol(SUBMINUTE((EP),1,Regular),1,0)</stp>
        <stp>Bar</stp>
        <stp/>
        <stp>Open</stp>
        <stp>5</stp>
        <stp>-51</stp>
        <stp/>
        <stp/>
        <stp/>
        <stp/>
        <stp>T</stp>
        <tr r="V159" s="2"/>
        <tr r="V159" s="2"/>
      </tp>
      <tp>
        <v>0</v>
        <stp/>
        <stp>StudyData</stp>
        <stp>AlgOrdBidVol(SUBMINUTE((EP),1,Regular),1,0)</stp>
        <stp>Bar</stp>
        <stp/>
        <stp>Open</stp>
        <stp>5</stp>
        <stp>-21</stp>
        <stp/>
        <stp/>
        <stp/>
        <stp/>
        <stp>T</stp>
        <tr r="V69" s="2"/>
        <tr r="V69" s="2"/>
      </tp>
      <tp>
        <v>26</v>
        <stp/>
        <stp>StudyData</stp>
        <stp>AlgOrdBidVol(SUBMINUTE((EP),1,Regular),1,0)</stp>
        <stp>Bar</stp>
        <stp/>
        <stp>Open</stp>
        <stp>5</stp>
        <stp>-31</stp>
        <stp/>
        <stp/>
        <stp/>
        <stp/>
        <stp>T</stp>
        <tr r="V99" s="2"/>
        <tr r="V99" s="2"/>
      </tp>
      <tp>
        <v>0</v>
        <stp/>
        <stp>StudyData</stp>
        <stp>AlgOrdBidVol(SUBMINUTE((EP),1,Regular),1,0)</stp>
        <stp>Bar</stp>
        <stp/>
        <stp>Open</stp>
        <stp>5</stp>
        <stp>-11</stp>
        <stp/>
        <stp/>
        <stp/>
        <stp/>
        <stp>T</stp>
        <tr r="V39" s="2"/>
        <tr r="V39" s="2"/>
      </tp>
      <tp>
        <v>2738.75</v>
        <stp/>
        <stp>StudyData</stp>
        <stp>SUBMINUTE((EP),5,FillGap)</stp>
        <stp>Bar</stp>
        <stp/>
        <stp>Low</stp>
        <stp>5</stp>
        <stp>-6</stp>
        <stp/>
        <stp/>
        <stp/>
        <stp/>
        <stp>T</stp>
        <tr r="AH7" s="1"/>
        <tr r="AH7" s="1"/>
      </tp>
      <tp>
        <v>0</v>
        <stp/>
        <stp>StudyData</stp>
        <stp>AlgOrdAskVol(SUBMINUTE((EP),1,Regular),1,0)</stp>
        <stp>Bar</stp>
        <stp/>
        <stp>Open</stp>
        <stp>5</stp>
        <stp>-45</stp>
        <stp/>
        <stp/>
        <stp/>
        <stp/>
        <stp>T</stp>
        <tr r="W141" s="2"/>
        <tr r="W141" s="2"/>
      </tp>
      <tp>
        <v>0</v>
        <stp/>
        <stp>StudyData</stp>
        <stp>AlgOrdAskVol(SUBMINUTE((EP),1,Regular),1,0)</stp>
        <stp>Bar</stp>
        <stp/>
        <stp>Open</stp>
        <stp>5</stp>
        <stp>-55</stp>
        <stp/>
        <stp/>
        <stp/>
        <stp/>
        <stp>T</stp>
        <tr r="W171" s="2"/>
        <tr r="W171" s="2"/>
      </tp>
      <tp>
        <v>0</v>
        <stp/>
        <stp>StudyData</stp>
        <stp>AlgOrdAskVol(SUBMINUTE((EP),1,Regular),1,0)</stp>
        <stp>Bar</stp>
        <stp/>
        <stp>Open</stp>
        <stp>5</stp>
        <stp>-25</stp>
        <stp/>
        <stp/>
        <stp/>
        <stp/>
        <stp>T</stp>
        <tr r="W81" s="2"/>
        <tr r="W81" s="2"/>
      </tp>
      <tp>
        <v>0</v>
        <stp/>
        <stp>StudyData</stp>
        <stp>AlgOrdAskVol(SUBMINUTE((EP),1,Regular),1,0)</stp>
        <stp>Bar</stp>
        <stp/>
        <stp>Open</stp>
        <stp>5</stp>
        <stp>-35</stp>
        <stp/>
        <stp/>
        <stp/>
        <stp/>
        <stp>T</stp>
        <tr r="W111" s="2"/>
        <tr r="W111" s="2"/>
      </tp>
      <tp>
        <v>8</v>
        <stp/>
        <stp>StudyData</stp>
        <stp>AlgOrdAskVol(SUBMINUTE((EP),1,Regular),1,0)</stp>
        <stp>Bar</stp>
        <stp/>
        <stp>Open</stp>
        <stp>5</stp>
        <stp>-15</stp>
        <stp/>
        <stp/>
        <stp/>
        <stp/>
        <stp>T</stp>
        <tr r="W51" s="2"/>
        <tr r="W51" s="2"/>
      </tp>
      <tp>
        <v>61</v>
        <stp/>
        <stp>StudyData</stp>
        <stp>AlgOrdAskVol(SUBMINUTE((EP),5,Regular),1,0)</stp>
        <stp>Bar</stp>
        <stp/>
        <stp>Open</stp>
        <stp>5</stp>
        <stp>-45</stp>
        <stp/>
        <stp/>
        <stp/>
        <stp/>
        <stp>T</stp>
        <tr r="AB141" s="2"/>
        <tr r="AB141" s="2"/>
      </tp>
      <tp>
        <v>0</v>
        <stp/>
        <stp>StudyData</stp>
        <stp>AlgOrdAskVol(SUBMINUTE((EP),5,Regular),1,0)</stp>
        <stp>Bar</stp>
        <stp/>
        <stp>Open</stp>
        <stp>5</stp>
        <stp>-55</stp>
        <stp/>
        <stp/>
        <stp/>
        <stp/>
        <stp>T</stp>
        <tr r="AB171" s="2"/>
        <tr r="AB171" s="2"/>
      </tp>
      <tp>
        <v>0</v>
        <stp/>
        <stp>StudyData</stp>
        <stp>AlgOrdAskVol(SUBMINUTE((EP),5,Regular),1,0)</stp>
        <stp>Bar</stp>
        <stp/>
        <stp>Open</stp>
        <stp>5</stp>
        <stp>-25</stp>
        <stp/>
        <stp/>
        <stp/>
        <stp/>
        <stp>T</stp>
        <tr r="AB81" s="2"/>
        <tr r="AB81" s="2"/>
      </tp>
      <tp>
        <v>0</v>
        <stp/>
        <stp>StudyData</stp>
        <stp>AlgOrdAskVol(SUBMINUTE((EP),5,Regular),1,0)</stp>
        <stp>Bar</stp>
        <stp/>
        <stp>Open</stp>
        <stp>5</stp>
        <stp>-35</stp>
        <stp/>
        <stp/>
        <stp/>
        <stp/>
        <stp>T</stp>
        <tr r="AB111" s="2"/>
        <tr r="AB111" s="2"/>
      </tp>
      <tp>
        <v>0</v>
        <stp/>
        <stp>StudyData</stp>
        <stp>AlgOrdAskVol(SUBMINUTE((EP),5,Regular),1,0)</stp>
        <stp>Bar</stp>
        <stp/>
        <stp>Open</stp>
        <stp>5</stp>
        <stp>-15</stp>
        <stp/>
        <stp/>
        <stp/>
        <stp/>
        <stp>T</stp>
        <tr r="AB51" s="2"/>
        <tr r="AB51" s="2"/>
      </tp>
      <tp>
        <v>0</v>
        <stp/>
        <stp>StudyData</stp>
        <stp>AlgOrdBidVol(SUBMINUTE((EP),5,Regular),1,0)</stp>
        <stp>Bar</stp>
        <stp/>
        <stp>Open</stp>
        <stp>5</stp>
        <stp>-46</stp>
        <stp/>
        <stp/>
        <stp/>
        <stp/>
        <stp>T</stp>
        <tr r="AA144" s="2"/>
        <tr r="AA144" s="2"/>
      </tp>
      <tp>
        <v>0</v>
        <stp/>
        <stp>StudyData</stp>
        <stp>AlgOrdBidVol(SUBMINUTE((EP),5,Regular),1,0)</stp>
        <stp>Bar</stp>
        <stp/>
        <stp>Open</stp>
        <stp>5</stp>
        <stp>-56</stp>
        <stp/>
        <stp/>
        <stp/>
        <stp/>
        <stp>T</stp>
        <tr r="AA174" s="2"/>
        <tr r="AA174" s="2"/>
      </tp>
      <tp>
        <v>0</v>
        <stp/>
        <stp>StudyData</stp>
        <stp>AlgOrdBidVol(SUBMINUTE((EP),5,Regular),1,0)</stp>
        <stp>Bar</stp>
        <stp/>
        <stp>Open</stp>
        <stp>5</stp>
        <stp>-26</stp>
        <stp/>
        <stp/>
        <stp/>
        <stp/>
        <stp>T</stp>
        <tr r="AA84" s="2"/>
        <tr r="AA84" s="2"/>
      </tp>
      <tp>
        <v>0</v>
        <stp/>
        <stp>StudyData</stp>
        <stp>AlgOrdBidVol(SUBMINUTE((EP),5,Regular),1,0)</stp>
        <stp>Bar</stp>
        <stp/>
        <stp>Open</stp>
        <stp>5</stp>
        <stp>-36</stp>
        <stp/>
        <stp/>
        <stp/>
        <stp/>
        <stp>T</stp>
        <tr r="AA114" s="2"/>
        <tr r="AA114" s="2"/>
      </tp>
      <tp>
        <v>0</v>
        <stp/>
        <stp>StudyData</stp>
        <stp>AlgOrdBidVol(SUBMINUTE((EP),5,Regular),1,0)</stp>
        <stp>Bar</stp>
        <stp/>
        <stp>Open</stp>
        <stp>5</stp>
        <stp>-16</stp>
        <stp/>
        <stp/>
        <stp/>
        <stp/>
        <stp>T</stp>
        <tr r="AA54" s="2"/>
        <tr r="AA54" s="2"/>
      </tp>
      <tp>
        <v>0</v>
        <stp/>
        <stp>StudyData</stp>
        <stp>AlgOrdBidVol(SUBMINUTE((EP),1,Regular),1,0)</stp>
        <stp>Bar</stp>
        <stp/>
        <stp>Open</stp>
        <stp>5</stp>
        <stp>-46</stp>
        <stp/>
        <stp/>
        <stp/>
        <stp/>
        <stp>T</stp>
        <tr r="V144" s="2"/>
        <tr r="V144" s="2"/>
      </tp>
      <tp>
        <v>0</v>
        <stp/>
        <stp>StudyData</stp>
        <stp>AlgOrdBidVol(SUBMINUTE((EP),1,Regular),1,0)</stp>
        <stp>Bar</stp>
        <stp/>
        <stp>Open</stp>
        <stp>5</stp>
        <stp>-56</stp>
        <stp/>
        <stp/>
        <stp/>
        <stp/>
        <stp>T</stp>
        <tr r="V174" s="2"/>
        <tr r="V174" s="2"/>
      </tp>
      <tp>
        <v>56</v>
        <stp/>
        <stp>StudyData</stp>
        <stp>AlgOrdBidVol(SUBMINUTE((EP),1,Regular),1,0)</stp>
        <stp>Bar</stp>
        <stp/>
        <stp>Open</stp>
        <stp>5</stp>
        <stp>-26</stp>
        <stp/>
        <stp/>
        <stp/>
        <stp/>
        <stp>T</stp>
        <tr r="V84" s="2"/>
        <tr r="V84" s="2"/>
      </tp>
      <tp>
        <v>0</v>
        <stp/>
        <stp>StudyData</stp>
        <stp>AlgOrdBidVol(SUBMINUTE((EP),1,Regular),1,0)</stp>
        <stp>Bar</stp>
        <stp/>
        <stp>Open</stp>
        <stp>5</stp>
        <stp>-36</stp>
        <stp/>
        <stp/>
        <stp/>
        <stp/>
        <stp>T</stp>
        <tr r="V114" s="2"/>
        <tr r="V114" s="2"/>
      </tp>
      <tp>
        <v>0</v>
        <stp/>
        <stp>StudyData</stp>
        <stp>AlgOrdBidVol(SUBMINUTE((EP),1,Regular),1,0)</stp>
        <stp>Bar</stp>
        <stp/>
        <stp>Open</stp>
        <stp>5</stp>
        <stp>-16</stp>
        <stp/>
        <stp/>
        <stp/>
        <stp/>
        <stp>T</stp>
        <tr r="V54" s="2"/>
        <tr r="V54" s="2"/>
      </tp>
      <tp>
        <v>2738.75</v>
        <stp/>
        <stp>StudyData</stp>
        <stp>SUBMINUTE((EP),5,FillGap)</stp>
        <stp>Bar</stp>
        <stp/>
        <stp>Low</stp>
        <stp>5</stp>
        <stp>-1</stp>
        <stp/>
        <stp/>
        <stp/>
        <stp/>
        <stp>T</stp>
        <tr r="AH2" s="1"/>
        <tr r="AH2" s="1"/>
      </tp>
      <tp>
        <v>0</v>
        <stp/>
        <stp>StudyData</stp>
        <stp>AlgOrdAskVol(SUBMINUTE((EP),1,Regular),1,0)</stp>
        <stp>Bar</stp>
        <stp/>
        <stp>Open</stp>
        <stp>5</stp>
        <stp>-44</stp>
        <stp/>
        <stp/>
        <stp/>
        <stp/>
        <stp>T</stp>
        <tr r="W138" s="2"/>
        <tr r="W138" s="2"/>
      </tp>
      <tp>
        <v>0</v>
        <stp/>
        <stp>StudyData</stp>
        <stp>AlgOrdAskVol(SUBMINUTE((EP),1,Regular),1,0)</stp>
        <stp>Bar</stp>
        <stp/>
        <stp>Open</stp>
        <stp>5</stp>
        <stp>-54</stp>
        <stp/>
        <stp/>
        <stp/>
        <stp/>
        <stp>T</stp>
        <tr r="W168" s="2"/>
        <tr r="W168" s="2"/>
      </tp>
      <tp>
        <v>46</v>
        <stp/>
        <stp>StudyData</stp>
        <stp>AlgOrdAskVol(SUBMINUTE((EP),1,Regular),1,0)</stp>
        <stp>Bar</stp>
        <stp/>
        <stp>Open</stp>
        <stp>5</stp>
        <stp>-24</stp>
        <stp/>
        <stp/>
        <stp/>
        <stp/>
        <stp>T</stp>
        <tr r="W78" s="2"/>
        <tr r="W78" s="2"/>
      </tp>
      <tp>
        <v>0</v>
        <stp/>
        <stp>StudyData</stp>
        <stp>AlgOrdAskVol(SUBMINUTE((EP),1,Regular),1,0)</stp>
        <stp>Bar</stp>
        <stp/>
        <stp>Open</stp>
        <stp>5</stp>
        <stp>-34</stp>
        <stp/>
        <stp/>
        <stp/>
        <stp/>
        <stp>T</stp>
        <tr r="W108" s="2"/>
        <tr r="W108" s="2"/>
      </tp>
      <tp>
        <v>0</v>
        <stp/>
        <stp>StudyData</stp>
        <stp>AlgOrdAskVol(SUBMINUTE((EP),1,Regular),1,0)</stp>
        <stp>Bar</stp>
        <stp/>
        <stp>Open</stp>
        <stp>5</stp>
        <stp>-14</stp>
        <stp/>
        <stp/>
        <stp/>
        <stp/>
        <stp>T</stp>
        <tr r="W48" s="2"/>
        <tr r="W48" s="2"/>
      </tp>
      <tp>
        <v>0</v>
        <stp/>
        <stp>StudyData</stp>
        <stp>AlgOrdAskVol(SUBMINUTE((EP),5,Regular),1,0)</stp>
        <stp>Bar</stp>
        <stp/>
        <stp>Open</stp>
        <stp>5</stp>
        <stp>-44</stp>
        <stp/>
        <stp/>
        <stp/>
        <stp/>
        <stp>T</stp>
        <tr r="AB138" s="2"/>
        <tr r="AB138" s="2"/>
      </tp>
      <tp>
        <v>0</v>
        <stp/>
        <stp>StudyData</stp>
        <stp>AlgOrdAskVol(SUBMINUTE((EP),5,Regular),1,0)</stp>
        <stp>Bar</stp>
        <stp/>
        <stp>Open</stp>
        <stp>5</stp>
        <stp>-54</stp>
        <stp/>
        <stp/>
        <stp/>
        <stp/>
        <stp>T</stp>
        <tr r="AB168" s="2"/>
        <tr r="AB168" s="2"/>
      </tp>
      <tp>
        <v>0</v>
        <stp/>
        <stp>StudyData</stp>
        <stp>AlgOrdAskVol(SUBMINUTE((EP),5,Regular),1,0)</stp>
        <stp>Bar</stp>
        <stp/>
        <stp>Open</stp>
        <stp>5</stp>
        <stp>-24</stp>
        <stp/>
        <stp/>
        <stp/>
        <stp/>
        <stp>T</stp>
        <tr r="AB78" s="2"/>
        <tr r="AB78" s="2"/>
      </tp>
      <tp>
        <v>0</v>
        <stp/>
        <stp>StudyData</stp>
        <stp>AlgOrdAskVol(SUBMINUTE((EP),5,Regular),1,0)</stp>
        <stp>Bar</stp>
        <stp/>
        <stp>Open</stp>
        <stp>5</stp>
        <stp>-34</stp>
        <stp/>
        <stp/>
        <stp/>
        <stp/>
        <stp>T</stp>
        <tr r="AB108" s="2"/>
        <tr r="AB108" s="2"/>
      </tp>
      <tp>
        <v>1</v>
        <stp/>
        <stp>StudyData</stp>
        <stp>AlgOrdAskVol(SUBMINUTE((EP),5,Regular),1,0)</stp>
        <stp>Bar</stp>
        <stp/>
        <stp>Open</stp>
        <stp>5</stp>
        <stp>-14</stp>
        <stp/>
        <stp/>
        <stp/>
        <stp/>
        <stp>T</stp>
        <tr r="AB48" s="2"/>
        <tr r="AB48" s="2"/>
      </tp>
      <tp>
        <v>52</v>
        <stp/>
        <stp>StudyData</stp>
        <stp>AlgOrdBidVol(SUBMINUTE((EP),5,Regular),1,0)</stp>
        <stp>Bar</stp>
        <stp/>
        <stp>Open</stp>
        <stp>5</stp>
        <stp>-47</stp>
        <stp/>
        <stp/>
        <stp/>
        <stp/>
        <stp>T</stp>
        <tr r="AA147" s="2"/>
        <tr r="AA147" s="2"/>
      </tp>
      <tp>
        <v>5</v>
        <stp/>
        <stp>StudyData</stp>
        <stp>AlgOrdBidVol(SUBMINUTE((EP),5,Regular),1,0)</stp>
        <stp>Bar</stp>
        <stp/>
        <stp>Open</stp>
        <stp>5</stp>
        <stp>-57</stp>
        <stp/>
        <stp/>
        <stp/>
        <stp/>
        <stp>T</stp>
        <tr r="AA177" s="2"/>
        <tr r="AA177" s="2"/>
      </tp>
      <tp>
        <v>0</v>
        <stp/>
        <stp>StudyData</stp>
        <stp>AlgOrdBidVol(SUBMINUTE((EP),5,Regular),1,0)</stp>
        <stp>Bar</stp>
        <stp/>
        <stp>Open</stp>
        <stp>5</stp>
        <stp>-27</stp>
        <stp/>
        <stp/>
        <stp/>
        <stp/>
        <stp>T</stp>
        <tr r="AA87" s="2"/>
        <tr r="AA87" s="2"/>
      </tp>
      <tp>
        <v>36</v>
        <stp/>
        <stp>StudyData</stp>
        <stp>AlgOrdBidVol(SUBMINUTE((EP),5,Regular),1,0)</stp>
        <stp>Bar</stp>
        <stp/>
        <stp>Open</stp>
        <stp>5</stp>
        <stp>-37</stp>
        <stp/>
        <stp/>
        <stp/>
        <stp/>
        <stp>T</stp>
        <tr r="AA117" s="2"/>
        <tr r="AA117" s="2"/>
      </tp>
      <tp>
        <v>0</v>
        <stp/>
        <stp>StudyData</stp>
        <stp>AlgOrdBidVol(SUBMINUTE((EP),5,Regular),1,0)</stp>
        <stp>Bar</stp>
        <stp/>
        <stp>Open</stp>
        <stp>5</stp>
        <stp>-17</stp>
        <stp/>
        <stp/>
        <stp/>
        <stp/>
        <stp>T</stp>
        <tr r="AA57" s="2"/>
        <tr r="AA57" s="2"/>
      </tp>
      <tp>
        <v>0</v>
        <stp/>
        <stp>StudyData</stp>
        <stp>AlgOrdBidVol(SUBMINUTE((EP),1,Regular),1,0)</stp>
        <stp>Bar</stp>
        <stp/>
        <stp>Open</stp>
        <stp>5</stp>
        <stp>-47</stp>
        <stp/>
        <stp/>
        <stp/>
        <stp/>
        <stp>T</stp>
        <tr r="V147" s="2"/>
        <tr r="V147" s="2"/>
      </tp>
      <tp>
        <v>0</v>
        <stp/>
        <stp>StudyData</stp>
        <stp>AlgOrdBidVol(SUBMINUTE((EP),1,Regular),1,0)</stp>
        <stp>Bar</stp>
        <stp/>
        <stp>Open</stp>
        <stp>5</stp>
        <stp>-57</stp>
        <stp/>
        <stp/>
        <stp/>
        <stp/>
        <stp>T</stp>
        <tr r="V177" s="2"/>
        <tr r="V177" s="2"/>
      </tp>
      <tp>
        <v>0</v>
        <stp/>
        <stp>StudyData</stp>
        <stp>AlgOrdBidVol(SUBMINUTE((EP),1,Regular),1,0)</stp>
        <stp>Bar</stp>
        <stp/>
        <stp>Open</stp>
        <stp>5</stp>
        <stp>-27</stp>
        <stp/>
        <stp/>
        <stp/>
        <stp/>
        <stp>T</stp>
        <tr r="V87" s="2"/>
        <tr r="V87" s="2"/>
      </tp>
      <tp>
        <v>15</v>
        <stp/>
        <stp>StudyData</stp>
        <stp>AlgOrdBidVol(SUBMINUTE((EP),1,Regular),1,0)</stp>
        <stp>Bar</stp>
        <stp/>
        <stp>Open</stp>
        <stp>5</stp>
        <stp>-37</stp>
        <stp/>
        <stp/>
        <stp/>
        <stp/>
        <stp>T</stp>
        <tr r="V117" s="2"/>
        <tr r="V117" s="2"/>
      </tp>
      <tp>
        <v>0</v>
        <stp/>
        <stp>StudyData</stp>
        <stp>AlgOrdBidVol(SUBMINUTE((EP),1,Regular),1,0)</stp>
        <stp>Bar</stp>
        <stp/>
        <stp>Open</stp>
        <stp>5</stp>
        <stp>-17</stp>
        <stp/>
        <stp/>
        <stp/>
        <stp/>
        <stp>T</stp>
        <tr r="V57" s="2"/>
        <tr r="V57" s="2"/>
      </tp>
      <tp>
        <v>0</v>
        <stp/>
        <stp>StudyData</stp>
        <stp>AlgOrdAskVol(SUBMINUTE((EP),1,Regular),1,0)</stp>
        <stp>Bar</stp>
        <stp/>
        <stp>Open</stp>
        <stp>5</stp>
        <stp>-47</stp>
        <stp/>
        <stp/>
        <stp/>
        <stp/>
        <stp>T</stp>
        <tr r="W147" s="2"/>
        <tr r="W147" s="2"/>
      </tp>
      <tp>
        <v>0</v>
        <stp/>
        <stp>StudyData</stp>
        <stp>AlgOrdAskVol(SUBMINUTE((EP),1,Regular),1,0)</stp>
        <stp>Bar</stp>
        <stp/>
        <stp>Open</stp>
        <stp>5</stp>
        <stp>-57</stp>
        <stp/>
        <stp/>
        <stp/>
        <stp/>
        <stp>T</stp>
        <tr r="W177" s="2"/>
        <tr r="W177" s="2"/>
      </tp>
      <tp>
        <v>0</v>
        <stp/>
        <stp>StudyData</stp>
        <stp>AlgOrdAskVol(SUBMINUTE((EP),1,Regular),1,0)</stp>
        <stp>Bar</stp>
        <stp/>
        <stp>Open</stp>
        <stp>5</stp>
        <stp>-27</stp>
        <stp/>
        <stp/>
        <stp/>
        <stp/>
        <stp>T</stp>
        <tr r="W87" s="2"/>
        <tr r="W87" s="2"/>
      </tp>
      <tp>
        <v>0</v>
        <stp/>
        <stp>StudyData</stp>
        <stp>AlgOrdAskVol(SUBMINUTE((EP),1,Regular),1,0)</stp>
        <stp>Bar</stp>
        <stp/>
        <stp>Open</stp>
        <stp>5</stp>
        <stp>-37</stp>
        <stp/>
        <stp/>
        <stp/>
        <stp/>
        <stp>T</stp>
        <tr r="W117" s="2"/>
        <tr r="W117" s="2"/>
      </tp>
      <tp>
        <v>0</v>
        <stp/>
        <stp>StudyData</stp>
        <stp>AlgOrdAskVol(SUBMINUTE((EP),1,Regular),1,0)</stp>
        <stp>Bar</stp>
        <stp/>
        <stp>Open</stp>
        <stp>5</stp>
        <stp>-17</stp>
        <stp/>
        <stp/>
        <stp/>
        <stp/>
        <stp>T</stp>
        <tr r="W57" s="2"/>
        <tr r="W57" s="2"/>
      </tp>
      <tp>
        <v>23</v>
        <stp/>
        <stp>StudyData</stp>
        <stp>AlgOrdAskVol(SUBMINUTE((EP),5,Regular),1,0)</stp>
        <stp>Bar</stp>
        <stp/>
        <stp>Open</stp>
        <stp>5</stp>
        <stp>-47</stp>
        <stp/>
        <stp/>
        <stp/>
        <stp/>
        <stp>T</stp>
        <tr r="AB147" s="2"/>
        <tr r="AB147" s="2"/>
      </tp>
      <tp>
        <v>29</v>
        <stp/>
        <stp>StudyData</stp>
        <stp>AlgOrdAskVol(SUBMINUTE((EP),5,Regular),1,0)</stp>
        <stp>Bar</stp>
        <stp/>
        <stp>Open</stp>
        <stp>5</stp>
        <stp>-57</stp>
        <stp/>
        <stp/>
        <stp/>
        <stp/>
        <stp>T</stp>
        <tr r="AB177" s="2"/>
        <tr r="AB177" s="2"/>
      </tp>
      <tp>
        <v>33</v>
        <stp/>
        <stp>StudyData</stp>
        <stp>AlgOrdAskVol(SUBMINUTE((EP),5,Regular),1,0)</stp>
        <stp>Bar</stp>
        <stp/>
        <stp>Open</stp>
        <stp>5</stp>
        <stp>-27</stp>
        <stp/>
        <stp/>
        <stp/>
        <stp/>
        <stp>T</stp>
        <tr r="AB87" s="2"/>
        <tr r="AB87" s="2"/>
      </tp>
      <tp>
        <v>0</v>
        <stp/>
        <stp>StudyData</stp>
        <stp>AlgOrdAskVol(SUBMINUTE((EP),5,Regular),1,0)</stp>
        <stp>Bar</stp>
        <stp/>
        <stp>Open</stp>
        <stp>5</stp>
        <stp>-37</stp>
        <stp/>
        <stp/>
        <stp/>
        <stp/>
        <stp>T</stp>
        <tr r="AB117" s="2"/>
        <tr r="AB117" s="2"/>
      </tp>
      <tp>
        <v>0</v>
        <stp/>
        <stp>StudyData</stp>
        <stp>AlgOrdAskVol(SUBMINUTE((EP),5,Regular),1,0)</stp>
        <stp>Bar</stp>
        <stp/>
        <stp>Open</stp>
        <stp>5</stp>
        <stp>-17</stp>
        <stp/>
        <stp/>
        <stp/>
        <stp/>
        <stp>T</stp>
        <tr r="AB57" s="2"/>
        <tr r="AB57" s="2"/>
      </tp>
      <tp>
        <v>0</v>
        <stp/>
        <stp>StudyData</stp>
        <stp>AlgOrdBidVol(SUBMINUTE((EP),5,Regular),1,0)</stp>
        <stp>Bar</stp>
        <stp/>
        <stp>Open</stp>
        <stp>5</stp>
        <stp>-44</stp>
        <stp/>
        <stp/>
        <stp/>
        <stp/>
        <stp>T</stp>
        <tr r="AA138" s="2"/>
        <tr r="AA138" s="2"/>
      </tp>
      <tp>
        <v>77</v>
        <stp/>
        <stp>StudyData</stp>
        <stp>AlgOrdBidVol(SUBMINUTE((EP),5,Regular),1,0)</stp>
        <stp>Bar</stp>
        <stp/>
        <stp>Open</stp>
        <stp>5</stp>
        <stp>-54</stp>
        <stp/>
        <stp/>
        <stp/>
        <stp/>
        <stp>T</stp>
        <tr r="AA168" s="2"/>
        <tr r="AA168" s="2"/>
      </tp>
      <tp>
        <v>0</v>
        <stp/>
        <stp>StudyData</stp>
        <stp>AlgOrdBidVol(SUBMINUTE((EP),5,Regular),1,0)</stp>
        <stp>Bar</stp>
        <stp/>
        <stp>Open</stp>
        <stp>5</stp>
        <stp>-24</stp>
        <stp/>
        <stp/>
        <stp/>
        <stp/>
        <stp>T</stp>
        <tr r="AA78" s="2"/>
        <tr r="AA78" s="2"/>
      </tp>
      <tp>
        <v>0</v>
        <stp/>
        <stp>StudyData</stp>
        <stp>AlgOrdBidVol(SUBMINUTE((EP),5,Regular),1,0)</stp>
        <stp>Bar</stp>
        <stp/>
        <stp>Open</stp>
        <stp>5</stp>
        <stp>-34</stp>
        <stp/>
        <stp/>
        <stp/>
        <stp/>
        <stp>T</stp>
        <tr r="AA108" s="2"/>
        <tr r="AA108" s="2"/>
      </tp>
      <tp>
        <v>117</v>
        <stp/>
        <stp>StudyData</stp>
        <stp>AlgOrdBidVol(SUBMINUTE((EP),5,Regular),1,0)</stp>
        <stp>Bar</stp>
        <stp/>
        <stp>Open</stp>
        <stp>5</stp>
        <stp>-14</stp>
        <stp/>
        <stp/>
        <stp/>
        <stp/>
        <stp>T</stp>
        <tr r="AA48" s="2"/>
        <tr r="AA48" s="2"/>
      </tp>
      <tp>
        <v>0</v>
        <stp/>
        <stp>StudyData</stp>
        <stp>AlgOrdBidVol(SUBMINUTE((EP),1,Regular),1,0)</stp>
        <stp>Bar</stp>
        <stp/>
        <stp>Open</stp>
        <stp>5</stp>
        <stp>-44</stp>
        <stp/>
        <stp/>
        <stp/>
        <stp/>
        <stp>T</stp>
        <tr r="V138" s="2"/>
        <tr r="V138" s="2"/>
      </tp>
      <tp>
        <v>0</v>
        <stp/>
        <stp>StudyData</stp>
        <stp>AlgOrdBidVol(SUBMINUTE((EP),1,Regular),1,0)</stp>
        <stp>Bar</stp>
        <stp/>
        <stp>Open</stp>
        <stp>5</stp>
        <stp>-54</stp>
        <stp/>
        <stp/>
        <stp/>
        <stp/>
        <stp>T</stp>
        <tr r="V168" s="2"/>
        <tr r="V168" s="2"/>
      </tp>
      <tp>
        <v>0</v>
        <stp/>
        <stp>StudyData</stp>
        <stp>AlgOrdBidVol(SUBMINUTE((EP),1,Regular),1,0)</stp>
        <stp>Bar</stp>
        <stp/>
        <stp>Open</stp>
        <stp>5</stp>
        <stp>-24</stp>
        <stp/>
        <stp/>
        <stp/>
        <stp/>
        <stp>T</stp>
        <tr r="V78" s="2"/>
        <tr r="V78" s="2"/>
      </tp>
      <tp>
        <v>0</v>
        <stp/>
        <stp>StudyData</stp>
        <stp>AlgOrdBidVol(SUBMINUTE((EP),1,Regular),1,0)</stp>
        <stp>Bar</stp>
        <stp/>
        <stp>Open</stp>
        <stp>5</stp>
        <stp>-34</stp>
        <stp/>
        <stp/>
        <stp/>
        <stp/>
        <stp>T</stp>
        <tr r="V108" s="2"/>
        <tr r="V108" s="2"/>
      </tp>
      <tp>
        <v>47</v>
        <stp/>
        <stp>StudyData</stp>
        <stp>AlgOrdBidVol(SUBMINUTE((EP),1,Regular),1,0)</stp>
        <stp>Bar</stp>
        <stp/>
        <stp>Open</stp>
        <stp>5</stp>
        <stp>-14</stp>
        <stp/>
        <stp/>
        <stp/>
        <stp/>
        <stp>T</stp>
        <tr r="V48" s="2"/>
        <tr r="V48" s="2"/>
      </tp>
      <tp>
        <v>2739</v>
        <stp/>
        <stp>StudyData</stp>
        <stp>SUBMINUTE((EP),5,FillGap)</stp>
        <stp>Bar</stp>
        <stp/>
        <stp>Low</stp>
        <stp>5</stp>
        <stp>-3</stp>
        <stp/>
        <stp/>
        <stp/>
        <stp/>
        <stp>T</stp>
        <tr r="AH4" s="1"/>
        <tr r="AH4" s="1"/>
      </tp>
      <tp>
        <v>0</v>
        <stp/>
        <stp>StudyData</stp>
        <stp>AlgOrdAskVol(SUBMINUTE((EP),1,Regular),1,0)</stp>
        <stp>Bar</stp>
        <stp/>
        <stp>Open</stp>
        <stp>5</stp>
        <stp>-46</stp>
        <stp/>
        <stp/>
        <stp/>
        <stp/>
        <stp>T</stp>
        <tr r="W144" s="2"/>
        <tr r="W144" s="2"/>
      </tp>
      <tp>
        <v>0</v>
        <stp/>
        <stp>StudyData</stp>
        <stp>AlgOrdAskVol(SUBMINUTE((EP),1,Regular),1,0)</stp>
        <stp>Bar</stp>
        <stp/>
        <stp>Open</stp>
        <stp>5</stp>
        <stp>-56</stp>
        <stp/>
        <stp/>
        <stp/>
        <stp/>
        <stp>T</stp>
        <tr r="W174" s="2"/>
        <tr r="W174" s="2"/>
      </tp>
      <tp>
        <v>0</v>
        <stp/>
        <stp>StudyData</stp>
        <stp>AlgOrdAskVol(SUBMINUTE((EP),1,Regular),1,0)</stp>
        <stp>Bar</stp>
        <stp/>
        <stp>Open</stp>
        <stp>5</stp>
        <stp>-26</stp>
        <stp/>
        <stp/>
        <stp/>
        <stp/>
        <stp>T</stp>
        <tr r="W84" s="2"/>
        <tr r="W84" s="2"/>
      </tp>
      <tp>
        <v>19</v>
        <stp/>
        <stp>StudyData</stp>
        <stp>AlgOrdAskVol(SUBMINUTE((EP),1,Regular),1,0)</stp>
        <stp>Bar</stp>
        <stp/>
        <stp>Open</stp>
        <stp>5</stp>
        <stp>-36</stp>
        <stp/>
        <stp/>
        <stp/>
        <stp/>
        <stp>T</stp>
        <tr r="W114" s="2"/>
        <tr r="W114" s="2"/>
      </tp>
      <tp>
        <v>0</v>
        <stp/>
        <stp>StudyData</stp>
        <stp>AlgOrdAskVol(SUBMINUTE((EP),1,Regular),1,0)</stp>
        <stp>Bar</stp>
        <stp/>
        <stp>Open</stp>
        <stp>5</stp>
        <stp>-16</stp>
        <stp/>
        <stp/>
        <stp/>
        <stp/>
        <stp>T</stp>
        <tr r="W54" s="2"/>
        <tr r="W54" s="2"/>
      </tp>
      <tp>
        <v>59</v>
        <stp/>
        <stp>StudyData</stp>
        <stp>AlgOrdAskVol(SUBMINUTE((EP),5,Regular),1,0)</stp>
        <stp>Bar</stp>
        <stp/>
        <stp>Open</stp>
        <stp>5</stp>
        <stp>-46</stp>
        <stp/>
        <stp/>
        <stp/>
        <stp/>
        <stp>T</stp>
        <tr r="AB144" s="2"/>
        <tr r="AB144" s="2"/>
      </tp>
      <tp>
        <v>0</v>
        <stp/>
        <stp>StudyData</stp>
        <stp>AlgOrdAskVol(SUBMINUTE((EP),5,Regular),1,0)</stp>
        <stp>Bar</stp>
        <stp/>
        <stp>Open</stp>
        <stp>5</stp>
        <stp>-56</stp>
        <stp/>
        <stp/>
        <stp/>
        <stp/>
        <stp>T</stp>
        <tr r="AB174" s="2"/>
        <tr r="AB174" s="2"/>
      </tp>
      <tp>
        <v>0</v>
        <stp/>
        <stp>StudyData</stp>
        <stp>AlgOrdAskVol(SUBMINUTE((EP),5,Regular),1,0)</stp>
        <stp>Bar</stp>
        <stp/>
        <stp>Open</stp>
        <stp>5</stp>
        <stp>-26</stp>
        <stp/>
        <stp/>
        <stp/>
        <stp/>
        <stp>T</stp>
        <tr r="AB84" s="2"/>
        <tr r="AB84" s="2"/>
      </tp>
      <tp>
        <v>1</v>
        <stp/>
        <stp>StudyData</stp>
        <stp>AlgOrdAskVol(SUBMINUTE((EP),5,Regular),1,0)</stp>
        <stp>Bar</stp>
        <stp/>
        <stp>Open</stp>
        <stp>5</stp>
        <stp>-36</stp>
        <stp/>
        <stp/>
        <stp/>
        <stp/>
        <stp>T</stp>
        <tr r="AB114" s="2"/>
        <tr r="AB114" s="2"/>
      </tp>
      <tp>
        <v>0</v>
        <stp/>
        <stp>StudyData</stp>
        <stp>AlgOrdAskVol(SUBMINUTE((EP),5,Regular),1,0)</stp>
        <stp>Bar</stp>
        <stp/>
        <stp>Open</stp>
        <stp>5</stp>
        <stp>-16</stp>
        <stp/>
        <stp/>
        <stp/>
        <stp/>
        <stp>T</stp>
        <tr r="AB54" s="2"/>
        <tr r="AB54" s="2"/>
      </tp>
      <tp>
        <v>0</v>
        <stp/>
        <stp>StudyData</stp>
        <stp>AlgOrdBidVol(SUBMINUTE((EP),5,Regular),1,0)</stp>
        <stp>Bar</stp>
        <stp/>
        <stp>Open</stp>
        <stp>5</stp>
        <stp>-45</stp>
        <stp/>
        <stp/>
        <stp/>
        <stp/>
        <stp>T</stp>
        <tr r="AA141" s="2"/>
        <tr r="AA141" s="2"/>
      </tp>
      <tp>
        <v>0</v>
        <stp/>
        <stp>StudyData</stp>
        <stp>AlgOrdBidVol(SUBMINUTE((EP),5,Regular),1,0)</stp>
        <stp>Bar</stp>
        <stp/>
        <stp>Open</stp>
        <stp>5</stp>
        <stp>-55</stp>
        <stp/>
        <stp/>
        <stp/>
        <stp/>
        <stp>T</stp>
        <tr r="AA171" s="2"/>
        <tr r="AA171" s="2"/>
      </tp>
      <tp>
        <v>0</v>
        <stp/>
        <stp>StudyData</stp>
        <stp>AlgOrdBidVol(SUBMINUTE((EP),5,Regular),1,0)</stp>
        <stp>Bar</stp>
        <stp/>
        <stp>Open</stp>
        <stp>5</stp>
        <stp>-25</stp>
        <stp/>
        <stp/>
        <stp/>
        <stp/>
        <stp>T</stp>
        <tr r="AA81" s="2"/>
        <tr r="AA81" s="2"/>
      </tp>
      <tp>
        <v>0</v>
        <stp/>
        <stp>StudyData</stp>
        <stp>AlgOrdBidVol(SUBMINUTE((EP),5,Regular),1,0)</stp>
        <stp>Bar</stp>
        <stp/>
        <stp>Open</stp>
        <stp>5</stp>
        <stp>-35</stp>
        <stp/>
        <stp/>
        <stp/>
        <stp/>
        <stp>T</stp>
        <tr r="AA111" s="2"/>
        <tr r="AA111" s="2"/>
      </tp>
      <tp>
        <v>0</v>
        <stp/>
        <stp>StudyData</stp>
        <stp>AlgOrdBidVol(SUBMINUTE((EP),5,Regular),1,0)</stp>
        <stp>Bar</stp>
        <stp/>
        <stp>Open</stp>
        <stp>5</stp>
        <stp>-15</stp>
        <stp/>
        <stp/>
        <stp/>
        <stp/>
        <stp>T</stp>
        <tr r="AA51" s="2"/>
        <tr r="AA51" s="2"/>
      </tp>
      <tp>
        <v>0</v>
        <stp/>
        <stp>StudyData</stp>
        <stp>AlgOrdBidVol(SUBMINUTE((EP),1,Regular),1,0)</stp>
        <stp>Bar</stp>
        <stp/>
        <stp>Open</stp>
        <stp>5</stp>
        <stp>-45</stp>
        <stp/>
        <stp/>
        <stp/>
        <stp/>
        <stp>T</stp>
        <tr r="V141" s="2"/>
        <tr r="V141" s="2"/>
      </tp>
      <tp>
        <v>0</v>
        <stp/>
        <stp>StudyData</stp>
        <stp>AlgOrdBidVol(SUBMINUTE((EP),1,Regular),1,0)</stp>
        <stp>Bar</stp>
        <stp/>
        <stp>Open</stp>
        <stp>5</stp>
        <stp>-55</stp>
        <stp/>
        <stp/>
        <stp/>
        <stp/>
        <stp>T</stp>
        <tr r="V171" s="2"/>
        <tr r="V171" s="2"/>
      </tp>
      <tp>
        <v>0</v>
        <stp/>
        <stp>StudyData</stp>
        <stp>AlgOrdBidVol(SUBMINUTE((EP),1,Regular),1,0)</stp>
        <stp>Bar</stp>
        <stp/>
        <stp>Open</stp>
        <stp>5</stp>
        <stp>-25</stp>
        <stp/>
        <stp/>
        <stp/>
        <stp/>
        <stp>T</stp>
        <tr r="V81" s="2"/>
        <tr r="V81" s="2"/>
      </tp>
      <tp>
        <v>0</v>
        <stp/>
        <stp>StudyData</stp>
        <stp>AlgOrdBidVol(SUBMINUTE((EP),1,Regular),1,0)</stp>
        <stp>Bar</stp>
        <stp/>
        <stp>Open</stp>
        <stp>5</stp>
        <stp>-35</stp>
        <stp/>
        <stp/>
        <stp/>
        <stp/>
        <stp>T</stp>
        <tr r="V111" s="2"/>
        <tr r="V111" s="2"/>
      </tp>
      <tp>
        <v>0</v>
        <stp/>
        <stp>StudyData</stp>
        <stp>AlgOrdBidVol(SUBMINUTE((EP),1,Regular),1,0)</stp>
        <stp>Bar</stp>
        <stp/>
        <stp>Open</stp>
        <stp>5</stp>
        <stp>-15</stp>
        <stp/>
        <stp/>
        <stp/>
        <stp/>
        <stp>T</stp>
        <tr r="V51" s="2"/>
        <tr r="V51" s="2"/>
      </tp>
      <tp>
        <v>2738.75</v>
        <stp/>
        <stp>StudyData</stp>
        <stp>SUBMINUTE((EP),5,FillGap)</stp>
        <stp>Bar</stp>
        <stp/>
        <stp>Low</stp>
        <stp>5</stp>
        <stp>-2</stp>
        <stp/>
        <stp/>
        <stp/>
        <stp/>
        <stp>T</stp>
        <tr r="AH3" s="1"/>
        <tr r="AH3" s="1"/>
      </tp>
      <tp>
        <v>18</v>
        <stp/>
        <stp>StudyData</stp>
        <stp>AlgOrdAskVol(SUBMINUTE((EP),1,Regular),1,0)</stp>
        <stp>Bar</stp>
        <stp/>
        <stp>Open</stp>
        <stp>5</stp>
        <stp>-49</stp>
        <stp/>
        <stp/>
        <stp/>
        <stp/>
        <stp>T</stp>
        <tr r="W153" s="2"/>
        <tr r="W153" s="2"/>
      </tp>
      <tp>
        <v>0</v>
        <stp/>
        <stp>StudyData</stp>
        <stp>AlgOrdAskVol(SUBMINUTE((EP),1,Regular),1,0)</stp>
        <stp>Bar</stp>
        <stp/>
        <stp>Open</stp>
        <stp>5</stp>
        <stp>-59</stp>
        <stp/>
        <stp/>
        <stp/>
        <stp/>
        <stp>T</stp>
        <tr r="W183" s="2"/>
        <tr r="W183" s="2"/>
      </tp>
      <tp>
        <v>0</v>
        <stp/>
        <stp>StudyData</stp>
        <stp>AlgOrdAskVol(SUBMINUTE((EP),1,Regular),1,0)</stp>
        <stp>Bar</stp>
        <stp/>
        <stp>Open</stp>
        <stp>5</stp>
        <stp>-29</stp>
        <stp/>
        <stp/>
        <stp/>
        <stp/>
        <stp>T</stp>
        <tr r="W93" s="2"/>
        <tr r="W93" s="2"/>
      </tp>
      <tp>
        <v>6</v>
        <stp/>
        <stp>StudyData</stp>
        <stp>AlgOrdAskVol(SUBMINUTE((EP),1,Regular),1,0)</stp>
        <stp>Bar</stp>
        <stp/>
        <stp>Open</stp>
        <stp>5</stp>
        <stp>-39</stp>
        <stp/>
        <stp/>
        <stp/>
        <stp/>
        <stp>T</stp>
        <tr r="W123" s="2"/>
        <tr r="W123" s="2"/>
      </tp>
      <tp>
        <v>0</v>
        <stp/>
        <stp>StudyData</stp>
        <stp>AlgOrdAskVol(SUBMINUTE((EP),1,Regular),1,0)</stp>
        <stp>Bar</stp>
        <stp/>
        <stp>Open</stp>
        <stp>5</stp>
        <stp>-19</stp>
        <stp/>
        <stp/>
        <stp/>
        <stp/>
        <stp>T</stp>
        <tr r="W63" s="2"/>
        <tr r="W63" s="2"/>
      </tp>
      <tp>
        <v>37</v>
        <stp/>
        <stp>StudyData</stp>
        <stp>AlgOrdAskVol(SUBMINUTE((EP),5,Regular),1,0)</stp>
        <stp>Bar</stp>
        <stp/>
        <stp>Open</stp>
        <stp>5</stp>
        <stp>-49</stp>
        <stp/>
        <stp/>
        <stp/>
        <stp/>
        <stp>T</stp>
        <tr r="AB153" s="2"/>
        <tr r="AB153" s="2"/>
      </tp>
      <tp>
        <v>0</v>
        <stp/>
        <stp>StudyData</stp>
        <stp>AlgOrdAskVol(SUBMINUTE((EP),5,Regular),1,0)</stp>
        <stp>Bar</stp>
        <stp/>
        <stp>Open</stp>
        <stp>5</stp>
        <stp>-59</stp>
        <stp/>
        <stp/>
        <stp/>
        <stp/>
        <stp>T</stp>
        <tr r="AB183" s="2"/>
        <tr r="AB183" s="2"/>
      </tp>
      <tp>
        <v>0</v>
        <stp/>
        <stp>StudyData</stp>
        <stp>AlgOrdAskVol(SUBMINUTE((EP),5,Regular),1,0)</stp>
        <stp>Bar</stp>
        <stp/>
        <stp>Open</stp>
        <stp>5</stp>
        <stp>-29</stp>
        <stp/>
        <stp/>
        <stp/>
        <stp/>
        <stp>T</stp>
        <tr r="AB93" s="2"/>
        <tr r="AB93" s="2"/>
      </tp>
      <tp>
        <v>30</v>
        <stp/>
        <stp>StudyData</stp>
        <stp>AlgOrdAskVol(SUBMINUTE((EP),5,Regular),1,0)</stp>
        <stp>Bar</stp>
        <stp/>
        <stp>Open</stp>
        <stp>5</stp>
        <stp>-39</stp>
        <stp/>
        <stp/>
        <stp/>
        <stp/>
        <stp>T</stp>
        <tr r="AB123" s="2"/>
        <tr r="AB123" s="2"/>
      </tp>
      <tp>
        <v>10</v>
        <stp/>
        <stp>StudyData</stp>
        <stp>AlgOrdAskVol(SUBMINUTE((EP),5,Regular),1,0)</stp>
        <stp>Bar</stp>
        <stp/>
        <stp>Open</stp>
        <stp>5</stp>
        <stp>-19</stp>
        <stp/>
        <stp/>
        <stp/>
        <stp/>
        <stp>T</stp>
        <tr r="AB63" s="2"/>
        <tr r="AB63" s="2"/>
      </tp>
      <tp>
        <v>2739.25</v>
        <stp/>
        <stp>StudyData</stp>
        <stp>SUBMINUTE((EP),5,FillGap)</stp>
        <stp>Bar</stp>
        <stp/>
        <stp>Close</stp>
        <stp>5</stp>
        <stp>0</stp>
        <stp/>
        <stp/>
        <stp/>
        <stp/>
        <stp>T</stp>
        <tr r="Z6" s="2"/>
        <tr r="Z6" s="2"/>
        <tr r="AI1" s="1"/>
        <tr r="AI1" s="1"/>
      </tp>
      <tp>
        <v>0</v>
        <stp/>
        <stp>StudyData</stp>
        <stp>AlgOrdAskVol(SUBMINUTE((EP),1,Regular),1,0)</stp>
        <stp>Bar</stp>
        <stp/>
        <stp>Open</stp>
        <stp>5</stp>
        <stp>-48</stp>
        <stp/>
        <stp/>
        <stp/>
        <stp/>
        <stp>T</stp>
        <tr r="W150" s="2"/>
        <tr r="W150" s="2"/>
      </tp>
      <tp>
        <v>0</v>
        <stp/>
        <stp>StudyData</stp>
        <stp>AlgOrdAskVol(SUBMINUTE((EP),1,Regular),1,0)</stp>
        <stp>Bar</stp>
        <stp/>
        <stp>Open</stp>
        <stp>5</stp>
        <stp>-58</stp>
        <stp/>
        <stp/>
        <stp/>
        <stp/>
        <stp>T</stp>
        <tr r="W180" s="2"/>
        <tr r="W180" s="2"/>
      </tp>
      <tp>
        <v>0</v>
        <stp/>
        <stp>StudyData</stp>
        <stp>AlgOrdAskVol(SUBMINUTE((EP),1,Regular),1,0)</stp>
        <stp>Bar</stp>
        <stp/>
        <stp>Open</stp>
        <stp>5</stp>
        <stp>-28</stp>
        <stp/>
        <stp/>
        <stp/>
        <stp/>
        <stp>T</stp>
        <tr r="W90" s="2"/>
        <tr r="W90" s="2"/>
      </tp>
      <tp>
        <v>0</v>
        <stp/>
        <stp>StudyData</stp>
        <stp>AlgOrdAskVol(SUBMINUTE((EP),1,Regular),1,0)</stp>
        <stp>Bar</stp>
        <stp/>
        <stp>Open</stp>
        <stp>5</stp>
        <stp>-38</stp>
        <stp/>
        <stp/>
        <stp/>
        <stp/>
        <stp>T</stp>
        <tr r="W120" s="2"/>
        <tr r="W120" s="2"/>
      </tp>
      <tp>
        <v>187</v>
        <stp/>
        <stp>StudyData</stp>
        <stp>AlgOrdAskVol(SUBMINUTE((EP),1,Regular),1,0)</stp>
        <stp>Bar</stp>
        <stp/>
        <stp>Open</stp>
        <stp>5</stp>
        <stp>-18</stp>
        <stp/>
        <stp/>
        <stp/>
        <stp/>
        <stp>T</stp>
        <tr r="W60" s="2"/>
        <tr r="W60" s="2"/>
      </tp>
      <tp>
        <v>0</v>
        <stp/>
        <stp>StudyData</stp>
        <stp>AlgOrdAskVol(SUBMINUTE((EP),5,Regular),1,0)</stp>
        <stp>Bar</stp>
        <stp/>
        <stp>Open</stp>
        <stp>5</stp>
        <stp>-48</stp>
        <stp/>
        <stp/>
        <stp/>
        <stp/>
        <stp>T</stp>
        <tr r="AB150" s="2"/>
        <tr r="AB150" s="2"/>
      </tp>
      <tp>
        <v>0</v>
        <stp/>
        <stp>StudyData</stp>
        <stp>AlgOrdAskVol(SUBMINUTE((EP),5,Regular),1,0)</stp>
        <stp>Bar</stp>
        <stp/>
        <stp>Open</stp>
        <stp>5</stp>
        <stp>-58</stp>
        <stp/>
        <stp/>
        <stp/>
        <stp/>
        <stp>T</stp>
        <tr r="AB180" s="2"/>
        <tr r="AB180" s="2"/>
      </tp>
      <tp>
        <v>1</v>
        <stp/>
        <stp>StudyData</stp>
        <stp>AlgOrdAskVol(SUBMINUTE((EP),5,Regular),1,0)</stp>
        <stp>Bar</stp>
        <stp/>
        <stp>Open</stp>
        <stp>5</stp>
        <stp>-28</stp>
        <stp/>
        <stp/>
        <stp/>
        <stp/>
        <stp>T</stp>
        <tr r="AB90" s="2"/>
        <tr r="AB90" s="2"/>
      </tp>
      <tp>
        <v>39</v>
        <stp/>
        <stp>StudyData</stp>
        <stp>AlgOrdAskVol(SUBMINUTE((EP),5,Regular),1,0)</stp>
        <stp>Bar</stp>
        <stp/>
        <stp>Open</stp>
        <stp>5</stp>
        <stp>-38</stp>
        <stp/>
        <stp/>
        <stp/>
        <stp/>
        <stp>T</stp>
        <tr r="AB120" s="2"/>
        <tr r="AB120" s="2"/>
      </tp>
      <tp>
        <v>0</v>
        <stp/>
        <stp>StudyData</stp>
        <stp>AlgOrdAskVol(SUBMINUTE((EP),5,Regular),1,0)</stp>
        <stp>Bar</stp>
        <stp/>
        <stp>Open</stp>
        <stp>5</stp>
        <stp>-18</stp>
        <stp/>
        <stp/>
        <stp/>
        <stp/>
        <stp>T</stp>
        <tr r="AB60" s="2"/>
        <tr r="AB60" s="2"/>
      </tp>
      <tp>
        <v>0</v>
        <stp/>
        <stp>StudyData</stp>
        <stp>AlgOrdBidVol(SUBMINUTE((EP),5,Regular),1,0)</stp>
        <stp>Bar</stp>
        <stp/>
        <stp>Open</stp>
        <stp>5</stp>
        <stp>-48</stp>
        <stp/>
        <stp/>
        <stp/>
        <stp/>
        <stp>T</stp>
        <tr r="AA150" s="2"/>
        <tr r="AA150" s="2"/>
      </tp>
      <tp>
        <v>0</v>
        <stp/>
        <stp>StudyData</stp>
        <stp>AlgOrdBidVol(SUBMINUTE((EP),5,Regular),1,0)</stp>
        <stp>Bar</stp>
        <stp/>
        <stp>Open</stp>
        <stp>5</stp>
        <stp>-58</stp>
        <stp/>
        <stp/>
        <stp/>
        <stp/>
        <stp>T</stp>
        <tr r="AA180" s="2"/>
        <tr r="AA180" s="2"/>
      </tp>
      <tp>
        <v>185</v>
        <stp/>
        <stp>StudyData</stp>
        <stp>AlgOrdBidVol(SUBMINUTE((EP),5,Regular),1,0)</stp>
        <stp>Bar</stp>
        <stp/>
        <stp>Open</stp>
        <stp>5</stp>
        <stp>-28</stp>
        <stp/>
        <stp/>
        <stp/>
        <stp/>
        <stp>T</stp>
        <tr r="AA90" s="2"/>
        <tr r="AA90" s="2"/>
      </tp>
      <tp>
        <v>4</v>
        <stp/>
        <stp>StudyData</stp>
        <stp>AlgOrdBidVol(SUBMINUTE((EP),5,Regular),1,0)</stp>
        <stp>Bar</stp>
        <stp/>
        <stp>Open</stp>
        <stp>5</stp>
        <stp>-38</stp>
        <stp/>
        <stp/>
        <stp/>
        <stp/>
        <stp>T</stp>
        <tr r="AA120" s="2"/>
        <tr r="AA120" s="2"/>
      </tp>
      <tp>
        <v>4</v>
        <stp/>
        <stp>StudyData</stp>
        <stp>AlgOrdBidVol(SUBMINUTE((EP),5,Regular),1,0)</stp>
        <stp>Bar</stp>
        <stp/>
        <stp>Open</stp>
        <stp>5</stp>
        <stp>-18</stp>
        <stp/>
        <stp/>
        <stp/>
        <stp/>
        <stp>T</stp>
        <tr r="AA60" s="2"/>
        <tr r="AA60" s="2"/>
      </tp>
      <tp>
        <v>0</v>
        <stp/>
        <stp>StudyData</stp>
        <stp>AlgOrdBidVol(SUBMINUTE((EP),1,Regular),1,0)</stp>
        <stp>Bar</stp>
        <stp/>
        <stp>Open</stp>
        <stp>5</stp>
        <stp>-48</stp>
        <stp/>
        <stp/>
        <stp/>
        <stp/>
        <stp>T</stp>
        <tr r="V150" s="2"/>
        <tr r="V150" s="2"/>
      </tp>
      <tp>
        <v>2</v>
        <stp/>
        <stp>StudyData</stp>
        <stp>AlgOrdBidVol(SUBMINUTE((EP),1,Regular),1,0)</stp>
        <stp>Bar</stp>
        <stp/>
        <stp>Open</stp>
        <stp>5</stp>
        <stp>-58</stp>
        <stp/>
        <stp/>
        <stp/>
        <stp/>
        <stp>T</stp>
        <tr r="V180" s="2"/>
        <tr r="V180" s="2"/>
      </tp>
      <tp>
        <v>0</v>
        <stp/>
        <stp>StudyData</stp>
        <stp>AlgOrdBidVol(SUBMINUTE((EP),1,Regular),1,0)</stp>
        <stp>Bar</stp>
        <stp/>
        <stp>Open</stp>
        <stp>5</stp>
        <stp>-28</stp>
        <stp/>
        <stp/>
        <stp/>
        <stp/>
        <stp>T</stp>
        <tr r="V90" s="2"/>
        <tr r="V90" s="2"/>
      </tp>
      <tp>
        <v>0</v>
        <stp/>
        <stp>StudyData</stp>
        <stp>AlgOrdBidVol(SUBMINUTE((EP),1,Regular),1,0)</stp>
        <stp>Bar</stp>
        <stp/>
        <stp>Open</stp>
        <stp>5</stp>
        <stp>-38</stp>
        <stp/>
        <stp/>
        <stp/>
        <stp/>
        <stp>T</stp>
        <tr r="V120" s="2"/>
        <tr r="V120" s="2"/>
      </tp>
      <tp>
        <v>0</v>
        <stp/>
        <stp>StudyData</stp>
        <stp>AlgOrdBidVol(SUBMINUTE((EP),1,Regular),1,0)</stp>
        <stp>Bar</stp>
        <stp/>
        <stp>Open</stp>
        <stp>5</stp>
        <stp>-18</stp>
        <stp/>
        <stp/>
        <stp/>
        <stp/>
        <stp>T</stp>
        <tr r="V60" s="2"/>
        <tr r="V60" s="2"/>
      </tp>
      <tp>
        <v>90</v>
        <stp/>
        <stp>StudyData</stp>
        <stp>AlgOrdBidVol(SUBMINUTE((EP),5,Regular),1,0)</stp>
        <stp>Bar</stp>
        <stp/>
        <stp>Open</stp>
        <stp>5</stp>
        <stp>-49</stp>
        <stp/>
        <stp/>
        <stp/>
        <stp/>
        <stp>T</stp>
        <tr r="AA153" s="2"/>
        <tr r="AA153" s="2"/>
      </tp>
      <tp>
        <v>77</v>
        <stp/>
        <stp>StudyData</stp>
        <stp>AlgOrdBidVol(SUBMINUTE((EP),5,Regular),1,0)</stp>
        <stp>Bar</stp>
        <stp/>
        <stp>Open</stp>
        <stp>5</stp>
        <stp>-59</stp>
        <stp/>
        <stp/>
        <stp/>
        <stp/>
        <stp>T</stp>
        <tr r="AA183" s="2"/>
        <tr r="AA183" s="2"/>
      </tp>
      <tp>
        <v>0</v>
        <stp/>
        <stp>StudyData</stp>
        <stp>AlgOrdBidVol(SUBMINUTE((EP),5,Regular),1,0)</stp>
        <stp>Bar</stp>
        <stp/>
        <stp>Open</stp>
        <stp>5</stp>
        <stp>-29</stp>
        <stp/>
        <stp/>
        <stp/>
        <stp/>
        <stp>T</stp>
        <tr r="AA93" s="2"/>
        <tr r="AA93" s="2"/>
      </tp>
      <tp>
        <v>2</v>
        <stp/>
        <stp>StudyData</stp>
        <stp>AlgOrdBidVol(SUBMINUTE((EP),5,Regular),1,0)</stp>
        <stp>Bar</stp>
        <stp/>
        <stp>Open</stp>
        <stp>5</stp>
        <stp>-39</stp>
        <stp/>
        <stp/>
        <stp/>
        <stp/>
        <stp>T</stp>
        <tr r="AA123" s="2"/>
        <tr r="AA123" s="2"/>
      </tp>
      <tp>
        <v>0</v>
        <stp/>
        <stp>StudyData</stp>
        <stp>AlgOrdBidVol(SUBMINUTE((EP),5,Regular),1,0)</stp>
        <stp>Bar</stp>
        <stp/>
        <stp>Open</stp>
        <stp>5</stp>
        <stp>-19</stp>
        <stp/>
        <stp/>
        <stp/>
        <stp/>
        <stp>T</stp>
        <tr r="AA63" s="2"/>
        <tr r="AA63" s="2"/>
      </tp>
      <tp>
        <v>2</v>
        <stp/>
        <stp>StudyData</stp>
        <stp>AlgOrdBidVol(SUBMINUTE((EP),1,Regular),1,0)</stp>
        <stp>Bar</stp>
        <stp/>
        <stp>Open</stp>
        <stp>5</stp>
        <stp>-49</stp>
        <stp/>
        <stp/>
        <stp/>
        <stp/>
        <stp>T</stp>
        <tr r="V153" s="2"/>
        <tr r="V153" s="2"/>
      </tp>
      <tp>
        <v>292</v>
        <stp/>
        <stp>StudyData</stp>
        <stp>AlgOrdBidVol(SUBMINUTE((EP),1,Regular),1,0)</stp>
        <stp>Bar</stp>
        <stp/>
        <stp>Open</stp>
        <stp>5</stp>
        <stp>-59</stp>
        <stp/>
        <stp/>
        <stp/>
        <stp/>
        <stp>T</stp>
        <tr r="V183" s="2"/>
        <tr r="V183" s="2"/>
      </tp>
      <tp>
        <v>0</v>
        <stp/>
        <stp>StudyData</stp>
        <stp>AlgOrdBidVol(SUBMINUTE((EP),1,Regular),1,0)</stp>
        <stp>Bar</stp>
        <stp/>
        <stp>Open</stp>
        <stp>5</stp>
        <stp>-29</stp>
        <stp/>
        <stp/>
        <stp/>
        <stp/>
        <stp>T</stp>
        <tr r="V93" s="2"/>
        <tr r="V93" s="2"/>
      </tp>
      <tp>
        <v>0</v>
        <stp/>
        <stp>StudyData</stp>
        <stp>AlgOrdBidVol(SUBMINUTE((EP),1,Regular),1,0)</stp>
        <stp>Bar</stp>
        <stp/>
        <stp>Open</stp>
        <stp>5</stp>
        <stp>-39</stp>
        <stp/>
        <stp/>
        <stp/>
        <stp/>
        <stp>T</stp>
        <tr r="V123" s="2"/>
        <tr r="V123" s="2"/>
      </tp>
      <tp>
        <v>0</v>
        <stp/>
        <stp>StudyData</stp>
        <stp>AlgOrdBidVol(SUBMINUTE((EP),1,Regular),1,0)</stp>
        <stp>Bar</stp>
        <stp/>
        <stp>Open</stp>
        <stp>5</stp>
        <stp>-19</stp>
        <stp/>
        <stp/>
        <stp/>
        <stp/>
        <stp>T</stp>
        <tr r="V63" s="2"/>
        <tr r="V63" s="2"/>
      </tp>
      <tp>
        <v>2734.25</v>
        <stp/>
        <stp>StudyData</stp>
        <stp>FPMax(FootprintOp(EP,0))</stp>
        <stp>Bar</stp>
        <stp/>
        <stp>Close</stp>
        <stp>D</stp>
        <stp>0</stp>
        <stp>all</stp>
        <stp/>
        <stp/>
        <stp/>
        <stp>T</stp>
        <tr r="A6" s="2"/>
        <tr r="A5" s="2"/>
      </tp>
      <tp>
        <v>2739.25</v>
        <stp/>
        <stp>StudyData</stp>
        <stp>SUBMINUTE((EP),1,FillGap)</stp>
        <stp>Bar</stp>
        <stp/>
        <stp>Close</stp>
        <stp>5</stp>
        <stp>0</stp>
        <stp/>
        <stp/>
        <stp/>
        <stp/>
        <stp>T</stp>
        <tr r="U6" s="2"/>
        <tr r="U6" s="2"/>
        <tr r="Y1" s="1"/>
        <tr r="Y1" s="1"/>
      </tp>
      <tp>
        <v>2738.75</v>
        <stp/>
        <stp>StudyData</stp>
        <stp>SUBMINUTE((EP),5,FillGap)</stp>
        <stp>Bar</stp>
        <stp/>
        <stp>Low</stp>
        <stp>5</stp>
        <stp>-9</stp>
        <stp/>
        <stp/>
        <stp/>
        <stp/>
        <stp>T</stp>
        <tr r="AH10" s="1"/>
        <tr r="AH10" s="1"/>
      </tp>
      <tp>
        <v>2739.5</v>
        <stp/>
        <stp>StudyData</stp>
        <stp>SUBMINUTE((EP),5,FillGap)</stp>
        <stp>Bar</stp>
        <stp/>
        <stp>Low</stp>
        <stp>5</stp>
        <stp>-8</stp>
        <stp/>
        <stp/>
        <stp/>
        <stp/>
        <stp>T</stp>
        <tr r="AH9" s="1"/>
        <tr r="AH9" s="1"/>
      </tp>
      <tp>
        <v>16</v>
        <stp/>
        <stp>ContractData</stp>
        <stp>EP</stp>
        <stp>NEtLastTrade</stp>
        <stp/>
        <stp>T</stp>
        <tr r="I4" s="1"/>
      </tp>
      <tp>
        <v>2739.75</v>
        <stp/>
        <stp>DOMData</stp>
        <stp>EP</stp>
        <stp>Price</stp>
        <stp>1</stp>
        <stp>T</stp>
        <tr r="H6" s="2"/>
        <tr r="A22" s="2"/>
        <tr r="I6" s="2"/>
        <tr r="I46" s="2"/>
      </tp>
      <tp>
        <v>16</v>
        <stp/>
        <stp>ContractData</stp>
        <stp>EP</stp>
        <stp>NetLastTradeToday</stp>
        <stp/>
        <stp>T</stp>
        <tr r="D26" s="2"/>
        <tr r="A38" s="2"/>
      </tp>
      <tp>
        <v>2740.25</v>
        <stp/>
        <stp>DOMData</stp>
        <stp>EP</stp>
        <stp>Price</stp>
        <stp>3</stp>
        <stp>T</stp>
        <tr r="K6" s="2"/>
        <tr r="K46" s="2"/>
      </tp>
      <tp>
        <v>2740</v>
        <stp/>
        <stp>DOMData</stp>
        <stp>EP</stp>
        <stp>Price</stp>
        <stp>2</stp>
        <stp>T</stp>
        <tr r="J6" s="2"/>
        <tr r="J46" s="2"/>
      </tp>
      <tp>
        <v>2740.75</v>
        <stp/>
        <stp>DOMData</stp>
        <stp>EP</stp>
        <stp>Price</stp>
        <stp>5</stp>
        <stp>T</stp>
        <tr r="M6" s="2"/>
        <tr r="M46" s="2"/>
      </tp>
      <tp>
        <v>2740.5</v>
        <stp/>
        <stp>DOMData</stp>
        <stp>EP</stp>
        <stp>Price</stp>
        <stp>4</stp>
        <stp>T</stp>
        <tr r="L6" s="2"/>
        <tr r="L46" s="2"/>
      </tp>
      <tp>
        <v>2739.25</v>
        <stp/>
        <stp>ContractData</stp>
        <stp>EP</stp>
        <stp>LastTrade</stp>
        <stp/>
        <stp>T</stp>
        <tr r="G4" s="1"/>
      </tp>
      <tp>
        <v>2740.5</v>
        <stp/>
        <stp>ContractData</stp>
        <stp>EP</stp>
        <stp>High</stp>
        <stp/>
        <stp>T</stp>
        <tr r="E4" s="1"/>
        <tr r="J26" s="2"/>
        <tr r="A3" s="2"/>
      </tp>
      <tp>
        <v>2722.5</v>
        <stp/>
        <stp>ContractData</stp>
        <stp>EP</stp>
        <stp>Open</stp>
        <stp/>
        <stp>T</stp>
        <tr r="D4" s="1"/>
        <tr r="H26" s="2"/>
      </tp>
      <tp>
        <v>2740</v>
        <stp/>
        <stp>StudyData</stp>
        <stp>SUBMINUTE((EP),5,FillGap)</stp>
        <stp>Bar</stp>
        <stp/>
        <stp>High</stp>
        <stp>5</stp>
        <stp>-7</stp>
        <stp/>
        <stp/>
        <stp/>
        <stp/>
        <stp>T</stp>
        <tr r="AG8" s="1"/>
        <tr r="AG8" s="1"/>
      </tp>
      <tp>
        <v>2738.75</v>
        <stp/>
        <stp>StudyData</stp>
        <stp>SUBMINUTE((EP),5,FillGap)</stp>
        <stp>Bar</stp>
        <stp/>
        <stp>High</stp>
        <stp>5</stp>
        <stp>-55</stp>
        <stp/>
        <stp/>
        <stp/>
        <stp/>
        <stp>T</stp>
        <tr r="AG56" s="1"/>
        <tr r="AG56" s="1"/>
      </tp>
      <tp>
        <v>2739.25</v>
        <stp/>
        <stp>StudyData</stp>
        <stp>SUBMINUTE((EP),5,FillGap)</stp>
        <stp>Bar</stp>
        <stp/>
        <stp>High</stp>
        <stp>5</stp>
        <stp>-45</stp>
        <stp/>
        <stp/>
        <stp/>
        <stp/>
        <stp>T</stp>
        <tr r="AG46" s="1"/>
        <tr r="AG46" s="1"/>
      </tp>
      <tp>
        <v>2739.75</v>
        <stp/>
        <stp>StudyData</stp>
        <stp>SUBMINUTE((EP),5,FillGap)</stp>
        <stp>Bar</stp>
        <stp/>
        <stp>High</stp>
        <stp>5</stp>
        <stp>-35</stp>
        <stp/>
        <stp/>
        <stp/>
        <stp/>
        <stp>T</stp>
        <tr r="AG36" s="1"/>
        <tr r="AG36" s="1"/>
      </tp>
      <tp>
        <v>2740</v>
        <stp/>
        <stp>StudyData</stp>
        <stp>SUBMINUTE((EP),5,FillGap)</stp>
        <stp>Bar</stp>
        <stp/>
        <stp>High</stp>
        <stp>5</stp>
        <stp>-25</stp>
        <stp/>
        <stp/>
        <stp/>
        <stp/>
        <stp>T</stp>
        <tr r="AG26" s="1"/>
        <tr r="AG26" s="1"/>
      </tp>
      <tp>
        <v>2739</v>
        <stp/>
        <stp>StudyData</stp>
        <stp>SUBMINUTE((EP),5,FillGap)</stp>
        <stp>Bar</stp>
        <stp/>
        <stp>High</stp>
        <stp>5</stp>
        <stp>-15</stp>
        <stp/>
        <stp/>
        <stp/>
        <stp/>
        <stp>T</stp>
        <tr r="AG16" s="1"/>
        <tr r="AG16" s="1"/>
      </tp>
      <tp>
        <v>152</v>
        <stp/>
        <stp>ContractData</stp>
        <stp>EP</stp>
        <stp>MT_LastAskVolume</stp>
        <stp/>
        <stp>T</stp>
        <tr r="C5" s="1"/>
        <tr r="E38" s="2"/>
      </tp>
      <tp>
        <v>2738.75</v>
        <stp/>
        <stp>StudyData</stp>
        <stp>SUBMINUTE((EP),5,FillGap)</stp>
        <stp>Bar</stp>
        <stp/>
        <stp>Open</stp>
        <stp>5</stp>
        <stp>-1</stp>
        <stp/>
        <stp/>
        <stp/>
        <stp/>
        <stp>T</stp>
        <tr r="AF2" s="1"/>
        <tr r="AF2" s="1"/>
      </tp>
      <tp>
        <v>2739.5</v>
        <stp/>
        <stp>StudyData</stp>
        <stp>SUBMINUTE((EP),5,FillGap)</stp>
        <stp>Bar</stp>
        <stp/>
        <stp>High</stp>
        <stp>5</stp>
        <stp>-6</stp>
        <stp/>
        <stp/>
        <stp/>
        <stp/>
        <stp>T</stp>
        <tr r="AG7" s="1"/>
        <tr r="AG7" s="1"/>
      </tp>
      <tp>
        <v>2739</v>
        <stp/>
        <stp>StudyData</stp>
        <stp>SUBMINUTE((EP),5,FillGap)</stp>
        <stp>Bar</stp>
        <stp/>
        <stp>High</stp>
        <stp>5</stp>
        <stp>-54</stp>
        <stp/>
        <stp/>
        <stp/>
        <stp/>
        <stp>T</stp>
        <tr r="AG55" s="1"/>
        <tr r="AG55" s="1"/>
      </tp>
      <tp>
        <v>2739.5</v>
        <stp/>
        <stp>StudyData</stp>
        <stp>SUBMINUTE((EP),5,FillGap)</stp>
        <stp>Bar</stp>
        <stp/>
        <stp>High</stp>
        <stp>5</stp>
        <stp>-44</stp>
        <stp/>
        <stp/>
        <stp/>
        <stp/>
        <stp>T</stp>
        <tr r="AG45" s="1"/>
        <tr r="AG45" s="1"/>
      </tp>
      <tp>
        <v>2739.75</v>
        <stp/>
        <stp>StudyData</stp>
        <stp>SUBMINUTE((EP),5,FillGap)</stp>
        <stp>Bar</stp>
        <stp/>
        <stp>High</stp>
        <stp>5</stp>
        <stp>-34</stp>
        <stp/>
        <stp/>
        <stp/>
        <stp/>
        <stp>T</stp>
        <tr r="AG35" s="1"/>
        <tr r="AG35" s="1"/>
      </tp>
      <tp>
        <v>2740</v>
        <stp/>
        <stp>StudyData</stp>
        <stp>SUBMINUTE((EP),5,FillGap)</stp>
        <stp>Bar</stp>
        <stp/>
        <stp>High</stp>
        <stp>5</stp>
        <stp>-24</stp>
        <stp/>
        <stp/>
        <stp/>
        <stp/>
        <stp>T</stp>
        <tr r="AG25" s="1"/>
        <tr r="AG25" s="1"/>
      </tp>
      <tp>
        <v>2739</v>
        <stp/>
        <stp>StudyData</stp>
        <stp>SUBMINUTE((EP),5,FillGap)</stp>
        <stp>Bar</stp>
        <stp/>
        <stp>High</stp>
        <stp>5</stp>
        <stp>-14</stp>
        <stp/>
        <stp/>
        <stp/>
        <stp/>
        <stp>T</stp>
        <tr r="AG15" s="1"/>
        <tr r="AG15" s="1"/>
      </tp>
      <tp>
        <v>2739.25</v>
        <stp/>
        <stp>StudyData</stp>
        <stp>SUBMINUTE((EP),5,FillGap)</stp>
        <stp>Bar</stp>
        <stp/>
        <stp>Open</stp>
        <stp>5</stp>
        <stp>-2</stp>
        <stp/>
        <stp/>
        <stp/>
        <stp/>
        <stp>T</stp>
        <tr r="AF3" s="1"/>
        <tr r="AF3" s="1"/>
      </tp>
      <tp>
        <v>2739</v>
        <stp/>
        <stp>StudyData</stp>
        <stp>SUBMINUTE((EP),5,FillGap)</stp>
        <stp>Bar</stp>
        <stp/>
        <stp>High</stp>
        <stp>5</stp>
        <stp>-5</stp>
        <stp/>
        <stp/>
        <stp/>
        <stp/>
        <stp>T</stp>
        <tr r="AG6" s="1"/>
        <tr r="AG6" s="1"/>
      </tp>
      <tp>
        <v>2738.75</v>
        <stp/>
        <stp>StudyData</stp>
        <stp>SUBMINUTE((EP),5,FillGap)</stp>
        <stp>Bar</stp>
        <stp/>
        <stp>High</stp>
        <stp>5</stp>
        <stp>-57</stp>
        <stp/>
        <stp/>
        <stp/>
        <stp/>
        <stp>T</stp>
        <tr r="AG58" s="1"/>
        <tr r="AG58" s="1"/>
      </tp>
      <tp>
        <v>2739.25</v>
        <stp/>
        <stp>StudyData</stp>
        <stp>SUBMINUTE((EP),5,FillGap)</stp>
        <stp>Bar</stp>
        <stp/>
        <stp>High</stp>
        <stp>5</stp>
        <stp>-47</stp>
        <stp/>
        <stp/>
        <stp/>
        <stp/>
        <stp>T</stp>
        <tr r="AG48" s="1"/>
        <tr r="AG48" s="1"/>
      </tp>
      <tp>
        <v>2739.5</v>
        <stp/>
        <stp>StudyData</stp>
        <stp>SUBMINUTE((EP),5,FillGap)</stp>
        <stp>Bar</stp>
        <stp/>
        <stp>High</stp>
        <stp>5</stp>
        <stp>-37</stp>
        <stp/>
        <stp/>
        <stp/>
        <stp/>
        <stp>T</stp>
        <tr r="AG38" s="1"/>
        <tr r="AG38" s="1"/>
      </tp>
      <tp>
        <v>2739.75</v>
        <stp/>
        <stp>StudyData</stp>
        <stp>SUBMINUTE((EP),5,FillGap)</stp>
        <stp>Bar</stp>
        <stp/>
        <stp>High</stp>
        <stp>5</stp>
        <stp>-27</stp>
        <stp/>
        <stp/>
        <stp/>
        <stp/>
        <stp>T</stp>
        <tr r="AG28" s="1"/>
        <tr r="AG28" s="1"/>
      </tp>
      <tp>
        <v>2739.25</v>
        <stp/>
        <stp>StudyData</stp>
        <stp>SUBMINUTE((EP),5,FillGap)</stp>
        <stp>Bar</stp>
        <stp/>
        <stp>High</stp>
        <stp>5</stp>
        <stp>-17</stp>
        <stp/>
        <stp/>
        <stp/>
        <stp/>
        <stp>T</stp>
        <tr r="AG18" s="1"/>
        <tr r="AG18" s="1"/>
      </tp>
      <tp>
        <v>2739</v>
        <stp/>
        <stp>StudyData</stp>
        <stp>SUBMINUTE((EP),5,FillGap)</stp>
        <stp>Bar</stp>
        <stp/>
        <stp>Open</stp>
        <stp>5</stp>
        <stp>-3</stp>
        <stp/>
        <stp/>
        <stp/>
        <stp/>
        <stp>T</stp>
        <tr r="AF4" s="1"/>
        <tr r="AF4" s="1"/>
      </tp>
      <tp>
        <v>2739.25</v>
        <stp/>
        <stp>StudyData</stp>
        <stp>SUBMINUTE((EP),5,FillGap)</stp>
        <stp>Bar</stp>
        <stp/>
        <stp>High</stp>
        <stp>5</stp>
        <stp>-4</stp>
        <stp/>
        <stp/>
        <stp/>
        <stp/>
        <stp>T</stp>
        <tr r="AG5" s="1"/>
        <tr r="AG5" s="1"/>
      </tp>
      <tp>
        <v>2739</v>
        <stp/>
        <stp>StudyData</stp>
        <stp>SUBMINUTE((EP),5,FillGap)</stp>
        <stp>Bar</stp>
        <stp/>
        <stp>High</stp>
        <stp>5</stp>
        <stp>-56</stp>
        <stp/>
        <stp/>
        <stp/>
        <stp/>
        <stp>T</stp>
        <tr r="AG57" s="1"/>
        <tr r="AG57" s="1"/>
      </tp>
      <tp>
        <v>2739.25</v>
        <stp/>
        <stp>StudyData</stp>
        <stp>SUBMINUTE((EP),5,FillGap)</stp>
        <stp>Bar</stp>
        <stp/>
        <stp>High</stp>
        <stp>5</stp>
        <stp>-46</stp>
        <stp/>
        <stp/>
        <stp/>
        <stp/>
        <stp>T</stp>
        <tr r="AG47" s="1"/>
        <tr r="AG47" s="1"/>
      </tp>
      <tp>
        <v>2739.75</v>
        <stp/>
        <stp>StudyData</stp>
        <stp>SUBMINUTE((EP),5,FillGap)</stp>
        <stp>Bar</stp>
        <stp/>
        <stp>High</stp>
        <stp>5</stp>
        <stp>-36</stp>
        <stp/>
        <stp/>
        <stp/>
        <stp/>
        <stp>T</stp>
        <tr r="AG37" s="1"/>
        <tr r="AG37" s="1"/>
      </tp>
      <tp>
        <v>2740</v>
        <stp/>
        <stp>StudyData</stp>
        <stp>SUBMINUTE((EP),5,FillGap)</stp>
        <stp>Bar</stp>
        <stp/>
        <stp>High</stp>
        <stp>5</stp>
        <stp>-26</stp>
        <stp/>
        <stp/>
        <stp/>
        <stp/>
        <stp>T</stp>
        <tr r="AG27" s="1"/>
        <tr r="AG27" s="1"/>
      </tp>
      <tp>
        <v>2739</v>
        <stp/>
        <stp>StudyData</stp>
        <stp>SUBMINUTE((EP),5,FillGap)</stp>
        <stp>Bar</stp>
        <stp/>
        <stp>High</stp>
        <stp>5</stp>
        <stp>-16</stp>
        <stp/>
        <stp/>
        <stp/>
        <stp/>
        <stp>T</stp>
        <tr r="AG17" s="1"/>
        <tr r="AG17" s="1"/>
      </tp>
      <tp>
        <v>2738.75</v>
        <stp/>
        <stp>StudyData</stp>
        <stp>SUBMINUTE((EP),5,FillGap)</stp>
        <stp>Bar</stp>
        <stp/>
        <stp>Open</stp>
        <stp>5</stp>
        <stp>-4</stp>
        <stp/>
        <stp/>
        <stp/>
        <stp/>
        <stp>T</stp>
        <tr r="AF5" s="1"/>
        <tr r="AF5" s="1"/>
      </tp>
      <tp>
        <v>2739.5</v>
        <stp/>
        <stp>StudyData</stp>
        <stp>SUBMINUTE((EP),5,FillGap)</stp>
        <stp>Bar</stp>
        <stp/>
        <stp>High</stp>
        <stp>5</stp>
        <stp>-3</stp>
        <stp/>
        <stp/>
        <stp/>
        <stp/>
        <stp>T</stp>
        <tr r="AG4" s="1"/>
        <tr r="AG4" s="1"/>
      </tp>
      <tp>
        <v>2738.75</v>
        <stp/>
        <stp>StudyData</stp>
        <stp>SUBMINUTE((EP),5,FillGap)</stp>
        <stp>Bar</stp>
        <stp/>
        <stp>High</stp>
        <stp>5</stp>
        <stp>-51</stp>
        <stp/>
        <stp/>
        <stp/>
        <stp/>
        <stp>T</stp>
        <tr r="AG52" s="1"/>
        <tr r="AG52" s="1"/>
      </tp>
      <tp>
        <v>2739.75</v>
        <stp/>
        <stp>StudyData</stp>
        <stp>SUBMINUTE((EP),5,FillGap)</stp>
        <stp>Bar</stp>
        <stp/>
        <stp>High</stp>
        <stp>5</stp>
        <stp>-41</stp>
        <stp/>
        <stp/>
        <stp/>
        <stp/>
        <stp>T</stp>
        <tr r="AG42" s="1"/>
        <tr r="AG42" s="1"/>
      </tp>
      <tp>
        <v>2740</v>
        <stp/>
        <stp>StudyData</stp>
        <stp>SUBMINUTE((EP),5,FillGap)</stp>
        <stp>Bar</stp>
        <stp/>
        <stp>High</stp>
        <stp>5</stp>
        <stp>-31</stp>
        <stp/>
        <stp/>
        <stp/>
        <stp/>
        <stp>T</stp>
        <tr r="AG32" s="1"/>
        <tr r="AG32" s="1"/>
      </tp>
      <tp>
        <v>2739.25</v>
        <stp/>
        <stp>StudyData</stp>
        <stp>SUBMINUTE((EP),5,FillGap)</stp>
        <stp>Bar</stp>
        <stp/>
        <stp>High</stp>
        <stp>5</stp>
        <stp>-21</stp>
        <stp/>
        <stp/>
        <stp/>
        <stp/>
        <stp>T</stp>
        <tr r="AG22" s="1"/>
        <tr r="AG22" s="1"/>
      </tp>
      <tp>
        <v>2739</v>
        <stp/>
        <stp>StudyData</stp>
        <stp>SUBMINUTE((EP),5,FillGap)</stp>
        <stp>Bar</stp>
        <stp/>
        <stp>High</stp>
        <stp>5</stp>
        <stp>-11</stp>
        <stp/>
        <stp/>
        <stp/>
        <stp/>
        <stp>T</stp>
        <tr r="AG12" s="1"/>
        <tr r="AG12" s="1"/>
      </tp>
      <tp>
        <v>2739</v>
        <stp/>
        <stp>StudyData</stp>
        <stp>SUBMINUTE((EP),5,FillGap)</stp>
        <stp>Bar</stp>
        <stp/>
        <stp>Open</stp>
        <stp>5</stp>
        <stp>-5</stp>
        <stp/>
        <stp/>
        <stp/>
        <stp/>
        <stp>T</stp>
        <tr r="AF6" s="1"/>
        <tr r="AF6" s="1"/>
      </tp>
      <tp>
        <v>2739.5</v>
        <stp/>
        <stp>StudyData</stp>
        <stp>SUBMINUTE((EP),5,FillGap)</stp>
        <stp>Bar</stp>
        <stp/>
        <stp>High</stp>
        <stp>5</stp>
        <stp>-2</stp>
        <stp/>
        <stp/>
        <stp/>
        <stp/>
        <stp>T</stp>
        <tr r="AG3" s="1"/>
        <tr r="AG3" s="1"/>
      </tp>
      <tp>
        <v>2739</v>
        <stp/>
        <stp>StudyData</stp>
        <stp>SUBMINUTE((EP),5,FillGap)</stp>
        <stp>Bar</stp>
        <stp/>
        <stp>High</stp>
        <stp>5</stp>
        <stp>-60</stp>
        <stp/>
        <stp/>
        <stp/>
        <stp/>
        <stp>T</stp>
        <tr r="AG61" s="1"/>
        <tr r="AG61" s="1"/>
      </tp>
      <tp>
        <v>2739</v>
        <stp/>
        <stp>StudyData</stp>
        <stp>SUBMINUTE((EP),5,FillGap)</stp>
        <stp>Bar</stp>
        <stp/>
        <stp>High</stp>
        <stp>5</stp>
        <stp>-50</stp>
        <stp/>
        <stp/>
        <stp/>
        <stp/>
        <stp>T</stp>
        <tr r="AG51" s="1"/>
        <tr r="AG51" s="1"/>
      </tp>
      <tp>
        <v>2740</v>
        <stp/>
        <stp>StudyData</stp>
        <stp>SUBMINUTE((EP),5,FillGap)</stp>
        <stp>Bar</stp>
        <stp/>
        <stp>High</stp>
        <stp>5</stp>
        <stp>-40</stp>
        <stp/>
        <stp/>
        <stp/>
        <stp/>
        <stp>T</stp>
        <tr r="AG41" s="1"/>
        <tr r="AG41" s="1"/>
      </tp>
      <tp>
        <v>2740</v>
        <stp/>
        <stp>StudyData</stp>
        <stp>SUBMINUTE((EP),5,FillGap)</stp>
        <stp>Bar</stp>
        <stp/>
        <stp>High</stp>
        <stp>5</stp>
        <stp>-30</stp>
        <stp/>
        <stp/>
        <stp/>
        <stp/>
        <stp>T</stp>
        <tr r="AG31" s="1"/>
        <tr r="AG31" s="1"/>
      </tp>
      <tp>
        <v>2739.5</v>
        <stp/>
        <stp>StudyData</stp>
        <stp>SUBMINUTE((EP),5,FillGap)</stp>
        <stp>Bar</stp>
        <stp/>
        <stp>High</stp>
        <stp>5</stp>
        <stp>-20</stp>
        <stp/>
        <stp/>
        <stp/>
        <stp/>
        <stp>T</stp>
        <tr r="AG21" s="1"/>
        <tr r="AG21" s="1"/>
      </tp>
      <tp>
        <v>2739</v>
        <stp/>
        <stp>StudyData</stp>
        <stp>SUBMINUTE((EP),5,FillGap)</stp>
        <stp>Bar</stp>
        <stp/>
        <stp>High</stp>
        <stp>5</stp>
        <stp>-10</stp>
        <stp/>
        <stp/>
        <stp/>
        <stp/>
        <stp>T</stp>
        <tr r="AG11" s="1"/>
        <tr r="AG11" s="1"/>
      </tp>
      <tp>
        <v>2739.5</v>
        <stp/>
        <stp>StudyData</stp>
        <stp>SUBMINUTE((EP),5,FillGap)</stp>
        <stp>Bar</stp>
        <stp/>
        <stp>Open</stp>
        <stp>5</stp>
        <stp>-6</stp>
        <stp/>
        <stp/>
        <stp/>
        <stp/>
        <stp>T</stp>
        <tr r="AF7" s="1"/>
        <tr r="AF7" s="1"/>
      </tp>
      <tp>
        <v>2739.5</v>
        <stp/>
        <stp>StudyData</stp>
        <stp>SUBMINUTE((EP),5,FillGap)</stp>
        <stp>Bar</stp>
        <stp/>
        <stp>High</stp>
        <stp>5</stp>
        <stp>-1</stp>
        <stp/>
        <stp/>
        <stp/>
        <stp/>
        <stp>T</stp>
        <tr r="AG2" s="1"/>
        <tr r="AG2" s="1"/>
      </tp>
      <tp>
        <v>2738.75</v>
        <stp/>
        <stp>StudyData</stp>
        <stp>SUBMINUTE((EP),5,FillGap)</stp>
        <stp>Bar</stp>
        <stp/>
        <stp>High</stp>
        <stp>5</stp>
        <stp>-53</stp>
        <stp/>
        <stp/>
        <stp/>
        <stp/>
        <stp>T</stp>
        <tr r="AG54" s="1"/>
        <tr r="AG54" s="1"/>
      </tp>
      <tp>
        <v>2739.5</v>
        <stp/>
        <stp>StudyData</stp>
        <stp>SUBMINUTE((EP),5,FillGap)</stp>
        <stp>Bar</stp>
        <stp/>
        <stp>High</stp>
        <stp>5</stp>
        <stp>-43</stp>
        <stp/>
        <stp/>
        <stp/>
        <stp/>
        <stp>T</stp>
        <tr r="AG44" s="1"/>
        <tr r="AG44" s="1"/>
      </tp>
      <tp>
        <v>2739.75</v>
        <stp/>
        <stp>StudyData</stp>
        <stp>SUBMINUTE((EP),5,FillGap)</stp>
        <stp>Bar</stp>
        <stp/>
        <stp>High</stp>
        <stp>5</stp>
        <stp>-33</stp>
        <stp/>
        <stp/>
        <stp/>
        <stp/>
        <stp>T</stp>
        <tr r="AG34" s="1"/>
        <tr r="AG34" s="1"/>
      </tp>
      <tp>
        <v>2740</v>
        <stp/>
        <stp>StudyData</stp>
        <stp>SUBMINUTE((EP),5,FillGap)</stp>
        <stp>Bar</stp>
        <stp/>
        <stp>High</stp>
        <stp>5</stp>
        <stp>-23</stp>
        <stp/>
        <stp/>
        <stp/>
        <stp/>
        <stp>T</stp>
        <tr r="AG24" s="1"/>
        <tr r="AG24" s="1"/>
      </tp>
      <tp>
        <v>2739.25</v>
        <stp/>
        <stp>StudyData</stp>
        <stp>SUBMINUTE((EP),5,FillGap)</stp>
        <stp>Bar</stp>
        <stp/>
        <stp>High</stp>
        <stp>5</stp>
        <stp>-13</stp>
        <stp/>
        <stp/>
        <stp/>
        <stp/>
        <stp>T</stp>
        <tr r="AG14" s="1"/>
        <tr r="AG14" s="1"/>
      </tp>
      <tp>
        <v>2739.75</v>
        <stp/>
        <stp>StudyData</stp>
        <stp>SUBMINUTE((EP),5,FillGap)</stp>
        <stp>Bar</stp>
        <stp/>
        <stp>Open</stp>
        <stp>5</stp>
        <stp>-7</stp>
        <stp/>
        <stp/>
        <stp/>
        <stp/>
        <stp>T</stp>
        <tr r="AF8" s="1"/>
        <tr r="AF8" s="1"/>
      </tp>
      <tp>
        <v>2738.75</v>
        <stp/>
        <stp>StudyData</stp>
        <stp>SUBMINUTE((EP),5,FillGap)</stp>
        <stp>Bar</stp>
        <stp/>
        <stp>High</stp>
        <stp>5</stp>
        <stp>-52</stp>
        <stp/>
        <stp/>
        <stp/>
        <stp/>
        <stp>T</stp>
        <tr r="AG53" s="1"/>
        <tr r="AG53" s="1"/>
      </tp>
      <tp>
        <v>2739.75</v>
        <stp/>
        <stp>StudyData</stp>
        <stp>SUBMINUTE((EP),5,FillGap)</stp>
        <stp>Bar</stp>
        <stp/>
        <stp>High</stp>
        <stp>5</stp>
        <stp>-42</stp>
        <stp/>
        <stp/>
        <stp/>
        <stp/>
        <stp>T</stp>
        <tr r="AG43" s="1"/>
        <tr r="AG43" s="1"/>
      </tp>
      <tp>
        <v>2740</v>
        <stp/>
        <stp>StudyData</stp>
        <stp>SUBMINUTE((EP),5,FillGap)</stp>
        <stp>Bar</stp>
        <stp/>
        <stp>High</stp>
        <stp>5</stp>
        <stp>-32</stp>
        <stp/>
        <stp/>
        <stp/>
        <stp/>
        <stp>T</stp>
        <tr r="AG33" s="1"/>
        <tr r="AG33" s="1"/>
      </tp>
      <tp>
        <v>2739.5</v>
        <stp/>
        <stp>StudyData</stp>
        <stp>SUBMINUTE((EP),5,FillGap)</stp>
        <stp>Bar</stp>
        <stp/>
        <stp>High</stp>
        <stp>5</stp>
        <stp>-22</stp>
        <stp/>
        <stp/>
        <stp/>
        <stp/>
        <stp>T</stp>
        <tr r="AG23" s="1"/>
        <tr r="AG23" s="1"/>
      </tp>
      <tp>
        <v>2739.25</v>
        <stp/>
        <stp>StudyData</stp>
        <stp>SUBMINUTE((EP),5,FillGap)</stp>
        <stp>Bar</stp>
        <stp/>
        <stp>High</stp>
        <stp>5</stp>
        <stp>-12</stp>
        <stp/>
        <stp/>
        <stp/>
        <stp/>
        <stp>T</stp>
        <tr r="AG13" s="1"/>
        <tr r="AG13" s="1"/>
      </tp>
      <tp>
        <v>2739.5</v>
        <stp/>
        <stp>StudyData</stp>
        <stp>SUBMINUTE((EP),5,FillGap)</stp>
        <stp>Bar</stp>
        <stp/>
        <stp>Open</stp>
        <stp>5</stp>
        <stp>-8</stp>
        <stp/>
        <stp/>
        <stp/>
        <stp/>
        <stp>T</stp>
        <tr r="AF9" s="1"/>
        <tr r="AF9" s="1"/>
      </tp>
      <tp>
        <v>2738.75</v>
        <stp/>
        <stp>StudyData</stp>
        <stp>SUBMINUTE((EP),5,FillGap)</stp>
        <stp>Bar</stp>
        <stp/>
        <stp>Open</stp>
        <stp>5</stp>
        <stp>-9</stp>
        <stp/>
        <stp/>
        <stp/>
        <stp/>
        <stp>T</stp>
        <tr r="AF10" s="1"/>
        <tr r="AF10" s="1"/>
      </tp>
      <tp>
        <v>2739.25</v>
        <stp/>
        <stp>StudyData</stp>
        <stp>SUBMINUTE((EP),5,FillGap)</stp>
        <stp>Bar</stp>
        <stp/>
        <stp>High</stp>
        <stp>5</stp>
        <stp>0</stp>
        <stp/>
        <stp/>
        <stp/>
        <stp/>
        <stp>T</stp>
        <tr r="AG1" s="1"/>
        <tr r="AG1" s="1"/>
      </tp>
      <tp>
        <v>2738.75</v>
        <stp/>
        <stp>StudyData</stp>
        <stp>SUBMINUTE((EP),5,FillGap)</stp>
        <stp>Bar</stp>
        <stp/>
        <stp>High</stp>
        <stp>5</stp>
        <stp>-59</stp>
        <stp/>
        <stp/>
        <stp/>
        <stp/>
        <stp>T</stp>
        <tr r="AG60" s="1"/>
        <tr r="AG60" s="1"/>
      </tp>
      <tp>
        <v>2739</v>
        <stp/>
        <stp>StudyData</stp>
        <stp>SUBMINUTE((EP),5,FillGap)</stp>
        <stp>Bar</stp>
        <stp/>
        <stp>High</stp>
        <stp>5</stp>
        <stp>-49</stp>
        <stp/>
        <stp/>
        <stp/>
        <stp/>
        <stp>T</stp>
        <tr r="AG50" s="1"/>
        <tr r="AG50" s="1"/>
      </tp>
      <tp>
        <v>2739.75</v>
        <stp/>
        <stp>StudyData</stp>
        <stp>SUBMINUTE((EP),5,FillGap)</stp>
        <stp>Bar</stp>
        <stp/>
        <stp>High</stp>
        <stp>5</stp>
        <stp>-39</stp>
        <stp/>
        <stp/>
        <stp/>
        <stp/>
        <stp>T</stp>
        <tr r="AG40" s="1"/>
        <tr r="AG40" s="1"/>
      </tp>
      <tp>
        <v>2740</v>
        <stp/>
        <stp>StudyData</stp>
        <stp>SUBMINUTE((EP),5,FillGap)</stp>
        <stp>Bar</stp>
        <stp/>
        <stp>High</stp>
        <stp>5</stp>
        <stp>-29</stp>
        <stp/>
        <stp/>
        <stp/>
        <stp/>
        <stp>T</stp>
        <tr r="AG30" s="1"/>
        <tr r="AG30" s="1"/>
      </tp>
      <tp>
        <v>2739.25</v>
        <stp/>
        <stp>StudyData</stp>
        <stp>SUBMINUTE((EP),5,FillGap)</stp>
        <stp>Bar</stp>
        <stp/>
        <stp>High</stp>
        <stp>5</stp>
        <stp>-19</stp>
        <stp/>
        <stp/>
        <stp/>
        <stp/>
        <stp>T</stp>
        <tr r="AG20" s="1"/>
        <tr r="AG20" s="1"/>
      </tp>
      <tp>
        <v>2739.25</v>
        <stp/>
        <stp>StudyData</stp>
        <stp>SUBMINUTE((EP),5,FillGap)</stp>
        <stp>Bar</stp>
        <stp/>
        <stp>Open</stp>
        <stp>5</stp>
        <stp>0</stp>
        <stp/>
        <stp/>
        <stp/>
        <stp/>
        <stp>T</stp>
        <tr r="AF1" s="1"/>
        <tr r="AF1" s="1"/>
      </tp>
      <tp>
        <v>2738.75</v>
        <stp/>
        <stp>StudyData</stp>
        <stp>SUBMINUTE((EP),5,FillGap)</stp>
        <stp>Bar</stp>
        <stp/>
        <stp>High</stp>
        <stp>5</stp>
        <stp>-58</stp>
        <stp/>
        <stp/>
        <stp/>
        <stp/>
        <stp>T</stp>
        <tr r="AG59" s="1"/>
        <tr r="AG59" s="1"/>
      </tp>
      <tp>
        <v>2739.25</v>
        <stp/>
        <stp>StudyData</stp>
        <stp>SUBMINUTE((EP),5,FillGap)</stp>
        <stp>Bar</stp>
        <stp/>
        <stp>High</stp>
        <stp>5</stp>
        <stp>-48</stp>
        <stp/>
        <stp/>
        <stp/>
        <stp/>
        <stp>T</stp>
        <tr r="AG49" s="1"/>
        <tr r="AG49" s="1"/>
      </tp>
      <tp>
        <v>2739.75</v>
        <stp/>
        <stp>StudyData</stp>
        <stp>SUBMINUTE((EP),5,FillGap)</stp>
        <stp>Bar</stp>
        <stp/>
        <stp>High</stp>
        <stp>5</stp>
        <stp>-38</stp>
        <stp/>
        <stp/>
        <stp/>
        <stp/>
        <stp>T</stp>
        <tr r="AG39" s="1"/>
        <tr r="AG39" s="1"/>
      </tp>
      <tp>
        <v>2740</v>
        <stp/>
        <stp>StudyData</stp>
        <stp>SUBMINUTE((EP),5,FillGap)</stp>
        <stp>Bar</stp>
        <stp/>
        <stp>High</stp>
        <stp>5</stp>
        <stp>-28</stp>
        <stp/>
        <stp/>
        <stp/>
        <stp/>
        <stp>T</stp>
        <tr r="AG29" s="1"/>
        <tr r="AG29" s="1"/>
      </tp>
      <tp>
        <v>2739.25</v>
        <stp/>
        <stp>StudyData</stp>
        <stp>SUBMINUTE((EP),5,FillGap)</stp>
        <stp>Bar</stp>
        <stp/>
        <stp>High</stp>
        <stp>5</stp>
        <stp>-18</stp>
        <stp/>
        <stp/>
        <stp/>
        <stp/>
        <stp>T</stp>
        <tr r="AG19" s="1"/>
        <tr r="AG19" s="1"/>
      </tp>
      <tp>
        <v>2739.5</v>
        <stp/>
        <stp>StudyData</stp>
        <stp>SUBMINUTE((EP),5,FillGap)</stp>
        <stp>Bar</stp>
        <stp/>
        <stp>High</stp>
        <stp>5</stp>
        <stp>-9</stp>
        <stp/>
        <stp/>
        <stp/>
        <stp/>
        <stp>T</stp>
        <tr r="AG10" s="1"/>
        <tr r="AG10" s="1"/>
      </tp>
      <tp>
        <v>2739.25</v>
        <stp/>
        <stp>StudyData</stp>
        <stp>EP</stp>
        <stp>Tick</stp>
        <stp>FlatTicks=0</stp>
        <stp>Tick</stp>
        <stp>D</stp>
        <stp>0</stp>
        <stp>all</stp>
        <tr r="A81" s="2"/>
      </tp>
      <tp>
        <v>2739.75</v>
        <stp/>
        <stp>StudyData</stp>
        <stp>SUBMINUTE((EP),5,FillGap)</stp>
        <stp>Bar</stp>
        <stp/>
        <stp>High</stp>
        <stp>5</stp>
        <stp>-8</stp>
        <stp/>
        <stp/>
        <stp/>
        <stp/>
        <stp>T</stp>
        <tr r="AG9" s="1"/>
        <tr r="AG9" s="1"/>
      </tp>
      <tp>
        <v>2739.25</v>
        <stp/>
        <stp>DOMData</stp>
        <stp>EP</stp>
        <stp>Price</stp>
        <stp>-3</stp>
        <stp>T</stp>
        <tr r="D6" s="2"/>
        <tr r="D46" s="2"/>
      </tp>
      <tp>
        <v>0.58753327825208845</v>
        <stp/>
        <stp>ContractData</stp>
        <stp>EP</stp>
        <stp>PercentNetLastTrade</stp>
        <stp/>
        <stp>T</stp>
        <tr r="F26" s="2"/>
      </tp>
      <tp>
        <v>2739.5</v>
        <stp/>
        <stp>DOMData</stp>
        <stp>EP</stp>
        <stp>Price</stp>
        <stp>-2</stp>
        <stp>T</stp>
        <tr r="E6" s="2"/>
        <tr r="E46" s="2"/>
      </tp>
      <tp>
        <v>2739.75</v>
        <stp/>
        <stp>DOMData</stp>
        <stp>EP</stp>
        <stp>Price</stp>
        <stp>-1</stp>
        <stp>T</stp>
        <tr r="G6" s="2"/>
        <tr r="F6" s="2"/>
        <tr r="F46" s="2"/>
        <tr r="A26" s="2"/>
      </tp>
      <tp>
        <v>2739.25</v>
        <stp/>
        <stp>StudyData</stp>
        <stp>EP</stp>
        <stp>Tick</stp>
        <stp>FlatTicks=0</stp>
        <stp>Tick</stp>
        <stp>D</stp>
        <stp>-12</stp>
        <stp>all</stp>
        <tr r="A69" s="2"/>
      </tp>
      <tp>
        <v>2739</v>
        <stp/>
        <stp>StudyData</stp>
        <stp>EP</stp>
        <stp>Tick</stp>
        <stp>FlatTicks=0</stp>
        <stp>Tick</stp>
        <stp>D</stp>
        <stp>-13</stp>
        <stp>all</stp>
        <tr r="A68" s="2"/>
      </tp>
      <tp>
        <v>2739.25</v>
        <stp/>
        <stp>StudyData</stp>
        <stp>EP</stp>
        <stp>Tick</stp>
        <stp>FlatTicks=0</stp>
        <stp>Tick</stp>
        <stp>D</stp>
        <stp>-10</stp>
        <stp>all</stp>
        <tr r="A71" s="2"/>
      </tp>
      <tp>
        <v>2739</v>
        <stp/>
        <stp>StudyData</stp>
        <stp>EP</stp>
        <stp>Tick</stp>
        <stp>FlatTicks=0</stp>
        <stp>Tick</stp>
        <stp>D</stp>
        <stp>-11</stp>
        <stp>all</stp>
        <tr r="A70" s="2"/>
      </tp>
      <tp>
        <v>2738.75</v>
        <stp/>
        <stp>StudyData</stp>
        <stp>EP</stp>
        <stp>Tick</stp>
        <stp>FlatTicks=0</stp>
        <stp>Tick</stp>
        <stp>D</stp>
        <stp>-16</stp>
        <stp>all</stp>
        <tr r="A65" s="2"/>
      </tp>
      <tp>
        <v>2739</v>
        <stp/>
        <stp>StudyData</stp>
        <stp>EP</stp>
        <stp>Tick</stp>
        <stp>FlatTicks=0</stp>
        <stp>Tick</stp>
        <stp>D</stp>
        <stp>-17</stp>
        <stp>all</stp>
        <tr r="A64" s="2"/>
      </tp>
      <tp>
        <v>2738.75</v>
        <stp/>
        <stp>StudyData</stp>
        <stp>EP</stp>
        <stp>Tick</stp>
        <stp>FlatTicks=0</stp>
        <stp>Tick</stp>
        <stp>D</stp>
        <stp>-14</stp>
        <stp>all</stp>
        <tr r="A67" s="2"/>
      </tp>
      <tp>
        <v>2739</v>
        <stp/>
        <stp>StudyData</stp>
        <stp>EP</stp>
        <stp>Tick</stp>
        <stp>FlatTicks=0</stp>
        <stp>Tick</stp>
        <stp>D</stp>
        <stp>-15</stp>
        <stp>all</stp>
        <tr r="A66" s="2"/>
      </tp>
      <tp>
        <v>2738.75</v>
        <stp/>
        <stp>StudyData</stp>
        <stp>EP</stp>
        <stp>Tick</stp>
        <stp>FlatTicks=0</stp>
        <stp>Tick</stp>
        <stp>D</stp>
        <stp>-18</stp>
        <stp>all</stp>
        <tr r="A63" s="2"/>
      </tp>
      <tp>
        <v>2739</v>
        <stp/>
        <stp>StudyData</stp>
        <stp>EP</stp>
        <stp>Tick</stp>
        <stp>FlatTicks=0</stp>
        <stp>Tick</stp>
        <stp>D</stp>
        <stp>-19</stp>
        <stp>all</stp>
        <tr r="A62" s="2"/>
      </tp>
      <tp>
        <v>2739.25</v>
        <stp/>
        <stp>StudyData</stp>
        <stp>EP</stp>
        <stp>Tick</stp>
        <stp>FlatTicks=0</stp>
        <stp>Tick</stp>
        <stp>D</stp>
        <stp>-30</stp>
        <stp>all</stp>
        <tr r="A51" s="2"/>
      </tp>
      <tp>
        <v>2739</v>
        <stp/>
        <stp>StudyData</stp>
        <stp>EP</stp>
        <stp>Tick</stp>
        <stp>FlatTicks=0</stp>
        <stp>Tick</stp>
        <stp>D</stp>
        <stp>-31</stp>
        <stp>all</stp>
        <tr r="A50" s="2"/>
      </tp>
      <tp>
        <v>2738.75</v>
        <stp/>
        <stp>StudyData</stp>
        <stp>EP</stp>
        <stp>Tick</stp>
        <stp>FlatTicks=0</stp>
        <stp>Tick</stp>
        <stp>D</stp>
        <stp>-22</stp>
        <stp>all</stp>
        <tr r="A59" s="2"/>
      </tp>
      <tp>
        <v>2739</v>
        <stp/>
        <stp>StudyData</stp>
        <stp>EP</stp>
        <stp>Tick</stp>
        <stp>FlatTicks=0</stp>
        <stp>Tick</stp>
        <stp>D</stp>
        <stp>-23</stp>
        <stp>all</stp>
        <tr r="A58" s="2"/>
      </tp>
      <tp>
        <v>2738.75</v>
        <stp/>
        <stp>StudyData</stp>
        <stp>EP</stp>
        <stp>Tick</stp>
        <stp>FlatTicks=0</stp>
        <stp>Tick</stp>
        <stp>D</stp>
        <stp>-20</stp>
        <stp>all</stp>
        <tr r="A61" s="2"/>
      </tp>
      <tp>
        <v>2739</v>
        <stp/>
        <stp>StudyData</stp>
        <stp>EP</stp>
        <stp>Tick</stp>
        <stp>FlatTicks=0</stp>
        <stp>Tick</stp>
        <stp>D</stp>
        <stp>-21</stp>
        <stp>all</stp>
        <tr r="A60" s="2"/>
      </tp>
      <tp>
        <v>2739.25</v>
        <stp/>
        <stp>StudyData</stp>
        <stp>EP</stp>
        <stp>Tick</stp>
        <stp>FlatTicks=0</stp>
        <stp>Tick</stp>
        <stp>D</stp>
        <stp>-26</stp>
        <stp>all</stp>
        <tr r="A55" s="2"/>
      </tp>
      <tp>
        <v>2739</v>
        <stp/>
        <stp>StudyData</stp>
        <stp>EP</stp>
        <stp>Tick</stp>
        <stp>FlatTicks=0</stp>
        <stp>Tick</stp>
        <stp>D</stp>
        <stp>-27</stp>
        <stp>all</stp>
        <tr r="A54" s="2"/>
      </tp>
      <tp>
        <v>2739.25</v>
        <stp/>
        <stp>StudyData</stp>
        <stp>EP</stp>
        <stp>Tick</stp>
        <stp>FlatTicks=0</stp>
        <stp>Tick</stp>
        <stp>D</stp>
        <stp>-24</stp>
        <stp>all</stp>
        <tr r="A57" s="2"/>
      </tp>
      <tp>
        <v>2739</v>
        <stp/>
        <stp>StudyData</stp>
        <stp>EP</stp>
        <stp>Tick</stp>
        <stp>FlatTicks=0</stp>
        <stp>Tick</stp>
        <stp>D</stp>
        <stp>-25</stp>
        <stp>all</stp>
        <tr r="A56" s="2"/>
      </tp>
      <tp>
        <v>2739.25</v>
        <stp/>
        <stp>StudyData</stp>
        <stp>EP</stp>
        <stp>Tick</stp>
        <stp>FlatTicks=0</stp>
        <stp>Tick</stp>
        <stp>D</stp>
        <stp>-28</stp>
        <stp>all</stp>
        <tr r="A53" s="2"/>
      </tp>
      <tp>
        <v>2739</v>
        <stp/>
        <stp>StudyData</stp>
        <stp>EP</stp>
        <stp>Tick</stp>
        <stp>FlatTicks=0</stp>
        <stp>Tick</stp>
        <stp>D</stp>
        <stp>-29</stp>
        <stp>all</stp>
        <tr r="A52" s="2"/>
      </tp>
      <tp>
        <v>2739</v>
        <stp/>
        <stp>StudyData</stp>
        <stp>SUBMINUTE((EP),5,FillGap)</stp>
        <stp>Bar</stp>
        <stp/>
        <stp>Open</stp>
        <stp>5</stp>
        <stp>-18</stp>
        <stp/>
        <stp/>
        <stp/>
        <stp/>
        <stp>T</stp>
        <tr r="AF19" s="1"/>
        <tr r="AF19" s="1"/>
      </tp>
      <tp>
        <v>2739.75</v>
        <stp/>
        <stp>StudyData</stp>
        <stp>SUBMINUTE((EP),5,FillGap)</stp>
        <stp>Bar</stp>
        <stp/>
        <stp>Open</stp>
        <stp>5</stp>
        <stp>-28</stp>
        <stp/>
        <stp/>
        <stp/>
        <stp/>
        <stp>T</stp>
        <tr r="AF29" s="1"/>
        <tr r="AF29" s="1"/>
      </tp>
      <tp>
        <v>2739.75</v>
        <stp/>
        <stp>StudyData</stp>
        <stp>SUBMINUTE((EP),5,FillGap)</stp>
        <stp>Bar</stp>
        <stp/>
        <stp>Open</stp>
        <stp>5</stp>
        <stp>-38</stp>
        <stp/>
        <stp/>
        <stp/>
        <stp/>
        <stp>T</stp>
        <tr r="AF39" s="1"/>
        <tr r="AF39" s="1"/>
      </tp>
      <tp>
        <v>2739</v>
        <stp/>
        <stp>StudyData</stp>
        <stp>SUBMINUTE((EP),5,FillGap)</stp>
        <stp>Bar</stp>
        <stp/>
        <stp>Open</stp>
        <stp>5</stp>
        <stp>-48</stp>
        <stp/>
        <stp/>
        <stp/>
        <stp/>
        <stp>T</stp>
        <tr r="AF49" s="1"/>
        <tr r="AF49" s="1"/>
      </tp>
      <tp>
        <v>2738.5</v>
        <stp/>
        <stp>StudyData</stp>
        <stp>SUBMINUTE((EP),5,FillGap)</stp>
        <stp>Bar</stp>
        <stp/>
        <stp>Open</stp>
        <stp>5</stp>
        <stp>-58</stp>
        <stp/>
        <stp/>
        <stp/>
        <stp/>
        <stp>T</stp>
        <tr r="AF59" s="1"/>
        <tr r="AF59" s="1"/>
      </tp>
      <tp>
        <v>0.25</v>
        <stp/>
        <stp>ContractData</stp>
        <stp>EP</stp>
        <stp>Ticksize</stp>
        <stp/>
        <stp>T</stp>
        <tr r="A2" s="2"/>
      </tp>
      <tp>
        <v>2739.25</v>
        <stp/>
        <stp>StudyData</stp>
        <stp>SUBMINUTE((EP),5,FillGap)</stp>
        <stp>Bar</stp>
        <stp/>
        <stp>Open</stp>
        <stp>5</stp>
        <stp>-19</stp>
        <stp/>
        <stp/>
        <stp/>
        <stp/>
        <stp>T</stp>
        <tr r="AF20" s="1"/>
        <tr r="AF20" s="1"/>
      </tp>
      <tp>
        <v>2739.75</v>
        <stp/>
        <stp>StudyData</stp>
        <stp>SUBMINUTE((EP),5,FillGap)</stp>
        <stp>Bar</stp>
        <stp/>
        <stp>Open</stp>
        <stp>5</stp>
        <stp>-29</stp>
        <stp/>
        <stp/>
        <stp/>
        <stp/>
        <stp>T</stp>
        <tr r="AF30" s="1"/>
        <tr r="AF30" s="1"/>
      </tp>
      <tp>
        <v>2739.5</v>
        <stp/>
        <stp>StudyData</stp>
        <stp>SUBMINUTE((EP),5,FillGap)</stp>
        <stp>Bar</stp>
        <stp/>
        <stp>Open</stp>
        <stp>5</stp>
        <stp>-39</stp>
        <stp/>
        <stp/>
        <stp/>
        <stp/>
        <stp>T</stp>
        <tr r="AF40" s="1"/>
        <tr r="AF40" s="1"/>
      </tp>
      <tp>
        <v>2739</v>
        <stp/>
        <stp>StudyData</stp>
        <stp>SUBMINUTE((EP),5,FillGap)</stp>
        <stp>Bar</stp>
        <stp/>
        <stp>Open</stp>
        <stp>5</stp>
        <stp>-49</stp>
        <stp/>
        <stp/>
        <stp/>
        <stp/>
        <stp>T</stp>
        <tr r="AF50" s="1"/>
        <tr r="AF50" s="1"/>
      </tp>
      <tp>
        <v>2738.75</v>
        <stp/>
        <stp>StudyData</stp>
        <stp>SUBMINUTE((EP),5,FillGap)</stp>
        <stp>Bar</stp>
        <stp/>
        <stp>Open</stp>
        <stp>5</stp>
        <stp>-59</stp>
        <stp/>
        <stp/>
        <stp/>
        <stp/>
        <stp>T</stp>
        <tr r="AF60" s="1"/>
        <tr r="AF60" s="1"/>
      </tp>
      <tp>
        <v>43167.643113425926</v>
        <stp/>
        <stp>SystemInfo</stp>
        <stp>Linetime</stp>
        <tr r="Z2" s="2"/>
      </tp>
      <tp>
        <v>2738.75</v>
        <stp/>
        <stp>DOMData</stp>
        <stp>EP</stp>
        <stp>Price</stp>
        <stp>-5</stp>
        <stp>T</stp>
        <tr r="B6" s="2"/>
        <tr r="B46" s="2"/>
      </tp>
      <tp>
        <v>2739.25</v>
        <stp/>
        <stp>StudyData</stp>
        <stp>SUBMINUTE((EP),5,FillGap)</stp>
        <stp>Bar</stp>
        <stp/>
        <stp>Low</stp>
        <stp>5</stp>
        <stp>0</stp>
        <stp/>
        <stp/>
        <stp/>
        <stp/>
        <stp>T</stp>
        <tr r="AH1" s="1"/>
        <tr r="AH1" s="1"/>
      </tp>
      <tp>
        <v>2739</v>
        <stp/>
        <stp>DOMData</stp>
        <stp>EP</stp>
        <stp>Price</stp>
        <stp>-4</stp>
        <stp>T</stp>
        <tr r="C6" s="2"/>
        <tr r="C46" s="2"/>
      </tp>
      <tp>
        <v>2739</v>
        <stp/>
        <stp>StudyData</stp>
        <stp>SUBMINUTE((EP),5,FillGap)</stp>
        <stp>Bar</stp>
        <stp/>
        <stp>Open</stp>
        <stp>5</stp>
        <stp>-14</stp>
        <stp/>
        <stp/>
        <stp/>
        <stp/>
        <stp>T</stp>
        <tr r="AF15" s="1"/>
        <tr r="AF15" s="1"/>
      </tp>
      <tp>
        <v>2740</v>
        <stp/>
        <stp>StudyData</stp>
        <stp>SUBMINUTE((EP),5,FillGap)</stp>
        <stp>Bar</stp>
        <stp/>
        <stp>Open</stp>
        <stp>5</stp>
        <stp>-24</stp>
        <stp/>
        <stp/>
        <stp/>
        <stp/>
        <stp>T</stp>
        <tr r="AF25" s="1"/>
        <tr r="AF25" s="1"/>
      </tp>
      <tp>
        <v>2739.75</v>
        <stp/>
        <stp>StudyData</stp>
        <stp>SUBMINUTE((EP),5,FillGap)</stp>
        <stp>Bar</stp>
        <stp/>
        <stp>Open</stp>
        <stp>5</stp>
        <stp>-34</stp>
        <stp/>
        <stp/>
        <stp/>
        <stp/>
        <stp>T</stp>
        <tr r="AF35" s="1"/>
        <tr r="AF35" s="1"/>
      </tp>
      <tp>
        <v>2739.25</v>
        <stp/>
        <stp>StudyData</stp>
        <stp>SUBMINUTE((EP),5,FillGap)</stp>
        <stp>Bar</stp>
        <stp/>
        <stp>Open</stp>
        <stp>5</stp>
        <stp>-44</stp>
        <stp/>
        <stp/>
        <stp/>
        <stp/>
        <stp>T</stp>
        <tr r="AF45" s="1"/>
        <tr r="AF45" s="1"/>
      </tp>
      <tp>
        <v>2738.75</v>
        <stp/>
        <stp>StudyData</stp>
        <stp>SUBMINUTE((EP),5,FillGap)</stp>
        <stp>Bar</stp>
        <stp/>
        <stp>Open</stp>
        <stp>5</stp>
        <stp>-54</stp>
        <stp/>
        <stp/>
        <stp/>
        <stp/>
        <stp>T</stp>
        <tr r="AF55" s="1"/>
        <tr r="AF55" s="1"/>
      </tp>
      <tp>
        <v>2739</v>
        <stp/>
        <stp>StudyData</stp>
        <stp>SUBMINUTE((EP),5,FillGap)</stp>
        <stp>Bar</stp>
        <stp/>
        <stp>Open</stp>
        <stp>5</stp>
        <stp>-15</stp>
        <stp/>
        <stp/>
        <stp/>
        <stp/>
        <stp>T</stp>
        <tr r="AF16" s="1"/>
        <tr r="AF16" s="1"/>
      </tp>
      <tp>
        <v>2739.75</v>
        <stp/>
        <stp>StudyData</stp>
        <stp>SUBMINUTE((EP),5,FillGap)</stp>
        <stp>Bar</stp>
        <stp/>
        <stp>Open</stp>
        <stp>5</stp>
        <stp>-25</stp>
        <stp/>
        <stp/>
        <stp/>
        <stp/>
        <stp>T</stp>
        <tr r="AF26" s="1"/>
        <tr r="AF26" s="1"/>
      </tp>
      <tp>
        <v>2739.75</v>
        <stp/>
        <stp>StudyData</stp>
        <stp>SUBMINUTE((EP),5,FillGap)</stp>
        <stp>Bar</stp>
        <stp/>
        <stp>Open</stp>
        <stp>5</stp>
        <stp>-35</stp>
        <stp/>
        <stp/>
        <stp/>
        <stp/>
        <stp>T</stp>
        <tr r="AF36" s="1"/>
        <tr r="AF36" s="1"/>
      </tp>
      <tp>
        <v>2739.25</v>
        <stp/>
        <stp>StudyData</stp>
        <stp>SUBMINUTE((EP),5,FillGap)</stp>
        <stp>Bar</stp>
        <stp/>
        <stp>Open</stp>
        <stp>5</stp>
        <stp>-45</stp>
        <stp/>
        <stp/>
        <stp/>
        <stp/>
        <stp>T</stp>
        <tr r="AF46" s="1"/>
        <tr r="AF46" s="1"/>
      </tp>
      <tp>
        <v>2738.75</v>
        <stp/>
        <stp>StudyData</stp>
        <stp>SUBMINUTE((EP),5,FillGap)</stp>
        <stp>Bar</stp>
        <stp/>
        <stp>Open</stp>
        <stp>5</stp>
        <stp>-55</stp>
        <stp/>
        <stp/>
        <stp/>
        <stp/>
        <stp>T</stp>
        <tr r="AF56" s="1"/>
        <tr r="AF56" s="1"/>
      </tp>
      <tp>
        <v>2739</v>
        <stp/>
        <stp>StudyData</stp>
        <stp>SUBMINUTE((EP),5,FillGap)</stp>
        <stp>Bar</stp>
        <stp/>
        <stp>Open</stp>
        <stp>5</stp>
        <stp>-16</stp>
        <stp/>
        <stp/>
        <stp/>
        <stp/>
        <stp>T</stp>
        <tr r="AF17" s="1"/>
        <tr r="AF17" s="1"/>
      </tp>
      <tp>
        <v>2739.75</v>
        <stp/>
        <stp>StudyData</stp>
        <stp>SUBMINUTE((EP),5,FillGap)</stp>
        <stp>Bar</stp>
        <stp/>
        <stp>Open</stp>
        <stp>5</stp>
        <stp>-26</stp>
        <stp/>
        <stp/>
        <stp/>
        <stp/>
        <stp>T</stp>
        <tr r="AF27" s="1"/>
        <tr r="AF27" s="1"/>
      </tp>
      <tp>
        <v>2739.5</v>
        <stp/>
        <stp>StudyData</stp>
        <stp>SUBMINUTE((EP),5,FillGap)</stp>
        <stp>Bar</stp>
        <stp/>
        <stp>Open</stp>
        <stp>5</stp>
        <stp>-36</stp>
        <stp/>
        <stp/>
        <stp/>
        <stp/>
        <stp>T</stp>
        <tr r="AF37" s="1"/>
        <tr r="AF37" s="1"/>
      </tp>
      <tp>
        <v>2739</v>
        <stp/>
        <stp>StudyData</stp>
        <stp>SUBMINUTE((EP),5,FillGap)</stp>
        <stp>Bar</stp>
        <stp/>
        <stp>Open</stp>
        <stp>5</stp>
        <stp>-46</stp>
        <stp/>
        <stp/>
        <stp/>
        <stp/>
        <stp>T</stp>
        <tr r="AF47" s="1"/>
        <tr r="AF47" s="1"/>
      </tp>
      <tp>
        <v>2738.75</v>
        <stp/>
        <stp>StudyData</stp>
        <stp>SUBMINUTE((EP),5,FillGap)</stp>
        <stp>Bar</stp>
        <stp/>
        <stp>Open</stp>
        <stp>5</stp>
        <stp>-56</stp>
        <stp/>
        <stp/>
        <stp/>
        <stp/>
        <stp>T</stp>
        <tr r="AF57" s="1"/>
        <tr r="AF57" s="1"/>
      </tp>
      <tp>
        <v>110</v>
        <stp/>
        <stp>ContractData</stp>
        <stp>EP</stp>
        <stp>MT_LastBidVolume</stp>
        <stp/>
        <stp>T</stp>
        <tr r="B5" s="1"/>
        <tr r="E42" s="2"/>
      </tp>
      <tp>
        <v>2739</v>
        <stp/>
        <stp>StudyData</stp>
        <stp>SUBMINUTE((EP),5,FillGap)</stp>
        <stp>Bar</stp>
        <stp/>
        <stp>Open</stp>
        <stp>5</stp>
        <stp>-17</stp>
        <stp/>
        <stp/>
        <stp/>
        <stp/>
        <stp>T</stp>
        <tr r="AF18" s="1"/>
        <tr r="AF18" s="1"/>
      </tp>
      <tp>
        <v>2739.75</v>
        <stp/>
        <stp>StudyData</stp>
        <stp>SUBMINUTE((EP),5,FillGap)</stp>
        <stp>Bar</stp>
        <stp/>
        <stp>Open</stp>
        <stp>5</stp>
        <stp>-27</stp>
        <stp/>
        <stp/>
        <stp/>
        <stp/>
        <stp>T</stp>
        <tr r="AF28" s="1"/>
        <tr r="AF28" s="1"/>
      </tp>
      <tp>
        <v>2739.5</v>
        <stp/>
        <stp>StudyData</stp>
        <stp>SUBMINUTE((EP),5,FillGap)</stp>
        <stp>Bar</stp>
        <stp/>
        <stp>Open</stp>
        <stp>5</stp>
        <stp>-37</stp>
        <stp/>
        <stp/>
        <stp/>
        <stp/>
        <stp>T</stp>
        <tr r="AF38" s="1"/>
        <tr r="AF38" s="1"/>
      </tp>
      <tp>
        <v>2739.25</v>
        <stp/>
        <stp>StudyData</stp>
        <stp>SUBMINUTE((EP),5,FillGap)</stp>
        <stp>Bar</stp>
        <stp/>
        <stp>Open</stp>
        <stp>5</stp>
        <stp>-47</stp>
        <stp/>
        <stp/>
        <stp/>
        <stp/>
        <stp>T</stp>
        <tr r="AF48" s="1"/>
        <tr r="AF48" s="1"/>
      </tp>
      <tp>
        <v>2738.75</v>
        <stp/>
        <stp>StudyData</stp>
        <stp>SUBMINUTE((EP),5,FillGap)</stp>
        <stp>Bar</stp>
        <stp/>
        <stp>Open</stp>
        <stp>5</stp>
        <stp>-57</stp>
        <stp/>
        <stp/>
        <stp/>
        <stp/>
        <stp>T</stp>
        <tr r="AF58" s="1"/>
        <tr r="AF58" s="1"/>
      </tp>
      <tp>
        <v>2738.75</v>
        <stp/>
        <stp>StudyData</stp>
        <stp>SUBMINUTE((EP),5,FillGap)</stp>
        <stp>Bar</stp>
        <stp/>
        <stp>Open</stp>
        <stp>5</stp>
        <stp>-10</stp>
        <stp/>
        <stp/>
        <stp/>
        <stp/>
        <stp>T</stp>
        <tr r="AF11" s="1"/>
        <tr r="AF11" s="1"/>
      </tp>
      <tp>
        <v>2739</v>
        <stp/>
        <stp>StudyData</stp>
        <stp>SUBMINUTE((EP),5,FillGap)</stp>
        <stp>Bar</stp>
        <stp/>
        <stp>Open</stp>
        <stp>5</stp>
        <stp>-20</stp>
        <stp/>
        <stp/>
        <stp/>
        <stp/>
        <stp>T</stp>
        <tr r="AF21" s="1"/>
        <tr r="AF21" s="1"/>
      </tp>
      <tp>
        <v>2740</v>
        <stp/>
        <stp>StudyData</stp>
        <stp>SUBMINUTE((EP),5,FillGap)</stp>
        <stp>Bar</stp>
        <stp/>
        <stp>Open</stp>
        <stp>5</stp>
        <stp>-30</stp>
        <stp/>
        <stp/>
        <stp/>
        <stp/>
        <stp>T</stp>
        <tr r="AF31" s="1"/>
        <tr r="AF31" s="1"/>
      </tp>
      <tp>
        <v>2739.5</v>
        <stp/>
        <stp>StudyData</stp>
        <stp>SUBMINUTE((EP),5,FillGap)</stp>
        <stp>Bar</stp>
        <stp/>
        <stp>Open</stp>
        <stp>5</stp>
        <stp>-40</stp>
        <stp/>
        <stp/>
        <stp/>
        <stp/>
        <stp>T</stp>
        <tr r="AF41" s="1"/>
        <tr r="AF41" s="1"/>
      </tp>
      <tp>
        <v>2739</v>
        <stp/>
        <stp>StudyData</stp>
        <stp>SUBMINUTE((EP),5,FillGap)</stp>
        <stp>Bar</stp>
        <stp/>
        <stp>Open</stp>
        <stp>5</stp>
        <stp>-50</stp>
        <stp/>
        <stp/>
        <stp/>
        <stp/>
        <stp>T</stp>
        <tr r="AF51" s="1"/>
        <tr r="AF51" s="1"/>
      </tp>
      <tp>
        <v>2739</v>
        <stp/>
        <stp>StudyData</stp>
        <stp>SUBMINUTE((EP),5,FillGap)</stp>
        <stp>Bar</stp>
        <stp/>
        <stp>Open</stp>
        <stp>5</stp>
        <stp>-60</stp>
        <stp/>
        <stp/>
        <stp/>
        <stp/>
        <stp>T</stp>
        <tr r="AF61" s="1"/>
        <tr r="AF61" s="1"/>
      </tp>
      <tp>
        <v>2739</v>
        <stp/>
        <stp>StudyData</stp>
        <stp>SUBMINUTE((EP),5,FillGap)</stp>
        <stp>Bar</stp>
        <stp/>
        <stp>Open</stp>
        <stp>5</stp>
        <stp>-11</stp>
        <stp/>
        <stp/>
        <stp/>
        <stp/>
        <stp>T</stp>
        <tr r="AF12" s="1"/>
        <tr r="AF12" s="1"/>
      </tp>
      <tp>
        <v>2739</v>
        <stp/>
        <stp>StudyData</stp>
        <stp>SUBMINUTE((EP),5,FillGap)</stp>
        <stp>Bar</stp>
        <stp/>
        <stp>Open</stp>
        <stp>5</stp>
        <stp>-21</stp>
        <stp/>
        <stp/>
        <stp/>
        <stp/>
        <stp>T</stp>
        <tr r="AF22" s="1"/>
        <tr r="AF22" s="1"/>
      </tp>
      <tp>
        <v>2740</v>
        <stp/>
        <stp>StudyData</stp>
        <stp>SUBMINUTE((EP),5,FillGap)</stp>
        <stp>Bar</stp>
        <stp/>
        <stp>Open</stp>
        <stp>5</stp>
        <stp>-31</stp>
        <stp/>
        <stp/>
        <stp/>
        <stp/>
        <stp>T</stp>
        <tr r="AF32" s="1"/>
        <tr r="AF32" s="1"/>
      </tp>
      <tp>
        <v>2739.5</v>
        <stp/>
        <stp>StudyData</stp>
        <stp>SUBMINUTE((EP),5,FillGap)</stp>
        <stp>Bar</stp>
        <stp/>
        <stp>Open</stp>
        <stp>5</stp>
        <stp>-41</stp>
        <stp/>
        <stp/>
        <stp/>
        <stp/>
        <stp>T</stp>
        <tr r="AF42" s="1"/>
        <tr r="AF42" s="1"/>
      </tp>
      <tp>
        <v>2738.75</v>
        <stp/>
        <stp>StudyData</stp>
        <stp>SUBMINUTE((EP),5,FillGap)</stp>
        <stp>Bar</stp>
        <stp/>
        <stp>Open</stp>
        <stp>5</stp>
        <stp>-51</stp>
        <stp/>
        <stp/>
        <stp/>
        <stp/>
        <stp>T</stp>
        <tr r="AF52" s="1"/>
        <tr r="AF52" s="1"/>
      </tp>
      <tp>
        <v>2739</v>
        <stp/>
        <stp>StudyData</stp>
        <stp>SUBMINUTE((EP),5,FillGap)</stp>
        <stp>Bar</stp>
        <stp/>
        <stp>Open</stp>
        <stp>5</stp>
        <stp>-12</stp>
        <stp/>
        <stp/>
        <stp/>
        <stp/>
        <stp>T</stp>
        <tr r="AF13" s="1"/>
        <tr r="AF13" s="1"/>
      </tp>
      <tp>
        <v>2739.5</v>
        <stp/>
        <stp>StudyData</stp>
        <stp>SUBMINUTE((EP),5,FillGap)</stp>
        <stp>Bar</stp>
        <stp/>
        <stp>Open</stp>
        <stp>5</stp>
        <stp>-22</stp>
        <stp/>
        <stp/>
        <stp/>
        <stp/>
        <stp>T</stp>
        <tr r="AF23" s="1"/>
        <tr r="AF23" s="1"/>
      </tp>
      <tp>
        <v>2739.5</v>
        <stp/>
        <stp>StudyData</stp>
        <stp>SUBMINUTE((EP),5,FillGap)</stp>
        <stp>Bar</stp>
        <stp/>
        <stp>Open</stp>
        <stp>5</stp>
        <stp>-32</stp>
        <stp/>
        <stp/>
        <stp/>
        <stp/>
        <stp>T</stp>
        <tr r="AF33" s="1"/>
        <tr r="AF33" s="1"/>
      </tp>
      <tp>
        <v>2739.75</v>
        <stp/>
        <stp>StudyData</stp>
        <stp>SUBMINUTE((EP),5,FillGap)</stp>
        <stp>Bar</stp>
        <stp/>
        <stp>Open</stp>
        <stp>5</stp>
        <stp>-42</stp>
        <stp/>
        <stp/>
        <stp/>
        <stp/>
        <stp>T</stp>
        <tr r="AF43" s="1"/>
        <tr r="AF43" s="1"/>
      </tp>
      <tp>
        <v>2738.75</v>
        <stp/>
        <stp>StudyData</stp>
        <stp>SUBMINUTE((EP),5,FillGap)</stp>
        <stp>Bar</stp>
        <stp/>
        <stp>Open</stp>
        <stp>5</stp>
        <stp>-52</stp>
        <stp/>
        <stp/>
        <stp/>
        <stp/>
        <stp>T</stp>
        <tr r="AF53" s="1"/>
        <tr r="AF53" s="1"/>
      </tp>
      <tp>
        <v>2739</v>
        <stp/>
        <stp>StudyData</stp>
        <stp>SUBMINUTE((EP),5,FillGap)</stp>
        <stp>Bar</stp>
        <stp/>
        <stp>Open</stp>
        <stp>5</stp>
        <stp>-13</stp>
        <stp/>
        <stp/>
        <stp/>
        <stp/>
        <stp>T</stp>
        <tr r="AF14" s="1"/>
        <tr r="AF14" s="1"/>
      </tp>
      <tp>
        <v>2740</v>
        <stp/>
        <stp>StudyData</stp>
        <stp>SUBMINUTE((EP),5,FillGap)</stp>
        <stp>Bar</stp>
        <stp/>
        <stp>Open</stp>
        <stp>5</stp>
        <stp>-23</stp>
        <stp/>
        <stp/>
        <stp/>
        <stp/>
        <stp>T</stp>
        <tr r="AF24" s="1"/>
        <tr r="AF24" s="1"/>
      </tp>
      <tp>
        <v>2739.5</v>
        <stp/>
        <stp>StudyData</stp>
        <stp>SUBMINUTE((EP),5,FillGap)</stp>
        <stp>Bar</stp>
        <stp/>
        <stp>Open</stp>
        <stp>5</stp>
        <stp>-33</stp>
        <stp/>
        <stp/>
        <stp/>
        <stp/>
        <stp>T</stp>
        <tr r="AF34" s="1"/>
        <tr r="AF34" s="1"/>
      </tp>
      <tp>
        <v>2739.5</v>
        <stp/>
        <stp>StudyData</stp>
        <stp>SUBMINUTE((EP),5,FillGap)</stp>
        <stp>Bar</stp>
        <stp/>
        <stp>Open</stp>
        <stp>5</stp>
        <stp>-43</stp>
        <stp/>
        <stp/>
        <stp/>
        <stp/>
        <stp>T</stp>
        <tr r="AF44" s="1"/>
        <tr r="AF44" s="1"/>
      </tp>
      <tp>
        <v>2738.75</v>
        <stp/>
        <stp>StudyData</stp>
        <stp>SUBMINUTE((EP),5,FillGap)</stp>
        <stp>Bar</stp>
        <stp/>
        <stp>Open</stp>
        <stp>5</stp>
        <stp>-53</stp>
        <stp/>
        <stp/>
        <stp/>
        <stp/>
        <stp>T</stp>
        <tr r="AF54" s="1"/>
        <tr r="AF54" s="1"/>
      </tp>
      <tp>
        <v>1332</v>
        <stp/>
        <stp>StudyData</stp>
        <stp>BAVolCr.AskVol^(SUBMINUTE((EP),5,FillGap),5,0)</stp>
        <stp>Bar</stp>
        <stp/>
        <stp>Open</stp>
        <stp>5</stp>
        <stp>0</stp>
        <stp/>
        <stp/>
        <stp/>
        <stp/>
        <stp>T</stp>
        <tr r="AK1" s="1"/>
      </tp>
      <tp>
        <v>1180</v>
        <stp/>
        <stp>StudyData</stp>
        <stp>BAVolCr.BidVol^(SUBMINUTE((EP),5,FillGap),5,0)</stp>
        <stp>Bar</stp>
        <stp/>
        <stp>Open</stp>
        <stp>5</stp>
        <stp>0</stp>
        <stp/>
        <stp/>
        <stp/>
        <stp/>
        <stp>T</stp>
        <tr r="AJ1" s="1"/>
      </tp>
      <tp>
        <v>424</v>
        <stp/>
        <stp>StudyData</stp>
        <stp>BAVolCr.AskVol^(SUBMINUTE((EP),1,FillGap),5,0)</stp>
        <stp>Bar</stp>
        <stp/>
        <stp>Open</stp>
        <stp>5</stp>
        <stp>0</stp>
        <stp/>
        <stp/>
        <stp/>
        <stp/>
        <stp>T</stp>
        <tr r="AC1" s="1"/>
      </tp>
      <tp>
        <v>463</v>
        <stp/>
        <stp>StudyData</stp>
        <stp>BAVolCr.BidVol^(SUBMINUTE((EP),1,FillGap),5,0)</stp>
        <stp>Bar</stp>
        <stp/>
        <stp>Open</stp>
        <stp>5</stp>
        <stp>0</stp>
        <stp/>
        <stp/>
        <stp/>
        <stp/>
        <stp>T</stp>
        <tr r="AB1" s="1"/>
      </tp>
      <tp>
        <v>87</v>
        <stp/>
        <stp>DOMData</stp>
        <stp>EP</stp>
        <stp>Volume</stp>
        <stp>4</stp>
        <tr r="L14" s="2"/>
      </tp>
      <tp>
        <v>242</v>
        <stp/>
        <stp>DOMData</stp>
        <stp>EP</stp>
        <stp>Volume</stp>
        <stp>5</stp>
        <tr r="M14" s="2"/>
      </tp>
      <tp>
        <v>114</v>
        <stp/>
        <stp>DOMData</stp>
        <stp>EP</stp>
        <stp>Volume</stp>
        <stp>2</stp>
        <tr r="J14" s="2"/>
      </tp>
      <tp>
        <v>166</v>
        <stp/>
        <stp>DOMData</stp>
        <stp>EP</stp>
        <stp>Volume</stp>
        <stp>3</stp>
        <tr r="K14" s="2"/>
      </tp>
      <tp>
        <v>152</v>
        <stp/>
        <stp>DOMData</stp>
        <stp>EP</stp>
        <stp>Volume</stp>
        <stp>1</stp>
        <tr r="H14" s="2"/>
      </tp>
      <tp>
        <v>138</v>
        <stp/>
        <stp>StudyData</stp>
        <stp>BAVolCr.BidVol^(SUBMINUTE((EP),1,FillGap),5,0)</stp>
        <stp>Bar</stp>
        <stp/>
        <stp>Open</stp>
        <stp>5</stp>
        <stp>-7</stp>
        <stp/>
        <stp/>
        <stp/>
        <stp/>
        <stp>T</stp>
        <tr r="AB8" s="1"/>
      </tp>
      <tp>
        <v>1417</v>
        <stp/>
        <stp>StudyData</stp>
        <stp>BAVolCr.BidVol^(SUBMINUTE((EP),5,FillGap),5,0)</stp>
        <stp>Bar</stp>
        <stp/>
        <stp>Open</stp>
        <stp>5</stp>
        <stp>-7</stp>
        <stp/>
        <stp/>
        <stp/>
        <stp/>
        <stp>T</stp>
        <tr r="AJ8" s="1"/>
      </tp>
      <tp>
        <v>43167.635081018518</v>
        <stp/>
        <stp>StudyData</stp>
        <stp>SUBMINUTE((EP),1,Regular)</stp>
        <stp>FG</stp>
        <stp/>
        <stp>Time</stp>
        <stp>5</stp>
        <stp>-29</stp>
        <stp/>
        <stp/>
        <stp/>
        <stp/>
        <stp>T</stp>
        <tr r="T93" s="2"/>
        <tr r="AA30" s="1"/>
      </tp>
      <tp>
        <v>43167.634965277779</v>
        <stp/>
        <stp>StudyData</stp>
        <stp>SUBMINUTE((EP),1,Regular)</stp>
        <stp>FG</stp>
        <stp/>
        <stp>Time</stp>
        <stp>5</stp>
        <stp>-39</stp>
        <stp/>
        <stp/>
        <stp/>
        <stp/>
        <stp>T</stp>
        <tr r="T123" s="2"/>
        <tr r="AA40" s="1"/>
      </tp>
      <tp>
        <v>43167.635196759264</v>
        <stp/>
        <stp>StudyData</stp>
        <stp>SUBMINUTE((EP),1,Regular)</stp>
        <stp>FG</stp>
        <stp/>
        <stp>Time</stp>
        <stp>5</stp>
        <stp>-19</stp>
        <stp/>
        <stp/>
        <stp/>
        <stp/>
        <stp>T</stp>
        <tr r="T63" s="2"/>
        <tr r="AA20" s="1"/>
      </tp>
      <tp>
        <v>43167.63484953704</v>
        <stp/>
        <stp>StudyData</stp>
        <stp>SUBMINUTE((EP),1,Regular)</stp>
        <stp>FG</stp>
        <stp/>
        <stp>Time</stp>
        <stp>5</stp>
        <stp>-49</stp>
        <stp/>
        <stp/>
        <stp/>
        <stp/>
        <stp>T</stp>
        <tr r="T153" s="2"/>
        <tr r="AA50" s="1"/>
      </tp>
      <tp>
        <v>43167.634733796302</v>
        <stp/>
        <stp>StudyData</stp>
        <stp>SUBMINUTE((EP),1,Regular)</stp>
        <stp>FG</stp>
        <stp/>
        <stp>Time</stp>
        <stp>5</stp>
        <stp>-59</stp>
        <stp/>
        <stp/>
        <stp/>
        <stp/>
        <stp>T</stp>
        <tr r="T183" s="2"/>
        <tr r="AA60" s="1"/>
      </tp>
      <tp>
        <v>172</v>
        <stp/>
        <stp>StudyData</stp>
        <stp>BAVolCr.AskVol^(SUBMINUTE((EP),1,FillGap),5,0)</stp>
        <stp>Bar</stp>
        <stp/>
        <stp>Open</stp>
        <stp>5</stp>
        <stp>-4</stp>
        <stp/>
        <stp/>
        <stp/>
        <stp/>
        <stp>T</stp>
        <tr r="AC5" s="1"/>
      </tp>
      <tp>
        <v>1711</v>
        <stp/>
        <stp>StudyData</stp>
        <stp>BAVolCr.AskVol^(SUBMINUTE((EP),5,FillGap),5,0)</stp>
        <stp>Bar</stp>
        <stp/>
        <stp>Open</stp>
        <stp>5</stp>
        <stp>-4</stp>
        <stp/>
        <stp/>
        <stp/>
        <stp/>
        <stp>T</stp>
        <tr r="AK5" s="1"/>
      </tp>
      <tp>
        <v>2738.5</v>
        <stp/>
        <stp>StudyData</stp>
        <stp>SUBMINUTE((EP),5,FillGap)</stp>
        <stp>Bar</stp>
        <stp/>
        <stp>Low</stp>
        <stp>5</stp>
        <stp>-57</stp>
        <stp/>
        <stp/>
        <stp/>
        <stp/>
        <stp>T</stp>
        <tr r="AH58" s="1"/>
        <tr r="AH58" s="1"/>
      </tp>
      <tp>
        <v>2739</v>
        <stp/>
        <stp>StudyData</stp>
        <stp>SUBMINUTE((EP),5,FillGap)</stp>
        <stp>Bar</stp>
        <stp/>
        <stp>Low</stp>
        <stp>5</stp>
        <stp>-47</stp>
        <stp/>
        <stp/>
        <stp/>
        <stp/>
        <stp>T</stp>
        <tr r="AH48" s="1"/>
        <tr r="AH48" s="1"/>
      </tp>
      <tp>
        <v>2739</v>
        <stp/>
        <stp>StudyData</stp>
        <stp>SUBMINUTE((EP),5,FillGap)</stp>
        <stp>Bar</stp>
        <stp/>
        <stp>Low</stp>
        <stp>5</stp>
        <stp>-17</stp>
        <stp/>
        <stp/>
        <stp/>
        <stp/>
        <stp>T</stp>
        <tr r="AH18" s="1"/>
        <tr r="AH18" s="1"/>
      </tp>
      <tp>
        <v>2739.25</v>
        <stp/>
        <stp>StudyData</stp>
        <stp>SUBMINUTE((EP),5,FillGap)</stp>
        <stp>Bar</stp>
        <stp/>
        <stp>Low</stp>
        <stp>5</stp>
        <stp>-37</stp>
        <stp/>
        <stp/>
        <stp/>
        <stp/>
        <stp>T</stp>
        <tr r="AH38" s="1"/>
        <tr r="AH38" s="1"/>
      </tp>
      <tp>
        <v>2739.5</v>
        <stp/>
        <stp>StudyData</stp>
        <stp>SUBMINUTE((EP),5,FillGap)</stp>
        <stp>Bar</stp>
        <stp/>
        <stp>Low</stp>
        <stp>5</stp>
        <stp>-27</stp>
        <stp/>
        <stp/>
        <stp/>
        <stp/>
        <stp>T</stp>
        <tr r="AH28" s="1"/>
        <tr r="AH28" s="1"/>
      </tp>
      <tp>
        <v>2739.25</v>
        <stp/>
        <stp>StudyData</stp>
        <stp>SUBMINUTE((EP),1,FillGap)</stp>
        <stp>Bar</stp>
        <stp/>
        <stp>Close</stp>
        <stp>5</stp>
        <stp>-4</stp>
        <stp/>
        <stp/>
        <stp/>
        <stp/>
        <stp>T</stp>
        <tr r="Y5" s="1"/>
        <tr r="Y5" s="1"/>
        <tr r="U18" s="2"/>
        <tr r="U18" s="2"/>
      </tp>
      <tp>
        <v>2739.25</v>
        <stp/>
        <stp>StudyData</stp>
        <stp>SUBMINUTE((EP),5,FillGap)</stp>
        <stp>Bar</stp>
        <stp/>
        <stp>Close</stp>
        <stp>5</stp>
        <stp>-4</stp>
        <stp/>
        <stp/>
        <stp/>
        <stp/>
        <stp>T</stp>
        <tr r="AI5" s="1"/>
        <tr r="AI5" s="1"/>
        <tr r="Z18" s="2"/>
        <tr r="Z18" s="2"/>
      </tp>
      <tp>
        <v>287</v>
        <stp/>
        <stp>StudyData</stp>
        <stp>BAVolCr.BidVol^(SUBMINUTE((EP),1,FillGap),5,0)</stp>
        <stp>Bar</stp>
        <stp/>
        <stp>Open</stp>
        <stp>5</stp>
        <stp>-6</stp>
        <stp/>
        <stp/>
        <stp/>
        <stp/>
        <stp>T</stp>
        <tr r="AB7" s="1"/>
      </tp>
      <tp>
        <v>1398</v>
        <stp/>
        <stp>StudyData</stp>
        <stp>BAVolCr.BidVol^(SUBMINUTE((EP),5,FillGap),5,0)</stp>
        <stp>Bar</stp>
        <stp/>
        <stp>Open</stp>
        <stp>5</stp>
        <stp>-6</stp>
        <stp/>
        <stp/>
        <stp/>
        <stp/>
        <stp>T</stp>
        <tr r="AJ7" s="1"/>
      </tp>
      <tp>
        <v>43167.635092592594</v>
        <stp/>
        <stp>StudyData</stp>
        <stp>SUBMINUTE((EP),1,Regular)</stp>
        <stp>FG</stp>
        <stp/>
        <stp>Time</stp>
        <stp>5</stp>
        <stp>-28</stp>
        <stp/>
        <stp/>
        <stp/>
        <stp/>
        <stp>T</stp>
        <tr r="T90" s="2"/>
        <tr r="AA29" s="1"/>
      </tp>
      <tp>
        <v>43167.634976851856</v>
        <stp/>
        <stp>StudyData</stp>
        <stp>SUBMINUTE((EP),1,Regular)</stp>
        <stp>FG</stp>
        <stp/>
        <stp>Time</stp>
        <stp>5</stp>
        <stp>-38</stp>
        <stp/>
        <stp/>
        <stp/>
        <stp/>
        <stp>T</stp>
        <tr r="T120" s="2"/>
        <tr r="AA39" s="1"/>
      </tp>
      <tp>
        <v>43167.635208333333</v>
        <stp/>
        <stp>StudyData</stp>
        <stp>SUBMINUTE((EP),1,Regular)</stp>
        <stp>FG</stp>
        <stp/>
        <stp>Time</stp>
        <stp>5</stp>
        <stp>-18</stp>
        <stp/>
        <stp/>
        <stp/>
        <stp/>
        <stp>T</stp>
        <tr r="T60" s="2"/>
        <tr r="AA19" s="1"/>
      </tp>
      <tp>
        <v>43167.634861111117</v>
        <stp/>
        <stp>StudyData</stp>
        <stp>SUBMINUTE((EP),1,Regular)</stp>
        <stp>FG</stp>
        <stp/>
        <stp>Time</stp>
        <stp>5</stp>
        <stp>-48</stp>
        <stp/>
        <stp/>
        <stp/>
        <stp/>
        <stp>T</stp>
        <tr r="T150" s="2"/>
        <tr r="AA49" s="1"/>
      </tp>
      <tp>
        <v>43167.634745370371</v>
        <stp/>
        <stp>StudyData</stp>
        <stp>SUBMINUTE((EP),1,Regular)</stp>
        <stp>FG</stp>
        <stp/>
        <stp>Time</stp>
        <stp>5</stp>
        <stp>-58</stp>
        <stp/>
        <stp/>
        <stp/>
        <stp/>
        <stp>T</stp>
        <tr r="T180" s="2"/>
        <tr r="AA59" s="1"/>
      </tp>
      <tp>
        <v>84</v>
        <stp/>
        <stp>StudyData</stp>
        <stp>BAVolCr.AskVol^(SUBMINUTE((EP),1,FillGap),5,0)</stp>
        <stp>Bar</stp>
        <stp/>
        <stp>Open</stp>
        <stp>5</stp>
        <stp>-5</stp>
        <stp/>
        <stp/>
        <stp/>
        <stp/>
        <stp>T</stp>
        <tr r="AC6" s="1"/>
      </tp>
      <tp>
        <v>1925</v>
        <stp/>
        <stp>StudyData</stp>
        <stp>BAVolCr.AskVol^(SUBMINUTE((EP),5,FillGap),5,0)</stp>
        <stp>Bar</stp>
        <stp/>
        <stp>Open</stp>
        <stp>5</stp>
        <stp>-5</stp>
        <stp/>
        <stp/>
        <stp/>
        <stp/>
        <stp>T</stp>
        <tr r="AK6" s="1"/>
      </tp>
      <tp>
        <v>2738.75</v>
        <stp/>
        <stp>StudyData</stp>
        <stp>SUBMINUTE((EP),5,FillGap)</stp>
        <stp>Bar</stp>
        <stp/>
        <stp>Low</stp>
        <stp>5</stp>
        <stp>-56</stp>
        <stp/>
        <stp/>
        <stp/>
        <stp/>
        <stp>T</stp>
        <tr r="AH57" s="1"/>
        <tr r="AH57" s="1"/>
      </tp>
      <tp>
        <v>2739</v>
        <stp/>
        <stp>StudyData</stp>
        <stp>SUBMINUTE((EP),5,FillGap)</stp>
        <stp>Bar</stp>
        <stp/>
        <stp>Low</stp>
        <stp>5</stp>
        <stp>-46</stp>
        <stp/>
        <stp/>
        <stp/>
        <stp/>
        <stp>T</stp>
        <tr r="AH47" s="1"/>
        <tr r="AH47" s="1"/>
      </tp>
      <tp>
        <v>2739</v>
        <stp/>
        <stp>StudyData</stp>
        <stp>SUBMINUTE((EP),5,FillGap)</stp>
        <stp>Bar</stp>
        <stp/>
        <stp>Low</stp>
        <stp>5</stp>
        <stp>-16</stp>
        <stp/>
        <stp/>
        <stp/>
        <stp/>
        <stp>T</stp>
        <tr r="AH17" s="1"/>
        <tr r="AH17" s="1"/>
      </tp>
      <tp>
        <v>2739.25</v>
        <stp/>
        <stp>StudyData</stp>
        <stp>SUBMINUTE((EP),5,FillGap)</stp>
        <stp>Bar</stp>
        <stp/>
        <stp>Low</stp>
        <stp>5</stp>
        <stp>-36</stp>
        <stp/>
        <stp/>
        <stp/>
        <stp/>
        <stp>T</stp>
        <tr r="AH37" s="1"/>
        <tr r="AH37" s="1"/>
      </tp>
      <tp>
        <v>2739.75</v>
        <stp/>
        <stp>StudyData</stp>
        <stp>SUBMINUTE((EP),5,FillGap)</stp>
        <stp>Bar</stp>
        <stp/>
        <stp>Low</stp>
        <stp>5</stp>
        <stp>-26</stp>
        <stp/>
        <stp/>
        <stp/>
        <stp/>
        <stp>T</stp>
        <tr r="AH27" s="1"/>
        <tr r="AH27" s="1"/>
      </tp>
      <tp>
        <v>2738.75</v>
        <stp/>
        <stp>StudyData</stp>
        <stp>SUBMINUTE((EP),1,FillGap)</stp>
        <stp>Bar</stp>
        <stp/>
        <stp>Close</stp>
        <stp>5</stp>
        <stp>-5</stp>
        <stp/>
        <stp/>
        <stp/>
        <stp/>
        <stp>T</stp>
        <tr r="Y6" s="1"/>
        <tr r="Y6" s="1"/>
        <tr r="U21" s="2"/>
        <tr r="U21" s="2"/>
      </tp>
      <tp>
        <v>2739</v>
        <stp/>
        <stp>StudyData</stp>
        <stp>SUBMINUTE((EP),5,FillGap)</stp>
        <stp>Bar</stp>
        <stp/>
        <stp>Close</stp>
        <stp>5</stp>
        <stp>-5</stp>
        <stp/>
        <stp/>
        <stp/>
        <stp/>
        <stp>T</stp>
        <tr r="AI6" s="1"/>
        <tr r="AI6" s="1"/>
        <tr r="Z21" s="2"/>
        <tr r="Z21" s="2"/>
      </tp>
      <tp>
        <v>273</v>
        <stp/>
        <stp>StudyData</stp>
        <stp>BAVolCr.BidVol^(SUBMINUTE((EP),1,FillGap),5,0)</stp>
        <stp>Bar</stp>
        <stp/>
        <stp>Open</stp>
        <stp>5</stp>
        <stp>-5</stp>
        <stp/>
        <stp/>
        <stp/>
        <stp/>
        <stp>T</stp>
        <tr r="AB6" s="1"/>
      </tp>
      <tp>
        <v>1390</v>
        <stp/>
        <stp>StudyData</stp>
        <stp>BAVolCr.BidVol^(SUBMINUTE((EP),5,FillGap),5,0)</stp>
        <stp>Bar</stp>
        <stp/>
        <stp>Open</stp>
        <stp>5</stp>
        <stp>-5</stp>
        <stp/>
        <stp/>
        <stp/>
        <stp/>
        <stp>T</stp>
        <tr r="AJ6" s="1"/>
      </tp>
      <tp>
        <v>123</v>
        <stp/>
        <stp>StudyData</stp>
        <stp>BAVolCr.AskVol^(SUBMINUTE((EP),1,FillGap),5,0)</stp>
        <stp>Bar</stp>
        <stp/>
        <stp>Open</stp>
        <stp>5</stp>
        <stp>-6</stp>
        <stp/>
        <stp/>
        <stp/>
        <stp/>
        <stp>T</stp>
        <tr r="AC7" s="1"/>
      </tp>
      <tp>
        <v>1752</v>
        <stp/>
        <stp>StudyData</stp>
        <stp>BAVolCr.AskVol^(SUBMINUTE((EP),5,FillGap),5,0)</stp>
        <stp>Bar</stp>
        <stp/>
        <stp>Open</stp>
        <stp>5</stp>
        <stp>-6</stp>
        <stp/>
        <stp/>
        <stp/>
        <stp/>
        <stp>T</stp>
        <tr r="AK7" s="1"/>
      </tp>
      <tp>
        <v>2738.75</v>
        <stp/>
        <stp>StudyData</stp>
        <stp>SUBMINUTE((EP),5,FillGap)</stp>
        <stp>Bar</stp>
        <stp/>
        <stp>Low</stp>
        <stp>5</stp>
        <stp>-55</stp>
        <stp/>
        <stp/>
        <stp/>
        <stp/>
        <stp>T</stp>
        <tr r="AH56" s="1"/>
        <tr r="AH56" s="1"/>
      </tp>
      <tp>
        <v>2739</v>
        <stp/>
        <stp>StudyData</stp>
        <stp>SUBMINUTE((EP),5,FillGap)</stp>
        <stp>Bar</stp>
        <stp/>
        <stp>Low</stp>
        <stp>5</stp>
        <stp>-45</stp>
        <stp/>
        <stp/>
        <stp/>
        <stp/>
        <stp>T</stp>
        <tr r="AH46" s="1"/>
        <tr r="AH46" s="1"/>
      </tp>
      <tp>
        <v>2739</v>
        <stp/>
        <stp>StudyData</stp>
        <stp>SUBMINUTE((EP),5,FillGap)</stp>
        <stp>Bar</stp>
        <stp/>
        <stp>Low</stp>
        <stp>5</stp>
        <stp>-15</stp>
        <stp/>
        <stp/>
        <stp/>
        <stp/>
        <stp>T</stp>
        <tr r="AH16" s="1"/>
        <tr r="AH16" s="1"/>
      </tp>
      <tp>
        <v>2739.5</v>
        <stp/>
        <stp>StudyData</stp>
        <stp>SUBMINUTE((EP),5,FillGap)</stp>
        <stp>Bar</stp>
        <stp/>
        <stp>Low</stp>
        <stp>5</stp>
        <stp>-35</stp>
        <stp/>
        <stp/>
        <stp/>
        <stp/>
        <stp>T</stp>
        <tr r="AH36" s="1"/>
        <tr r="AH36" s="1"/>
      </tp>
      <tp>
        <v>2739.75</v>
        <stp/>
        <stp>StudyData</stp>
        <stp>SUBMINUTE((EP),5,FillGap)</stp>
        <stp>Bar</stp>
        <stp/>
        <stp>Low</stp>
        <stp>5</stp>
        <stp>-25</stp>
        <stp/>
        <stp/>
        <stp/>
        <stp/>
        <stp>T</stp>
        <tr r="AH26" s="1"/>
        <tr r="AH26" s="1"/>
      </tp>
      <tp>
        <v>43167.635324074079</v>
        <stp/>
        <stp>StudyData</stp>
        <stp>SUBMINUTE((EP),1,Regular)</stp>
        <stp>FG</stp>
        <stp/>
        <stp>Time</stp>
        <stp>5</stp>
        <stp>-8</stp>
        <stp/>
        <stp/>
        <stp/>
        <stp/>
        <stp>T</stp>
        <tr r="T30" s="2"/>
        <tr r="AA9" s="1"/>
      </tp>
      <tp>
        <v>2738.75</v>
        <stp/>
        <stp>StudyData</stp>
        <stp>SUBMINUTE((EP),1,FillGap)</stp>
        <stp>Bar</stp>
        <stp/>
        <stp>Close</stp>
        <stp>5</stp>
        <stp>-6</stp>
        <stp/>
        <stp/>
        <stp/>
        <stp/>
        <stp>T</stp>
        <tr r="Y7" s="1"/>
        <tr r="Y7" s="1"/>
        <tr r="U24" s="2"/>
        <tr r="U24" s="2"/>
      </tp>
      <tp>
        <v>2739</v>
        <stp/>
        <stp>StudyData</stp>
        <stp>SUBMINUTE((EP),5,FillGap)</stp>
        <stp>Bar</stp>
        <stp/>
        <stp>Close</stp>
        <stp>5</stp>
        <stp>-6</stp>
        <stp/>
        <stp/>
        <stp/>
        <stp/>
        <stp>T</stp>
        <tr r="AI7" s="1"/>
        <tr r="AI7" s="1"/>
        <tr r="Z24" s="2"/>
        <tr r="Z24" s="2"/>
      </tp>
      <tp>
        <v>43167.634953703709</v>
        <stp/>
        <stp>StudyData</stp>
        <stp>SUBMINUTE((EP),5,Regular)</stp>
        <stp>FG</stp>
        <stp/>
        <stp>Time</stp>
        <stp>5</stp>
        <stp>-8</stp>
        <stp/>
        <stp/>
        <stp/>
        <stp/>
        <stp>T</stp>
        <tr r="Y30" s="2"/>
        <tr r="AE9" s="1"/>
      </tp>
      <tp>
        <v>2739</v>
        <stp/>
        <stp>StudyData</stp>
        <stp>SUBMINUTE((EP),5,FillGap)</stp>
        <stp>Bar</stp>
        <stp/>
        <stp>Close</stp>
        <stp>5</stp>
        <stp>-48</stp>
        <stp/>
        <stp/>
        <stp/>
        <stp/>
        <stp>T</stp>
        <tr r="AI49" s="1"/>
        <tr r="AI49" s="1"/>
        <tr r="Z150" s="2"/>
        <tr r="Z150" s="2"/>
      </tp>
      <tp>
        <v>2738.75</v>
        <stp/>
        <stp>StudyData</stp>
        <stp>SUBMINUTE((EP),5,FillGap)</stp>
        <stp>Bar</stp>
        <stp/>
        <stp>Close</stp>
        <stp>5</stp>
        <stp>-58</stp>
        <stp/>
        <stp/>
        <stp/>
        <stp/>
        <stp>T</stp>
        <tr r="AI59" s="1"/>
        <tr r="AI59" s="1"/>
        <tr r="Z180" s="2"/>
        <tr r="Z180" s="2"/>
      </tp>
      <tp>
        <v>2739.25</v>
        <stp/>
        <stp>StudyData</stp>
        <stp>SUBMINUTE((EP),5,FillGap)</stp>
        <stp>Bar</stp>
        <stp/>
        <stp>Close</stp>
        <stp>5</stp>
        <stp>-18</stp>
        <stp/>
        <stp/>
        <stp/>
        <stp/>
        <stp>T</stp>
        <tr r="AI19" s="1"/>
        <tr r="AI19" s="1"/>
        <tr r="Z60" s="2"/>
        <tr r="Z60" s="2"/>
      </tp>
      <tp>
        <v>2739.75</v>
        <stp/>
        <stp>StudyData</stp>
        <stp>SUBMINUTE((EP),5,FillGap)</stp>
        <stp>Bar</stp>
        <stp/>
        <stp>Close</stp>
        <stp>5</stp>
        <stp>-28</stp>
        <stp/>
        <stp/>
        <stp/>
        <stp/>
        <stp>T</stp>
        <tr r="AI29" s="1"/>
        <tr r="AI29" s="1"/>
        <tr r="Z90" s="2"/>
        <tr r="Z90" s="2"/>
      </tp>
      <tp>
        <v>2739.5</v>
        <stp/>
        <stp>StudyData</stp>
        <stp>SUBMINUTE((EP),5,FillGap)</stp>
        <stp>Bar</stp>
        <stp/>
        <stp>Close</stp>
        <stp>5</stp>
        <stp>-38</stp>
        <stp/>
        <stp/>
        <stp/>
        <stp/>
        <stp>T</stp>
        <tr r="AI39" s="1"/>
        <tr r="AI39" s="1"/>
        <tr r="Z120" s="2"/>
        <tr r="Z120" s="2"/>
      </tp>
      <tp>
        <v>2738.75</v>
        <stp/>
        <stp>StudyData</stp>
        <stp>SUBMINUTE((EP),1,FillGap)</stp>
        <stp>Bar</stp>
        <stp/>
        <stp>Close</stp>
        <stp>5</stp>
        <stp>-48</stp>
        <stp/>
        <stp/>
        <stp/>
        <stp/>
        <stp>T</stp>
        <tr r="Y49" s="1"/>
        <tr r="Y49" s="1"/>
        <tr r="U150" s="2"/>
        <tr r="U150" s="2"/>
      </tp>
      <tp>
        <v>2739</v>
        <stp/>
        <stp>StudyData</stp>
        <stp>SUBMINUTE((EP),1,FillGap)</stp>
        <stp>Bar</stp>
        <stp/>
        <stp>Close</stp>
        <stp>5</stp>
        <stp>-58</stp>
        <stp/>
        <stp/>
        <stp/>
        <stp/>
        <stp>T</stp>
        <tr r="Y59" s="1"/>
        <tr r="Y59" s="1"/>
        <tr r="U180" s="2"/>
        <tr r="U180" s="2"/>
      </tp>
      <tp>
        <v>2739</v>
        <stp/>
        <stp>StudyData</stp>
        <stp>SUBMINUTE((EP),1,FillGap)</stp>
        <stp>Bar</stp>
        <stp/>
        <stp>Close</stp>
        <stp>5</stp>
        <stp>-18</stp>
        <stp/>
        <stp/>
        <stp/>
        <stp/>
        <stp>T</stp>
        <tr r="Y19" s="1"/>
        <tr r="Y19" s="1"/>
        <tr r="U60" s="2"/>
        <tr r="U60" s="2"/>
      </tp>
      <tp>
        <v>2739</v>
        <stp/>
        <stp>StudyData</stp>
        <stp>SUBMINUTE((EP),1,FillGap)</stp>
        <stp>Bar</stp>
        <stp/>
        <stp>Close</stp>
        <stp>5</stp>
        <stp>-28</stp>
        <stp/>
        <stp/>
        <stp/>
        <stp/>
        <stp>T</stp>
        <tr r="Y29" s="1"/>
        <tr r="Y29" s="1"/>
        <tr r="U90" s="2"/>
        <tr r="U90" s="2"/>
      </tp>
      <tp>
        <v>2739.75</v>
        <stp/>
        <stp>StudyData</stp>
        <stp>SUBMINUTE((EP),1,FillGap)</stp>
        <stp>Bar</stp>
        <stp/>
        <stp>Close</stp>
        <stp>5</stp>
        <stp>-38</stp>
        <stp/>
        <stp/>
        <stp/>
        <stp/>
        <stp>T</stp>
        <tr r="Y39" s="1"/>
        <tr r="Y39" s="1"/>
        <tr r="U120" s="2"/>
        <tr r="U120" s="2"/>
      </tp>
      <tp>
        <v>14220</v>
        <stp/>
        <stp>StudyData</stp>
        <stp>FPVol(FootprintOp (EP, 0),2739)</stp>
        <stp>Bar</stp>
        <stp/>
        <stp>Close</stp>
        <stp>D</stp>
        <stp>0</stp>
        <stp>all</stp>
        <stp/>
        <stp/>
        <stp/>
        <stp>T</stp>
        <tr r="C18" s="2"/>
        <tr r="C18" s="2"/>
      </tp>
      <tp>
        <v>2739.75</v>
        <stp/>
        <stp>ContractData</stp>
        <stp>EP</stp>
        <stp>LastQuoteToday</stp>
        <stp/>
        <stp>T</stp>
        <tr r="A4" s="2"/>
        <tr r="A3" s="2"/>
      </tp>
      <tp>
        <v>252</v>
        <stp/>
        <stp>StudyData</stp>
        <stp>BAVolCr.BidVol^(SUBMINUTE((EP),1,FillGap),5,0)</stp>
        <stp>Bar</stp>
        <stp/>
        <stp>Open</stp>
        <stp>5</stp>
        <stp>-4</stp>
        <stp/>
        <stp/>
        <stp/>
        <stp/>
        <stp>T</stp>
        <tr r="AB5" s="1"/>
      </tp>
      <tp>
        <v>1325</v>
        <stp/>
        <stp>StudyData</stp>
        <stp>BAVolCr.BidVol^(SUBMINUTE((EP),5,FillGap),5,0)</stp>
        <stp>Bar</stp>
        <stp/>
        <stp>Open</stp>
        <stp>5</stp>
        <stp>-4</stp>
        <stp/>
        <stp/>
        <stp/>
        <stp/>
        <stp>T</stp>
        <tr r="AJ5" s="1"/>
      </tp>
      <tp>
        <v>106</v>
        <stp/>
        <stp>StudyData</stp>
        <stp>BAVolCr.AskVol^(SUBMINUTE((EP),1,FillGap),5,0)</stp>
        <stp>Bar</stp>
        <stp/>
        <stp>Open</stp>
        <stp>5</stp>
        <stp>-7</stp>
        <stp/>
        <stp/>
        <stp/>
        <stp/>
        <stp>T</stp>
        <tr r="AC8" s="1"/>
      </tp>
      <tp>
        <v>1327</v>
        <stp/>
        <stp>StudyData</stp>
        <stp>BAVolCr.AskVol^(SUBMINUTE((EP),5,FillGap),5,0)</stp>
        <stp>Bar</stp>
        <stp/>
        <stp>Open</stp>
        <stp>5</stp>
        <stp>-7</stp>
        <stp/>
        <stp/>
        <stp/>
        <stp/>
        <stp>T</stp>
        <tr r="AK8" s="1"/>
      </tp>
      <tp>
        <v>2738.75</v>
        <stp/>
        <stp>StudyData</stp>
        <stp>SUBMINUTE((EP),5,FillGap)</stp>
        <stp>Bar</stp>
        <stp/>
        <stp>Low</stp>
        <stp>5</stp>
        <stp>-54</stp>
        <stp/>
        <stp/>
        <stp/>
        <stp/>
        <stp>T</stp>
        <tr r="AH55" s="1"/>
        <tr r="AH55" s="1"/>
      </tp>
      <tp>
        <v>2739.25</v>
        <stp/>
        <stp>StudyData</stp>
        <stp>SUBMINUTE((EP),5,FillGap)</stp>
        <stp>Bar</stp>
        <stp/>
        <stp>Low</stp>
        <stp>5</stp>
        <stp>-44</stp>
        <stp/>
        <stp/>
        <stp/>
        <stp/>
        <stp>T</stp>
        <tr r="AH45" s="1"/>
        <tr r="AH45" s="1"/>
      </tp>
      <tp>
        <v>2739</v>
        <stp/>
        <stp>StudyData</stp>
        <stp>SUBMINUTE((EP),5,FillGap)</stp>
        <stp>Bar</stp>
        <stp/>
        <stp>Low</stp>
        <stp>5</stp>
        <stp>-14</stp>
        <stp/>
        <stp/>
        <stp/>
        <stp/>
        <stp>T</stp>
        <tr r="AH15" s="1"/>
        <tr r="AH15" s="1"/>
      </tp>
      <tp>
        <v>2739.5</v>
        <stp/>
        <stp>StudyData</stp>
        <stp>SUBMINUTE((EP),5,FillGap)</stp>
        <stp>Bar</stp>
        <stp/>
        <stp>Low</stp>
        <stp>5</stp>
        <stp>-34</stp>
        <stp/>
        <stp/>
        <stp/>
        <stp/>
        <stp>T</stp>
        <tr r="AH35" s="1"/>
        <tr r="AH35" s="1"/>
      </tp>
      <tp>
        <v>2739.75</v>
        <stp/>
        <stp>StudyData</stp>
        <stp>SUBMINUTE((EP),5,FillGap)</stp>
        <stp>Bar</stp>
        <stp/>
        <stp>Low</stp>
        <stp>5</stp>
        <stp>-24</stp>
        <stp/>
        <stp/>
        <stp/>
        <stp/>
        <stp>T</stp>
        <tr r="AH25" s="1"/>
        <tr r="AH25" s="1"/>
      </tp>
      <tp>
        <v>43167.635312500002</v>
        <stp/>
        <stp>StudyData</stp>
        <stp>SUBMINUTE((EP),1,Regular)</stp>
        <stp>FG</stp>
        <stp/>
        <stp>Time</stp>
        <stp>5</stp>
        <stp>-9</stp>
        <stp/>
        <stp/>
        <stp/>
        <stp/>
        <stp>T</stp>
        <tr r="T33" s="2"/>
        <tr r="AA10" s="1"/>
      </tp>
      <tp>
        <v>2739.25</v>
        <stp/>
        <stp>StudyData</stp>
        <stp>SUBMINUTE((EP),1,FillGap)</stp>
        <stp>Bar</stp>
        <stp/>
        <stp>Close</stp>
        <stp>5</stp>
        <stp>-7</stp>
        <stp/>
        <stp/>
        <stp/>
        <stp/>
        <stp>T</stp>
        <tr r="Y8" s="1"/>
        <tr r="Y8" s="1"/>
        <tr r="U27" s="2"/>
        <tr r="U27" s="2"/>
      </tp>
      <tp>
        <v>2739.25</v>
        <stp/>
        <stp>StudyData</stp>
        <stp>SUBMINUTE((EP),5,FillGap)</stp>
        <stp>Bar</stp>
        <stp/>
        <stp>Close</stp>
        <stp>5</stp>
        <stp>-7</stp>
        <stp/>
        <stp/>
        <stp/>
        <stp/>
        <stp>T</stp>
        <tr r="AI8" s="1"/>
        <tr r="AI8" s="1"/>
        <tr r="Z27" s="2"/>
        <tr r="Z27" s="2"/>
      </tp>
      <tp>
        <v>43167.634895833333</v>
        <stp/>
        <stp>StudyData</stp>
        <stp>SUBMINUTE((EP),5,Regular)</stp>
        <stp>FG</stp>
        <stp/>
        <stp>Time</stp>
        <stp>5</stp>
        <stp>-9</stp>
        <stp/>
        <stp/>
        <stp/>
        <stp/>
        <stp>T</stp>
        <tr r="Y33" s="2"/>
        <tr r="AE10" s="1"/>
      </tp>
      <tp>
        <v>2739</v>
        <stp/>
        <stp>StudyData</stp>
        <stp>SUBMINUTE((EP),5,FillGap)</stp>
        <stp>Bar</stp>
        <stp/>
        <stp>Close</stp>
        <stp>5</stp>
        <stp>-49</stp>
        <stp/>
        <stp/>
        <stp/>
        <stp/>
        <stp>T</stp>
        <tr r="AI50" s="1"/>
        <tr r="AI50" s="1"/>
        <tr r="Z153" s="2"/>
        <tr r="Z153" s="2"/>
      </tp>
      <tp>
        <v>2738.5</v>
        <stp/>
        <stp>StudyData</stp>
        <stp>SUBMINUTE((EP),5,FillGap)</stp>
        <stp>Bar</stp>
        <stp/>
        <stp>Close</stp>
        <stp>5</stp>
        <stp>-59</stp>
        <stp/>
        <stp/>
        <stp/>
        <stp/>
        <stp>T</stp>
        <tr r="AI60" s="1"/>
        <tr r="AI60" s="1"/>
        <tr r="Z183" s="2"/>
        <tr r="Z183" s="2"/>
      </tp>
      <tp>
        <v>2739</v>
        <stp/>
        <stp>StudyData</stp>
        <stp>SUBMINUTE((EP),5,FillGap)</stp>
        <stp>Bar</stp>
        <stp/>
        <stp>Close</stp>
        <stp>5</stp>
        <stp>-19</stp>
        <stp/>
        <stp/>
        <stp/>
        <stp/>
        <stp>T</stp>
        <tr r="AI20" s="1"/>
        <tr r="AI20" s="1"/>
        <tr r="Z63" s="2"/>
        <tr r="Z63" s="2"/>
      </tp>
      <tp>
        <v>2739.75</v>
        <stp/>
        <stp>StudyData</stp>
        <stp>SUBMINUTE((EP),5,FillGap)</stp>
        <stp>Bar</stp>
        <stp/>
        <stp>Close</stp>
        <stp>5</stp>
        <stp>-29</stp>
        <stp/>
        <stp/>
        <stp/>
        <stp/>
        <stp>T</stp>
        <tr r="AI30" s="1"/>
        <tr r="AI30" s="1"/>
        <tr r="Z93" s="2"/>
        <tr r="Z93" s="2"/>
      </tp>
      <tp>
        <v>2739.75</v>
        <stp/>
        <stp>StudyData</stp>
        <stp>SUBMINUTE((EP),5,FillGap)</stp>
        <stp>Bar</stp>
        <stp/>
        <stp>Close</stp>
        <stp>5</stp>
        <stp>-39</stp>
        <stp/>
        <stp/>
        <stp/>
        <stp/>
        <stp>T</stp>
        <tr r="AI40" s="1"/>
        <tr r="AI40" s="1"/>
        <tr r="Z123" s="2"/>
        <tr r="Z123" s="2"/>
      </tp>
      <tp>
        <v>2738.75</v>
        <stp/>
        <stp>StudyData</stp>
        <stp>SUBMINUTE((EP),1,FillGap)</stp>
        <stp>Bar</stp>
        <stp/>
        <stp>Close</stp>
        <stp>5</stp>
        <stp>-49</stp>
        <stp/>
        <stp/>
        <stp/>
        <stp/>
        <stp>T</stp>
        <tr r="Y50" s="1"/>
        <tr r="Y50" s="1"/>
        <tr r="U153" s="2"/>
        <tr r="U153" s="2"/>
      </tp>
      <tp>
        <v>2739</v>
        <stp/>
        <stp>StudyData</stp>
        <stp>SUBMINUTE((EP),1,FillGap)</stp>
        <stp>Bar</stp>
        <stp/>
        <stp>Close</stp>
        <stp>5</stp>
        <stp>-59</stp>
        <stp/>
        <stp/>
        <stp/>
        <stp/>
        <stp>T</stp>
        <tr r="Y60" s="1"/>
        <tr r="Y60" s="1"/>
        <tr r="U183" s="2"/>
        <tr r="U183" s="2"/>
      </tp>
      <tp>
        <v>2739</v>
        <stp/>
        <stp>StudyData</stp>
        <stp>SUBMINUTE((EP),1,FillGap)</stp>
        <stp>Bar</stp>
        <stp/>
        <stp>Close</stp>
        <stp>5</stp>
        <stp>-19</stp>
        <stp/>
        <stp/>
        <stp/>
        <stp/>
        <stp>T</stp>
        <tr r="Y20" s="1"/>
        <tr r="Y20" s="1"/>
        <tr r="U63" s="2"/>
        <tr r="U63" s="2"/>
      </tp>
      <tp>
        <v>2739.25</v>
        <stp/>
        <stp>StudyData</stp>
        <stp>SUBMINUTE((EP),1,FillGap)</stp>
        <stp>Bar</stp>
        <stp/>
        <stp>Close</stp>
        <stp>5</stp>
        <stp>-29</stp>
        <stp/>
        <stp/>
        <stp/>
        <stp/>
        <stp>T</stp>
        <tr r="Y30" s="1"/>
        <tr r="Y30" s="1"/>
        <tr r="U93" s="2"/>
        <tr r="U93" s="2"/>
      </tp>
      <tp>
        <v>2739.5</v>
        <stp/>
        <stp>StudyData</stp>
        <stp>SUBMINUTE((EP),1,FillGap)</stp>
        <stp>Bar</stp>
        <stp/>
        <stp>Close</stp>
        <stp>5</stp>
        <stp>-39</stp>
        <stp/>
        <stp/>
        <stp/>
        <stp/>
        <stp>T</stp>
        <tr r="Y40" s="1"/>
        <tr r="Y40" s="1"/>
        <tr r="U123" s="2"/>
        <tr r="U123" s="2"/>
      </tp>
      <tp>
        <v>260</v>
        <stp/>
        <stp>StudyData</stp>
        <stp>BAVolCr.BidVol^(SUBMINUTE((EP),1,FillGap),5,0)</stp>
        <stp>Bar</stp>
        <stp/>
        <stp>Open</stp>
        <stp>5</stp>
        <stp>-3</stp>
        <stp/>
        <stp/>
        <stp/>
        <stp/>
        <stp>T</stp>
        <tr r="AB4" s="1"/>
      </tp>
      <tp>
        <v>1436</v>
        <stp/>
        <stp>StudyData</stp>
        <stp>BAVolCr.BidVol^(SUBMINUTE((EP),5,FillGap),5,0)</stp>
        <stp>Bar</stp>
        <stp/>
        <stp>Open</stp>
        <stp>5</stp>
        <stp>-3</stp>
        <stp/>
        <stp/>
        <stp/>
        <stp/>
        <stp>T</stp>
        <tr r="AJ4" s="1"/>
      </tp>
      <tp>
        <v>43167.633738425924</v>
        <stp/>
        <stp>StudyData</stp>
        <stp>SUBMINUTE((EP),5,Regular)</stp>
        <stp>FG</stp>
        <stp/>
        <stp>Time</stp>
        <stp>5</stp>
        <stp>-29</stp>
        <stp/>
        <stp/>
        <stp/>
        <stp/>
        <stp>T</stp>
        <tr r="Y93" s="2"/>
        <tr r="AE30" s="1"/>
      </tp>
      <tp>
        <v>43167.633159722223</v>
        <stp/>
        <stp>StudyData</stp>
        <stp>SUBMINUTE((EP),5,Regular)</stp>
        <stp>FG</stp>
        <stp/>
        <stp>Time</stp>
        <stp>5</stp>
        <stp>-39</stp>
        <stp/>
        <stp/>
        <stp/>
        <stp/>
        <stp>T</stp>
        <tr r="Y123" s="2"/>
        <tr r="AE40" s="1"/>
      </tp>
      <tp>
        <v>43167.634317129632</v>
        <stp/>
        <stp>StudyData</stp>
        <stp>SUBMINUTE((EP),5,Regular)</stp>
        <stp>FG</stp>
        <stp/>
        <stp>Time</stp>
        <stp>5</stp>
        <stp>-19</stp>
        <stp/>
        <stp/>
        <stp/>
        <stp/>
        <stp>T</stp>
        <tr r="Y63" s="2"/>
        <tr r="AE20" s="1"/>
      </tp>
      <tp>
        <v>43167.632581018523</v>
        <stp/>
        <stp>StudyData</stp>
        <stp>SUBMINUTE((EP),5,Regular)</stp>
        <stp>FG</stp>
        <stp/>
        <stp>Time</stp>
        <stp>5</stp>
        <stp>-49</stp>
        <stp/>
        <stp/>
        <stp/>
        <stp/>
        <stp>T</stp>
        <tr r="Y153" s="2"/>
        <tr r="AE50" s="1"/>
      </tp>
      <tp>
        <v>43167.632002314815</v>
        <stp/>
        <stp>StudyData</stp>
        <stp>SUBMINUTE((EP),5,Regular)</stp>
        <stp>FG</stp>
        <stp/>
        <stp>Time</stp>
        <stp>5</stp>
        <stp>-59</stp>
        <stp/>
        <stp/>
        <stp/>
        <stp/>
        <stp>T</stp>
        <tr r="Y183" s="2"/>
        <tr r="AE60" s="1"/>
      </tp>
      <tp>
        <v>2738.75</v>
        <stp/>
        <stp>StudyData</stp>
        <stp>SUBMINUTE((EP),5,FillGap)</stp>
        <stp>Bar</stp>
        <stp/>
        <stp>Low</stp>
        <stp>5</stp>
        <stp>-53</stp>
        <stp/>
        <stp/>
        <stp/>
        <stp/>
        <stp>T</stp>
        <tr r="AH54" s="1"/>
        <tr r="AH54" s="1"/>
      </tp>
      <tp>
        <v>2739.5</v>
        <stp/>
        <stp>StudyData</stp>
        <stp>SUBMINUTE((EP),5,FillGap)</stp>
        <stp>Bar</stp>
        <stp/>
        <stp>Low</stp>
        <stp>5</stp>
        <stp>-43</stp>
        <stp/>
        <stp/>
        <stp/>
        <stp/>
        <stp>T</stp>
        <tr r="AH44" s="1"/>
        <tr r="AH44" s="1"/>
      </tp>
      <tp>
        <v>2739</v>
        <stp/>
        <stp>StudyData</stp>
        <stp>SUBMINUTE((EP),5,FillGap)</stp>
        <stp>Bar</stp>
        <stp/>
        <stp>Low</stp>
        <stp>5</stp>
        <stp>-13</stp>
        <stp/>
        <stp/>
        <stp/>
        <stp/>
        <stp>T</stp>
        <tr r="AH14" s="1"/>
        <tr r="AH14" s="1"/>
      </tp>
      <tp>
        <v>2739.5</v>
        <stp/>
        <stp>StudyData</stp>
        <stp>SUBMINUTE((EP),5,FillGap)</stp>
        <stp>Bar</stp>
        <stp/>
        <stp>Low</stp>
        <stp>5</stp>
        <stp>-33</stp>
        <stp/>
        <stp/>
        <stp/>
        <stp/>
        <stp>T</stp>
        <tr r="AH34" s="1"/>
        <tr r="AH34" s="1"/>
      </tp>
      <tp>
        <v>2739.25</v>
        <stp/>
        <stp>StudyData</stp>
        <stp>SUBMINUTE((EP),5,FillGap)</stp>
        <stp>Bar</stp>
        <stp/>
        <stp>Low</stp>
        <stp>5</stp>
        <stp>-23</stp>
        <stp/>
        <stp/>
        <stp/>
        <stp/>
        <stp>T</stp>
        <tr r="AH24" s="1"/>
        <tr r="AH24" s="1"/>
      </tp>
      <tp>
        <v>280</v>
        <stp/>
        <stp>StudyData</stp>
        <stp>BAVolCr.BidVol^(SUBMINUTE((EP),1,FillGap),5,0)</stp>
        <stp>Bar</stp>
        <stp/>
        <stp>Open</stp>
        <stp>5</stp>
        <stp>-2</stp>
        <stp/>
        <stp/>
        <stp/>
        <stp/>
        <stp>T</stp>
        <tr r="AB3" s="1"/>
      </tp>
      <tp>
        <v>1003</v>
        <stp/>
        <stp>StudyData</stp>
        <stp>BAVolCr.BidVol^(SUBMINUTE((EP),5,FillGap),5,0)</stp>
        <stp>Bar</stp>
        <stp/>
        <stp>Open</stp>
        <stp>5</stp>
        <stp>-2</stp>
        <stp/>
        <stp/>
        <stp/>
        <stp/>
        <stp>T</stp>
        <tr r="AJ3" s="1"/>
      </tp>
      <tp>
        <v>0.25</v>
        <stp/>
        <stp>ContractData</stp>
        <stp>EP</stp>
        <stp>TickSize</stp>
        <stp/>
        <stp>T</stp>
        <tr r="C3" s="1"/>
        <tr r="A30" s="2"/>
      </tp>
      <tp>
        <v>43167.633796296293</v>
        <stp/>
        <stp>StudyData</stp>
        <stp>SUBMINUTE((EP),5,Regular)</stp>
        <stp>FG</stp>
        <stp/>
        <stp>Time</stp>
        <stp>5</stp>
        <stp>-28</stp>
        <stp/>
        <stp/>
        <stp/>
        <stp/>
        <stp>T</stp>
        <tr r="Y90" s="2"/>
        <tr r="AE29" s="1"/>
      </tp>
      <tp>
        <v>43167.633217592593</v>
        <stp/>
        <stp>StudyData</stp>
        <stp>SUBMINUTE((EP),5,Regular)</stp>
        <stp>FG</stp>
        <stp/>
        <stp>Time</stp>
        <stp>5</stp>
        <stp>-38</stp>
        <stp/>
        <stp/>
        <stp/>
        <stp/>
        <stp>T</stp>
        <tr r="Y120" s="2"/>
        <tr r="AE39" s="1"/>
      </tp>
      <tp>
        <v>43167.634375000001</v>
        <stp/>
        <stp>StudyData</stp>
        <stp>SUBMINUTE((EP),5,Regular)</stp>
        <stp>FG</stp>
        <stp/>
        <stp>Time</stp>
        <stp>5</stp>
        <stp>-18</stp>
        <stp/>
        <stp/>
        <stp/>
        <stp/>
        <stp>T</stp>
        <tr r="Y60" s="2"/>
        <tr r="AE19" s="1"/>
      </tp>
      <tp>
        <v>43167.632638888892</v>
        <stp/>
        <stp>StudyData</stp>
        <stp>SUBMINUTE((EP),5,Regular)</stp>
        <stp>FG</stp>
        <stp/>
        <stp>Time</stp>
        <stp>5</stp>
        <stp>-48</stp>
        <stp/>
        <stp/>
        <stp/>
        <stp/>
        <stp>T</stp>
        <tr r="Y150" s="2"/>
        <tr r="AE49" s="1"/>
      </tp>
      <tp>
        <v>43167.632060185184</v>
        <stp/>
        <stp>StudyData</stp>
        <stp>SUBMINUTE((EP),5,Regular)</stp>
        <stp>FG</stp>
        <stp/>
        <stp>Time</stp>
        <stp>5</stp>
        <stp>-58</stp>
        <stp/>
        <stp/>
        <stp/>
        <stp/>
        <stp>T</stp>
        <tr r="Y180" s="2"/>
        <tr r="AE59" s="1"/>
      </tp>
      <tp>
        <v>415</v>
        <stp/>
        <stp>StudyData</stp>
        <stp>BAVolCr.AskVol^(SUBMINUTE((EP),1,FillGap),5,0)</stp>
        <stp>Bar</stp>
        <stp/>
        <stp>Open</stp>
        <stp>5</stp>
        <stp>-1</stp>
        <stp/>
        <stp/>
        <stp/>
        <stp/>
        <stp>T</stp>
        <tr r="AC2" s="1"/>
      </tp>
      <tp>
        <v>1309</v>
        <stp/>
        <stp>StudyData</stp>
        <stp>BAVolCr.AskVol^(SUBMINUTE((EP),5,FillGap),5,0)</stp>
        <stp>Bar</stp>
        <stp/>
        <stp>Open</stp>
        <stp>5</stp>
        <stp>-1</stp>
        <stp/>
        <stp/>
        <stp/>
        <stp/>
        <stp>T</stp>
        <tr r="AK2" s="1"/>
      </tp>
      <tp>
        <v>2738.75</v>
        <stp/>
        <stp>StudyData</stp>
        <stp>SUBMINUTE((EP),5,FillGap)</stp>
        <stp>Bar</stp>
        <stp/>
        <stp>Low</stp>
        <stp>5</stp>
        <stp>-52</stp>
        <stp/>
        <stp/>
        <stp/>
        <stp/>
        <stp>T</stp>
        <tr r="AH53" s="1"/>
        <tr r="AH53" s="1"/>
      </tp>
      <tp>
        <v>2739.5</v>
        <stp/>
        <stp>StudyData</stp>
        <stp>SUBMINUTE((EP),5,FillGap)</stp>
        <stp>Bar</stp>
        <stp/>
        <stp>Low</stp>
        <stp>5</stp>
        <stp>-42</stp>
        <stp/>
        <stp/>
        <stp/>
        <stp/>
        <stp>T</stp>
        <tr r="AH43" s="1"/>
        <tr r="AH43" s="1"/>
      </tp>
      <tp>
        <v>2738.75</v>
        <stp/>
        <stp>StudyData</stp>
        <stp>SUBMINUTE((EP),5,FillGap)</stp>
        <stp>Bar</stp>
        <stp/>
        <stp>Low</stp>
        <stp>5</stp>
        <stp>-12</stp>
        <stp/>
        <stp/>
        <stp/>
        <stp/>
        <stp>T</stp>
        <tr r="AH13" s="1"/>
        <tr r="AH13" s="1"/>
      </tp>
      <tp>
        <v>2739.5</v>
        <stp/>
        <stp>StudyData</stp>
        <stp>SUBMINUTE((EP),5,FillGap)</stp>
        <stp>Bar</stp>
        <stp/>
        <stp>Low</stp>
        <stp>5</stp>
        <stp>-32</stp>
        <stp/>
        <stp/>
        <stp/>
        <stp/>
        <stp>T</stp>
        <tr r="AH33" s="1"/>
        <tr r="AH33" s="1"/>
      </tp>
      <tp>
        <v>2739.25</v>
        <stp/>
        <stp>StudyData</stp>
        <stp>SUBMINUTE((EP),5,FillGap)</stp>
        <stp>Bar</stp>
        <stp/>
        <stp>Low</stp>
        <stp>5</stp>
        <stp>-22</stp>
        <stp/>
        <stp/>
        <stp/>
        <stp/>
        <stp>T</stp>
        <tr r="AH23" s="1"/>
        <tr r="AH23" s="1"/>
      </tp>
      <tp>
        <v>2739.25</v>
        <stp/>
        <stp>StudyData</stp>
        <stp>SUBMINUTE((EP),1,FillGap)</stp>
        <stp>Bar</stp>
        <stp/>
        <stp>Close</stp>
        <stp>5</stp>
        <stp>-1</stp>
        <stp/>
        <stp/>
        <stp/>
        <stp/>
        <stp>T</stp>
        <tr r="Y2" s="1"/>
        <tr r="Y2" s="1"/>
        <tr r="U9" s="2"/>
        <tr r="U9" s="2"/>
      </tp>
      <tp>
        <v>2739.25</v>
        <stp/>
        <stp>StudyData</stp>
        <stp>SUBMINUTE((EP),5,FillGap)</stp>
        <stp>Bar</stp>
        <stp/>
        <stp>Close</stp>
        <stp>5</stp>
        <stp>-1</stp>
        <stp/>
        <stp/>
        <stp/>
        <stp/>
        <stp>T</stp>
        <tr r="AI2" s="1"/>
        <tr r="AI2" s="1"/>
        <tr r="Z9" s="2"/>
        <tr r="Z9" s="2"/>
      </tp>
      <tp>
        <v>1801</v>
        <stp/>
        <stp>StudyData</stp>
        <stp>FPVol(FootprintOp (EP, 0),2740)</stp>
        <stp>Bar</stp>
        <stp/>
        <stp>Close</stp>
        <stp>D</stp>
        <stp>0</stp>
        <stp>all</stp>
        <stp/>
        <stp/>
        <stp/>
        <stp>T</stp>
        <tr r="J18" s="2"/>
        <tr r="J18" s="2"/>
      </tp>
      <tp>
        <v>324</v>
        <stp/>
        <stp>StudyData</stp>
        <stp>BAVolCr.BidVol^(SUBMINUTE((EP),1,FillGap),5,0)</stp>
        <stp>Bar</stp>
        <stp/>
        <stp>Open</stp>
        <stp>5</stp>
        <stp>-1</stp>
        <stp/>
        <stp/>
        <stp/>
        <stp/>
        <stp>T</stp>
        <tr r="AB2" s="1"/>
      </tp>
      <tp>
        <v>952</v>
        <stp/>
        <stp>StudyData</stp>
        <stp>BAVolCr.BidVol^(SUBMINUTE((EP),5,FillGap),5,0)</stp>
        <stp>Bar</stp>
        <stp/>
        <stp>Open</stp>
        <stp>5</stp>
        <stp>-1</stp>
        <stp/>
        <stp/>
        <stp/>
        <stp/>
        <stp>T</stp>
        <tr r="AJ2" s="1"/>
      </tp>
      <tp>
        <v>408</v>
        <stp/>
        <stp>StudyData</stp>
        <stp>BAVolCr.AskVol^(SUBMINUTE((EP),1,FillGap),5,0)</stp>
        <stp>Bar</stp>
        <stp/>
        <stp>Open</stp>
        <stp>5</stp>
        <stp>-2</stp>
        <stp/>
        <stp/>
        <stp/>
        <stp/>
        <stp>T</stp>
        <tr r="AC3" s="1"/>
      </tp>
      <tp>
        <v>1330</v>
        <stp/>
        <stp>StudyData</stp>
        <stp>BAVolCr.AskVol^(SUBMINUTE((EP),5,FillGap),5,0)</stp>
        <stp>Bar</stp>
        <stp/>
        <stp>Open</stp>
        <stp>5</stp>
        <stp>-2</stp>
        <stp/>
        <stp/>
        <stp/>
        <stp/>
        <stp>T</stp>
        <tr r="AK3" s="1"/>
      </tp>
      <tp>
        <v>2738.75</v>
        <stp/>
        <stp>StudyData</stp>
        <stp>SUBMINUTE((EP),5,FillGap)</stp>
        <stp>Bar</stp>
        <stp/>
        <stp>Low</stp>
        <stp>5</stp>
        <stp>-51</stp>
        <stp/>
        <stp/>
        <stp/>
        <stp/>
        <stp>T</stp>
        <tr r="AH52" s="1"/>
        <tr r="AH52" s="1"/>
      </tp>
      <tp>
        <v>2739.5</v>
        <stp/>
        <stp>StudyData</stp>
        <stp>SUBMINUTE((EP),5,FillGap)</stp>
        <stp>Bar</stp>
        <stp/>
        <stp>Low</stp>
        <stp>5</stp>
        <stp>-41</stp>
        <stp/>
        <stp/>
        <stp/>
        <stp/>
        <stp>T</stp>
        <tr r="AH42" s="1"/>
        <tr r="AH42" s="1"/>
      </tp>
      <tp>
        <v>2738.5</v>
        <stp/>
        <stp>StudyData</stp>
        <stp>SUBMINUTE((EP),5,FillGap)</stp>
        <stp>Bar</stp>
        <stp/>
        <stp>Low</stp>
        <stp>5</stp>
        <stp>-11</stp>
        <stp/>
        <stp/>
        <stp/>
        <stp/>
        <stp>T</stp>
        <tr r="AH12" s="1"/>
        <tr r="AH12" s="1"/>
      </tp>
      <tp>
        <v>2739.75</v>
        <stp/>
        <stp>StudyData</stp>
        <stp>SUBMINUTE((EP),5,FillGap)</stp>
        <stp>Bar</stp>
        <stp/>
        <stp>Low</stp>
        <stp>5</stp>
        <stp>-31</stp>
        <stp/>
        <stp/>
        <stp/>
        <stp/>
        <stp>T</stp>
        <tr r="AH32" s="1"/>
        <tr r="AH32" s="1"/>
      </tp>
      <tp>
        <v>2739</v>
        <stp/>
        <stp>StudyData</stp>
        <stp>SUBMINUTE((EP),5,FillGap)</stp>
        <stp>Bar</stp>
        <stp/>
        <stp>Low</stp>
        <stp>5</stp>
        <stp>-21</stp>
        <stp/>
        <stp/>
        <stp/>
        <stp/>
        <stp>T</stp>
        <tr r="AH22" s="1"/>
        <tr r="AH22" s="1"/>
      </tp>
      <tp>
        <v>2739.25</v>
        <stp/>
        <stp>StudyData</stp>
        <stp>SUBMINUTE((EP),1,FillGap)</stp>
        <stp>Bar</stp>
        <stp/>
        <stp>Close</stp>
        <stp>5</stp>
        <stp>-2</stp>
        <stp/>
        <stp/>
        <stp/>
        <stp/>
        <stp>T</stp>
        <tr r="Y3" s="1"/>
        <tr r="Y3" s="1"/>
        <tr r="U12" s="2"/>
        <tr r="U12" s="2"/>
      </tp>
      <tp>
        <v>2738.75</v>
        <stp/>
        <stp>StudyData</stp>
        <stp>SUBMINUTE((EP),5,FillGap)</stp>
        <stp>Bar</stp>
        <stp/>
        <stp>Close</stp>
        <stp>5</stp>
        <stp>-2</stp>
        <stp/>
        <stp/>
        <stp/>
        <stp/>
        <stp>T</stp>
        <tr r="AI3" s="1"/>
        <tr r="AI3" s="1"/>
        <tr r="Z12" s="2"/>
        <tr r="Z12" s="2"/>
      </tp>
      <tp>
        <v>269</v>
        <stp/>
        <stp>StudyData</stp>
        <stp>BAVolCr.AskVol^(SUBMINUTE((EP),1,FillGap),5,0)</stp>
        <stp>Bar</stp>
        <stp/>
        <stp>Open</stp>
        <stp>5</stp>
        <stp>-3</stp>
        <stp/>
        <stp/>
        <stp/>
        <stp/>
        <stp>T</stp>
        <tr r="AC4" s="1"/>
      </tp>
      <tp>
        <v>1382</v>
        <stp/>
        <stp>StudyData</stp>
        <stp>BAVolCr.AskVol^(SUBMINUTE((EP),5,FillGap),5,0)</stp>
        <stp>Bar</stp>
        <stp/>
        <stp>Open</stp>
        <stp>5</stp>
        <stp>-3</stp>
        <stp/>
        <stp/>
        <stp/>
        <stp/>
        <stp>T</stp>
        <tr r="AK4" s="1"/>
      </tp>
      <tp>
        <v>2738.75</v>
        <stp/>
        <stp>StudyData</stp>
        <stp>SUBMINUTE((EP),5,FillGap)</stp>
        <stp>Bar</stp>
        <stp/>
        <stp>Low</stp>
        <stp>5</stp>
        <stp>-50</stp>
        <stp/>
        <stp/>
        <stp/>
        <stp/>
        <stp>T</stp>
        <tr r="AH51" s="1"/>
        <tr r="AH51" s="1"/>
      </tp>
      <tp>
        <v>2739.5</v>
        <stp/>
        <stp>StudyData</stp>
        <stp>SUBMINUTE((EP),5,FillGap)</stp>
        <stp>Bar</stp>
        <stp/>
        <stp>Low</stp>
        <stp>5</stp>
        <stp>-40</stp>
        <stp/>
        <stp/>
        <stp/>
        <stp/>
        <stp>T</stp>
        <tr r="AH41" s="1"/>
        <tr r="AH41" s="1"/>
      </tp>
      <tp>
        <v>2738.75</v>
        <stp/>
        <stp>StudyData</stp>
        <stp>SUBMINUTE((EP),5,FillGap)</stp>
        <stp>Bar</stp>
        <stp/>
        <stp>Low</stp>
        <stp>5</stp>
        <stp>-60</stp>
        <stp/>
        <stp/>
        <stp/>
        <stp/>
        <stp>T</stp>
        <tr r="AH61" s="1"/>
        <tr r="AH61" s="1"/>
      </tp>
      <tp>
        <v>2738.5</v>
        <stp/>
        <stp>StudyData</stp>
        <stp>SUBMINUTE((EP),5,FillGap)</stp>
        <stp>Bar</stp>
        <stp/>
        <stp>Low</stp>
        <stp>5</stp>
        <stp>-10</stp>
        <stp/>
        <stp/>
        <stp/>
        <stp/>
        <stp>T</stp>
        <tr r="AH11" s="1"/>
        <tr r="AH11" s="1"/>
      </tp>
      <tp>
        <v>2739.75</v>
        <stp/>
        <stp>StudyData</stp>
        <stp>SUBMINUTE((EP),5,FillGap)</stp>
        <stp>Bar</stp>
        <stp/>
        <stp>Low</stp>
        <stp>5</stp>
        <stp>-30</stp>
        <stp/>
        <stp/>
        <stp/>
        <stp/>
        <stp>T</stp>
        <tr r="AH31" s="1"/>
        <tr r="AH31" s="1"/>
      </tp>
      <tp>
        <v>2739</v>
        <stp/>
        <stp>StudyData</stp>
        <stp>SUBMINUTE((EP),5,FillGap)</stp>
        <stp>Bar</stp>
        <stp/>
        <stp>Low</stp>
        <stp>5</stp>
        <stp>-20</stp>
        <stp/>
        <stp/>
        <stp/>
        <stp/>
        <stp>T</stp>
        <tr r="AH21" s="1"/>
        <tr r="AH21" s="1"/>
      </tp>
      <tp>
        <v>2739.25</v>
        <stp/>
        <stp>StudyData</stp>
        <stp>SUBMINUTE((EP),1,FillGap)</stp>
        <stp>Bar</stp>
        <stp/>
        <stp>Close</stp>
        <stp>5</stp>
        <stp>-3</stp>
        <stp/>
        <stp/>
        <stp/>
        <stp/>
        <stp>T</stp>
        <tr r="Y4" s="1"/>
        <tr r="Y4" s="1"/>
        <tr r="U15" s="2"/>
        <tr r="U15" s="2"/>
      </tp>
      <tp>
        <v>2739.25</v>
        <stp/>
        <stp>StudyData</stp>
        <stp>SUBMINUTE((EP),5,FillGap)</stp>
        <stp>Bar</stp>
        <stp/>
        <stp>Close</stp>
        <stp>5</stp>
        <stp>-3</stp>
        <stp/>
        <stp/>
        <stp/>
        <stp/>
        <stp>T</stp>
        <tr r="AI4" s="1"/>
        <tr r="AI4" s="1"/>
        <tr r="Z15" s="2"/>
        <tr r="Z15" s="2"/>
      </tp>
      <tp>
        <v>43167.63517361111</v>
        <stp/>
        <stp>StudyData</stp>
        <stp>SUBMINUTE((EP),1,Regular)</stp>
        <stp>FG</stp>
        <stp/>
        <stp>Time</stp>
        <stp>5</stp>
        <stp>-21</stp>
        <stp/>
        <stp/>
        <stp/>
        <stp/>
        <stp>T</stp>
        <tr r="T69" s="2"/>
        <tr r="AA22" s="1"/>
      </tp>
      <tp>
        <v>43167.633969907409</v>
        <stp/>
        <stp>StudyData</stp>
        <stp>SUBMINUTE((EP),5,Regular)</stp>
        <stp>FG</stp>
        <stp/>
        <stp>Time</stp>
        <stp>5</stp>
        <stp>-25</stp>
        <stp/>
        <stp/>
        <stp/>
        <stp/>
        <stp>T</stp>
        <tr r="Y81" s="2"/>
        <tr r="AE26" s="1"/>
      </tp>
      <tp>
        <v>43167.635057870371</v>
        <stp/>
        <stp>StudyData</stp>
        <stp>SUBMINUTE((EP),1,Regular)</stp>
        <stp>FG</stp>
        <stp/>
        <stp>Time</stp>
        <stp>5</stp>
        <stp>-31</stp>
        <stp/>
        <stp/>
        <stp/>
        <stp/>
        <stp>T</stp>
        <tr r="T99" s="2"/>
        <tr r="AA32" s="1"/>
      </tp>
      <tp>
        <v>43167.633391203701</v>
        <stp/>
        <stp>StudyData</stp>
        <stp>SUBMINUTE((EP),5,Regular)</stp>
        <stp>FG</stp>
        <stp/>
        <stp>Time</stp>
        <stp>5</stp>
        <stp>-35</stp>
        <stp/>
        <stp/>
        <stp/>
        <stp/>
        <stp>T</stp>
        <tr r="Y111" s="2"/>
        <tr r="AE36" s="1"/>
      </tp>
      <tp>
        <v>43167.635289351856</v>
        <stp/>
        <stp>StudyData</stp>
        <stp>SUBMINUTE((EP),1,Regular)</stp>
        <stp>FG</stp>
        <stp/>
        <stp>Time</stp>
        <stp>5</stp>
        <stp>-11</stp>
        <stp/>
        <stp/>
        <stp/>
        <stp/>
        <stp>T</stp>
        <tr r="T39" s="2"/>
        <tr r="AA12" s="1"/>
      </tp>
      <tp>
        <v>43167.634548611109</v>
        <stp/>
        <stp>StudyData</stp>
        <stp>SUBMINUTE((EP),5,Regular)</stp>
        <stp>FG</stp>
        <stp/>
        <stp>Time</stp>
        <stp>5</stp>
        <stp>-15</stp>
        <stp/>
        <stp/>
        <stp/>
        <stp/>
        <stp>T</stp>
        <tr r="Y51" s="2"/>
        <tr r="AE16" s="1"/>
      </tp>
      <tp>
        <v>43167.634942129633</v>
        <stp/>
        <stp>StudyData</stp>
        <stp>SUBMINUTE((EP),1,Regular)</stp>
        <stp>FG</stp>
        <stp/>
        <stp>Time</stp>
        <stp>5</stp>
        <stp>-41</stp>
        <stp/>
        <stp/>
        <stp/>
        <stp/>
        <stp>T</stp>
        <tr r="T129" s="2"/>
        <tr r="AA42" s="1"/>
      </tp>
      <tp>
        <v>43167.6328125</v>
        <stp/>
        <stp>StudyData</stp>
        <stp>SUBMINUTE((EP),5,Regular)</stp>
        <stp>FG</stp>
        <stp/>
        <stp>Time</stp>
        <stp>5</stp>
        <stp>-45</stp>
        <stp/>
        <stp/>
        <stp/>
        <stp/>
        <stp>T</stp>
        <tr r="Y141" s="2"/>
        <tr r="AE46" s="1"/>
      </tp>
      <tp>
        <v>43167.634826388894</v>
        <stp/>
        <stp>StudyData</stp>
        <stp>SUBMINUTE((EP),1,Regular)</stp>
        <stp>FG</stp>
        <stp/>
        <stp>Time</stp>
        <stp>5</stp>
        <stp>-51</stp>
        <stp/>
        <stp/>
        <stp/>
        <stp/>
        <stp>T</stp>
        <tr r="T159" s="2"/>
        <tr r="AA52" s="1"/>
      </tp>
      <tp>
        <v>43167.632233796299</v>
        <stp/>
        <stp>StudyData</stp>
        <stp>SUBMINUTE((EP),5,Regular)</stp>
        <stp>FG</stp>
        <stp/>
        <stp>Time</stp>
        <stp>5</stp>
        <stp>-55</stp>
        <stp/>
        <stp/>
        <stp/>
        <stp/>
        <stp>T</stp>
        <tr r="Y171" s="2"/>
        <tr r="AE56" s="1"/>
      </tp>
      <tp>
        <v>43167.635393518518</v>
        <stp/>
        <stp>StudyData</stp>
        <stp>SUBMINUTE((EP),1,Regular)</stp>
        <stp>FG</stp>
        <stp/>
        <stp>Time</stp>
        <stp>5</stp>
        <stp>-2</stp>
        <stp/>
        <stp/>
        <stp/>
        <stp/>
        <stp>T</stp>
        <tr r="AA3" s="1"/>
        <tr r="T12" s="2"/>
      </tp>
      <tp>
        <v>43167.635300925926</v>
        <stp/>
        <stp>StudyData</stp>
        <stp>SUBMINUTE((EP),5,Regular)</stp>
        <stp>FG</stp>
        <stp/>
        <stp>Time</stp>
        <stp>5</stp>
        <stp>-2</stp>
        <stp/>
        <stp/>
        <stp/>
        <stp/>
        <stp>T</stp>
        <tr r="AE3" s="1"/>
        <tr r="Y12" s="2"/>
      </tp>
      <tp>
        <v>2739.5</v>
        <stp/>
        <stp>StudyData</stp>
        <stp>SUBMINUTE((EP),5,FillGap)</stp>
        <stp>Bar</stp>
        <stp/>
        <stp>Close</stp>
        <stp>5</stp>
        <stp>-42</stp>
        <stp/>
        <stp/>
        <stp/>
        <stp/>
        <stp>T</stp>
        <tr r="AI43" s="1"/>
        <tr r="AI43" s="1"/>
        <tr r="Z132" s="2"/>
        <tr r="Z132" s="2"/>
      </tp>
      <tp>
        <v>2738.75</v>
        <stp/>
        <stp>StudyData</stp>
        <stp>SUBMINUTE((EP),5,FillGap)</stp>
        <stp>Bar</stp>
        <stp/>
        <stp>Close</stp>
        <stp>5</stp>
        <stp>-52</stp>
        <stp/>
        <stp/>
        <stp/>
        <stp/>
        <stp>T</stp>
        <tr r="AI53" s="1"/>
        <tr r="AI53" s="1"/>
        <tr r="Z162" s="2"/>
        <tr r="Z162" s="2"/>
      </tp>
      <tp>
        <v>2738.75</v>
        <stp/>
        <stp>StudyData</stp>
        <stp>SUBMINUTE((EP),5,FillGap)</stp>
        <stp>Bar</stp>
        <stp/>
        <stp>Close</stp>
        <stp>5</stp>
        <stp>-12</stp>
        <stp/>
        <stp/>
        <stp/>
        <stp/>
        <stp>T</stp>
        <tr r="AI13" s="1"/>
        <tr r="AI13" s="1"/>
        <tr r="Z42" s="2"/>
        <tr r="Z42" s="2"/>
      </tp>
      <tp>
        <v>2739.25</v>
        <stp/>
        <stp>StudyData</stp>
        <stp>SUBMINUTE((EP),5,FillGap)</stp>
        <stp>Bar</stp>
        <stp/>
        <stp>Close</stp>
        <stp>5</stp>
        <stp>-22</stp>
        <stp/>
        <stp/>
        <stp/>
        <stp/>
        <stp>T</stp>
        <tr r="AI23" s="1"/>
        <tr r="AI23" s="1"/>
        <tr r="Z72" s="2"/>
        <tr r="Z72" s="2"/>
      </tp>
      <tp>
        <v>2739.75</v>
        <stp/>
        <stp>StudyData</stp>
        <stp>SUBMINUTE((EP),5,FillGap)</stp>
        <stp>Bar</stp>
        <stp/>
        <stp>Close</stp>
        <stp>5</stp>
        <stp>-32</stp>
        <stp/>
        <stp/>
        <stp/>
        <stp/>
        <stp>T</stp>
        <tr r="AI33" s="1"/>
        <tr r="AI33" s="1"/>
        <tr r="Z102" s="2"/>
        <tr r="Z102" s="2"/>
      </tp>
      <tp>
        <v>2738.75</v>
        <stp/>
        <stp>StudyData</stp>
        <stp>SUBMINUTE((EP),1,FillGap)</stp>
        <stp>Bar</stp>
        <stp/>
        <stp>Close</stp>
        <stp>5</stp>
        <stp>-42</stp>
        <stp/>
        <stp/>
        <stp/>
        <stp/>
        <stp>T</stp>
        <tr r="Y43" s="1"/>
        <tr r="Y43" s="1"/>
        <tr r="U132" s="2"/>
        <tr r="U132" s="2"/>
      </tp>
      <tp>
        <v>2738.75</v>
        <stp/>
        <stp>StudyData</stp>
        <stp>SUBMINUTE((EP),1,FillGap)</stp>
        <stp>Bar</stp>
        <stp/>
        <stp>Close</stp>
        <stp>5</stp>
        <stp>-52</stp>
        <stp/>
        <stp/>
        <stp/>
        <stp/>
        <stp>T</stp>
        <tr r="Y53" s="1"/>
        <tr r="Y53" s="1"/>
        <tr r="U162" s="2"/>
        <tr r="U162" s="2"/>
      </tp>
      <tp>
        <v>2739.25</v>
        <stp/>
        <stp>StudyData</stp>
        <stp>SUBMINUTE((EP),1,FillGap)</stp>
        <stp>Bar</stp>
        <stp/>
        <stp>Close</stp>
        <stp>5</stp>
        <stp>-12</stp>
        <stp/>
        <stp/>
        <stp/>
        <stp/>
        <stp>T</stp>
        <tr r="Y13" s="1"/>
        <tr r="Y13" s="1"/>
        <tr r="U42" s="2"/>
        <tr r="U42" s="2"/>
      </tp>
      <tp>
        <v>2739</v>
        <stp/>
        <stp>StudyData</stp>
        <stp>SUBMINUTE((EP),1,FillGap)</stp>
        <stp>Bar</stp>
        <stp/>
        <stp>Close</stp>
        <stp>5</stp>
        <stp>-22</stp>
        <stp/>
        <stp/>
        <stp/>
        <stp/>
        <stp>T</stp>
        <tr r="Y23" s="1"/>
        <tr r="Y23" s="1"/>
        <tr r="U72" s="2"/>
        <tr r="U72" s="2"/>
      </tp>
      <tp>
        <v>2739.75</v>
        <stp/>
        <stp>StudyData</stp>
        <stp>SUBMINUTE((EP),1,FillGap)</stp>
        <stp>Bar</stp>
        <stp/>
        <stp>Close</stp>
        <stp>5</stp>
        <stp>-32</stp>
        <stp/>
        <stp/>
        <stp/>
        <stp/>
        <stp>T</stp>
        <tr r="Y33" s="1"/>
        <tr r="Y33" s="1"/>
        <tr r="U102" s="2"/>
        <tr r="U102" s="2"/>
      </tp>
      <tp>
        <v>43167.635185185187</v>
        <stp/>
        <stp>StudyData</stp>
        <stp>SUBMINUTE((EP),1,Regular)</stp>
        <stp>FG</stp>
        <stp/>
        <stp>Time</stp>
        <stp>5</stp>
        <stp>-20</stp>
        <stp/>
        <stp/>
        <stp/>
        <stp/>
        <stp>T</stp>
        <tr r="T66" s="2"/>
        <tr r="AA21" s="1"/>
      </tp>
      <tp>
        <v>43167.634027777778</v>
        <stp/>
        <stp>StudyData</stp>
        <stp>SUBMINUTE((EP),5,Regular)</stp>
        <stp>FG</stp>
        <stp/>
        <stp>Time</stp>
        <stp>5</stp>
        <stp>-24</stp>
        <stp/>
        <stp/>
        <stp/>
        <stp/>
        <stp>T</stp>
        <tr r="Y78" s="2"/>
        <tr r="AE25" s="1"/>
      </tp>
      <tp>
        <v>43167.635069444448</v>
        <stp/>
        <stp>StudyData</stp>
        <stp>SUBMINUTE((EP),1,Regular)</stp>
        <stp>FG</stp>
        <stp/>
        <stp>Time</stp>
        <stp>5</stp>
        <stp>-30</stp>
        <stp/>
        <stp/>
        <stp/>
        <stp/>
        <stp>T</stp>
        <tr r="T96" s="2"/>
        <tr r="AA31" s="1"/>
      </tp>
      <tp>
        <v>43167.63344907407</v>
        <stp/>
        <stp>StudyData</stp>
        <stp>SUBMINUTE((EP),5,Regular)</stp>
        <stp>FG</stp>
        <stp/>
        <stp>Time</stp>
        <stp>5</stp>
        <stp>-34</stp>
        <stp/>
        <stp/>
        <stp/>
        <stp/>
        <stp>T</stp>
        <tr r="Y108" s="2"/>
        <tr r="AE35" s="1"/>
      </tp>
      <tp>
        <v>43167.635300925926</v>
        <stp/>
        <stp>StudyData</stp>
        <stp>SUBMINUTE((EP),1,Regular)</stp>
        <stp>FG</stp>
        <stp/>
        <stp>Time</stp>
        <stp>5</stp>
        <stp>-10</stp>
        <stp/>
        <stp/>
        <stp/>
        <stp/>
        <stp>T</stp>
        <tr r="T36" s="2"/>
        <tr r="AA11" s="1"/>
      </tp>
      <tp>
        <v>43167.634606481479</v>
        <stp/>
        <stp>StudyData</stp>
        <stp>SUBMINUTE((EP),5,Regular)</stp>
        <stp>FG</stp>
        <stp/>
        <stp>Time</stp>
        <stp>5</stp>
        <stp>-14</stp>
        <stp/>
        <stp/>
        <stp/>
        <stp/>
        <stp>T</stp>
        <tr r="Y48" s="2"/>
        <tr r="AE15" s="1"/>
      </tp>
      <tp>
        <v>43167.634722222225</v>
        <stp/>
        <stp>StudyData</stp>
        <stp>SUBMINUTE((EP),1,Regular)</stp>
        <stp>FG</stp>
        <stp/>
        <stp>Time</stp>
        <stp>5</stp>
        <stp>-60</stp>
        <stp/>
        <stp/>
        <stp/>
        <stp/>
        <stp>T</stp>
        <tr r="T186" s="2"/>
        <tr r="AA61" s="1"/>
      </tp>
      <tp>
        <v>43167.634953703709</v>
        <stp/>
        <stp>StudyData</stp>
        <stp>SUBMINUTE((EP),1,Regular)</stp>
        <stp>FG</stp>
        <stp/>
        <stp>Time</stp>
        <stp>5</stp>
        <stp>-40</stp>
        <stp/>
        <stp/>
        <stp/>
        <stp/>
        <stp>T</stp>
        <tr r="T126" s="2"/>
        <tr r="AA41" s="1"/>
      </tp>
      <tp>
        <v>43167.632870370377</v>
        <stp/>
        <stp>StudyData</stp>
        <stp>SUBMINUTE((EP),5,Regular)</stp>
        <stp>FG</stp>
        <stp/>
        <stp>Time</stp>
        <stp>5</stp>
        <stp>-44</stp>
        <stp/>
        <stp/>
        <stp/>
        <stp/>
        <stp>T</stp>
        <tr r="Y138" s="2"/>
        <tr r="AE45" s="1"/>
      </tp>
      <tp>
        <v>43167.634837962964</v>
        <stp/>
        <stp>StudyData</stp>
        <stp>SUBMINUTE((EP),1,Regular)</stp>
        <stp>FG</stp>
        <stp/>
        <stp>Time</stp>
        <stp>5</stp>
        <stp>-50</stp>
        <stp/>
        <stp/>
        <stp/>
        <stp/>
        <stp>T</stp>
        <tr r="T156" s="2"/>
        <tr r="AA51" s="1"/>
      </tp>
      <tp>
        <v>43167.632291666669</v>
        <stp/>
        <stp>StudyData</stp>
        <stp>SUBMINUTE((EP),5,Regular)</stp>
        <stp>FG</stp>
        <stp/>
        <stp>Time</stp>
        <stp>5</stp>
        <stp>-54</stp>
        <stp/>
        <stp/>
        <stp/>
        <stp/>
        <stp>T</stp>
        <tr r="Y168" s="2"/>
        <tr r="AE55" s="1"/>
      </tp>
      <tp>
        <v>43167.635381944448</v>
        <stp/>
        <stp>StudyData</stp>
        <stp>SUBMINUTE((EP),1,Regular)</stp>
        <stp>FG</stp>
        <stp/>
        <stp>Time</stp>
        <stp>5</stp>
        <stp>-3</stp>
        <stp/>
        <stp/>
        <stp/>
        <stp/>
        <stp>T</stp>
        <tr r="T15" s="2"/>
        <tr r="AA4" s="1"/>
      </tp>
      <tp>
        <v>43167.635243055556</v>
        <stp/>
        <stp>StudyData</stp>
        <stp>SUBMINUTE((EP),5,Regular)</stp>
        <stp>FG</stp>
        <stp/>
        <stp>Time</stp>
        <stp>5</stp>
        <stp>-3</stp>
        <stp/>
        <stp/>
        <stp/>
        <stp/>
        <stp>T</stp>
        <tr r="Y15" s="2"/>
        <tr r="AE4" s="1"/>
      </tp>
      <tp>
        <v>2739.5</v>
        <stp/>
        <stp>StudyData</stp>
        <stp>SUBMINUTE((EP),5,FillGap)</stp>
        <stp>Bar</stp>
        <stp/>
        <stp>Close</stp>
        <stp>5</stp>
        <stp>-43</stp>
        <stp/>
        <stp/>
        <stp/>
        <stp/>
        <stp>T</stp>
        <tr r="AI44" s="1"/>
        <tr r="AI44" s="1"/>
        <tr r="Z135" s="2"/>
        <tr r="Z135" s="2"/>
      </tp>
      <tp>
        <v>2738.75</v>
        <stp/>
        <stp>StudyData</stp>
        <stp>SUBMINUTE((EP),5,FillGap)</stp>
        <stp>Bar</stp>
        <stp/>
        <stp>Close</stp>
        <stp>5</stp>
        <stp>-53</stp>
        <stp/>
        <stp/>
        <stp/>
        <stp/>
        <stp>T</stp>
        <tr r="AI54" s="1"/>
        <tr r="AI54" s="1"/>
        <tr r="Z165" s="2"/>
        <tr r="Z165" s="2"/>
      </tp>
      <tp>
        <v>2739</v>
        <stp/>
        <stp>StudyData</stp>
        <stp>SUBMINUTE((EP),5,FillGap)</stp>
        <stp>Bar</stp>
        <stp/>
        <stp>Close</stp>
        <stp>5</stp>
        <stp>-13</stp>
        <stp/>
        <stp/>
        <stp/>
        <stp/>
        <stp>T</stp>
        <tr r="AI14" s="1"/>
        <tr r="AI14" s="1"/>
        <tr r="Z45" s="2"/>
        <tr r="Z45" s="2"/>
      </tp>
      <tp>
        <v>2739.25</v>
        <stp/>
        <stp>StudyData</stp>
        <stp>SUBMINUTE((EP),5,FillGap)</stp>
        <stp>Bar</stp>
        <stp/>
        <stp>Close</stp>
        <stp>5</stp>
        <stp>-23</stp>
        <stp/>
        <stp/>
        <stp/>
        <stp/>
        <stp>T</stp>
        <tr r="AI24" s="1"/>
        <tr r="AI24" s="1"/>
        <tr r="Z75" s="2"/>
        <tr r="Z75" s="2"/>
      </tp>
      <tp>
        <v>2739.5</v>
        <stp/>
        <stp>StudyData</stp>
        <stp>SUBMINUTE((EP),5,FillGap)</stp>
        <stp>Bar</stp>
        <stp/>
        <stp>Close</stp>
        <stp>5</stp>
        <stp>-33</stp>
        <stp/>
        <stp/>
        <stp/>
        <stp/>
        <stp>T</stp>
        <tr r="AI34" s="1"/>
        <tr r="AI34" s="1"/>
        <tr r="Z105" s="2"/>
        <tr r="Z105" s="2"/>
      </tp>
      <tp>
        <v>2738.75</v>
        <stp/>
        <stp>StudyData</stp>
        <stp>SUBMINUTE((EP),1,FillGap)</stp>
        <stp>Bar</stp>
        <stp/>
        <stp>Close</stp>
        <stp>5</stp>
        <stp>-43</stp>
        <stp/>
        <stp/>
        <stp/>
        <stp/>
        <stp>T</stp>
        <tr r="Y44" s="1"/>
        <tr r="Y44" s="1"/>
        <tr r="U135" s="2"/>
        <tr r="U135" s="2"/>
      </tp>
      <tp>
        <v>2738.75</v>
        <stp/>
        <stp>StudyData</stp>
        <stp>SUBMINUTE((EP),1,FillGap)</stp>
        <stp>Bar</stp>
        <stp/>
        <stp>Close</stp>
        <stp>5</stp>
        <stp>-53</stp>
        <stp/>
        <stp/>
        <stp/>
        <stp/>
        <stp>T</stp>
        <tr r="Y54" s="1"/>
        <tr r="Y54" s="1"/>
        <tr r="U165" s="2"/>
        <tr r="U165" s="2"/>
      </tp>
      <tp>
        <v>2739.25</v>
        <stp/>
        <stp>StudyData</stp>
        <stp>SUBMINUTE((EP),1,FillGap)</stp>
        <stp>Bar</stp>
        <stp/>
        <stp>Close</stp>
        <stp>5</stp>
        <stp>-13</stp>
        <stp/>
        <stp/>
        <stp/>
        <stp/>
        <stp>T</stp>
        <tr r="Y14" s="1"/>
        <tr r="Y14" s="1"/>
        <tr r="U45" s="2"/>
        <tr r="U45" s="2"/>
      </tp>
      <tp>
        <v>2738.75</v>
        <stp/>
        <stp>StudyData</stp>
        <stp>SUBMINUTE((EP),1,FillGap)</stp>
        <stp>Bar</stp>
        <stp/>
        <stp>Close</stp>
        <stp>5</stp>
        <stp>-23</stp>
        <stp/>
        <stp/>
        <stp/>
        <stp/>
        <stp>T</stp>
        <tr r="Y24" s="1"/>
        <tr r="Y24" s="1"/>
        <tr r="U75" s="2"/>
        <tr r="U75" s="2"/>
      </tp>
      <tp>
        <v>2739.75</v>
        <stp/>
        <stp>StudyData</stp>
        <stp>SUBMINUTE((EP),1,FillGap)</stp>
        <stp>Bar</stp>
        <stp/>
        <stp>Close</stp>
        <stp>5</stp>
        <stp>-33</stp>
        <stp/>
        <stp/>
        <stp/>
        <stp/>
        <stp>T</stp>
        <tr r="Y34" s="1"/>
        <tr r="Y34" s="1"/>
        <tr r="U105" s="2"/>
        <tr r="U105" s="2"/>
      </tp>
      <tp>
        <v>43167.635150462964</v>
        <stp/>
        <stp>StudyData</stp>
        <stp>SUBMINUTE((EP),1,Regular)</stp>
        <stp>FG</stp>
        <stp/>
        <stp>Time</stp>
        <stp>5</stp>
        <stp>-23</stp>
        <stp/>
        <stp/>
        <stp/>
        <stp/>
        <stp>T</stp>
        <tr r="T75" s="2"/>
        <tr r="AA24" s="1"/>
      </tp>
      <tp>
        <v>43167.633854166663</v>
        <stp/>
        <stp>StudyData</stp>
        <stp>SUBMINUTE((EP),5,Regular)</stp>
        <stp>FG</stp>
        <stp/>
        <stp>Time</stp>
        <stp>5</stp>
        <stp>-27</stp>
        <stp/>
        <stp/>
        <stp/>
        <stp/>
        <stp>T</stp>
        <tr r="Y87" s="2"/>
        <tr r="AE28" s="1"/>
      </tp>
      <tp>
        <v>43167.635034722225</v>
        <stp/>
        <stp>StudyData</stp>
        <stp>SUBMINUTE((EP),1,Regular)</stp>
        <stp>FG</stp>
        <stp/>
        <stp>Time</stp>
        <stp>5</stp>
        <stp>-33</stp>
        <stp/>
        <stp/>
        <stp/>
        <stp/>
        <stp>T</stp>
        <tr r="T105" s="2"/>
        <tr r="AA34" s="1"/>
      </tp>
      <tp>
        <v>43167.633275462969</v>
        <stp/>
        <stp>StudyData</stp>
        <stp>SUBMINUTE((EP),5,Regular)</stp>
        <stp>FG</stp>
        <stp/>
        <stp>Time</stp>
        <stp>5</stp>
        <stp>-37</stp>
        <stp/>
        <stp/>
        <stp/>
        <stp/>
        <stp>T</stp>
        <tr r="Y117" s="2"/>
        <tr r="AE38" s="1"/>
      </tp>
      <tp>
        <v>43167.63526620371</v>
        <stp/>
        <stp>StudyData</stp>
        <stp>SUBMINUTE((EP),1,Regular)</stp>
        <stp>FG</stp>
        <stp/>
        <stp>Time</stp>
        <stp>5</stp>
        <stp>-13</stp>
        <stp/>
        <stp/>
        <stp/>
        <stp/>
        <stp>T</stp>
        <tr r="T45" s="2"/>
        <tr r="AA14" s="1"/>
      </tp>
      <tp>
        <v>43167.634432870371</v>
        <stp/>
        <stp>StudyData</stp>
        <stp>SUBMINUTE((EP),5,Regular)</stp>
        <stp>FG</stp>
        <stp/>
        <stp>Time</stp>
        <stp>5</stp>
        <stp>-17</stp>
        <stp/>
        <stp/>
        <stp/>
        <stp/>
        <stp>T</stp>
        <tr r="Y57" s="2"/>
        <tr r="AE18" s="1"/>
      </tp>
      <tp>
        <v>43167.634918981486</v>
        <stp/>
        <stp>StudyData</stp>
        <stp>SUBMINUTE((EP),1,Regular)</stp>
        <stp>FG</stp>
        <stp/>
        <stp>Time</stp>
        <stp>5</stp>
        <stp>-43</stp>
        <stp/>
        <stp/>
        <stp/>
        <stp/>
        <stp>T</stp>
        <tr r="T135" s="2"/>
        <tr r="AA44" s="1"/>
      </tp>
      <tp>
        <v>43167.632696759261</v>
        <stp/>
        <stp>StudyData</stp>
        <stp>SUBMINUTE((EP),5,Regular)</stp>
        <stp>FG</stp>
        <stp/>
        <stp>Time</stp>
        <stp>5</stp>
        <stp>-47</stp>
        <stp/>
        <stp/>
        <stp/>
        <stp/>
        <stp>T</stp>
        <tr r="Y147" s="2"/>
        <tr r="AE48" s="1"/>
      </tp>
      <tp>
        <v>43167.63480324074</v>
        <stp/>
        <stp>StudyData</stp>
        <stp>SUBMINUTE((EP),1,Regular)</stp>
        <stp>FG</stp>
        <stp/>
        <stp>Time</stp>
        <stp>5</stp>
        <stp>-53</stp>
        <stp/>
        <stp/>
        <stp/>
        <stp/>
        <stp>T</stp>
        <tr r="T165" s="2"/>
        <tr r="AA54" s="1"/>
      </tp>
      <tp>
        <v>43167.632118055553</v>
        <stp/>
        <stp>StudyData</stp>
        <stp>SUBMINUTE((EP),5,Regular)</stp>
        <stp>FG</stp>
        <stp/>
        <stp>Time</stp>
        <stp>5</stp>
        <stp>-57</stp>
        <stp/>
        <stp/>
        <stp/>
        <stp/>
        <stp>T</stp>
        <tr r="Y177" s="2"/>
        <tr r="AE58" s="1"/>
      </tp>
      <tp>
        <v>2739.75</v>
        <stp/>
        <stp>StudyData</stp>
        <stp>SUBMINUTE((EP),5,FillGap)</stp>
        <stp>Bar</stp>
        <stp/>
        <stp>Close</stp>
        <stp>5</stp>
        <stp>-40</stp>
        <stp/>
        <stp/>
        <stp/>
        <stp/>
        <stp>T</stp>
        <tr r="AI41" s="1"/>
        <tr r="AI41" s="1"/>
        <tr r="Z126" s="2"/>
        <tr r="Z126" s="2"/>
      </tp>
      <tp>
        <v>2739</v>
        <stp/>
        <stp>StudyData</stp>
        <stp>SUBMINUTE((EP),5,FillGap)</stp>
        <stp>Bar</stp>
        <stp/>
        <stp>Close</stp>
        <stp>5</stp>
        <stp>-50</stp>
        <stp/>
        <stp/>
        <stp/>
        <stp/>
        <stp>T</stp>
        <tr r="AI51" s="1"/>
        <tr r="AI51" s="1"/>
        <tr r="Z156" s="2"/>
        <tr r="Z156" s="2"/>
      </tp>
      <tp>
        <v>2738.75</v>
        <stp/>
        <stp>StudyData</stp>
        <stp>SUBMINUTE((EP),5,FillGap)</stp>
        <stp>Bar</stp>
        <stp/>
        <stp>Close</stp>
        <stp>5</stp>
        <stp>-60</stp>
        <stp/>
        <stp/>
        <stp/>
        <stp/>
        <stp>T</stp>
        <tr r="AI61" s="1"/>
        <tr r="AI61" s="1"/>
        <tr r="Z186" s="2"/>
        <tr r="Z186" s="2"/>
      </tp>
      <tp>
        <v>2738.75</v>
        <stp/>
        <stp>StudyData</stp>
        <stp>SUBMINUTE((EP),5,FillGap)</stp>
        <stp>Bar</stp>
        <stp/>
        <stp>Close</stp>
        <stp>5</stp>
        <stp>-10</stp>
        <stp/>
        <stp/>
        <stp/>
        <stp/>
        <stp>T</stp>
        <tr r="AI11" s="1"/>
        <tr r="AI11" s="1"/>
        <tr r="Z36" s="2"/>
        <tr r="Z36" s="2"/>
      </tp>
      <tp>
        <v>2739.25</v>
        <stp/>
        <stp>StudyData</stp>
        <stp>SUBMINUTE((EP),5,FillGap)</stp>
        <stp>Bar</stp>
        <stp/>
        <stp>Close</stp>
        <stp>5</stp>
        <stp>-20</stp>
        <stp/>
        <stp/>
        <stp/>
        <stp/>
        <stp>T</stp>
        <tr r="AI21" s="1"/>
        <tr r="AI21" s="1"/>
        <tr r="Z66" s="2"/>
        <tr r="Z66" s="2"/>
      </tp>
      <tp>
        <v>2739.75</v>
        <stp/>
        <stp>StudyData</stp>
        <stp>SUBMINUTE((EP),5,FillGap)</stp>
        <stp>Bar</stp>
        <stp/>
        <stp>Close</stp>
        <stp>5</stp>
        <stp>-30</stp>
        <stp/>
        <stp/>
        <stp/>
        <stp/>
        <stp>T</stp>
        <tr r="AI31" s="1"/>
        <tr r="AI31" s="1"/>
        <tr r="Z96" s="2"/>
        <tr r="Z96" s="2"/>
      </tp>
      <tp>
        <v>2739.5</v>
        <stp/>
        <stp>StudyData</stp>
        <stp>SUBMINUTE((EP),1,FillGap)</stp>
        <stp>Bar</stp>
        <stp/>
        <stp>Close</stp>
        <stp>5</stp>
        <stp>-40</stp>
        <stp/>
        <stp/>
        <stp/>
        <stp/>
        <stp>T</stp>
        <tr r="Y41" s="1"/>
        <tr r="Y41" s="1"/>
        <tr r="U126" s="2"/>
        <tr r="U126" s="2"/>
      </tp>
      <tp>
        <v>2738.75</v>
        <stp/>
        <stp>StudyData</stp>
        <stp>SUBMINUTE((EP),1,FillGap)</stp>
        <stp>Bar</stp>
        <stp/>
        <stp>Close</stp>
        <stp>5</stp>
        <stp>-50</stp>
        <stp/>
        <stp/>
        <stp/>
        <stp/>
        <stp>T</stp>
        <tr r="Y51" s="1"/>
        <tr r="Y51" s="1"/>
        <tr r="U156" s="2"/>
        <tr r="U156" s="2"/>
      </tp>
      <tp>
        <v>2739</v>
        <stp/>
        <stp>StudyData</stp>
        <stp>SUBMINUTE((EP),1,FillGap)</stp>
        <stp>Bar</stp>
        <stp/>
        <stp>Close</stp>
        <stp>5</stp>
        <stp>-60</stp>
        <stp/>
        <stp/>
        <stp/>
        <stp/>
        <stp>T</stp>
        <tr r="Y61" s="1"/>
        <tr r="Y61" s="1"/>
        <tr r="U186" s="2"/>
        <tr r="U186" s="2"/>
      </tp>
      <tp>
        <v>2739.5</v>
        <stp/>
        <stp>StudyData</stp>
        <stp>SUBMINUTE((EP),1,FillGap)</stp>
        <stp>Bar</stp>
        <stp/>
        <stp>Close</stp>
        <stp>5</stp>
        <stp>-10</stp>
        <stp/>
        <stp/>
        <stp/>
        <stp/>
        <stp>T</stp>
        <tr r="Y11" s="1"/>
        <tr r="Y11" s="1"/>
        <tr r="U36" s="2"/>
        <tr r="U36" s="2"/>
      </tp>
      <tp>
        <v>2739</v>
        <stp/>
        <stp>StudyData</stp>
        <stp>SUBMINUTE((EP),1,FillGap)</stp>
        <stp>Bar</stp>
        <stp/>
        <stp>Close</stp>
        <stp>5</stp>
        <stp>-20</stp>
        <stp/>
        <stp/>
        <stp/>
        <stp/>
        <stp>T</stp>
        <tr r="Y21" s="1"/>
        <tr r="Y21" s="1"/>
        <tr r="U66" s="2"/>
        <tr r="U66" s="2"/>
      </tp>
      <tp>
        <v>2739.25</v>
        <stp/>
        <stp>StudyData</stp>
        <stp>SUBMINUTE((EP),1,FillGap)</stp>
        <stp>Bar</stp>
        <stp/>
        <stp>Close</stp>
        <stp>5</stp>
        <stp>-30</stp>
        <stp/>
        <stp/>
        <stp/>
        <stp/>
        <stp>T</stp>
        <tr r="Y31" s="1"/>
        <tr r="Y31" s="1"/>
        <tr r="U96" s="2"/>
        <tr r="U96" s="2"/>
      </tp>
      <tp>
        <v>43167.635162037041</v>
        <stp/>
        <stp>StudyData</stp>
        <stp>SUBMINUTE((EP),1,Regular)</stp>
        <stp>FG</stp>
        <stp/>
        <stp>Time</stp>
        <stp>5</stp>
        <stp>-22</stp>
        <stp/>
        <stp/>
        <stp/>
        <stp/>
        <stp>T</stp>
        <tr r="T72" s="2"/>
        <tr r="AA23" s="1"/>
      </tp>
      <tp>
        <v>43167.633912037032</v>
        <stp/>
        <stp>StudyData</stp>
        <stp>SUBMINUTE((EP),5,Regular)</stp>
        <stp>FG</stp>
        <stp/>
        <stp>Time</stp>
        <stp>5</stp>
        <stp>-26</stp>
        <stp/>
        <stp/>
        <stp/>
        <stp/>
        <stp>T</stp>
        <tr r="Y84" s="2"/>
        <tr r="AE27" s="1"/>
      </tp>
      <tp>
        <v>43167.635046296302</v>
        <stp/>
        <stp>StudyData</stp>
        <stp>SUBMINUTE((EP),1,Regular)</stp>
        <stp>FG</stp>
        <stp/>
        <stp>Time</stp>
        <stp>5</stp>
        <stp>-32</stp>
        <stp/>
        <stp/>
        <stp/>
        <stp/>
        <stp>T</stp>
        <tr r="T102" s="2"/>
        <tr r="AA33" s="1"/>
      </tp>
      <tp>
        <v>43167.633333333331</v>
        <stp/>
        <stp>StudyData</stp>
        <stp>SUBMINUTE((EP),5,Regular)</stp>
        <stp>FG</stp>
        <stp/>
        <stp>Time</stp>
        <stp>5</stp>
        <stp>-36</stp>
        <stp/>
        <stp/>
        <stp/>
        <stp/>
        <stp>T</stp>
        <tr r="Y114" s="2"/>
        <tr r="AE37" s="1"/>
      </tp>
      <tp>
        <v>43167.635277777779</v>
        <stp/>
        <stp>StudyData</stp>
        <stp>SUBMINUTE((EP),1,Regular)</stp>
        <stp>FG</stp>
        <stp/>
        <stp>Time</stp>
        <stp>5</stp>
        <stp>-12</stp>
        <stp/>
        <stp/>
        <stp/>
        <stp/>
        <stp>T</stp>
        <tr r="T42" s="2"/>
        <tr r="AA13" s="1"/>
      </tp>
      <tp>
        <v>43167.63449074074</v>
        <stp/>
        <stp>StudyData</stp>
        <stp>SUBMINUTE((EP),5,Regular)</stp>
        <stp>FG</stp>
        <stp/>
        <stp>Time</stp>
        <stp>5</stp>
        <stp>-16</stp>
        <stp/>
        <stp/>
        <stp/>
        <stp/>
        <stp>T</stp>
        <tr r="Y54" s="2"/>
        <tr r="AE17" s="1"/>
      </tp>
      <tp>
        <v>43167.634930555556</v>
        <stp/>
        <stp>StudyData</stp>
        <stp>SUBMINUTE((EP),1,Regular)</stp>
        <stp>FG</stp>
        <stp/>
        <stp>Time</stp>
        <stp>5</stp>
        <stp>-42</stp>
        <stp/>
        <stp/>
        <stp/>
        <stp/>
        <stp>T</stp>
        <tr r="T132" s="2"/>
        <tr r="AA43" s="1"/>
      </tp>
      <tp>
        <v>43167.632754629631</v>
        <stp/>
        <stp>StudyData</stp>
        <stp>SUBMINUTE((EP),5,Regular)</stp>
        <stp>FG</stp>
        <stp/>
        <stp>Time</stp>
        <stp>5</stp>
        <stp>-46</stp>
        <stp/>
        <stp/>
        <stp/>
        <stp/>
        <stp>T</stp>
        <tr r="Y144" s="2"/>
        <tr r="AE47" s="1"/>
      </tp>
      <tp>
        <v>43167.634814814817</v>
        <stp/>
        <stp>StudyData</stp>
        <stp>SUBMINUTE((EP),1,Regular)</stp>
        <stp>FG</stp>
        <stp/>
        <stp>Time</stp>
        <stp>5</stp>
        <stp>-52</stp>
        <stp/>
        <stp/>
        <stp/>
        <stp/>
        <stp>T</stp>
        <tr r="T162" s="2"/>
        <tr r="AA53" s="1"/>
      </tp>
      <tp>
        <v>43167.63217592593</v>
        <stp/>
        <stp>StudyData</stp>
        <stp>SUBMINUTE((EP),5,Regular)</stp>
        <stp>FG</stp>
        <stp/>
        <stp>Time</stp>
        <stp>5</stp>
        <stp>-56</stp>
        <stp/>
        <stp/>
        <stp/>
        <stp/>
        <stp>T</stp>
        <tr r="Y174" s="2"/>
        <tr r="AE57" s="1"/>
      </tp>
      <tp>
        <v>43167.635405092595</v>
        <stp/>
        <stp>StudyData</stp>
        <stp>SUBMINUTE((EP),1,Regular)</stp>
        <stp>FG</stp>
        <stp/>
        <stp>Time</stp>
        <stp>5</stp>
        <stp>-1</stp>
        <stp/>
        <stp/>
        <stp/>
        <stp/>
        <stp>T</stp>
        <tr r="AA2" s="1"/>
        <tr r="T9" s="2"/>
      </tp>
      <tp>
        <v>43167.635358796302</v>
        <stp/>
        <stp>StudyData</stp>
        <stp>SUBMINUTE((EP),5,Regular)</stp>
        <stp>FG</stp>
        <stp/>
        <stp>Time</stp>
        <stp>5</stp>
        <stp>-1</stp>
        <stp/>
        <stp/>
        <stp/>
        <stp/>
        <stp>T</stp>
        <tr r="AE2" s="1"/>
        <tr r="Y9" s="2"/>
      </tp>
      <tp>
        <v>2739.5</v>
        <stp/>
        <stp>StudyData</stp>
        <stp>SUBMINUTE((EP),5,FillGap)</stp>
        <stp>Bar</stp>
        <stp/>
        <stp>Close</stp>
        <stp>5</stp>
        <stp>-41</stp>
        <stp/>
        <stp/>
        <stp/>
        <stp/>
        <stp>T</stp>
        <tr r="AI42" s="1"/>
        <tr r="AI42" s="1"/>
        <tr r="Z129" s="2"/>
        <tr r="Z129" s="2"/>
      </tp>
      <tp>
        <v>2738.75</v>
        <stp/>
        <stp>StudyData</stp>
        <stp>SUBMINUTE((EP),5,FillGap)</stp>
        <stp>Bar</stp>
        <stp/>
        <stp>Close</stp>
        <stp>5</stp>
        <stp>-51</stp>
        <stp/>
        <stp/>
        <stp/>
        <stp/>
        <stp>T</stp>
        <tr r="AI52" s="1"/>
        <tr r="AI52" s="1"/>
        <tr r="Z159" s="2"/>
        <tr r="Z159" s="2"/>
      </tp>
      <tp>
        <v>2738.5</v>
        <stp/>
        <stp>StudyData</stp>
        <stp>SUBMINUTE((EP),5,FillGap)</stp>
        <stp>Bar</stp>
        <stp/>
        <stp>Close</stp>
        <stp>5</stp>
        <stp>-11</stp>
        <stp/>
        <stp/>
        <stp/>
        <stp/>
        <stp>T</stp>
        <tr r="AI12" s="1"/>
        <tr r="AI12" s="1"/>
        <tr r="Z39" s="2"/>
        <tr r="Z39" s="2"/>
      </tp>
      <tp>
        <v>2739.25</v>
        <stp/>
        <stp>StudyData</stp>
        <stp>SUBMINUTE((EP),5,FillGap)</stp>
        <stp>Bar</stp>
        <stp/>
        <stp>Close</stp>
        <stp>5</stp>
        <stp>-21</stp>
        <stp/>
        <stp/>
        <stp/>
        <stp/>
        <stp>T</stp>
        <tr r="AI22" s="1"/>
        <tr r="AI22" s="1"/>
        <tr r="Z69" s="2"/>
        <tr r="Z69" s="2"/>
      </tp>
      <tp>
        <v>2739.75</v>
        <stp/>
        <stp>StudyData</stp>
        <stp>SUBMINUTE((EP),5,FillGap)</stp>
        <stp>Bar</stp>
        <stp/>
        <stp>Close</stp>
        <stp>5</stp>
        <stp>-31</stp>
        <stp/>
        <stp/>
        <stp/>
        <stp/>
        <stp>T</stp>
        <tr r="AI32" s="1"/>
        <tr r="AI32" s="1"/>
        <tr r="Z99" s="2"/>
        <tr r="Z99" s="2"/>
      </tp>
      <tp>
        <v>2739.5</v>
        <stp/>
        <stp>StudyData</stp>
        <stp>SUBMINUTE((EP),1,FillGap)</stp>
        <stp>Bar</stp>
        <stp/>
        <stp>Close</stp>
        <stp>5</stp>
        <stp>-41</stp>
        <stp/>
        <stp/>
        <stp/>
        <stp/>
        <stp>T</stp>
        <tr r="Y42" s="1"/>
        <tr r="Y42" s="1"/>
        <tr r="U129" s="2"/>
        <tr r="U129" s="2"/>
      </tp>
      <tp>
        <v>2738.5</v>
        <stp/>
        <stp>StudyData</stp>
        <stp>SUBMINUTE((EP),1,FillGap)</stp>
        <stp>Bar</stp>
        <stp/>
        <stp>Close</stp>
        <stp>5</stp>
        <stp>-51</stp>
        <stp/>
        <stp/>
        <stp/>
        <stp/>
        <stp>T</stp>
        <tr r="Y52" s="1"/>
        <tr r="Y52" s="1"/>
        <tr r="U159" s="2"/>
        <tr r="U159" s="2"/>
      </tp>
      <tp>
        <v>2739.25</v>
        <stp/>
        <stp>StudyData</stp>
        <stp>SUBMINUTE((EP),1,FillGap)</stp>
        <stp>Bar</stp>
        <stp/>
        <stp>Close</stp>
        <stp>5</stp>
        <stp>-11</stp>
        <stp/>
        <stp/>
        <stp/>
        <stp/>
        <stp>T</stp>
        <tr r="Y12" s="1"/>
        <tr r="Y12" s="1"/>
        <tr r="U39" s="2"/>
        <tr r="U39" s="2"/>
      </tp>
      <tp>
        <v>2739</v>
        <stp/>
        <stp>StudyData</stp>
        <stp>SUBMINUTE((EP),1,FillGap)</stp>
        <stp>Bar</stp>
        <stp/>
        <stp>Close</stp>
        <stp>5</stp>
        <stp>-21</stp>
        <stp/>
        <stp/>
        <stp/>
        <stp/>
        <stp>T</stp>
        <tr r="Y22" s="1"/>
        <tr r="Y22" s="1"/>
        <tr r="U69" s="2"/>
        <tr r="U69" s="2"/>
      </tp>
      <tp>
        <v>2739.25</v>
        <stp/>
        <stp>StudyData</stp>
        <stp>SUBMINUTE((EP),1,FillGap)</stp>
        <stp>Bar</stp>
        <stp/>
        <stp>Close</stp>
        <stp>5</stp>
        <stp>-31</stp>
        <stp/>
        <stp/>
        <stp/>
        <stp/>
        <stp>T</stp>
        <tr r="Y32" s="1"/>
        <tr r="Y32" s="1"/>
        <tr r="U99" s="2"/>
        <tr r="U99" s="2"/>
      </tp>
      <tp>
        <v>43167.635127314818</v>
        <stp/>
        <stp>StudyData</stp>
        <stp>SUBMINUTE((EP),1,Regular)</stp>
        <stp>FG</stp>
        <stp/>
        <stp>Time</stp>
        <stp>5</stp>
        <stp>-25</stp>
        <stp/>
        <stp/>
        <stp/>
        <stp/>
        <stp>T</stp>
        <tr r="T81" s="2"/>
        <tr r="AA26" s="1"/>
      </tp>
      <tp>
        <v>43167.634201388886</v>
        <stp/>
        <stp>StudyData</stp>
        <stp>SUBMINUTE((EP),5,Regular)</stp>
        <stp>FG</stp>
        <stp/>
        <stp>Time</stp>
        <stp>5</stp>
        <stp>-21</stp>
        <stp/>
        <stp/>
        <stp/>
        <stp/>
        <stp>T</stp>
        <tr r="Y69" s="2"/>
        <tr r="AE22" s="1"/>
      </tp>
      <tp>
        <v>43167.635011574079</v>
        <stp/>
        <stp>StudyData</stp>
        <stp>SUBMINUTE((EP),1,Regular)</stp>
        <stp>FG</stp>
        <stp/>
        <stp>Time</stp>
        <stp>5</stp>
        <stp>-35</stp>
        <stp/>
        <stp/>
        <stp/>
        <stp/>
        <stp>T</stp>
        <tr r="T111" s="2"/>
        <tr r="AA36" s="1"/>
      </tp>
      <tp>
        <v>43167.633622685185</v>
        <stp/>
        <stp>StudyData</stp>
        <stp>SUBMINUTE((EP),5,Regular)</stp>
        <stp>FG</stp>
        <stp/>
        <stp>Time</stp>
        <stp>5</stp>
        <stp>-31</stp>
        <stp/>
        <stp/>
        <stp/>
        <stp/>
        <stp>T</stp>
        <tr r="Y99" s="2"/>
        <tr r="AE32" s="1"/>
      </tp>
      <tp>
        <v>43167.635243055556</v>
        <stp/>
        <stp>StudyData</stp>
        <stp>SUBMINUTE((EP),1,Regular)</stp>
        <stp>FG</stp>
        <stp/>
        <stp>Time</stp>
        <stp>5</stp>
        <stp>-15</stp>
        <stp/>
        <stp/>
        <stp/>
        <stp/>
        <stp>T</stp>
        <tr r="T51" s="2"/>
        <tr r="AA16" s="1"/>
      </tp>
      <tp>
        <v>43167.634780092594</v>
        <stp/>
        <stp>StudyData</stp>
        <stp>SUBMINUTE((EP),5,Regular)</stp>
        <stp>FG</stp>
        <stp/>
        <stp>Time</stp>
        <stp>5</stp>
        <stp>-11</stp>
        <stp/>
        <stp/>
        <stp/>
        <stp/>
        <stp>T</stp>
        <tr r="Y39" s="2"/>
        <tr r="AE12" s="1"/>
      </tp>
      <tp>
        <v>43167.634895833333</v>
        <stp/>
        <stp>StudyData</stp>
        <stp>SUBMINUTE((EP),1,Regular)</stp>
        <stp>FG</stp>
        <stp/>
        <stp>Time</stp>
        <stp>5</stp>
        <stp>-45</stp>
        <stp/>
        <stp/>
        <stp/>
        <stp/>
        <stp>T</stp>
        <tr r="T141" s="2"/>
        <tr r="AA46" s="1"/>
      </tp>
      <tp>
        <v>43167.633043981485</v>
        <stp/>
        <stp>StudyData</stp>
        <stp>SUBMINUTE((EP),5,Regular)</stp>
        <stp>FG</stp>
        <stp/>
        <stp>Time</stp>
        <stp>5</stp>
        <stp>-41</stp>
        <stp/>
        <stp/>
        <stp/>
        <stp/>
        <stp>T</stp>
        <tr r="Y129" s="2"/>
        <tr r="AE42" s="1"/>
      </tp>
      <tp>
        <v>43167.634780092594</v>
        <stp/>
        <stp>StudyData</stp>
        <stp>SUBMINUTE((EP),1,Regular)</stp>
        <stp>FG</stp>
        <stp/>
        <stp>Time</stp>
        <stp>5</stp>
        <stp>-55</stp>
        <stp/>
        <stp/>
        <stp/>
        <stp/>
        <stp>T</stp>
        <tr r="T171" s="2"/>
        <tr r="AA56" s="1"/>
      </tp>
      <tp>
        <v>43167.632465277777</v>
        <stp/>
        <stp>StudyData</stp>
        <stp>SUBMINUTE((EP),5,Regular)</stp>
        <stp>FG</stp>
        <stp/>
        <stp>Time</stp>
        <stp>5</stp>
        <stp>-51</stp>
        <stp/>
        <stp/>
        <stp/>
        <stp/>
        <stp>T</stp>
        <tr r="Y159" s="2"/>
        <tr r="AE52" s="1"/>
      </tp>
      <tp>
        <v>103</v>
        <stp/>
        <stp>StudyData</stp>
        <stp>BAVolCr.AskVol^(SUBMINUTE((EP),1,FillGap),5,0)</stp>
        <stp>Bar</stp>
        <stp/>
        <stp>Open</stp>
        <stp>5</stp>
        <stp>-8</stp>
        <stp/>
        <stp/>
        <stp/>
        <stp/>
        <stp>T</stp>
        <tr r="AC9" s="1"/>
      </tp>
      <tp>
        <v>1219</v>
        <stp/>
        <stp>StudyData</stp>
        <stp>BAVolCr.AskVol^(SUBMINUTE((EP),5,FillGap),5,0)</stp>
        <stp>Bar</stp>
        <stp/>
        <stp>Open</stp>
        <stp>5</stp>
        <stp>-8</stp>
        <stp/>
        <stp/>
        <stp/>
        <stp/>
        <stp>T</stp>
        <tr r="AK9" s="1"/>
      </tp>
      <tp>
        <v>43167.635347222225</v>
        <stp/>
        <stp>StudyData</stp>
        <stp>SUBMINUTE((EP),1,Regular)</stp>
        <stp>FG</stp>
        <stp/>
        <stp>Time</stp>
        <stp>5</stp>
        <stp>-6</stp>
        <stp/>
        <stp/>
        <stp/>
        <stp/>
        <stp>T</stp>
        <tr r="T24" s="2"/>
        <tr r="AA7" s="1"/>
      </tp>
      <tp>
        <v>2739</v>
        <stp/>
        <stp>StudyData</stp>
        <stp>SUBMINUTE((EP),1,FillGap)</stp>
        <stp>Bar</stp>
        <stp/>
        <stp>Close</stp>
        <stp>5</stp>
        <stp>-8</stp>
        <stp/>
        <stp/>
        <stp/>
        <stp/>
        <stp>T</stp>
        <tr r="Y9" s="1"/>
        <tr r="Y9" s="1"/>
        <tr r="U30" s="2"/>
        <tr r="U30" s="2"/>
      </tp>
      <tp>
        <v>2739.75</v>
        <stp/>
        <stp>StudyData</stp>
        <stp>SUBMINUTE((EP),5,FillGap)</stp>
        <stp>Bar</stp>
        <stp/>
        <stp>Close</stp>
        <stp>5</stp>
        <stp>-8</stp>
        <stp/>
        <stp/>
        <stp/>
        <stp/>
        <stp>T</stp>
        <tr r="AI9" s="1"/>
        <tr r="AI9" s="1"/>
        <tr r="Z30" s="2"/>
        <tr r="Z30" s="2"/>
      </tp>
      <tp>
        <v>43167.635069444448</v>
        <stp/>
        <stp>StudyData</stp>
        <stp>SUBMINUTE((EP),5,Regular)</stp>
        <stp>FG</stp>
        <stp/>
        <stp>Time</stp>
        <stp>5</stp>
        <stp>-6</stp>
        <stp/>
        <stp/>
        <stp/>
        <stp/>
        <stp>T</stp>
        <tr r="Y24" s="2"/>
        <tr r="AE7" s="1"/>
      </tp>
      <tp>
        <v>2739.25</v>
        <stp/>
        <stp>StudyData</stp>
        <stp>SUBMINUTE((EP),5,FillGap)</stp>
        <stp>Bar</stp>
        <stp/>
        <stp>Close</stp>
        <stp>5</stp>
        <stp>-46</stp>
        <stp/>
        <stp/>
        <stp/>
        <stp/>
        <stp>T</stp>
        <tr r="AI47" s="1"/>
        <tr r="AI47" s="1"/>
        <tr r="Z144" s="2"/>
        <tr r="Z144" s="2"/>
      </tp>
      <tp>
        <v>2738.75</v>
        <stp/>
        <stp>StudyData</stp>
        <stp>SUBMINUTE((EP),5,FillGap)</stp>
        <stp>Bar</stp>
        <stp/>
        <stp>Close</stp>
        <stp>5</stp>
        <stp>-56</stp>
        <stp/>
        <stp/>
        <stp/>
        <stp/>
        <stp>T</stp>
        <tr r="AI57" s="1"/>
        <tr r="AI57" s="1"/>
        <tr r="Z174" s="2"/>
        <tr r="Z174" s="2"/>
      </tp>
      <tp>
        <v>2739</v>
        <stp/>
        <stp>StudyData</stp>
        <stp>SUBMINUTE((EP),5,FillGap)</stp>
        <stp>Bar</stp>
        <stp/>
        <stp>Close</stp>
        <stp>5</stp>
        <stp>-16</stp>
        <stp/>
        <stp/>
        <stp/>
        <stp/>
        <stp>T</stp>
        <tr r="AI17" s="1"/>
        <tr r="AI17" s="1"/>
        <tr r="Z54" s="2"/>
        <tr r="Z54" s="2"/>
      </tp>
      <tp>
        <v>2739.75</v>
        <stp/>
        <stp>StudyData</stp>
        <stp>SUBMINUTE((EP),5,FillGap)</stp>
        <stp>Bar</stp>
        <stp/>
        <stp>Close</stp>
        <stp>5</stp>
        <stp>-26</stp>
        <stp/>
        <stp/>
        <stp/>
        <stp/>
        <stp>T</stp>
        <tr r="AI27" s="1"/>
        <tr r="AI27" s="1"/>
        <tr r="Z84" s="2"/>
        <tr r="Z84" s="2"/>
      </tp>
      <tp>
        <v>2739.5</v>
        <stp/>
        <stp>StudyData</stp>
        <stp>SUBMINUTE((EP),5,FillGap)</stp>
        <stp>Bar</stp>
        <stp/>
        <stp>Close</stp>
        <stp>5</stp>
        <stp>-36</stp>
        <stp/>
        <stp/>
        <stp/>
        <stp/>
        <stp>T</stp>
        <tr r="AI37" s="1"/>
        <tr r="AI37" s="1"/>
        <tr r="Z114" s="2"/>
        <tr r="Z114" s="2"/>
      </tp>
      <tp>
        <v>2738.75</v>
        <stp/>
        <stp>StudyData</stp>
        <stp>SUBMINUTE((EP),1,FillGap)</stp>
        <stp>Bar</stp>
        <stp/>
        <stp>Close</stp>
        <stp>5</stp>
        <stp>-46</stp>
        <stp/>
        <stp/>
        <stp/>
        <stp/>
        <stp>T</stp>
        <tr r="Y47" s="1"/>
        <tr r="Y47" s="1"/>
        <tr r="U144" s="2"/>
        <tr r="U144" s="2"/>
      </tp>
      <tp>
        <v>2738.75</v>
        <stp/>
        <stp>StudyData</stp>
        <stp>SUBMINUTE((EP),1,FillGap)</stp>
        <stp>Bar</stp>
        <stp/>
        <stp>Close</stp>
        <stp>5</stp>
        <stp>-56</stp>
        <stp/>
        <stp/>
        <stp/>
        <stp/>
        <stp>T</stp>
        <tr r="Y57" s="1"/>
        <tr r="Y57" s="1"/>
        <tr r="U174" s="2"/>
        <tr r="U174" s="2"/>
      </tp>
      <tp>
        <v>2739.25</v>
        <stp/>
        <stp>StudyData</stp>
        <stp>SUBMINUTE((EP),1,FillGap)</stp>
        <stp>Bar</stp>
        <stp/>
        <stp>Close</stp>
        <stp>5</stp>
        <stp>-16</stp>
        <stp/>
        <stp/>
        <stp/>
        <stp/>
        <stp>T</stp>
        <tr r="Y17" s="1"/>
        <tr r="Y17" s="1"/>
        <tr r="U54" s="2"/>
        <tr r="U54" s="2"/>
      </tp>
      <tp>
        <v>2739</v>
        <stp/>
        <stp>StudyData</stp>
        <stp>SUBMINUTE((EP),1,FillGap)</stp>
        <stp>Bar</stp>
        <stp/>
        <stp>Close</stp>
        <stp>5</stp>
        <stp>-26</stp>
        <stp/>
        <stp/>
        <stp/>
        <stp/>
        <stp>T</stp>
        <tr r="Y27" s="1"/>
        <tr r="Y27" s="1"/>
        <tr r="U84" s="2"/>
        <tr r="U84" s="2"/>
      </tp>
      <tp>
        <v>2739.75</v>
        <stp/>
        <stp>StudyData</stp>
        <stp>SUBMINUTE((EP),1,FillGap)</stp>
        <stp>Bar</stp>
        <stp/>
        <stp>Close</stp>
        <stp>5</stp>
        <stp>-36</stp>
        <stp/>
        <stp/>
        <stp/>
        <stp/>
        <stp>T</stp>
        <tr r="Y37" s="1"/>
        <tr r="Y37" s="1"/>
        <tr r="U114" s="2"/>
        <tr r="U114" s="2"/>
      </tp>
      <tp>
        <v>2739.25</v>
        <stp/>
        <stp>ContractData</stp>
        <stp>EP</stp>
        <stp>LastTradeToday</stp>
        <stp/>
        <stp>T</stp>
        <tr r="G46" s="2"/>
        <tr r="F38" s="2"/>
      </tp>
      <tp>
        <v>43167.635138888894</v>
        <stp/>
        <stp>StudyData</stp>
        <stp>SUBMINUTE((EP),1,Regular)</stp>
        <stp>FG</stp>
        <stp/>
        <stp>Time</stp>
        <stp>5</stp>
        <stp>-24</stp>
        <stp/>
        <stp/>
        <stp/>
        <stp/>
        <stp>T</stp>
        <tr r="T78" s="2"/>
        <tr r="AA25" s="1"/>
      </tp>
      <tp>
        <v>43167.634259259263</v>
        <stp/>
        <stp>StudyData</stp>
        <stp>SUBMINUTE((EP),5,Regular)</stp>
        <stp>FG</stp>
        <stp/>
        <stp>Time</stp>
        <stp>5</stp>
        <stp>-20</stp>
        <stp/>
        <stp/>
        <stp/>
        <stp/>
        <stp>T</stp>
        <tr r="Y66" s="2"/>
        <tr r="AE21" s="1"/>
      </tp>
      <tp>
        <v>43167.635023148148</v>
        <stp/>
        <stp>StudyData</stp>
        <stp>SUBMINUTE((EP),1,Regular)</stp>
        <stp>FG</stp>
        <stp/>
        <stp>Time</stp>
        <stp>5</stp>
        <stp>-34</stp>
        <stp/>
        <stp/>
        <stp/>
        <stp/>
        <stp>T</stp>
        <tr r="T108" s="2"/>
        <tr r="AA35" s="1"/>
      </tp>
      <tp>
        <v>43167.633680555555</v>
        <stp/>
        <stp>StudyData</stp>
        <stp>SUBMINUTE((EP),5,Regular)</stp>
        <stp>FG</stp>
        <stp/>
        <stp>Time</stp>
        <stp>5</stp>
        <stp>-30</stp>
        <stp/>
        <stp/>
        <stp/>
        <stp/>
        <stp>T</stp>
        <tr r="Y96" s="2"/>
        <tr r="AE31" s="1"/>
      </tp>
      <tp>
        <v>43167.635254629633</v>
        <stp/>
        <stp>StudyData</stp>
        <stp>SUBMINUTE((EP),1,Regular)</stp>
        <stp>FG</stp>
        <stp/>
        <stp>Time</stp>
        <stp>5</stp>
        <stp>-14</stp>
        <stp/>
        <stp/>
        <stp/>
        <stp/>
        <stp>T</stp>
        <tr r="T48" s="2"/>
        <tr r="AA15" s="1"/>
      </tp>
      <tp>
        <v>43167.634837962964</v>
        <stp/>
        <stp>StudyData</stp>
        <stp>SUBMINUTE((EP),5,Regular)</stp>
        <stp>FG</stp>
        <stp/>
        <stp>Time</stp>
        <stp>5</stp>
        <stp>-10</stp>
        <stp/>
        <stp/>
        <stp/>
        <stp/>
        <stp>T</stp>
        <tr r="Y36" s="2"/>
        <tr r="AE11" s="1"/>
      </tp>
      <tp>
        <v>43167.631944444445</v>
        <stp/>
        <stp>StudyData</stp>
        <stp>SUBMINUTE((EP),5,Regular)</stp>
        <stp>FG</stp>
        <stp/>
        <stp>Time</stp>
        <stp>5</stp>
        <stp>-60</stp>
        <stp/>
        <stp/>
        <stp/>
        <stp/>
        <stp>T</stp>
        <tr r="Y186" s="2"/>
        <tr r="AE61" s="1"/>
      </tp>
      <tp>
        <v>43167.63490740741</v>
        <stp/>
        <stp>StudyData</stp>
        <stp>SUBMINUTE((EP),1,Regular)</stp>
        <stp>FG</stp>
        <stp/>
        <stp>Time</stp>
        <stp>5</stp>
        <stp>-44</stp>
        <stp/>
        <stp/>
        <stp/>
        <stp/>
        <stp>T</stp>
        <tr r="T138" s="2"/>
        <tr r="AA45" s="1"/>
      </tp>
      <tp>
        <v>43167.633101851854</v>
        <stp/>
        <stp>StudyData</stp>
        <stp>SUBMINUTE((EP),5,Regular)</stp>
        <stp>FG</stp>
        <stp/>
        <stp>Time</stp>
        <stp>5</stp>
        <stp>-40</stp>
        <stp/>
        <stp/>
        <stp/>
        <stp/>
        <stp>T</stp>
        <tr r="Y126" s="2"/>
        <tr r="AE41" s="1"/>
      </tp>
      <tp>
        <v>43167.634791666671</v>
        <stp/>
        <stp>StudyData</stp>
        <stp>SUBMINUTE((EP),1,Regular)</stp>
        <stp>FG</stp>
        <stp/>
        <stp>Time</stp>
        <stp>5</stp>
        <stp>-54</stp>
        <stp/>
        <stp/>
        <stp/>
        <stp/>
        <stp>T</stp>
        <tr r="T168" s="2"/>
        <tr r="AA55" s="1"/>
      </tp>
      <tp>
        <v>43167.632523148146</v>
        <stp/>
        <stp>StudyData</stp>
        <stp>SUBMINUTE((EP),5,Regular)</stp>
        <stp>FG</stp>
        <stp/>
        <stp>Time</stp>
        <stp>5</stp>
        <stp>-50</stp>
        <stp/>
        <stp/>
        <stp/>
        <stp/>
        <stp>T</stp>
        <tr r="Y156" s="2"/>
        <tr r="AE51" s="1"/>
      </tp>
      <tp>
        <v>112</v>
        <stp/>
        <stp>StudyData</stp>
        <stp>BAVolCr.AskVol^(SUBMINUTE((EP),1,FillGap),5,0)</stp>
        <stp>Bar</stp>
        <stp/>
        <stp>Open</stp>
        <stp>5</stp>
        <stp>-9</stp>
        <stp/>
        <stp/>
        <stp/>
        <stp/>
        <stp>T</stp>
        <tr r="AC10" s="1"/>
      </tp>
      <tp>
        <v>728</v>
        <stp/>
        <stp>StudyData</stp>
        <stp>BAVolCr.AskVol^(SUBMINUTE((EP),5,FillGap),5,0)</stp>
        <stp>Bar</stp>
        <stp/>
        <stp>Open</stp>
        <stp>5</stp>
        <stp>-9</stp>
        <stp/>
        <stp/>
        <stp/>
        <stp/>
        <stp>T</stp>
        <tr r="AK10" s="1"/>
      </tp>
      <tp>
        <v>43167.635335648149</v>
        <stp/>
        <stp>StudyData</stp>
        <stp>SUBMINUTE((EP),1,Regular)</stp>
        <stp>FG</stp>
        <stp/>
        <stp>Time</stp>
        <stp>5</stp>
        <stp>-7</stp>
        <stp/>
        <stp/>
        <stp/>
        <stp/>
        <stp>T</stp>
        <tr r="T27" s="2"/>
        <tr r="AA8" s="1"/>
      </tp>
      <tp>
        <v>2739.25</v>
        <stp/>
        <stp>StudyData</stp>
        <stp>SUBMINUTE((EP),1,FillGap)</stp>
        <stp>Bar</stp>
        <stp/>
        <stp>Close</stp>
        <stp>5</stp>
        <stp>-9</stp>
        <stp/>
        <stp/>
        <stp/>
        <stp/>
        <stp>T</stp>
        <tr r="Y10" s="1"/>
        <tr r="Y10" s="1"/>
        <tr r="U33" s="2"/>
        <tr r="U33" s="2"/>
      </tp>
      <tp>
        <v>2739.5</v>
        <stp/>
        <stp>StudyData</stp>
        <stp>SUBMINUTE((EP),5,FillGap)</stp>
        <stp>Bar</stp>
        <stp/>
        <stp>Close</stp>
        <stp>5</stp>
        <stp>-9</stp>
        <stp/>
        <stp/>
        <stp/>
        <stp/>
        <stp>T</stp>
        <tr r="AI10" s="1"/>
        <tr r="AI10" s="1"/>
        <tr r="Z33" s="2"/>
        <tr r="Z33" s="2"/>
      </tp>
      <tp>
        <v>43167.635011574079</v>
        <stp/>
        <stp>StudyData</stp>
        <stp>SUBMINUTE((EP),5,Regular)</stp>
        <stp>FG</stp>
        <stp/>
        <stp>Time</stp>
        <stp>5</stp>
        <stp>-7</stp>
        <stp/>
        <stp/>
        <stp/>
        <stp/>
        <stp>T</stp>
        <tr r="Y27" s="2"/>
        <tr r="AE8" s="1"/>
      </tp>
      <tp>
        <v>2739</v>
        <stp/>
        <stp>StudyData</stp>
        <stp>SUBMINUTE((EP),5,FillGap)</stp>
        <stp>Bar</stp>
        <stp/>
        <stp>Close</stp>
        <stp>5</stp>
        <stp>-47</stp>
        <stp/>
        <stp/>
        <stp/>
        <stp/>
        <stp>T</stp>
        <tr r="AI48" s="1"/>
        <tr r="AI48" s="1"/>
        <tr r="Z147" s="2"/>
        <tr r="Z147" s="2"/>
      </tp>
      <tp>
        <v>2738.75</v>
        <stp/>
        <stp>StudyData</stp>
        <stp>SUBMINUTE((EP),5,FillGap)</stp>
        <stp>Bar</stp>
        <stp/>
        <stp>Close</stp>
        <stp>5</stp>
        <stp>-57</stp>
        <stp/>
        <stp/>
        <stp/>
        <stp/>
        <stp>T</stp>
        <tr r="AI58" s="1"/>
        <tr r="AI58" s="1"/>
        <tr r="Z177" s="2"/>
        <tr r="Z177" s="2"/>
      </tp>
      <tp>
        <v>2739</v>
        <stp/>
        <stp>StudyData</stp>
        <stp>SUBMINUTE((EP),5,FillGap)</stp>
        <stp>Bar</stp>
        <stp/>
        <stp>Close</stp>
        <stp>5</stp>
        <stp>-17</stp>
        <stp/>
        <stp/>
        <stp/>
        <stp/>
        <stp>T</stp>
        <tr r="AI18" s="1"/>
        <tr r="AI18" s="1"/>
        <tr r="Z57" s="2"/>
        <tr r="Z57" s="2"/>
      </tp>
      <tp>
        <v>2739.75</v>
        <stp/>
        <stp>StudyData</stp>
        <stp>SUBMINUTE((EP),5,FillGap)</stp>
        <stp>Bar</stp>
        <stp/>
        <stp>Close</stp>
        <stp>5</stp>
        <stp>-27</stp>
        <stp/>
        <stp/>
        <stp/>
        <stp/>
        <stp>T</stp>
        <tr r="AI28" s="1"/>
        <tr r="AI28" s="1"/>
        <tr r="Z87" s="2"/>
        <tr r="Z87" s="2"/>
      </tp>
      <tp>
        <v>2739.5</v>
        <stp/>
        <stp>StudyData</stp>
        <stp>SUBMINUTE((EP),5,FillGap)</stp>
        <stp>Bar</stp>
        <stp/>
        <stp>Close</stp>
        <stp>5</stp>
        <stp>-37</stp>
        <stp/>
        <stp/>
        <stp/>
        <stp/>
        <stp>T</stp>
        <tr r="AI38" s="1"/>
        <tr r="AI38" s="1"/>
        <tr r="Z117" s="2"/>
        <tr r="Z117" s="2"/>
      </tp>
      <tp>
        <v>2738.75</v>
        <stp/>
        <stp>StudyData</stp>
        <stp>SUBMINUTE((EP),1,FillGap)</stp>
        <stp>Bar</stp>
        <stp/>
        <stp>Close</stp>
        <stp>5</stp>
        <stp>-47</stp>
        <stp/>
        <stp/>
        <stp/>
        <stp/>
        <stp>T</stp>
        <tr r="Y48" s="1"/>
        <tr r="Y48" s="1"/>
        <tr r="U147" s="2"/>
        <tr r="U147" s="2"/>
      </tp>
      <tp>
        <v>2739</v>
        <stp/>
        <stp>StudyData</stp>
        <stp>SUBMINUTE((EP),1,FillGap)</stp>
        <stp>Bar</stp>
        <stp/>
        <stp>Close</stp>
        <stp>5</stp>
        <stp>-57</stp>
        <stp/>
        <stp/>
        <stp/>
        <stp/>
        <stp>T</stp>
        <tr r="Y58" s="1"/>
        <tr r="Y58" s="1"/>
        <tr r="U177" s="2"/>
        <tr r="U177" s="2"/>
      </tp>
      <tp>
        <v>2739.25</v>
        <stp/>
        <stp>StudyData</stp>
        <stp>SUBMINUTE((EP),1,FillGap)</stp>
        <stp>Bar</stp>
        <stp/>
        <stp>Close</stp>
        <stp>5</stp>
        <stp>-17</stp>
        <stp/>
        <stp/>
        <stp/>
        <stp/>
        <stp>T</stp>
        <tr r="Y18" s="1"/>
        <tr r="Y18" s="1"/>
        <tr r="U57" s="2"/>
        <tr r="U57" s="2"/>
      </tp>
      <tp>
        <v>2739</v>
        <stp/>
        <stp>StudyData</stp>
        <stp>SUBMINUTE((EP),1,FillGap)</stp>
        <stp>Bar</stp>
        <stp/>
        <stp>Close</stp>
        <stp>5</stp>
        <stp>-27</stp>
        <stp/>
        <stp/>
        <stp/>
        <stp/>
        <stp>T</stp>
        <tr r="Y28" s="1"/>
        <tr r="Y28" s="1"/>
        <tr r="U87" s="2"/>
        <tr r="U87" s="2"/>
      </tp>
      <tp>
        <v>2739.5</v>
        <stp/>
        <stp>StudyData</stp>
        <stp>SUBMINUTE((EP),1,FillGap)</stp>
        <stp>Bar</stp>
        <stp/>
        <stp>Close</stp>
        <stp>5</stp>
        <stp>-37</stp>
        <stp/>
        <stp/>
        <stp/>
        <stp/>
        <stp>T</stp>
        <tr r="Y38" s="1"/>
        <tr r="Y38" s="1"/>
        <tr r="U117" s="2"/>
        <tr r="U117" s="2"/>
      </tp>
      <tp>
        <v>134</v>
        <stp/>
        <stp>StudyData</stp>
        <stp>BAVolCr.BidVol^(SUBMINUTE((EP),1,FillGap),5,0)</stp>
        <stp>Bar</stp>
        <stp/>
        <stp>Open</stp>
        <stp>5</stp>
        <stp>-9</stp>
        <stp/>
        <stp/>
        <stp/>
        <stp/>
        <stp>T</stp>
        <tr r="AB10" s="1"/>
      </tp>
      <tp>
        <v>949</v>
        <stp/>
        <stp>StudyData</stp>
        <stp>BAVolCr.BidVol^(SUBMINUTE((EP),5,FillGap),5,0)</stp>
        <stp>Bar</stp>
        <stp/>
        <stp>Open</stp>
        <stp>5</stp>
        <stp>-9</stp>
        <stp/>
        <stp/>
        <stp/>
        <stp/>
        <stp>T</stp>
        <tr r="AJ10" s="1"/>
      </tp>
      <tp>
        <v>43167.635104166671</v>
        <stp/>
        <stp>StudyData</stp>
        <stp>SUBMINUTE((EP),1,Regular)</stp>
        <stp>FG</stp>
        <stp/>
        <stp>Time</stp>
        <stp>5</stp>
        <stp>-27</stp>
        <stp/>
        <stp/>
        <stp/>
        <stp/>
        <stp>T</stp>
        <tr r="T87" s="2"/>
        <tr r="AA28" s="1"/>
      </tp>
      <tp>
        <v>43167.634085648147</v>
        <stp/>
        <stp>StudyData</stp>
        <stp>SUBMINUTE((EP),5,Regular)</stp>
        <stp>FG</stp>
        <stp/>
        <stp>Time</stp>
        <stp>5</stp>
        <stp>-23</stp>
        <stp/>
        <stp/>
        <stp/>
        <stp/>
        <stp>T</stp>
        <tr r="Y75" s="2"/>
        <tr r="AE24" s="1"/>
      </tp>
      <tp>
        <v>43167.634988425925</v>
        <stp/>
        <stp>StudyData</stp>
        <stp>SUBMINUTE((EP),1,Regular)</stp>
        <stp>FG</stp>
        <stp/>
        <stp>Time</stp>
        <stp>5</stp>
        <stp>-37</stp>
        <stp/>
        <stp/>
        <stp/>
        <stp/>
        <stp>T</stp>
        <tr r="T117" s="2"/>
        <tr r="AA38" s="1"/>
      </tp>
      <tp>
        <v>43167.633506944439</v>
        <stp/>
        <stp>StudyData</stp>
        <stp>SUBMINUTE((EP),5,Regular)</stp>
        <stp>FG</stp>
        <stp/>
        <stp>Time</stp>
        <stp>5</stp>
        <stp>-33</stp>
        <stp/>
        <stp/>
        <stp/>
        <stp/>
        <stp>T</stp>
        <tr r="Y105" s="2"/>
        <tr r="AE34" s="1"/>
      </tp>
      <tp>
        <v>43167.63521990741</v>
        <stp/>
        <stp>StudyData</stp>
        <stp>SUBMINUTE((EP),1,Regular)</stp>
        <stp>FG</stp>
        <stp/>
        <stp>Time</stp>
        <stp>5</stp>
        <stp>-17</stp>
        <stp/>
        <stp/>
        <stp/>
        <stp/>
        <stp>T</stp>
        <tr r="T57" s="2"/>
        <tr r="AA18" s="1"/>
      </tp>
      <tp>
        <v>43167.634664351855</v>
        <stp/>
        <stp>StudyData</stp>
        <stp>SUBMINUTE((EP),5,Regular)</stp>
        <stp>FG</stp>
        <stp/>
        <stp>Time</stp>
        <stp>5</stp>
        <stp>-13</stp>
        <stp/>
        <stp/>
        <stp/>
        <stp/>
        <stp>T</stp>
        <tr r="Y45" s="2"/>
        <tr r="AE14" s="1"/>
      </tp>
      <tp>
        <v>43167.634872685187</v>
        <stp/>
        <stp>StudyData</stp>
        <stp>SUBMINUTE((EP),1,Regular)</stp>
        <stp>FG</stp>
        <stp/>
        <stp>Time</stp>
        <stp>5</stp>
        <stp>-47</stp>
        <stp/>
        <stp/>
        <stp/>
        <stp/>
        <stp>T</stp>
        <tr r="T147" s="2"/>
        <tr r="AA48" s="1"/>
      </tp>
      <tp>
        <v>43167.632928240746</v>
        <stp/>
        <stp>StudyData</stp>
        <stp>SUBMINUTE((EP),5,Regular)</stp>
        <stp>FG</stp>
        <stp/>
        <stp>Time</stp>
        <stp>5</stp>
        <stp>-43</stp>
        <stp/>
        <stp/>
        <stp/>
        <stp/>
        <stp>T</stp>
        <tr r="Y135" s="2"/>
        <tr r="AE44" s="1"/>
      </tp>
      <tp>
        <v>43167.634756944448</v>
        <stp/>
        <stp>StudyData</stp>
        <stp>SUBMINUTE((EP),1,Regular)</stp>
        <stp>FG</stp>
        <stp/>
        <stp>Time</stp>
        <stp>5</stp>
        <stp>-57</stp>
        <stp/>
        <stp/>
        <stp/>
        <stp/>
        <stp>T</stp>
        <tr r="T177" s="2"/>
        <tr r="AA58" s="1"/>
      </tp>
      <tp>
        <v>43167.632349537038</v>
        <stp/>
        <stp>StudyData</stp>
        <stp>SUBMINUTE((EP),5,Regular)</stp>
        <stp>FG</stp>
        <stp/>
        <stp>Time</stp>
        <stp>5</stp>
        <stp>-53</stp>
        <stp/>
        <stp/>
        <stp/>
        <stp/>
        <stp>T</stp>
        <tr r="Y165" s="2"/>
        <tr r="AE54" s="1"/>
      </tp>
      <tp>
        <v>2738.5</v>
        <stp/>
        <stp>StudyData</stp>
        <stp>SUBMINUTE((EP),5,FillGap)</stp>
        <stp>Bar</stp>
        <stp/>
        <stp>Low</stp>
        <stp>5</stp>
        <stp>-59</stp>
        <stp/>
        <stp/>
        <stp/>
        <stp/>
        <stp>T</stp>
        <tr r="AH60" s="1"/>
        <tr r="AH60" s="1"/>
      </tp>
      <tp>
        <v>2739</v>
        <stp/>
        <stp>StudyData</stp>
        <stp>SUBMINUTE((EP),5,FillGap)</stp>
        <stp>Bar</stp>
        <stp/>
        <stp>Low</stp>
        <stp>5</stp>
        <stp>-49</stp>
        <stp/>
        <stp/>
        <stp/>
        <stp/>
        <stp>T</stp>
        <tr r="AH50" s="1"/>
        <tr r="AH50" s="1"/>
      </tp>
      <tp>
        <v>2739</v>
        <stp/>
        <stp>StudyData</stp>
        <stp>SUBMINUTE((EP),5,FillGap)</stp>
        <stp>Bar</stp>
        <stp/>
        <stp>Low</stp>
        <stp>5</stp>
        <stp>-19</stp>
        <stp/>
        <stp/>
        <stp/>
        <stp/>
        <stp>T</stp>
        <tr r="AH20" s="1"/>
        <tr r="AH20" s="1"/>
      </tp>
      <tp>
        <v>2739.5</v>
        <stp/>
        <stp>StudyData</stp>
        <stp>SUBMINUTE((EP),5,FillGap)</stp>
        <stp>Bar</stp>
        <stp/>
        <stp>Low</stp>
        <stp>5</stp>
        <stp>-39</stp>
        <stp/>
        <stp/>
        <stp/>
        <stp/>
        <stp>T</stp>
        <tr r="AH40" s="1"/>
        <tr r="AH40" s="1"/>
      </tp>
      <tp>
        <v>2739.75</v>
        <stp/>
        <stp>StudyData</stp>
        <stp>SUBMINUTE((EP),5,FillGap)</stp>
        <stp>Bar</stp>
        <stp/>
        <stp>Low</stp>
        <stp>5</stp>
        <stp>-29</stp>
        <stp/>
        <stp/>
        <stp/>
        <stp/>
        <stp>T</stp>
        <tr r="AH30" s="1"/>
        <tr r="AH30" s="1"/>
      </tp>
      <tp>
        <v>43167.635370370372</v>
        <stp/>
        <stp>StudyData</stp>
        <stp>SUBMINUTE((EP),1,Regular)</stp>
        <stp>FG</stp>
        <stp/>
        <stp>Time</stp>
        <stp>5</stp>
        <stp>-4</stp>
        <stp/>
        <stp/>
        <stp/>
        <stp/>
        <stp>T</stp>
        <tr r="T18" s="2"/>
        <tr r="AA5" s="1"/>
      </tp>
      <tp>
        <v>43167.635185185187</v>
        <stp/>
        <stp>StudyData</stp>
        <stp>SUBMINUTE((EP),5,Regular)</stp>
        <stp>FG</stp>
        <stp/>
        <stp>Time</stp>
        <stp>5</stp>
        <stp>-4</stp>
        <stp/>
        <stp/>
        <stp/>
        <stp/>
        <stp>T</stp>
        <tr r="Y18" s="2"/>
        <tr r="AE5" s="1"/>
      </tp>
      <tp>
        <v>2739.5</v>
        <stp/>
        <stp>StudyData</stp>
        <stp>SUBMINUTE((EP),5,FillGap)</stp>
        <stp>Bar</stp>
        <stp/>
        <stp>Close</stp>
        <stp>5</stp>
        <stp>-44</stp>
        <stp/>
        <stp/>
        <stp/>
        <stp/>
        <stp>T</stp>
        <tr r="AI45" s="1"/>
        <tr r="AI45" s="1"/>
        <tr r="Z138" s="2"/>
        <tr r="Z138" s="2"/>
      </tp>
      <tp>
        <v>2738.75</v>
        <stp/>
        <stp>StudyData</stp>
        <stp>SUBMINUTE((EP),5,FillGap)</stp>
        <stp>Bar</stp>
        <stp/>
        <stp>Close</stp>
        <stp>5</stp>
        <stp>-54</stp>
        <stp/>
        <stp/>
        <stp/>
        <stp/>
        <stp>T</stp>
        <tr r="AI55" s="1"/>
        <tr r="AI55" s="1"/>
        <tr r="Z168" s="2"/>
        <tr r="Z168" s="2"/>
      </tp>
      <tp>
        <v>2739</v>
        <stp/>
        <stp>StudyData</stp>
        <stp>SUBMINUTE((EP),5,FillGap)</stp>
        <stp>Bar</stp>
        <stp/>
        <stp>Close</stp>
        <stp>5</stp>
        <stp>-14</stp>
        <stp/>
        <stp/>
        <stp/>
        <stp/>
        <stp>T</stp>
        <tr r="AI15" s="1"/>
        <tr r="AI15" s="1"/>
        <tr r="Z48" s="2"/>
        <tr r="Z48" s="2"/>
      </tp>
      <tp>
        <v>2739.75</v>
        <stp/>
        <stp>StudyData</stp>
        <stp>SUBMINUTE((EP),5,FillGap)</stp>
        <stp>Bar</stp>
        <stp/>
        <stp>Close</stp>
        <stp>5</stp>
        <stp>-24</stp>
        <stp/>
        <stp/>
        <stp/>
        <stp/>
        <stp>T</stp>
        <tr r="AI25" s="1"/>
        <tr r="AI25" s="1"/>
        <tr r="Z78" s="2"/>
        <tr r="Z78" s="2"/>
      </tp>
      <tp>
        <v>2739.75</v>
        <stp/>
        <stp>StudyData</stp>
        <stp>SUBMINUTE((EP),5,FillGap)</stp>
        <stp>Bar</stp>
        <stp/>
        <stp>Close</stp>
        <stp>5</stp>
        <stp>-34</stp>
        <stp/>
        <stp/>
        <stp/>
        <stp/>
        <stp>T</stp>
        <tr r="AI35" s="1"/>
        <tr r="AI35" s="1"/>
        <tr r="Z108" s="2"/>
        <tr r="Z108" s="2"/>
      </tp>
      <tp>
        <v>2738.75</v>
        <stp/>
        <stp>StudyData</stp>
        <stp>SUBMINUTE((EP),1,FillGap)</stp>
        <stp>Bar</stp>
        <stp/>
        <stp>Close</stp>
        <stp>5</stp>
        <stp>-44</stp>
        <stp/>
        <stp/>
        <stp/>
        <stp/>
        <stp>T</stp>
        <tr r="Y45" s="1"/>
        <tr r="Y45" s="1"/>
        <tr r="U138" s="2"/>
        <tr r="U138" s="2"/>
      </tp>
      <tp>
        <v>2738.75</v>
        <stp/>
        <stp>StudyData</stp>
        <stp>SUBMINUTE((EP),1,FillGap)</stp>
        <stp>Bar</stp>
        <stp/>
        <stp>Close</stp>
        <stp>5</stp>
        <stp>-54</stp>
        <stp/>
        <stp/>
        <stp/>
        <stp/>
        <stp>T</stp>
        <tr r="Y55" s="1"/>
        <tr r="Y55" s="1"/>
        <tr r="U168" s="2"/>
        <tr r="U168" s="2"/>
      </tp>
      <tp>
        <v>2739.25</v>
        <stp/>
        <stp>StudyData</stp>
        <stp>SUBMINUTE((EP),1,FillGap)</stp>
        <stp>Bar</stp>
        <stp/>
        <stp>Close</stp>
        <stp>5</stp>
        <stp>-14</stp>
        <stp/>
        <stp/>
        <stp/>
        <stp/>
        <stp>T</stp>
        <tr r="Y15" s="1"/>
        <tr r="Y15" s="1"/>
        <tr r="U48" s="2"/>
        <tr r="U48" s="2"/>
      </tp>
      <tp>
        <v>2739</v>
        <stp/>
        <stp>StudyData</stp>
        <stp>SUBMINUTE((EP),1,FillGap)</stp>
        <stp>Bar</stp>
        <stp/>
        <stp>Close</stp>
        <stp>5</stp>
        <stp>-24</stp>
        <stp/>
        <stp/>
        <stp/>
        <stp/>
        <stp>T</stp>
        <tr r="Y25" s="1"/>
        <tr r="Y25" s="1"/>
        <tr r="U78" s="2"/>
        <tr r="U78" s="2"/>
      </tp>
      <tp>
        <v>2739.75</v>
        <stp/>
        <stp>StudyData</stp>
        <stp>SUBMINUTE((EP),1,FillGap)</stp>
        <stp>Bar</stp>
        <stp/>
        <stp>Close</stp>
        <stp>5</stp>
        <stp>-34</stp>
        <stp/>
        <stp/>
        <stp/>
        <stp/>
        <stp>T</stp>
        <tr r="Y35" s="1"/>
        <tr r="Y35" s="1"/>
        <tr r="U108" s="2"/>
        <tr r="U108" s="2"/>
      </tp>
      <tp>
        <v>128</v>
        <stp/>
        <stp>StudyData</stp>
        <stp>BAVolCr.BidVol^(SUBMINUTE((EP),1,FillGap),5,0)</stp>
        <stp>Bar</stp>
        <stp/>
        <stp>Open</stp>
        <stp>5</stp>
        <stp>-8</stp>
        <stp/>
        <stp/>
        <stp/>
        <stp/>
        <stp>T</stp>
        <tr r="AB9" s="1"/>
      </tp>
      <tp>
        <v>989</v>
        <stp/>
        <stp>StudyData</stp>
        <stp>BAVolCr.BidVol^(SUBMINUTE((EP),5,FillGap),5,0)</stp>
        <stp>Bar</stp>
        <stp/>
        <stp>Open</stp>
        <stp>5</stp>
        <stp>-8</stp>
        <stp/>
        <stp/>
        <stp/>
        <stp/>
        <stp>T</stp>
        <tr r="AJ9" s="1"/>
      </tp>
      <tp>
        <v>43167.635115740741</v>
        <stp/>
        <stp>StudyData</stp>
        <stp>SUBMINUTE((EP),1,Regular)</stp>
        <stp>FG</stp>
        <stp/>
        <stp>Time</stp>
        <stp>5</stp>
        <stp>-26</stp>
        <stp/>
        <stp/>
        <stp/>
        <stp/>
        <stp>T</stp>
        <tr r="T84" s="2"/>
        <tr r="AA27" s="1"/>
      </tp>
      <tp>
        <v>43167.634143518517</v>
        <stp/>
        <stp>StudyData</stp>
        <stp>SUBMINUTE((EP),5,Regular)</stp>
        <stp>FG</stp>
        <stp/>
        <stp>Time</stp>
        <stp>5</stp>
        <stp>-22</stp>
        <stp/>
        <stp/>
        <stp/>
        <stp/>
        <stp>T</stp>
        <tr r="Y72" s="2"/>
        <tr r="AE23" s="1"/>
      </tp>
      <tp>
        <v>43167.635000000002</v>
        <stp/>
        <stp>StudyData</stp>
        <stp>SUBMINUTE((EP),1,Regular)</stp>
        <stp>FG</stp>
        <stp/>
        <stp>Time</stp>
        <stp>5</stp>
        <stp>-36</stp>
        <stp/>
        <stp/>
        <stp/>
        <stp/>
        <stp>T</stp>
        <tr r="T114" s="2"/>
        <tr r="AA37" s="1"/>
      </tp>
      <tp>
        <v>43167.633564814816</v>
        <stp/>
        <stp>StudyData</stp>
        <stp>SUBMINUTE((EP),5,Regular)</stp>
        <stp>FG</stp>
        <stp/>
        <stp>Time</stp>
        <stp>5</stp>
        <stp>-32</stp>
        <stp/>
        <stp/>
        <stp/>
        <stp/>
        <stp>T</stp>
        <tr r="Y102" s="2"/>
        <tr r="AE33" s="1"/>
      </tp>
      <tp>
        <v>43167.635231481487</v>
        <stp/>
        <stp>StudyData</stp>
        <stp>SUBMINUTE((EP),1,Regular)</stp>
        <stp>FG</stp>
        <stp/>
        <stp>Time</stp>
        <stp>5</stp>
        <stp>-16</stp>
        <stp/>
        <stp/>
        <stp/>
        <stp/>
        <stp>T</stp>
        <tr r="T54" s="2"/>
        <tr r="AA17" s="1"/>
      </tp>
      <tp>
        <v>43167.634722222225</v>
        <stp/>
        <stp>StudyData</stp>
        <stp>SUBMINUTE((EP),5,Regular)</stp>
        <stp>FG</stp>
        <stp/>
        <stp>Time</stp>
        <stp>5</stp>
        <stp>-12</stp>
        <stp/>
        <stp/>
        <stp/>
        <stp/>
        <stp>T</stp>
        <tr r="Y42" s="2"/>
        <tr r="AE13" s="1"/>
      </tp>
      <tp>
        <v>43167.634884259263</v>
        <stp/>
        <stp>StudyData</stp>
        <stp>SUBMINUTE((EP),1,Regular)</stp>
        <stp>FG</stp>
        <stp/>
        <stp>Time</stp>
        <stp>5</stp>
        <stp>-46</stp>
        <stp/>
        <stp/>
        <stp/>
        <stp/>
        <stp>T</stp>
        <tr r="T144" s="2"/>
        <tr r="AA47" s="1"/>
      </tp>
      <tp>
        <v>43167.632986111115</v>
        <stp/>
        <stp>StudyData</stp>
        <stp>SUBMINUTE((EP),5,Regular)</stp>
        <stp>FG</stp>
        <stp/>
        <stp>Time</stp>
        <stp>5</stp>
        <stp>-42</stp>
        <stp/>
        <stp/>
        <stp/>
        <stp/>
        <stp>T</stp>
        <tr r="Y132" s="2"/>
        <tr r="AE43" s="1"/>
      </tp>
      <tp>
        <v>43167.634768518525</v>
        <stp/>
        <stp>StudyData</stp>
        <stp>SUBMINUTE((EP),1,Regular)</stp>
        <stp>FG</stp>
        <stp/>
        <stp>Time</stp>
        <stp>5</stp>
        <stp>-56</stp>
        <stp/>
        <stp/>
        <stp/>
        <stp/>
        <stp>T</stp>
        <tr r="T174" s="2"/>
        <tr r="AA57" s="1"/>
      </tp>
      <tp>
        <v>43167.632407407407</v>
        <stp/>
        <stp>StudyData</stp>
        <stp>SUBMINUTE((EP),5,Regular)</stp>
        <stp>FG</stp>
        <stp/>
        <stp>Time</stp>
        <stp>5</stp>
        <stp>-52</stp>
        <stp/>
        <stp/>
        <stp/>
        <stp/>
        <stp>T</stp>
        <tr r="Y162" s="2"/>
        <tr r="AE53" s="1"/>
      </tp>
      <tp>
        <v>2739.75</v>
        <stp/>
        <stp>ContractData</stp>
        <stp>EP</stp>
        <stp>Bid</stp>
        <stp/>
        <stp>T</stp>
        <tr r="C12" s="1"/>
        <tr r="B4" s="1"/>
        <tr r="D42" s="2"/>
      </tp>
      <tp>
        <v>2739.75</v>
        <stp/>
        <stp>ContractData</stp>
        <stp>EP</stp>
        <stp>Ask</stp>
        <stp/>
        <stp>T</stp>
        <tr r="C4" s="1"/>
        <tr r="D38" s="2"/>
      </tp>
      <tp>
        <v>2720</v>
        <stp/>
        <stp>ContractData</stp>
        <stp>EP</stp>
        <stp>Low</stp>
        <stp/>
        <stp>T</stp>
        <tr r="F4" s="1"/>
        <tr r="L26" s="2"/>
        <tr r="A4" s="2"/>
      </tp>
      <tp>
        <v>2738.5</v>
        <stp/>
        <stp>StudyData</stp>
        <stp>SUBMINUTE((EP),5,FillGap)</stp>
        <stp>Bar</stp>
        <stp/>
        <stp>Low</stp>
        <stp>5</stp>
        <stp>-58</stp>
        <stp/>
        <stp/>
        <stp/>
        <stp/>
        <stp>T</stp>
        <tr r="AH59" s="1"/>
        <tr r="AH59" s="1"/>
      </tp>
      <tp>
        <v>2739</v>
        <stp/>
        <stp>StudyData</stp>
        <stp>SUBMINUTE((EP),5,FillGap)</stp>
        <stp>Bar</stp>
        <stp/>
        <stp>Low</stp>
        <stp>5</stp>
        <stp>-48</stp>
        <stp/>
        <stp/>
        <stp/>
        <stp/>
        <stp>T</stp>
        <tr r="AH49" s="1"/>
        <tr r="AH49" s="1"/>
      </tp>
      <tp>
        <v>2739</v>
        <stp/>
        <stp>StudyData</stp>
        <stp>SUBMINUTE((EP),5,FillGap)</stp>
        <stp>Bar</stp>
        <stp/>
        <stp>Low</stp>
        <stp>5</stp>
        <stp>-18</stp>
        <stp/>
        <stp/>
        <stp/>
        <stp/>
        <stp>T</stp>
        <tr r="AH19" s="1"/>
        <tr r="AH19" s="1"/>
      </tp>
      <tp>
        <v>2739.5</v>
        <stp/>
        <stp>StudyData</stp>
        <stp>SUBMINUTE((EP),5,FillGap)</stp>
        <stp>Bar</stp>
        <stp/>
        <stp>Low</stp>
        <stp>5</stp>
        <stp>-38</stp>
        <stp/>
        <stp/>
        <stp/>
        <stp/>
        <stp>T</stp>
        <tr r="AH39" s="1"/>
        <tr r="AH39" s="1"/>
      </tp>
      <tp>
        <v>2739.5</v>
        <stp/>
        <stp>StudyData</stp>
        <stp>SUBMINUTE((EP),5,FillGap)</stp>
        <stp>Bar</stp>
        <stp/>
        <stp>Low</stp>
        <stp>5</stp>
        <stp>-28</stp>
        <stp/>
        <stp/>
        <stp/>
        <stp/>
        <stp>T</stp>
        <tr r="AH29" s="1"/>
        <tr r="AH29" s="1"/>
      </tp>
      <tp>
        <v>43167.635358796302</v>
        <stp/>
        <stp>StudyData</stp>
        <stp>SUBMINUTE((EP),1,Regular)</stp>
        <stp>FG</stp>
        <stp/>
        <stp>Time</stp>
        <stp>5</stp>
        <stp>-5</stp>
        <stp/>
        <stp/>
        <stp/>
        <stp/>
        <stp>T</stp>
        <tr r="T21" s="2"/>
        <tr r="AA6" s="1"/>
      </tp>
      <tp>
        <v>43167.645833333336</v>
        <stp/>
        <stp>StudyData</stp>
        <stp>SUBMINUTE((EP),5,Regular)</stp>
        <stp>FG</stp>
        <stp/>
        <stp>Time</stp>
        <stp>5</stp>
        <stp>0</stp>
        <stp/>
        <stp/>
        <stp/>
        <stp/>
        <stp>T</stp>
        <tr r="AE1" s="1"/>
        <tr r="Y6" s="2"/>
      </tp>
      <tp>
        <v>43167.645833333336</v>
        <stp/>
        <stp>StudyData</stp>
        <stp>SUBMINUTE((EP),1,Regular)</stp>
        <stp>FG</stp>
        <stp/>
        <stp>Time</stp>
        <stp>5</stp>
        <stp>0</stp>
        <stp/>
        <stp/>
        <stp/>
        <stp/>
        <stp>T</stp>
        <tr r="AA1" s="1"/>
        <tr r="T6" s="2"/>
      </tp>
      <tp>
        <v>43167.635127314818</v>
        <stp/>
        <stp>StudyData</stp>
        <stp>SUBMINUTE((EP),5,Regular)</stp>
        <stp>FG</stp>
        <stp/>
        <stp>Time</stp>
        <stp>5</stp>
        <stp>-5</stp>
        <stp/>
        <stp/>
        <stp/>
        <stp/>
        <stp>T</stp>
        <tr r="Y21" s="2"/>
        <tr r="AE6" s="1"/>
      </tp>
      <tp>
        <v>2739.25</v>
        <stp/>
        <stp>StudyData</stp>
        <stp>SUBMINUTE((EP),5,FillGap)</stp>
        <stp>Bar</stp>
        <stp/>
        <stp>Close</stp>
        <stp>5</stp>
        <stp>-45</stp>
        <stp/>
        <stp/>
        <stp/>
        <stp/>
        <stp>T</stp>
        <tr r="AI46" s="1"/>
        <tr r="AI46" s="1"/>
        <tr r="Z141" s="2"/>
        <tr r="Z141" s="2"/>
      </tp>
      <tp>
        <v>2738.75</v>
        <stp/>
        <stp>StudyData</stp>
        <stp>SUBMINUTE((EP),5,FillGap)</stp>
        <stp>Bar</stp>
        <stp/>
        <stp>Close</stp>
        <stp>5</stp>
        <stp>-55</stp>
        <stp/>
        <stp/>
        <stp/>
        <stp/>
        <stp>T</stp>
        <tr r="AI56" s="1"/>
        <tr r="AI56" s="1"/>
        <tr r="Z171" s="2"/>
        <tr r="Z171" s="2"/>
      </tp>
      <tp>
        <v>2739</v>
        <stp/>
        <stp>StudyData</stp>
        <stp>SUBMINUTE((EP),5,FillGap)</stp>
        <stp>Bar</stp>
        <stp/>
        <stp>Close</stp>
        <stp>5</stp>
        <stp>-15</stp>
        <stp/>
        <stp/>
        <stp/>
        <stp/>
        <stp>T</stp>
        <tr r="AI16" s="1"/>
        <tr r="AI16" s="1"/>
        <tr r="Z51" s="2"/>
        <tr r="Z51" s="2"/>
      </tp>
      <tp>
        <v>2739.75</v>
        <stp/>
        <stp>StudyData</stp>
        <stp>SUBMINUTE((EP),5,FillGap)</stp>
        <stp>Bar</stp>
        <stp/>
        <stp>Close</stp>
        <stp>5</stp>
        <stp>-25</stp>
        <stp/>
        <stp/>
        <stp/>
        <stp/>
        <stp>T</stp>
        <tr r="AI26" s="1"/>
        <tr r="AI26" s="1"/>
        <tr r="Z81" s="2"/>
        <tr r="Z81" s="2"/>
      </tp>
      <tp>
        <v>2739.5</v>
        <stp/>
        <stp>StudyData</stp>
        <stp>SUBMINUTE((EP),5,FillGap)</stp>
        <stp>Bar</stp>
        <stp/>
        <stp>Close</stp>
        <stp>5</stp>
        <stp>-35</stp>
        <stp/>
        <stp/>
        <stp/>
        <stp/>
        <stp>T</stp>
        <tr r="AI36" s="1"/>
        <tr r="AI36" s="1"/>
        <tr r="Z111" s="2"/>
        <tr r="Z111" s="2"/>
      </tp>
      <tp>
        <v>2738.75</v>
        <stp/>
        <stp>StudyData</stp>
        <stp>SUBMINUTE((EP),1,FillGap)</stp>
        <stp>Bar</stp>
        <stp/>
        <stp>Close</stp>
        <stp>5</stp>
        <stp>-45</stp>
        <stp/>
        <stp/>
        <stp/>
        <stp/>
        <stp>T</stp>
        <tr r="Y46" s="1"/>
        <tr r="Y46" s="1"/>
        <tr r="U141" s="2"/>
        <tr r="U141" s="2"/>
      </tp>
      <tp>
        <v>2738.75</v>
        <stp/>
        <stp>StudyData</stp>
        <stp>SUBMINUTE((EP),1,FillGap)</stp>
        <stp>Bar</stp>
        <stp/>
        <stp>Close</stp>
        <stp>5</stp>
        <stp>-55</stp>
        <stp/>
        <stp/>
        <stp/>
        <stp/>
        <stp>T</stp>
        <tr r="Y56" s="1"/>
        <tr r="Y56" s="1"/>
        <tr r="U171" s="2"/>
        <tr r="U171" s="2"/>
      </tp>
      <tp>
        <v>2739.25</v>
        <stp/>
        <stp>StudyData</stp>
        <stp>SUBMINUTE((EP),1,FillGap)</stp>
        <stp>Bar</stp>
        <stp/>
        <stp>Close</stp>
        <stp>5</stp>
        <stp>-15</stp>
        <stp/>
        <stp/>
        <stp/>
        <stp/>
        <stp>T</stp>
        <tr r="Y16" s="1"/>
        <tr r="Y16" s="1"/>
        <tr r="U51" s="2"/>
        <tr r="U51" s="2"/>
      </tp>
      <tp>
        <v>2738.75</v>
        <stp/>
        <stp>StudyData</stp>
        <stp>SUBMINUTE((EP),1,FillGap)</stp>
        <stp>Bar</stp>
        <stp/>
        <stp>Close</stp>
        <stp>5</stp>
        <stp>-25</stp>
        <stp/>
        <stp/>
        <stp/>
        <stp/>
        <stp>T</stp>
        <tr r="Y26" s="1"/>
        <tr r="Y26" s="1"/>
        <tr r="U81" s="2"/>
        <tr r="U81" s="2"/>
      </tp>
      <tp>
        <v>2739.75</v>
        <stp/>
        <stp>StudyData</stp>
        <stp>SUBMINUTE((EP),1,FillGap)</stp>
        <stp>Bar</stp>
        <stp/>
        <stp>Close</stp>
        <stp>5</stp>
        <stp>-35</stp>
        <stp/>
        <stp/>
        <stp/>
        <stp/>
        <stp>T</stp>
        <tr r="Y36" s="1"/>
        <tr r="Y36" s="1"/>
        <tr r="U111" s="2"/>
        <tr r="U11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545087565808661E-2"/>
          <c:y val="4.8404840484048403E-2"/>
          <c:w val="0.91642246473576772"/>
          <c:h val="0.6831894528035480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Sheet1!$AA$1:$AA$61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43167.635405092602</c:v>
                </c:pt>
                <c:pt idx="2">
                  <c:v>43167.635393518503</c:v>
                </c:pt>
                <c:pt idx="3">
                  <c:v>43167.635381944398</c:v>
                </c:pt>
                <c:pt idx="4">
                  <c:v>43167.635370370401</c:v>
                </c:pt>
                <c:pt idx="5">
                  <c:v>43167.635358796302</c:v>
                </c:pt>
                <c:pt idx="6">
                  <c:v>43167.635347222204</c:v>
                </c:pt>
                <c:pt idx="7">
                  <c:v>43167.635335648098</c:v>
                </c:pt>
                <c:pt idx="8">
                  <c:v>43167.635324074101</c:v>
                </c:pt>
                <c:pt idx="9">
                  <c:v>43167.635312500002</c:v>
                </c:pt>
                <c:pt idx="10">
                  <c:v>43167.635300925896</c:v>
                </c:pt>
                <c:pt idx="11">
                  <c:v>43167.6352893519</c:v>
                </c:pt>
                <c:pt idx="12">
                  <c:v>43167.635277777801</c:v>
                </c:pt>
                <c:pt idx="13">
                  <c:v>43167.635266203702</c:v>
                </c:pt>
                <c:pt idx="14">
                  <c:v>43167.635254629597</c:v>
                </c:pt>
                <c:pt idx="15">
                  <c:v>43167.6352430556</c:v>
                </c:pt>
                <c:pt idx="16">
                  <c:v>43167.635231481501</c:v>
                </c:pt>
                <c:pt idx="17">
                  <c:v>43167.635219907403</c:v>
                </c:pt>
                <c:pt idx="18">
                  <c:v>43167.635208333297</c:v>
                </c:pt>
                <c:pt idx="19">
                  <c:v>43167.6351967593</c:v>
                </c:pt>
                <c:pt idx="20">
                  <c:v>43167.635185185201</c:v>
                </c:pt>
                <c:pt idx="21">
                  <c:v>43167.635173611103</c:v>
                </c:pt>
                <c:pt idx="22">
                  <c:v>43167.635162036997</c:v>
                </c:pt>
                <c:pt idx="23">
                  <c:v>43167.635150463</c:v>
                </c:pt>
                <c:pt idx="24">
                  <c:v>43167.635138888902</c:v>
                </c:pt>
                <c:pt idx="25">
                  <c:v>43167.635127314803</c:v>
                </c:pt>
                <c:pt idx="26">
                  <c:v>43167.635115740697</c:v>
                </c:pt>
                <c:pt idx="27">
                  <c:v>43167.6351041667</c:v>
                </c:pt>
                <c:pt idx="28">
                  <c:v>43167.635092592602</c:v>
                </c:pt>
                <c:pt idx="29">
                  <c:v>43167.635081018503</c:v>
                </c:pt>
                <c:pt idx="30">
                  <c:v>43167.635069444397</c:v>
                </c:pt>
                <c:pt idx="31">
                  <c:v>43167.6350578704</c:v>
                </c:pt>
                <c:pt idx="32">
                  <c:v>43167.635046296302</c:v>
                </c:pt>
                <c:pt idx="33">
                  <c:v>43167.635034722203</c:v>
                </c:pt>
                <c:pt idx="34">
                  <c:v>43167.635023148097</c:v>
                </c:pt>
                <c:pt idx="35">
                  <c:v>43167.635011574101</c:v>
                </c:pt>
                <c:pt idx="36">
                  <c:v>43167.635000000002</c:v>
                </c:pt>
                <c:pt idx="37">
                  <c:v>43167.634988425903</c:v>
                </c:pt>
                <c:pt idx="38">
                  <c:v>43167.634976851899</c:v>
                </c:pt>
                <c:pt idx="39">
                  <c:v>43167.634965277801</c:v>
                </c:pt>
                <c:pt idx="40">
                  <c:v>43167.634953703702</c:v>
                </c:pt>
                <c:pt idx="41">
                  <c:v>43167.634942129604</c:v>
                </c:pt>
                <c:pt idx="42">
                  <c:v>43167.6349305556</c:v>
                </c:pt>
                <c:pt idx="43">
                  <c:v>43167.634918981501</c:v>
                </c:pt>
                <c:pt idx="44">
                  <c:v>43167.634907407402</c:v>
                </c:pt>
                <c:pt idx="45">
                  <c:v>43167.634895833296</c:v>
                </c:pt>
                <c:pt idx="46">
                  <c:v>43167.6348842593</c:v>
                </c:pt>
                <c:pt idx="47">
                  <c:v>43167.634872685099</c:v>
                </c:pt>
                <c:pt idx="48">
                  <c:v>43167.634861111103</c:v>
                </c:pt>
                <c:pt idx="49">
                  <c:v>43167.634849536997</c:v>
                </c:pt>
                <c:pt idx="50">
                  <c:v>43167.634837963</c:v>
                </c:pt>
                <c:pt idx="51">
                  <c:v>43167.634826388901</c:v>
                </c:pt>
                <c:pt idx="52">
                  <c:v>43167.634814814803</c:v>
                </c:pt>
                <c:pt idx="53">
                  <c:v>43167.634803240697</c:v>
                </c:pt>
                <c:pt idx="54">
                  <c:v>43167.6347916667</c:v>
                </c:pt>
                <c:pt idx="55">
                  <c:v>43167.634780092601</c:v>
                </c:pt>
                <c:pt idx="56">
                  <c:v>43167.634768518503</c:v>
                </c:pt>
                <c:pt idx="57">
                  <c:v>43167.634756944397</c:v>
                </c:pt>
                <c:pt idx="58">
                  <c:v>43167.6347453704</c:v>
                </c:pt>
                <c:pt idx="59">
                  <c:v>43167.634733796302</c:v>
                </c:pt>
                <c:pt idx="60">
                  <c:v>43167.634722222203</c:v>
                </c:pt>
              </c:numCache>
            </c:numRef>
          </c:cat>
          <c:val>
            <c:numRef>
              <c:f>Sheet1!$Y$1:$Y$61</c:f>
              <c:numCache>
                <c:formatCode>General</c:formatCode>
                <c:ptCount val="61"/>
                <c:pt idx="0">
                  <c:v>2739.25</c:v>
                </c:pt>
                <c:pt idx="1">
                  <c:v>2739.25</c:v>
                </c:pt>
                <c:pt idx="2">
                  <c:v>2739.25</c:v>
                </c:pt>
                <c:pt idx="3">
                  <c:v>2739.25</c:v>
                </c:pt>
                <c:pt idx="4">
                  <c:v>2739.25</c:v>
                </c:pt>
                <c:pt idx="5">
                  <c:v>2738.75</c:v>
                </c:pt>
                <c:pt idx="6">
                  <c:v>2738.75</c:v>
                </c:pt>
                <c:pt idx="7">
                  <c:v>2739.25</c:v>
                </c:pt>
                <c:pt idx="8">
                  <c:v>2739</c:v>
                </c:pt>
                <c:pt idx="9">
                  <c:v>2739.25</c:v>
                </c:pt>
                <c:pt idx="10">
                  <c:v>2739.5</c:v>
                </c:pt>
                <c:pt idx="11">
                  <c:v>2739.25</c:v>
                </c:pt>
                <c:pt idx="12">
                  <c:v>2739.25</c:v>
                </c:pt>
                <c:pt idx="13">
                  <c:v>2739.25</c:v>
                </c:pt>
                <c:pt idx="14">
                  <c:v>2739.25</c:v>
                </c:pt>
                <c:pt idx="15">
                  <c:v>2739.25</c:v>
                </c:pt>
                <c:pt idx="16">
                  <c:v>2739.25</c:v>
                </c:pt>
                <c:pt idx="17">
                  <c:v>2739.25</c:v>
                </c:pt>
                <c:pt idx="18">
                  <c:v>2739</c:v>
                </c:pt>
                <c:pt idx="19">
                  <c:v>2739</c:v>
                </c:pt>
                <c:pt idx="20">
                  <c:v>2739</c:v>
                </c:pt>
                <c:pt idx="21">
                  <c:v>2739</c:v>
                </c:pt>
                <c:pt idx="22">
                  <c:v>2739</c:v>
                </c:pt>
                <c:pt idx="23">
                  <c:v>2738.75</c:v>
                </c:pt>
                <c:pt idx="24">
                  <c:v>2739</c:v>
                </c:pt>
                <c:pt idx="25">
                  <c:v>2738.75</c:v>
                </c:pt>
                <c:pt idx="26">
                  <c:v>2739</c:v>
                </c:pt>
                <c:pt idx="27">
                  <c:v>2739</c:v>
                </c:pt>
                <c:pt idx="28">
                  <c:v>2739</c:v>
                </c:pt>
                <c:pt idx="29">
                  <c:v>2739.25</c:v>
                </c:pt>
                <c:pt idx="30">
                  <c:v>2739.25</c:v>
                </c:pt>
                <c:pt idx="31">
                  <c:v>2739.25</c:v>
                </c:pt>
                <c:pt idx="32">
                  <c:v>2739.75</c:v>
                </c:pt>
                <c:pt idx="33">
                  <c:v>2739.75</c:v>
                </c:pt>
                <c:pt idx="34">
                  <c:v>2739.75</c:v>
                </c:pt>
                <c:pt idx="35">
                  <c:v>2739.75</c:v>
                </c:pt>
                <c:pt idx="36">
                  <c:v>2739.75</c:v>
                </c:pt>
                <c:pt idx="37">
                  <c:v>2739.5</c:v>
                </c:pt>
                <c:pt idx="38">
                  <c:v>2739.75</c:v>
                </c:pt>
                <c:pt idx="39">
                  <c:v>2739.5</c:v>
                </c:pt>
                <c:pt idx="40">
                  <c:v>2739.5</c:v>
                </c:pt>
                <c:pt idx="41">
                  <c:v>2739.5</c:v>
                </c:pt>
                <c:pt idx="42">
                  <c:v>2738.75</c:v>
                </c:pt>
                <c:pt idx="43">
                  <c:v>2738.75</c:v>
                </c:pt>
                <c:pt idx="44">
                  <c:v>2738.75</c:v>
                </c:pt>
                <c:pt idx="45">
                  <c:v>2738.75</c:v>
                </c:pt>
                <c:pt idx="46">
                  <c:v>2738.75</c:v>
                </c:pt>
                <c:pt idx="47">
                  <c:v>2738.75</c:v>
                </c:pt>
                <c:pt idx="48">
                  <c:v>2738.75</c:v>
                </c:pt>
                <c:pt idx="49">
                  <c:v>2738.75</c:v>
                </c:pt>
                <c:pt idx="50">
                  <c:v>2738.75</c:v>
                </c:pt>
                <c:pt idx="51">
                  <c:v>2738.5</c:v>
                </c:pt>
                <c:pt idx="52">
                  <c:v>2738.75</c:v>
                </c:pt>
                <c:pt idx="53">
                  <c:v>2738.75</c:v>
                </c:pt>
                <c:pt idx="54">
                  <c:v>2738.75</c:v>
                </c:pt>
                <c:pt idx="55">
                  <c:v>2738.75</c:v>
                </c:pt>
                <c:pt idx="56">
                  <c:v>2738.75</c:v>
                </c:pt>
                <c:pt idx="57">
                  <c:v>2739</c:v>
                </c:pt>
                <c:pt idx="58">
                  <c:v>2739</c:v>
                </c:pt>
                <c:pt idx="59">
                  <c:v>2739</c:v>
                </c:pt>
                <c:pt idx="60">
                  <c:v>2739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149056"/>
        <c:axId val="241148496"/>
      </c:lineChart>
      <c:catAx>
        <c:axId val="24114905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one"/>
        <c:spPr>
          <a:noFill/>
          <a:ln w="9525" cap="flat" cmpd="sng" algn="ctr">
            <a:solidFill>
              <a:srgbClr val="002060"/>
            </a:solidFill>
            <a:prstDash val="sysDot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1484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241148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14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113963438350838E-2"/>
          <c:y val="5.8902275769745646E-2"/>
          <c:w val="0.91720994618963181"/>
          <c:h val="0.86613119143239625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Sheet1!$AF$1:$AF$61</c:f>
              <c:numCache>
                <c:formatCode>General</c:formatCode>
                <c:ptCount val="61"/>
                <c:pt idx="0">
                  <c:v>2739.25</c:v>
                </c:pt>
                <c:pt idx="1">
                  <c:v>2738.75</c:v>
                </c:pt>
                <c:pt idx="2">
                  <c:v>2739.25</c:v>
                </c:pt>
                <c:pt idx="3">
                  <c:v>2739</c:v>
                </c:pt>
                <c:pt idx="4">
                  <c:v>2738.75</c:v>
                </c:pt>
                <c:pt idx="5">
                  <c:v>2739</c:v>
                </c:pt>
                <c:pt idx="6">
                  <c:v>2739.5</c:v>
                </c:pt>
                <c:pt idx="7">
                  <c:v>2739.75</c:v>
                </c:pt>
                <c:pt idx="8">
                  <c:v>2739.5</c:v>
                </c:pt>
                <c:pt idx="9">
                  <c:v>2738.75</c:v>
                </c:pt>
                <c:pt idx="10">
                  <c:v>2738.75</c:v>
                </c:pt>
                <c:pt idx="11">
                  <c:v>2739</c:v>
                </c:pt>
                <c:pt idx="12">
                  <c:v>2739</c:v>
                </c:pt>
                <c:pt idx="13">
                  <c:v>2739</c:v>
                </c:pt>
                <c:pt idx="14">
                  <c:v>2739</c:v>
                </c:pt>
                <c:pt idx="15">
                  <c:v>2739</c:v>
                </c:pt>
                <c:pt idx="16">
                  <c:v>2739</c:v>
                </c:pt>
                <c:pt idx="17">
                  <c:v>2739</c:v>
                </c:pt>
                <c:pt idx="18">
                  <c:v>2739</c:v>
                </c:pt>
                <c:pt idx="19">
                  <c:v>2739.25</c:v>
                </c:pt>
                <c:pt idx="20">
                  <c:v>2739</c:v>
                </c:pt>
                <c:pt idx="21">
                  <c:v>2739</c:v>
                </c:pt>
                <c:pt idx="22">
                  <c:v>2739.5</c:v>
                </c:pt>
                <c:pt idx="23">
                  <c:v>2740</c:v>
                </c:pt>
                <c:pt idx="24">
                  <c:v>2740</c:v>
                </c:pt>
                <c:pt idx="25">
                  <c:v>2739.75</c:v>
                </c:pt>
                <c:pt idx="26">
                  <c:v>2739.75</c:v>
                </c:pt>
                <c:pt idx="27">
                  <c:v>2739.75</c:v>
                </c:pt>
                <c:pt idx="28">
                  <c:v>2739.75</c:v>
                </c:pt>
                <c:pt idx="29">
                  <c:v>2739.75</c:v>
                </c:pt>
                <c:pt idx="30">
                  <c:v>2740</c:v>
                </c:pt>
                <c:pt idx="31">
                  <c:v>2740</c:v>
                </c:pt>
                <c:pt idx="32">
                  <c:v>2739.5</c:v>
                </c:pt>
                <c:pt idx="33">
                  <c:v>2739.5</c:v>
                </c:pt>
                <c:pt idx="34">
                  <c:v>2739.75</c:v>
                </c:pt>
                <c:pt idx="35">
                  <c:v>2739.75</c:v>
                </c:pt>
                <c:pt idx="36">
                  <c:v>2739.5</c:v>
                </c:pt>
                <c:pt idx="37">
                  <c:v>2739.5</c:v>
                </c:pt>
                <c:pt idx="38">
                  <c:v>2739.75</c:v>
                </c:pt>
                <c:pt idx="39">
                  <c:v>2739.5</c:v>
                </c:pt>
                <c:pt idx="40">
                  <c:v>2739.5</c:v>
                </c:pt>
                <c:pt idx="41">
                  <c:v>2739.5</c:v>
                </c:pt>
                <c:pt idx="42">
                  <c:v>2739.75</c:v>
                </c:pt>
                <c:pt idx="43">
                  <c:v>2739.5</c:v>
                </c:pt>
                <c:pt idx="44">
                  <c:v>2739.25</c:v>
                </c:pt>
                <c:pt idx="45">
                  <c:v>2739.25</c:v>
                </c:pt>
                <c:pt idx="46">
                  <c:v>2739</c:v>
                </c:pt>
                <c:pt idx="47">
                  <c:v>2739.25</c:v>
                </c:pt>
                <c:pt idx="48">
                  <c:v>2739</c:v>
                </c:pt>
                <c:pt idx="49">
                  <c:v>2739</c:v>
                </c:pt>
                <c:pt idx="50">
                  <c:v>2739</c:v>
                </c:pt>
                <c:pt idx="51">
                  <c:v>2738.75</c:v>
                </c:pt>
                <c:pt idx="52">
                  <c:v>2738.75</c:v>
                </c:pt>
                <c:pt idx="53">
                  <c:v>2738.75</c:v>
                </c:pt>
                <c:pt idx="54">
                  <c:v>2738.75</c:v>
                </c:pt>
                <c:pt idx="55">
                  <c:v>2738.75</c:v>
                </c:pt>
                <c:pt idx="56">
                  <c:v>2738.75</c:v>
                </c:pt>
                <c:pt idx="57">
                  <c:v>2738.75</c:v>
                </c:pt>
                <c:pt idx="58">
                  <c:v>2738.5</c:v>
                </c:pt>
                <c:pt idx="59">
                  <c:v>2738.75</c:v>
                </c:pt>
                <c:pt idx="60">
                  <c:v>2739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Sheet1!$AG$1:$AG$61</c:f>
              <c:numCache>
                <c:formatCode>General</c:formatCode>
                <c:ptCount val="61"/>
                <c:pt idx="0">
                  <c:v>2739.25</c:v>
                </c:pt>
                <c:pt idx="1">
                  <c:v>2739.5</c:v>
                </c:pt>
                <c:pt idx="2">
                  <c:v>2739.5</c:v>
                </c:pt>
                <c:pt idx="3">
                  <c:v>2739.5</c:v>
                </c:pt>
                <c:pt idx="4">
                  <c:v>2739.25</c:v>
                </c:pt>
                <c:pt idx="5">
                  <c:v>2739</c:v>
                </c:pt>
                <c:pt idx="6">
                  <c:v>2739.5</c:v>
                </c:pt>
                <c:pt idx="7">
                  <c:v>2740</c:v>
                </c:pt>
                <c:pt idx="8">
                  <c:v>2739.75</c:v>
                </c:pt>
                <c:pt idx="9">
                  <c:v>2739.5</c:v>
                </c:pt>
                <c:pt idx="10">
                  <c:v>2739</c:v>
                </c:pt>
                <c:pt idx="11">
                  <c:v>2739</c:v>
                </c:pt>
                <c:pt idx="12">
                  <c:v>2739.25</c:v>
                </c:pt>
                <c:pt idx="13">
                  <c:v>2739.25</c:v>
                </c:pt>
                <c:pt idx="14">
                  <c:v>2739</c:v>
                </c:pt>
                <c:pt idx="15">
                  <c:v>2739</c:v>
                </c:pt>
                <c:pt idx="16">
                  <c:v>2739</c:v>
                </c:pt>
                <c:pt idx="17">
                  <c:v>2739.25</c:v>
                </c:pt>
                <c:pt idx="18">
                  <c:v>2739.25</c:v>
                </c:pt>
                <c:pt idx="19">
                  <c:v>2739.25</c:v>
                </c:pt>
                <c:pt idx="20">
                  <c:v>2739.5</c:v>
                </c:pt>
                <c:pt idx="21">
                  <c:v>2739.25</c:v>
                </c:pt>
                <c:pt idx="22">
                  <c:v>2739.5</c:v>
                </c:pt>
                <c:pt idx="23">
                  <c:v>2740</c:v>
                </c:pt>
                <c:pt idx="24">
                  <c:v>2740</c:v>
                </c:pt>
                <c:pt idx="25">
                  <c:v>2740</c:v>
                </c:pt>
                <c:pt idx="26">
                  <c:v>2740</c:v>
                </c:pt>
                <c:pt idx="27">
                  <c:v>2739.75</c:v>
                </c:pt>
                <c:pt idx="28">
                  <c:v>2740</c:v>
                </c:pt>
                <c:pt idx="29">
                  <c:v>2740</c:v>
                </c:pt>
                <c:pt idx="30">
                  <c:v>2740</c:v>
                </c:pt>
                <c:pt idx="31">
                  <c:v>2740</c:v>
                </c:pt>
                <c:pt idx="32">
                  <c:v>2740</c:v>
                </c:pt>
                <c:pt idx="33">
                  <c:v>2739.75</c:v>
                </c:pt>
                <c:pt idx="34">
                  <c:v>2739.75</c:v>
                </c:pt>
                <c:pt idx="35">
                  <c:v>2739.75</c:v>
                </c:pt>
                <c:pt idx="36">
                  <c:v>2739.75</c:v>
                </c:pt>
                <c:pt idx="37">
                  <c:v>2739.5</c:v>
                </c:pt>
                <c:pt idx="38">
                  <c:v>2739.75</c:v>
                </c:pt>
                <c:pt idx="39">
                  <c:v>2739.75</c:v>
                </c:pt>
                <c:pt idx="40">
                  <c:v>2740</c:v>
                </c:pt>
                <c:pt idx="41">
                  <c:v>2739.75</c:v>
                </c:pt>
                <c:pt idx="42">
                  <c:v>2739.75</c:v>
                </c:pt>
                <c:pt idx="43">
                  <c:v>2739.5</c:v>
                </c:pt>
                <c:pt idx="44">
                  <c:v>2739.5</c:v>
                </c:pt>
                <c:pt idx="45">
                  <c:v>2739.25</c:v>
                </c:pt>
                <c:pt idx="46">
                  <c:v>2739.25</c:v>
                </c:pt>
                <c:pt idx="47">
                  <c:v>2739.25</c:v>
                </c:pt>
                <c:pt idx="48">
                  <c:v>2739.25</c:v>
                </c:pt>
                <c:pt idx="49">
                  <c:v>2739</c:v>
                </c:pt>
                <c:pt idx="50">
                  <c:v>2739</c:v>
                </c:pt>
                <c:pt idx="51">
                  <c:v>2738.75</c:v>
                </c:pt>
                <c:pt idx="52">
                  <c:v>2738.75</c:v>
                </c:pt>
                <c:pt idx="53">
                  <c:v>2738.75</c:v>
                </c:pt>
                <c:pt idx="54">
                  <c:v>2739</c:v>
                </c:pt>
                <c:pt idx="55">
                  <c:v>2738.75</c:v>
                </c:pt>
                <c:pt idx="56">
                  <c:v>2739</c:v>
                </c:pt>
                <c:pt idx="57">
                  <c:v>2738.75</c:v>
                </c:pt>
                <c:pt idx="58">
                  <c:v>2738.75</c:v>
                </c:pt>
                <c:pt idx="59">
                  <c:v>2738.75</c:v>
                </c:pt>
                <c:pt idx="60">
                  <c:v>2739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Sheet1!$AH$1:$AH$61</c:f>
              <c:numCache>
                <c:formatCode>General</c:formatCode>
                <c:ptCount val="61"/>
                <c:pt idx="0">
                  <c:v>2739.25</c:v>
                </c:pt>
                <c:pt idx="1">
                  <c:v>2738.75</c:v>
                </c:pt>
                <c:pt idx="2">
                  <c:v>2738.75</c:v>
                </c:pt>
                <c:pt idx="3">
                  <c:v>2739</c:v>
                </c:pt>
                <c:pt idx="4">
                  <c:v>2738.75</c:v>
                </c:pt>
                <c:pt idx="5">
                  <c:v>2738.75</c:v>
                </c:pt>
                <c:pt idx="6">
                  <c:v>2738.75</c:v>
                </c:pt>
                <c:pt idx="7">
                  <c:v>2739.25</c:v>
                </c:pt>
                <c:pt idx="8">
                  <c:v>2739.5</c:v>
                </c:pt>
                <c:pt idx="9">
                  <c:v>2738.75</c:v>
                </c:pt>
                <c:pt idx="10">
                  <c:v>2738.5</c:v>
                </c:pt>
                <c:pt idx="11">
                  <c:v>2738.5</c:v>
                </c:pt>
                <c:pt idx="12">
                  <c:v>2738.75</c:v>
                </c:pt>
                <c:pt idx="13">
                  <c:v>2739</c:v>
                </c:pt>
                <c:pt idx="14">
                  <c:v>2739</c:v>
                </c:pt>
                <c:pt idx="15">
                  <c:v>2739</c:v>
                </c:pt>
                <c:pt idx="16">
                  <c:v>2739</c:v>
                </c:pt>
                <c:pt idx="17">
                  <c:v>2739</c:v>
                </c:pt>
                <c:pt idx="18">
                  <c:v>2739</c:v>
                </c:pt>
                <c:pt idx="19">
                  <c:v>2739</c:v>
                </c:pt>
                <c:pt idx="20">
                  <c:v>2739</c:v>
                </c:pt>
                <c:pt idx="21">
                  <c:v>2739</c:v>
                </c:pt>
                <c:pt idx="22">
                  <c:v>2739.25</c:v>
                </c:pt>
                <c:pt idx="23">
                  <c:v>2739.25</c:v>
                </c:pt>
                <c:pt idx="24">
                  <c:v>2739.75</c:v>
                </c:pt>
                <c:pt idx="25">
                  <c:v>2739.75</c:v>
                </c:pt>
                <c:pt idx="26">
                  <c:v>2739.75</c:v>
                </c:pt>
                <c:pt idx="27">
                  <c:v>2739.5</c:v>
                </c:pt>
                <c:pt idx="28">
                  <c:v>2739.5</c:v>
                </c:pt>
                <c:pt idx="29">
                  <c:v>2739.75</c:v>
                </c:pt>
                <c:pt idx="30">
                  <c:v>2739.75</c:v>
                </c:pt>
                <c:pt idx="31">
                  <c:v>2739.75</c:v>
                </c:pt>
                <c:pt idx="32">
                  <c:v>2739.5</c:v>
                </c:pt>
                <c:pt idx="33">
                  <c:v>2739.5</c:v>
                </c:pt>
                <c:pt idx="34">
                  <c:v>2739.5</c:v>
                </c:pt>
                <c:pt idx="35">
                  <c:v>2739.5</c:v>
                </c:pt>
                <c:pt idx="36">
                  <c:v>2739.25</c:v>
                </c:pt>
                <c:pt idx="37">
                  <c:v>2739.25</c:v>
                </c:pt>
                <c:pt idx="38">
                  <c:v>2739.5</c:v>
                </c:pt>
                <c:pt idx="39">
                  <c:v>2739.5</c:v>
                </c:pt>
                <c:pt idx="40">
                  <c:v>2739.5</c:v>
                </c:pt>
                <c:pt idx="41">
                  <c:v>2739.5</c:v>
                </c:pt>
                <c:pt idx="42">
                  <c:v>2739.5</c:v>
                </c:pt>
                <c:pt idx="43">
                  <c:v>2739.5</c:v>
                </c:pt>
                <c:pt idx="44">
                  <c:v>2739.25</c:v>
                </c:pt>
                <c:pt idx="45">
                  <c:v>2739</c:v>
                </c:pt>
                <c:pt idx="46">
                  <c:v>2739</c:v>
                </c:pt>
                <c:pt idx="47">
                  <c:v>2739</c:v>
                </c:pt>
                <c:pt idx="48">
                  <c:v>2739</c:v>
                </c:pt>
                <c:pt idx="49">
                  <c:v>2739</c:v>
                </c:pt>
                <c:pt idx="50">
                  <c:v>2738.75</c:v>
                </c:pt>
                <c:pt idx="51">
                  <c:v>2738.75</c:v>
                </c:pt>
                <c:pt idx="52">
                  <c:v>2738.75</c:v>
                </c:pt>
                <c:pt idx="53">
                  <c:v>2738.75</c:v>
                </c:pt>
                <c:pt idx="54">
                  <c:v>2738.75</c:v>
                </c:pt>
                <c:pt idx="55">
                  <c:v>2738.75</c:v>
                </c:pt>
                <c:pt idx="56">
                  <c:v>2738.75</c:v>
                </c:pt>
                <c:pt idx="57">
                  <c:v>2738.5</c:v>
                </c:pt>
                <c:pt idx="58">
                  <c:v>2738.5</c:v>
                </c:pt>
                <c:pt idx="59">
                  <c:v>2738.5</c:v>
                </c:pt>
                <c:pt idx="60">
                  <c:v>2738.75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Sheet1!$AI$1:$AI$61</c:f>
              <c:numCache>
                <c:formatCode>General</c:formatCode>
                <c:ptCount val="61"/>
                <c:pt idx="0">
                  <c:v>2739.25</c:v>
                </c:pt>
                <c:pt idx="1">
                  <c:v>2739.25</c:v>
                </c:pt>
                <c:pt idx="2">
                  <c:v>2738.75</c:v>
                </c:pt>
                <c:pt idx="3">
                  <c:v>2739.25</c:v>
                </c:pt>
                <c:pt idx="4">
                  <c:v>2739.25</c:v>
                </c:pt>
                <c:pt idx="5">
                  <c:v>2739</c:v>
                </c:pt>
                <c:pt idx="6">
                  <c:v>2739</c:v>
                </c:pt>
                <c:pt idx="7">
                  <c:v>2739.25</c:v>
                </c:pt>
                <c:pt idx="8">
                  <c:v>2739.75</c:v>
                </c:pt>
                <c:pt idx="9">
                  <c:v>2739.5</c:v>
                </c:pt>
                <c:pt idx="10">
                  <c:v>2738.75</c:v>
                </c:pt>
                <c:pt idx="11">
                  <c:v>2738.5</c:v>
                </c:pt>
                <c:pt idx="12">
                  <c:v>2738.75</c:v>
                </c:pt>
                <c:pt idx="13">
                  <c:v>2739</c:v>
                </c:pt>
                <c:pt idx="14">
                  <c:v>2739</c:v>
                </c:pt>
                <c:pt idx="15">
                  <c:v>2739</c:v>
                </c:pt>
                <c:pt idx="16">
                  <c:v>2739</c:v>
                </c:pt>
                <c:pt idx="17">
                  <c:v>2739</c:v>
                </c:pt>
                <c:pt idx="18">
                  <c:v>2739.25</c:v>
                </c:pt>
                <c:pt idx="19">
                  <c:v>2739</c:v>
                </c:pt>
                <c:pt idx="20">
                  <c:v>2739.25</c:v>
                </c:pt>
                <c:pt idx="21">
                  <c:v>2739.25</c:v>
                </c:pt>
                <c:pt idx="22">
                  <c:v>2739.25</c:v>
                </c:pt>
                <c:pt idx="23">
                  <c:v>2739.25</c:v>
                </c:pt>
                <c:pt idx="24">
                  <c:v>2739.75</c:v>
                </c:pt>
                <c:pt idx="25">
                  <c:v>2739.75</c:v>
                </c:pt>
                <c:pt idx="26">
                  <c:v>2739.75</c:v>
                </c:pt>
                <c:pt idx="27">
                  <c:v>2739.75</c:v>
                </c:pt>
                <c:pt idx="28">
                  <c:v>2739.75</c:v>
                </c:pt>
                <c:pt idx="29">
                  <c:v>2739.75</c:v>
                </c:pt>
                <c:pt idx="30">
                  <c:v>2739.75</c:v>
                </c:pt>
                <c:pt idx="31">
                  <c:v>2739.75</c:v>
                </c:pt>
                <c:pt idx="32">
                  <c:v>2739.75</c:v>
                </c:pt>
                <c:pt idx="33">
                  <c:v>2739.5</c:v>
                </c:pt>
                <c:pt idx="34">
                  <c:v>2739.75</c:v>
                </c:pt>
                <c:pt idx="35">
                  <c:v>2739.5</c:v>
                </c:pt>
                <c:pt idx="36">
                  <c:v>2739.5</c:v>
                </c:pt>
                <c:pt idx="37">
                  <c:v>2739.5</c:v>
                </c:pt>
                <c:pt idx="38">
                  <c:v>2739.5</c:v>
                </c:pt>
                <c:pt idx="39">
                  <c:v>2739.75</c:v>
                </c:pt>
                <c:pt idx="40">
                  <c:v>2739.75</c:v>
                </c:pt>
                <c:pt idx="41">
                  <c:v>2739.5</c:v>
                </c:pt>
                <c:pt idx="42">
                  <c:v>2739.5</c:v>
                </c:pt>
                <c:pt idx="43">
                  <c:v>2739.5</c:v>
                </c:pt>
                <c:pt idx="44">
                  <c:v>2739.5</c:v>
                </c:pt>
                <c:pt idx="45">
                  <c:v>2739.25</c:v>
                </c:pt>
                <c:pt idx="46">
                  <c:v>2739.25</c:v>
                </c:pt>
                <c:pt idx="47">
                  <c:v>2739</c:v>
                </c:pt>
                <c:pt idx="48">
                  <c:v>2739</c:v>
                </c:pt>
                <c:pt idx="49">
                  <c:v>2739</c:v>
                </c:pt>
                <c:pt idx="50">
                  <c:v>2739</c:v>
                </c:pt>
                <c:pt idx="51">
                  <c:v>2738.75</c:v>
                </c:pt>
                <c:pt idx="52">
                  <c:v>2738.75</c:v>
                </c:pt>
                <c:pt idx="53">
                  <c:v>2738.75</c:v>
                </c:pt>
                <c:pt idx="54">
                  <c:v>2738.75</c:v>
                </c:pt>
                <c:pt idx="55">
                  <c:v>2738.75</c:v>
                </c:pt>
                <c:pt idx="56">
                  <c:v>2738.75</c:v>
                </c:pt>
                <c:pt idx="57">
                  <c:v>2738.75</c:v>
                </c:pt>
                <c:pt idx="58">
                  <c:v>2738.75</c:v>
                </c:pt>
                <c:pt idx="59">
                  <c:v>2738.5</c:v>
                </c:pt>
                <c:pt idx="60">
                  <c:v>2738.75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60000">
                    <a:schemeClr val="accent4">
                      <a:lumMod val="0"/>
                      <a:lumOff val="100000"/>
                    </a:schemeClr>
                  </a:gs>
                  <a:gs pos="100000">
                    <a:schemeClr val="accent4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41140096"/>
        <c:axId val="193733104"/>
      </c:stockChart>
      <c:catAx>
        <c:axId val="241140096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93733104"/>
        <c:crosses val="autoZero"/>
        <c:auto val="1"/>
        <c:lblAlgn val="ctr"/>
        <c:lblOffset val="100"/>
        <c:tickLblSkip val="10"/>
        <c:noMultiLvlLbl val="0"/>
      </c:catAx>
      <c:valAx>
        <c:axId val="1937331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14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90761443918009E-2"/>
          <c:y val="0.12625952243774408"/>
          <c:w val="0.93819628737586913"/>
          <c:h val="0.5934959349593496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Sheet1!$AA$1:$AA$61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43167.635405092602</c:v>
                </c:pt>
                <c:pt idx="2">
                  <c:v>43167.635393518503</c:v>
                </c:pt>
                <c:pt idx="3">
                  <c:v>43167.635381944398</c:v>
                </c:pt>
                <c:pt idx="4">
                  <c:v>43167.635370370401</c:v>
                </c:pt>
                <c:pt idx="5">
                  <c:v>43167.635358796302</c:v>
                </c:pt>
                <c:pt idx="6">
                  <c:v>43167.635347222204</c:v>
                </c:pt>
                <c:pt idx="7">
                  <c:v>43167.635335648098</c:v>
                </c:pt>
                <c:pt idx="8">
                  <c:v>43167.635324074101</c:v>
                </c:pt>
                <c:pt idx="9">
                  <c:v>43167.635312500002</c:v>
                </c:pt>
                <c:pt idx="10">
                  <c:v>43167.635300925896</c:v>
                </c:pt>
                <c:pt idx="11">
                  <c:v>43167.6352893519</c:v>
                </c:pt>
                <c:pt idx="12">
                  <c:v>43167.635277777801</c:v>
                </c:pt>
                <c:pt idx="13">
                  <c:v>43167.635266203702</c:v>
                </c:pt>
                <c:pt idx="14">
                  <c:v>43167.635254629597</c:v>
                </c:pt>
                <c:pt idx="15">
                  <c:v>43167.6352430556</c:v>
                </c:pt>
                <c:pt idx="16">
                  <c:v>43167.635231481501</c:v>
                </c:pt>
                <c:pt idx="17">
                  <c:v>43167.635219907403</c:v>
                </c:pt>
                <c:pt idx="18">
                  <c:v>43167.635208333297</c:v>
                </c:pt>
                <c:pt idx="19">
                  <c:v>43167.6351967593</c:v>
                </c:pt>
                <c:pt idx="20">
                  <c:v>43167.635185185201</c:v>
                </c:pt>
                <c:pt idx="21">
                  <c:v>43167.635173611103</c:v>
                </c:pt>
                <c:pt idx="22">
                  <c:v>43167.635162036997</c:v>
                </c:pt>
                <c:pt idx="23">
                  <c:v>43167.635150463</c:v>
                </c:pt>
                <c:pt idx="24">
                  <c:v>43167.635138888902</c:v>
                </c:pt>
                <c:pt idx="25">
                  <c:v>43167.635127314803</c:v>
                </c:pt>
                <c:pt idx="26">
                  <c:v>43167.635115740697</c:v>
                </c:pt>
                <c:pt idx="27">
                  <c:v>43167.6351041667</c:v>
                </c:pt>
                <c:pt idx="28">
                  <c:v>43167.635092592602</c:v>
                </c:pt>
                <c:pt idx="29">
                  <c:v>43167.635081018503</c:v>
                </c:pt>
                <c:pt idx="30">
                  <c:v>43167.635069444397</c:v>
                </c:pt>
                <c:pt idx="31">
                  <c:v>43167.6350578704</c:v>
                </c:pt>
                <c:pt idx="32">
                  <c:v>43167.635046296302</c:v>
                </c:pt>
                <c:pt idx="33">
                  <c:v>43167.635034722203</c:v>
                </c:pt>
                <c:pt idx="34">
                  <c:v>43167.635023148097</c:v>
                </c:pt>
                <c:pt idx="35">
                  <c:v>43167.635011574101</c:v>
                </c:pt>
                <c:pt idx="36">
                  <c:v>43167.635000000002</c:v>
                </c:pt>
                <c:pt idx="37">
                  <c:v>43167.634988425903</c:v>
                </c:pt>
                <c:pt idx="38">
                  <c:v>43167.634976851899</c:v>
                </c:pt>
                <c:pt idx="39">
                  <c:v>43167.634965277801</c:v>
                </c:pt>
                <c:pt idx="40">
                  <c:v>43167.634953703702</c:v>
                </c:pt>
                <c:pt idx="41">
                  <c:v>43167.634942129604</c:v>
                </c:pt>
                <c:pt idx="42">
                  <c:v>43167.6349305556</c:v>
                </c:pt>
                <c:pt idx="43">
                  <c:v>43167.634918981501</c:v>
                </c:pt>
                <c:pt idx="44">
                  <c:v>43167.634907407402</c:v>
                </c:pt>
                <c:pt idx="45">
                  <c:v>43167.634895833296</c:v>
                </c:pt>
                <c:pt idx="46">
                  <c:v>43167.6348842593</c:v>
                </c:pt>
                <c:pt idx="47">
                  <c:v>43167.634872685099</c:v>
                </c:pt>
                <c:pt idx="48">
                  <c:v>43167.634861111103</c:v>
                </c:pt>
                <c:pt idx="49">
                  <c:v>43167.634849536997</c:v>
                </c:pt>
                <c:pt idx="50">
                  <c:v>43167.634837963</c:v>
                </c:pt>
                <c:pt idx="51">
                  <c:v>43167.634826388901</c:v>
                </c:pt>
                <c:pt idx="52">
                  <c:v>43167.634814814803</c:v>
                </c:pt>
                <c:pt idx="53">
                  <c:v>43167.634803240697</c:v>
                </c:pt>
                <c:pt idx="54">
                  <c:v>43167.6347916667</c:v>
                </c:pt>
                <c:pt idx="55">
                  <c:v>43167.634780092601</c:v>
                </c:pt>
                <c:pt idx="56">
                  <c:v>43167.634768518503</c:v>
                </c:pt>
                <c:pt idx="57">
                  <c:v>43167.634756944397</c:v>
                </c:pt>
                <c:pt idx="58">
                  <c:v>43167.6347453704</c:v>
                </c:pt>
                <c:pt idx="59">
                  <c:v>43167.634733796302</c:v>
                </c:pt>
                <c:pt idx="60">
                  <c:v>43167.634722222203</c:v>
                </c:pt>
              </c:numCache>
            </c:numRef>
          </c:cat>
          <c:val>
            <c:numRef>
              <c:f>Sheet1!$AB$1:$AB$61</c:f>
              <c:numCache>
                <c:formatCode>General</c:formatCode>
                <c:ptCount val="61"/>
                <c:pt idx="0">
                  <c:v>463</c:v>
                </c:pt>
                <c:pt idx="1">
                  <c:v>324</c:v>
                </c:pt>
                <c:pt idx="2">
                  <c:v>280</c:v>
                </c:pt>
                <c:pt idx="3">
                  <c:v>260</c:v>
                </c:pt>
                <c:pt idx="4">
                  <c:v>252</c:v>
                </c:pt>
                <c:pt idx="5">
                  <c:v>273</c:v>
                </c:pt>
                <c:pt idx="6">
                  <c:v>287</c:v>
                </c:pt>
                <c:pt idx="7">
                  <c:v>138</c:v>
                </c:pt>
                <c:pt idx="8">
                  <c:v>128</c:v>
                </c:pt>
                <c:pt idx="9">
                  <c:v>134</c:v>
                </c:pt>
                <c:pt idx="10">
                  <c:v>253</c:v>
                </c:pt>
                <c:pt idx="11">
                  <c:v>189</c:v>
                </c:pt>
                <c:pt idx="12">
                  <c:v>187</c:v>
                </c:pt>
                <c:pt idx="13">
                  <c:v>185</c:v>
                </c:pt>
                <c:pt idx="14">
                  <c:v>212</c:v>
                </c:pt>
                <c:pt idx="15">
                  <c:v>59</c:v>
                </c:pt>
                <c:pt idx="16">
                  <c:v>56</c:v>
                </c:pt>
                <c:pt idx="17">
                  <c:v>84</c:v>
                </c:pt>
                <c:pt idx="18">
                  <c:v>113</c:v>
                </c:pt>
                <c:pt idx="19">
                  <c:v>80</c:v>
                </c:pt>
                <c:pt idx="20">
                  <c:v>101</c:v>
                </c:pt>
                <c:pt idx="21">
                  <c:v>96</c:v>
                </c:pt>
                <c:pt idx="22">
                  <c:v>265</c:v>
                </c:pt>
                <c:pt idx="23">
                  <c:v>227</c:v>
                </c:pt>
                <c:pt idx="24">
                  <c:v>224</c:v>
                </c:pt>
                <c:pt idx="25">
                  <c:v>228</c:v>
                </c:pt>
                <c:pt idx="26">
                  <c:v>375</c:v>
                </c:pt>
                <c:pt idx="27">
                  <c:v>610</c:v>
                </c:pt>
                <c:pt idx="28">
                  <c:v>638</c:v>
                </c:pt>
                <c:pt idx="29">
                  <c:v>785</c:v>
                </c:pt>
                <c:pt idx="30">
                  <c:v>786</c:v>
                </c:pt>
                <c:pt idx="31">
                  <c:v>720</c:v>
                </c:pt>
                <c:pt idx="32">
                  <c:v>295</c:v>
                </c:pt>
                <c:pt idx="33">
                  <c:v>323</c:v>
                </c:pt>
                <c:pt idx="34">
                  <c:v>175</c:v>
                </c:pt>
                <c:pt idx="35">
                  <c:v>160</c:v>
                </c:pt>
                <c:pt idx="36">
                  <c:v>148</c:v>
                </c:pt>
                <c:pt idx="37">
                  <c:v>208</c:v>
                </c:pt>
                <c:pt idx="38">
                  <c:v>153</c:v>
                </c:pt>
                <c:pt idx="39">
                  <c:v>183</c:v>
                </c:pt>
                <c:pt idx="40">
                  <c:v>186</c:v>
                </c:pt>
                <c:pt idx="41">
                  <c:v>121</c:v>
                </c:pt>
                <c:pt idx="42">
                  <c:v>54</c:v>
                </c:pt>
                <c:pt idx="43">
                  <c:v>55</c:v>
                </c:pt>
                <c:pt idx="44">
                  <c:v>28</c:v>
                </c:pt>
                <c:pt idx="45">
                  <c:v>112</c:v>
                </c:pt>
                <c:pt idx="46">
                  <c:v>110</c:v>
                </c:pt>
                <c:pt idx="47">
                  <c:v>459</c:v>
                </c:pt>
                <c:pt idx="48">
                  <c:v>461</c:v>
                </c:pt>
                <c:pt idx="49">
                  <c:v>490</c:v>
                </c:pt>
                <c:pt idx="50">
                  <c:v>424</c:v>
                </c:pt>
                <c:pt idx="51">
                  <c:v>426</c:v>
                </c:pt>
                <c:pt idx="52">
                  <c:v>81</c:v>
                </c:pt>
                <c:pt idx="53">
                  <c:v>102</c:v>
                </c:pt>
                <c:pt idx="54">
                  <c:v>96</c:v>
                </c:pt>
                <c:pt idx="55">
                  <c:v>116</c:v>
                </c:pt>
                <c:pt idx="56">
                  <c:v>318</c:v>
                </c:pt>
                <c:pt idx="57">
                  <c:v>326</c:v>
                </c:pt>
                <c:pt idx="58">
                  <c:v>304</c:v>
                </c:pt>
                <c:pt idx="59">
                  <c:v>291</c:v>
                </c:pt>
                <c:pt idx="60">
                  <c:v>242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Sheet1!$AA$1:$AA$61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43167.635405092602</c:v>
                </c:pt>
                <c:pt idx="2">
                  <c:v>43167.635393518503</c:v>
                </c:pt>
                <c:pt idx="3">
                  <c:v>43167.635381944398</c:v>
                </c:pt>
                <c:pt idx="4">
                  <c:v>43167.635370370401</c:v>
                </c:pt>
                <c:pt idx="5">
                  <c:v>43167.635358796302</c:v>
                </c:pt>
                <c:pt idx="6">
                  <c:v>43167.635347222204</c:v>
                </c:pt>
                <c:pt idx="7">
                  <c:v>43167.635335648098</c:v>
                </c:pt>
                <c:pt idx="8">
                  <c:v>43167.635324074101</c:v>
                </c:pt>
                <c:pt idx="9">
                  <c:v>43167.635312500002</c:v>
                </c:pt>
                <c:pt idx="10">
                  <c:v>43167.635300925896</c:v>
                </c:pt>
                <c:pt idx="11">
                  <c:v>43167.6352893519</c:v>
                </c:pt>
                <c:pt idx="12">
                  <c:v>43167.635277777801</c:v>
                </c:pt>
                <c:pt idx="13">
                  <c:v>43167.635266203702</c:v>
                </c:pt>
                <c:pt idx="14">
                  <c:v>43167.635254629597</c:v>
                </c:pt>
                <c:pt idx="15">
                  <c:v>43167.6352430556</c:v>
                </c:pt>
                <c:pt idx="16">
                  <c:v>43167.635231481501</c:v>
                </c:pt>
                <c:pt idx="17">
                  <c:v>43167.635219907403</c:v>
                </c:pt>
                <c:pt idx="18">
                  <c:v>43167.635208333297</c:v>
                </c:pt>
                <c:pt idx="19">
                  <c:v>43167.6351967593</c:v>
                </c:pt>
                <c:pt idx="20">
                  <c:v>43167.635185185201</c:v>
                </c:pt>
                <c:pt idx="21">
                  <c:v>43167.635173611103</c:v>
                </c:pt>
                <c:pt idx="22">
                  <c:v>43167.635162036997</c:v>
                </c:pt>
                <c:pt idx="23">
                  <c:v>43167.635150463</c:v>
                </c:pt>
                <c:pt idx="24">
                  <c:v>43167.635138888902</c:v>
                </c:pt>
                <c:pt idx="25">
                  <c:v>43167.635127314803</c:v>
                </c:pt>
                <c:pt idx="26">
                  <c:v>43167.635115740697</c:v>
                </c:pt>
                <c:pt idx="27">
                  <c:v>43167.6351041667</c:v>
                </c:pt>
                <c:pt idx="28">
                  <c:v>43167.635092592602</c:v>
                </c:pt>
                <c:pt idx="29">
                  <c:v>43167.635081018503</c:v>
                </c:pt>
                <c:pt idx="30">
                  <c:v>43167.635069444397</c:v>
                </c:pt>
                <c:pt idx="31">
                  <c:v>43167.6350578704</c:v>
                </c:pt>
                <c:pt idx="32">
                  <c:v>43167.635046296302</c:v>
                </c:pt>
                <c:pt idx="33">
                  <c:v>43167.635034722203</c:v>
                </c:pt>
                <c:pt idx="34">
                  <c:v>43167.635023148097</c:v>
                </c:pt>
                <c:pt idx="35">
                  <c:v>43167.635011574101</c:v>
                </c:pt>
                <c:pt idx="36">
                  <c:v>43167.635000000002</c:v>
                </c:pt>
                <c:pt idx="37">
                  <c:v>43167.634988425903</c:v>
                </c:pt>
                <c:pt idx="38">
                  <c:v>43167.634976851899</c:v>
                </c:pt>
                <c:pt idx="39">
                  <c:v>43167.634965277801</c:v>
                </c:pt>
                <c:pt idx="40">
                  <c:v>43167.634953703702</c:v>
                </c:pt>
                <c:pt idx="41">
                  <c:v>43167.634942129604</c:v>
                </c:pt>
                <c:pt idx="42">
                  <c:v>43167.6349305556</c:v>
                </c:pt>
                <c:pt idx="43">
                  <c:v>43167.634918981501</c:v>
                </c:pt>
                <c:pt idx="44">
                  <c:v>43167.634907407402</c:v>
                </c:pt>
                <c:pt idx="45">
                  <c:v>43167.634895833296</c:v>
                </c:pt>
                <c:pt idx="46">
                  <c:v>43167.6348842593</c:v>
                </c:pt>
                <c:pt idx="47">
                  <c:v>43167.634872685099</c:v>
                </c:pt>
                <c:pt idx="48">
                  <c:v>43167.634861111103</c:v>
                </c:pt>
                <c:pt idx="49">
                  <c:v>43167.634849536997</c:v>
                </c:pt>
                <c:pt idx="50">
                  <c:v>43167.634837963</c:v>
                </c:pt>
                <c:pt idx="51">
                  <c:v>43167.634826388901</c:v>
                </c:pt>
                <c:pt idx="52">
                  <c:v>43167.634814814803</c:v>
                </c:pt>
                <c:pt idx="53">
                  <c:v>43167.634803240697</c:v>
                </c:pt>
                <c:pt idx="54">
                  <c:v>43167.6347916667</c:v>
                </c:pt>
                <c:pt idx="55">
                  <c:v>43167.634780092601</c:v>
                </c:pt>
                <c:pt idx="56">
                  <c:v>43167.634768518503</c:v>
                </c:pt>
                <c:pt idx="57">
                  <c:v>43167.634756944397</c:v>
                </c:pt>
                <c:pt idx="58">
                  <c:v>43167.6347453704</c:v>
                </c:pt>
                <c:pt idx="59">
                  <c:v>43167.634733796302</c:v>
                </c:pt>
                <c:pt idx="60">
                  <c:v>43167.634722222203</c:v>
                </c:pt>
              </c:numCache>
            </c:numRef>
          </c:cat>
          <c:val>
            <c:numRef>
              <c:f>Sheet1!$AC$1:$AC$61</c:f>
              <c:numCache>
                <c:formatCode>General</c:formatCode>
                <c:ptCount val="61"/>
                <c:pt idx="0">
                  <c:v>424</c:v>
                </c:pt>
                <c:pt idx="1">
                  <c:v>415</c:v>
                </c:pt>
                <c:pt idx="2">
                  <c:v>408</c:v>
                </c:pt>
                <c:pt idx="3">
                  <c:v>269</c:v>
                </c:pt>
                <c:pt idx="4">
                  <c:v>172</c:v>
                </c:pt>
                <c:pt idx="5">
                  <c:v>84</c:v>
                </c:pt>
                <c:pt idx="6">
                  <c:v>123</c:v>
                </c:pt>
                <c:pt idx="7">
                  <c:v>106</c:v>
                </c:pt>
                <c:pt idx="8">
                  <c:v>103</c:v>
                </c:pt>
                <c:pt idx="9">
                  <c:v>112</c:v>
                </c:pt>
                <c:pt idx="10">
                  <c:v>122</c:v>
                </c:pt>
                <c:pt idx="11">
                  <c:v>169</c:v>
                </c:pt>
                <c:pt idx="12">
                  <c:v>192</c:v>
                </c:pt>
                <c:pt idx="13">
                  <c:v>206</c:v>
                </c:pt>
                <c:pt idx="14">
                  <c:v>248</c:v>
                </c:pt>
                <c:pt idx="15">
                  <c:v>257</c:v>
                </c:pt>
                <c:pt idx="16">
                  <c:v>210</c:v>
                </c:pt>
                <c:pt idx="17">
                  <c:v>216</c:v>
                </c:pt>
                <c:pt idx="18">
                  <c:v>205</c:v>
                </c:pt>
                <c:pt idx="19">
                  <c:v>215</c:v>
                </c:pt>
                <c:pt idx="20">
                  <c:v>429</c:v>
                </c:pt>
                <c:pt idx="21">
                  <c:v>392</c:v>
                </c:pt>
                <c:pt idx="22">
                  <c:v>430</c:v>
                </c:pt>
                <c:pt idx="23">
                  <c:v>413</c:v>
                </c:pt>
                <c:pt idx="24">
                  <c:v>372</c:v>
                </c:pt>
                <c:pt idx="25">
                  <c:v>144</c:v>
                </c:pt>
                <c:pt idx="26">
                  <c:v>436</c:v>
                </c:pt>
                <c:pt idx="27">
                  <c:v>419</c:v>
                </c:pt>
                <c:pt idx="28">
                  <c:v>416</c:v>
                </c:pt>
                <c:pt idx="29">
                  <c:v>400</c:v>
                </c:pt>
                <c:pt idx="30">
                  <c:v>486</c:v>
                </c:pt>
                <c:pt idx="31">
                  <c:v>175</c:v>
                </c:pt>
                <c:pt idx="32">
                  <c:v>393</c:v>
                </c:pt>
                <c:pt idx="33">
                  <c:v>397</c:v>
                </c:pt>
                <c:pt idx="34">
                  <c:v>400</c:v>
                </c:pt>
                <c:pt idx="35">
                  <c:v>498</c:v>
                </c:pt>
                <c:pt idx="36">
                  <c:v>922</c:v>
                </c:pt>
                <c:pt idx="37">
                  <c:v>1076</c:v>
                </c:pt>
                <c:pt idx="38">
                  <c:v>1055</c:v>
                </c:pt>
                <c:pt idx="39">
                  <c:v>1048</c:v>
                </c:pt>
                <c:pt idx="40">
                  <c:v>848</c:v>
                </c:pt>
                <c:pt idx="41">
                  <c:v>424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216</c:v>
                </c:pt>
                <c:pt idx="46">
                  <c:v>219</c:v>
                </c:pt>
                <c:pt idx="47">
                  <c:v>219</c:v>
                </c:pt>
                <c:pt idx="48">
                  <c:v>219</c:v>
                </c:pt>
                <c:pt idx="49">
                  <c:v>219</c:v>
                </c:pt>
                <c:pt idx="50">
                  <c:v>3</c:v>
                </c:pt>
                <c:pt idx="51">
                  <c:v>11</c:v>
                </c:pt>
                <c:pt idx="52">
                  <c:v>21</c:v>
                </c:pt>
                <c:pt idx="53">
                  <c:v>48</c:v>
                </c:pt>
                <c:pt idx="54">
                  <c:v>75</c:v>
                </c:pt>
                <c:pt idx="55">
                  <c:v>75</c:v>
                </c:pt>
                <c:pt idx="56">
                  <c:v>94</c:v>
                </c:pt>
                <c:pt idx="57">
                  <c:v>88</c:v>
                </c:pt>
                <c:pt idx="58">
                  <c:v>61</c:v>
                </c:pt>
                <c:pt idx="59">
                  <c:v>37</c:v>
                </c:pt>
                <c:pt idx="6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1111072"/>
        <c:axId val="241114432"/>
      </c:lineChart>
      <c:catAx>
        <c:axId val="241111072"/>
        <c:scaling>
          <c:orientation val="maxMin"/>
        </c:scaling>
        <c:delete val="0"/>
        <c:axPos val="b"/>
        <c:numFmt formatCode="h:mm:ss;@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114432"/>
        <c:crosses val="autoZero"/>
        <c:auto val="1"/>
        <c:lblAlgn val="ctr"/>
        <c:lblOffset val="100"/>
        <c:tickLblSkip val="10"/>
        <c:noMultiLvlLbl val="0"/>
      </c:catAx>
      <c:valAx>
        <c:axId val="241114432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111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Sheet1!$AJ$1:$AJ$61</c:f>
              <c:numCache>
                <c:formatCode>General</c:formatCode>
                <c:ptCount val="61"/>
                <c:pt idx="0">
                  <c:v>1180</c:v>
                </c:pt>
                <c:pt idx="1">
                  <c:v>952</c:v>
                </c:pt>
                <c:pt idx="2">
                  <c:v>1003</c:v>
                </c:pt>
                <c:pt idx="3">
                  <c:v>1436</c:v>
                </c:pt>
                <c:pt idx="4">
                  <c:v>1325</c:v>
                </c:pt>
                <c:pt idx="5">
                  <c:v>1390</c:v>
                </c:pt>
                <c:pt idx="6">
                  <c:v>1398</c:v>
                </c:pt>
                <c:pt idx="7">
                  <c:v>1417</c:v>
                </c:pt>
                <c:pt idx="8">
                  <c:v>989</c:v>
                </c:pt>
                <c:pt idx="9">
                  <c:v>949</c:v>
                </c:pt>
                <c:pt idx="10">
                  <c:v>890</c:v>
                </c:pt>
                <c:pt idx="11">
                  <c:v>841</c:v>
                </c:pt>
                <c:pt idx="12">
                  <c:v>486</c:v>
                </c:pt>
                <c:pt idx="13">
                  <c:v>217</c:v>
                </c:pt>
                <c:pt idx="14">
                  <c:v>362</c:v>
                </c:pt>
                <c:pt idx="15">
                  <c:v>310</c:v>
                </c:pt>
                <c:pt idx="16">
                  <c:v>296</c:v>
                </c:pt>
                <c:pt idx="17">
                  <c:v>280</c:v>
                </c:pt>
                <c:pt idx="18">
                  <c:v>294</c:v>
                </c:pt>
                <c:pt idx="19">
                  <c:v>649</c:v>
                </c:pt>
                <c:pt idx="20">
                  <c:v>691</c:v>
                </c:pt>
                <c:pt idx="21">
                  <c:v>680</c:v>
                </c:pt>
                <c:pt idx="22">
                  <c:v>671</c:v>
                </c:pt>
                <c:pt idx="23">
                  <c:v>674</c:v>
                </c:pt>
                <c:pt idx="24">
                  <c:v>256</c:v>
                </c:pt>
                <c:pt idx="25">
                  <c:v>227</c:v>
                </c:pt>
                <c:pt idx="26">
                  <c:v>266</c:v>
                </c:pt>
                <c:pt idx="27">
                  <c:v>255</c:v>
                </c:pt>
                <c:pt idx="28">
                  <c:v>293</c:v>
                </c:pt>
                <c:pt idx="29">
                  <c:v>178</c:v>
                </c:pt>
                <c:pt idx="30">
                  <c:v>206</c:v>
                </c:pt>
                <c:pt idx="31">
                  <c:v>204</c:v>
                </c:pt>
                <c:pt idx="32">
                  <c:v>226</c:v>
                </c:pt>
                <c:pt idx="33">
                  <c:v>252</c:v>
                </c:pt>
                <c:pt idx="34">
                  <c:v>432</c:v>
                </c:pt>
                <c:pt idx="35">
                  <c:v>415</c:v>
                </c:pt>
                <c:pt idx="36">
                  <c:v>448</c:v>
                </c:pt>
                <c:pt idx="37">
                  <c:v>517</c:v>
                </c:pt>
                <c:pt idx="38">
                  <c:v>476</c:v>
                </c:pt>
                <c:pt idx="39">
                  <c:v>351</c:v>
                </c:pt>
                <c:pt idx="40">
                  <c:v>357</c:v>
                </c:pt>
                <c:pt idx="41">
                  <c:v>347</c:v>
                </c:pt>
                <c:pt idx="42">
                  <c:v>323</c:v>
                </c:pt>
                <c:pt idx="43">
                  <c:v>307</c:v>
                </c:pt>
                <c:pt idx="44">
                  <c:v>297</c:v>
                </c:pt>
                <c:pt idx="45">
                  <c:v>427</c:v>
                </c:pt>
                <c:pt idx="46">
                  <c:v>339</c:v>
                </c:pt>
                <c:pt idx="47">
                  <c:v>280</c:v>
                </c:pt>
                <c:pt idx="48">
                  <c:v>306</c:v>
                </c:pt>
                <c:pt idx="49">
                  <c:v>259</c:v>
                </c:pt>
                <c:pt idx="50">
                  <c:v>303</c:v>
                </c:pt>
                <c:pt idx="51">
                  <c:v>315</c:v>
                </c:pt>
                <c:pt idx="52">
                  <c:v>312</c:v>
                </c:pt>
                <c:pt idx="53">
                  <c:v>275</c:v>
                </c:pt>
                <c:pt idx="54">
                  <c:v>283</c:v>
                </c:pt>
                <c:pt idx="55">
                  <c:v>242</c:v>
                </c:pt>
                <c:pt idx="56">
                  <c:v>249</c:v>
                </c:pt>
                <c:pt idx="57">
                  <c:v>418</c:v>
                </c:pt>
                <c:pt idx="58">
                  <c:v>412</c:v>
                </c:pt>
                <c:pt idx="59">
                  <c:v>406</c:v>
                </c:pt>
                <c:pt idx="60">
                  <c:v>235</c:v>
                </c:pt>
              </c:numCache>
            </c:numRef>
          </c:val>
          <c:smooth val="0"/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Sheet1!$AE$1:$AE$61</c:f>
              <c:numCache>
                <c:formatCode>h:mm:ss;@</c:formatCode>
                <c:ptCount val="61"/>
                <c:pt idx="0">
                  <c:v>43167.645833333299</c:v>
                </c:pt>
                <c:pt idx="1">
                  <c:v>43167.635358796302</c:v>
                </c:pt>
                <c:pt idx="2">
                  <c:v>43167.635300925896</c:v>
                </c:pt>
                <c:pt idx="3">
                  <c:v>43167.6352430556</c:v>
                </c:pt>
                <c:pt idx="4">
                  <c:v>43167.635185185201</c:v>
                </c:pt>
                <c:pt idx="5">
                  <c:v>43167.635127314803</c:v>
                </c:pt>
                <c:pt idx="6">
                  <c:v>43167.635069444397</c:v>
                </c:pt>
                <c:pt idx="7">
                  <c:v>43167.635011574101</c:v>
                </c:pt>
                <c:pt idx="8">
                  <c:v>43167.634953703702</c:v>
                </c:pt>
                <c:pt idx="9">
                  <c:v>43167.634895833296</c:v>
                </c:pt>
                <c:pt idx="10">
                  <c:v>43167.634837963</c:v>
                </c:pt>
                <c:pt idx="11">
                  <c:v>43167.634780092601</c:v>
                </c:pt>
                <c:pt idx="12">
                  <c:v>43167.634722222203</c:v>
                </c:pt>
                <c:pt idx="13">
                  <c:v>43167.634664351899</c:v>
                </c:pt>
                <c:pt idx="14">
                  <c:v>43167.634606481501</c:v>
                </c:pt>
                <c:pt idx="15">
                  <c:v>43167.634548611102</c:v>
                </c:pt>
                <c:pt idx="16">
                  <c:v>43167.634490740696</c:v>
                </c:pt>
                <c:pt idx="17">
                  <c:v>43167.6344328704</c:v>
                </c:pt>
                <c:pt idx="18">
                  <c:v>43167.634375000001</c:v>
                </c:pt>
                <c:pt idx="19">
                  <c:v>43167.634317129603</c:v>
                </c:pt>
                <c:pt idx="20">
                  <c:v>43167.634259259299</c:v>
                </c:pt>
                <c:pt idx="21">
                  <c:v>43167.634201388901</c:v>
                </c:pt>
                <c:pt idx="22">
                  <c:v>43167.634143518502</c:v>
                </c:pt>
                <c:pt idx="23">
                  <c:v>43167.634085648097</c:v>
                </c:pt>
                <c:pt idx="24">
                  <c:v>43167.6340277778</c:v>
                </c:pt>
                <c:pt idx="25">
                  <c:v>43167.633969907401</c:v>
                </c:pt>
                <c:pt idx="26">
                  <c:v>43167.633912037003</c:v>
                </c:pt>
                <c:pt idx="27">
                  <c:v>43167.633854166699</c:v>
                </c:pt>
                <c:pt idx="28">
                  <c:v>43167.633796296301</c:v>
                </c:pt>
                <c:pt idx="29">
                  <c:v>43167.633738425902</c:v>
                </c:pt>
                <c:pt idx="30">
                  <c:v>43167.633680555598</c:v>
                </c:pt>
                <c:pt idx="31">
                  <c:v>43167.6336226852</c:v>
                </c:pt>
                <c:pt idx="32">
                  <c:v>43167.633564814802</c:v>
                </c:pt>
                <c:pt idx="33">
                  <c:v>43167.633506944403</c:v>
                </c:pt>
                <c:pt idx="34">
                  <c:v>43167.633449074099</c:v>
                </c:pt>
                <c:pt idx="35">
                  <c:v>43167.633391203701</c:v>
                </c:pt>
                <c:pt idx="36">
                  <c:v>43167.633333333302</c:v>
                </c:pt>
                <c:pt idx="37">
                  <c:v>43167.633275462998</c:v>
                </c:pt>
                <c:pt idx="38">
                  <c:v>43167.6332175926</c:v>
                </c:pt>
                <c:pt idx="39">
                  <c:v>43167.633159722202</c:v>
                </c:pt>
                <c:pt idx="40">
                  <c:v>43167.633101851898</c:v>
                </c:pt>
                <c:pt idx="41">
                  <c:v>43167.633043981499</c:v>
                </c:pt>
                <c:pt idx="42">
                  <c:v>43167.632986111101</c:v>
                </c:pt>
                <c:pt idx="43">
                  <c:v>43167.632928240702</c:v>
                </c:pt>
                <c:pt idx="44">
                  <c:v>43167.632870370398</c:v>
                </c:pt>
                <c:pt idx="45">
                  <c:v>43167.6328125</c:v>
                </c:pt>
                <c:pt idx="46">
                  <c:v>43167.632754629602</c:v>
                </c:pt>
                <c:pt idx="47">
                  <c:v>43167.632696759298</c:v>
                </c:pt>
                <c:pt idx="48">
                  <c:v>43167.632638888899</c:v>
                </c:pt>
                <c:pt idx="49">
                  <c:v>43167.632581018501</c:v>
                </c:pt>
                <c:pt idx="50">
                  <c:v>43167.632523148102</c:v>
                </c:pt>
                <c:pt idx="51">
                  <c:v>43167.632465277798</c:v>
                </c:pt>
                <c:pt idx="52">
                  <c:v>43167.6324074074</c:v>
                </c:pt>
                <c:pt idx="53">
                  <c:v>43167.632349537002</c:v>
                </c:pt>
                <c:pt idx="54">
                  <c:v>43167.632291666698</c:v>
                </c:pt>
                <c:pt idx="55">
                  <c:v>43167.632233796299</c:v>
                </c:pt>
                <c:pt idx="56">
                  <c:v>43167.632175925901</c:v>
                </c:pt>
                <c:pt idx="57">
                  <c:v>43167.632118055597</c:v>
                </c:pt>
                <c:pt idx="58">
                  <c:v>43167.632060185198</c:v>
                </c:pt>
                <c:pt idx="59">
                  <c:v>43167.6320023148</c:v>
                </c:pt>
                <c:pt idx="60">
                  <c:v>43167.631944444402</c:v>
                </c:pt>
              </c:numCache>
            </c:numRef>
          </c:cat>
          <c:val>
            <c:numRef>
              <c:f>Sheet1!$AK$1:$AK$61</c:f>
              <c:numCache>
                <c:formatCode>General</c:formatCode>
                <c:ptCount val="61"/>
                <c:pt idx="0">
                  <c:v>1332</c:v>
                </c:pt>
                <c:pt idx="1">
                  <c:v>1309</c:v>
                </c:pt>
                <c:pt idx="2">
                  <c:v>1330</c:v>
                </c:pt>
                <c:pt idx="3">
                  <c:v>1382</c:v>
                </c:pt>
                <c:pt idx="4">
                  <c:v>1711</c:v>
                </c:pt>
                <c:pt idx="5">
                  <c:v>1925</c:v>
                </c:pt>
                <c:pt idx="6">
                  <c:v>1752</c:v>
                </c:pt>
                <c:pt idx="7">
                  <c:v>1327</c:v>
                </c:pt>
                <c:pt idx="8">
                  <c:v>1219</c:v>
                </c:pt>
                <c:pt idx="9">
                  <c:v>728</c:v>
                </c:pt>
                <c:pt idx="10">
                  <c:v>322</c:v>
                </c:pt>
                <c:pt idx="11">
                  <c:v>103</c:v>
                </c:pt>
                <c:pt idx="12">
                  <c:v>92</c:v>
                </c:pt>
                <c:pt idx="13">
                  <c:v>45</c:v>
                </c:pt>
                <c:pt idx="14">
                  <c:v>48</c:v>
                </c:pt>
                <c:pt idx="15">
                  <c:v>40</c:v>
                </c:pt>
                <c:pt idx="16">
                  <c:v>160</c:v>
                </c:pt>
                <c:pt idx="17">
                  <c:v>294</c:v>
                </c:pt>
                <c:pt idx="18">
                  <c:v>330</c:v>
                </c:pt>
                <c:pt idx="19">
                  <c:v>423</c:v>
                </c:pt>
                <c:pt idx="20">
                  <c:v>538</c:v>
                </c:pt>
                <c:pt idx="21">
                  <c:v>425</c:v>
                </c:pt>
                <c:pt idx="22">
                  <c:v>360</c:v>
                </c:pt>
                <c:pt idx="23">
                  <c:v>342</c:v>
                </c:pt>
                <c:pt idx="24">
                  <c:v>355</c:v>
                </c:pt>
                <c:pt idx="25">
                  <c:v>231</c:v>
                </c:pt>
                <c:pt idx="26">
                  <c:v>237</c:v>
                </c:pt>
                <c:pt idx="27">
                  <c:v>171</c:v>
                </c:pt>
                <c:pt idx="28">
                  <c:v>240</c:v>
                </c:pt>
                <c:pt idx="29">
                  <c:v>182</c:v>
                </c:pt>
                <c:pt idx="30">
                  <c:v>198</c:v>
                </c:pt>
                <c:pt idx="31">
                  <c:v>210</c:v>
                </c:pt>
                <c:pt idx="32">
                  <c:v>259</c:v>
                </c:pt>
                <c:pt idx="33">
                  <c:v>211</c:v>
                </c:pt>
                <c:pt idx="34">
                  <c:v>230</c:v>
                </c:pt>
                <c:pt idx="35">
                  <c:v>254</c:v>
                </c:pt>
                <c:pt idx="36">
                  <c:v>370</c:v>
                </c:pt>
                <c:pt idx="37">
                  <c:v>400</c:v>
                </c:pt>
                <c:pt idx="38">
                  <c:v>367</c:v>
                </c:pt>
                <c:pt idx="39">
                  <c:v>370</c:v>
                </c:pt>
                <c:pt idx="40">
                  <c:v>356</c:v>
                </c:pt>
                <c:pt idx="41">
                  <c:v>325</c:v>
                </c:pt>
                <c:pt idx="42">
                  <c:v>366</c:v>
                </c:pt>
                <c:pt idx="43">
                  <c:v>408</c:v>
                </c:pt>
                <c:pt idx="44">
                  <c:v>436</c:v>
                </c:pt>
                <c:pt idx="45">
                  <c:v>511</c:v>
                </c:pt>
                <c:pt idx="46">
                  <c:v>437</c:v>
                </c:pt>
                <c:pt idx="47">
                  <c:v>367</c:v>
                </c:pt>
                <c:pt idx="48">
                  <c:v>299</c:v>
                </c:pt>
                <c:pt idx="49">
                  <c:v>191</c:v>
                </c:pt>
                <c:pt idx="50">
                  <c:v>172</c:v>
                </c:pt>
                <c:pt idx="51">
                  <c:v>136</c:v>
                </c:pt>
                <c:pt idx="52">
                  <c:v>130</c:v>
                </c:pt>
                <c:pt idx="53">
                  <c:v>248</c:v>
                </c:pt>
                <c:pt idx="54">
                  <c:v>283</c:v>
                </c:pt>
                <c:pt idx="55">
                  <c:v>252</c:v>
                </c:pt>
                <c:pt idx="56">
                  <c:v>363</c:v>
                </c:pt>
                <c:pt idx="57">
                  <c:v>322</c:v>
                </c:pt>
                <c:pt idx="58">
                  <c:v>301</c:v>
                </c:pt>
                <c:pt idx="59">
                  <c:v>347</c:v>
                </c:pt>
                <c:pt idx="60">
                  <c:v>318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692864"/>
        <c:axId val="688693424"/>
      </c:lineChart>
      <c:catAx>
        <c:axId val="68869286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88693424"/>
        <c:crosses val="autoZero"/>
        <c:auto val="1"/>
        <c:lblAlgn val="ctr"/>
        <c:lblOffset val="100"/>
        <c:tickLblSkip val="10"/>
        <c:noMultiLvlLbl val="0"/>
      </c:catAx>
      <c:valAx>
        <c:axId val="688693424"/>
        <c:scaling>
          <c:orientation val="minMax"/>
        </c:scaling>
        <c:delete val="0"/>
        <c:axPos val="r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8869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</xdr:row>
      <xdr:rowOff>85726</xdr:rowOff>
    </xdr:from>
    <xdr:to>
      <xdr:col>3</xdr:col>
      <xdr:colOff>402880</xdr:colOff>
      <xdr:row>2</xdr:row>
      <xdr:rowOff>170010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02565201"/>
          <a:ext cx="1222030" cy="284309"/>
        </a:xfrm>
        <a:prstGeom prst="rect">
          <a:avLst/>
        </a:prstGeom>
      </xdr:spPr>
    </xdr:pic>
    <xdr:clientData/>
  </xdr:twoCellAnchor>
  <xdr:twoCellAnchor>
    <xdr:from>
      <xdr:col>1</xdr:col>
      <xdr:colOff>28574</xdr:colOff>
      <xdr:row>53</xdr:row>
      <xdr:rowOff>9524</xdr:rowOff>
    </xdr:from>
    <xdr:to>
      <xdr:col>12</xdr:col>
      <xdr:colOff>628649</xdr:colOff>
      <xdr:row>113</xdr:row>
      <xdr:rowOff>38099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161926</xdr:colOff>
      <xdr:row>56</xdr:row>
      <xdr:rowOff>28575</xdr:rowOff>
    </xdr:from>
    <xdr:to>
      <xdr:col>2</xdr:col>
      <xdr:colOff>87141</xdr:colOff>
      <xdr:row>59</xdr:row>
      <xdr:rowOff>27023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76600"/>
          <a:ext cx="611015" cy="141323"/>
        </a:xfrm>
        <a:prstGeom prst="rect">
          <a:avLst/>
        </a:prstGeom>
      </xdr:spPr>
    </xdr:pic>
    <xdr:clientData/>
  </xdr:twoCellAnchor>
  <xdr:twoCellAnchor>
    <xdr:from>
      <xdr:col>0</xdr:col>
      <xdr:colOff>104774</xdr:colOff>
      <xdr:row>119</xdr:row>
      <xdr:rowOff>9525</xdr:rowOff>
    </xdr:from>
    <xdr:to>
      <xdr:col>12</xdr:col>
      <xdr:colOff>600074</xdr:colOff>
      <xdr:row>169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171451</xdr:colOff>
      <xdr:row>121</xdr:row>
      <xdr:rowOff>0</xdr:rowOff>
    </xdr:from>
    <xdr:to>
      <xdr:col>2</xdr:col>
      <xdr:colOff>96666</xdr:colOff>
      <xdr:row>123</xdr:row>
      <xdr:rowOff>46073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6" y="6343650"/>
          <a:ext cx="611015" cy="141323"/>
        </a:xfrm>
        <a:prstGeom prst="rect">
          <a:avLst/>
        </a:prstGeom>
      </xdr:spPr>
    </xdr:pic>
    <xdr:clientData/>
  </xdr:twoCellAnchor>
  <xdr:twoCellAnchor>
    <xdr:from>
      <xdr:col>1</xdr:col>
      <xdr:colOff>28576</xdr:colOff>
      <xdr:row>98</xdr:row>
      <xdr:rowOff>28575</xdr:rowOff>
    </xdr:from>
    <xdr:to>
      <xdr:col>12</xdr:col>
      <xdr:colOff>476250</xdr:colOff>
      <xdr:row>115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165</xdr:row>
      <xdr:rowOff>0</xdr:rowOff>
    </xdr:from>
    <xdr:to>
      <xdr:col>12</xdr:col>
      <xdr:colOff>495300</xdr:colOff>
      <xdr:row>188</xdr:row>
      <xdr:rowOff>57149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371475</xdr:colOff>
      <xdr:row>188</xdr:row>
      <xdr:rowOff>66675</xdr:rowOff>
    </xdr:from>
    <xdr:to>
      <xdr:col>2</xdr:col>
      <xdr:colOff>174487</xdr:colOff>
      <xdr:row>188</xdr:row>
      <xdr:rowOff>179733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601200"/>
          <a:ext cx="488812" cy="11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2"/>
  <sheetViews>
    <sheetView showGridLines="0" showRowColHeaders="0" topLeftCell="A305" workbookViewId="0">
      <selection activeCell="G328" sqref="G328"/>
    </sheetView>
  </sheetViews>
  <sheetFormatPr defaultRowHeight="16.5" x14ac:dyDescent="0.3"/>
  <cols>
    <col min="1" max="2" width="9" style="22"/>
    <col min="3" max="3" width="12.125" style="22" customWidth="1"/>
    <col min="4" max="11" width="9" style="22"/>
    <col min="12" max="12" width="11.375" style="23" bestFit="1" customWidth="1"/>
    <col min="13" max="13" width="4.625" style="24" customWidth="1"/>
    <col min="14" max="14" width="4.625" style="25" customWidth="1"/>
    <col min="15" max="15" width="9" style="26"/>
    <col min="16" max="16" width="9" style="31" hidden="1" customWidth="1"/>
    <col min="17" max="17" width="9" style="22" hidden="1" customWidth="1"/>
    <col min="18" max="16384" width="9" style="22"/>
  </cols>
  <sheetData>
    <row r="1" spans="2:37" ht="15.95" customHeight="1" x14ac:dyDescent="0.3">
      <c r="L1" s="23" t="str">
        <f>TEXT(ROUND(X8,$C$8),$D$8)</f>
        <v>2740.50</v>
      </c>
      <c r="M1" s="24" t="str">
        <f>P1</f>
        <v/>
      </c>
      <c r="N1" s="25" t="str">
        <f>Q1</f>
        <v/>
      </c>
      <c r="O1" s="26">
        <f>IFERROR(RTD("cqg.rtd",,"StudyData","FPVol(FootprintOp ("&amp;$B$3&amp;", 0),"&amp;L1&amp;")", "Bar",, "Close","D","0","all",,,,"T"),"")</f>
        <v>207</v>
      </c>
      <c r="P1" s="27" t="str">
        <f>IF(L1=$B$4,$B$5,"")</f>
        <v/>
      </c>
      <c r="Q1" s="22" t="str">
        <f>IF(L1=$C$4,$C$5,"")</f>
        <v/>
      </c>
      <c r="R1" s="22">
        <f>O1</f>
        <v>207</v>
      </c>
      <c r="T1" s="22">
        <f>MATCH(B4,L1:L412,-1)</f>
        <v>4</v>
      </c>
      <c r="U1" s="22">
        <f>MATCH(G4,L1:L412,-1)</f>
        <v>6</v>
      </c>
      <c r="V1" s="22" t="str">
        <f>IF(U1&gt;60,U4,D5)</f>
        <v>2740.50</v>
      </c>
      <c r="Y1" s="22">
        <f>IF(RTD("cqg.rtd",,"StudyData","SUBMINUTE(("&amp;$B$3&amp;"),1,FillGap)","Bar",,"Close","5",Z1,,,,,"T")="",NA(),_xlfn.NUMBERVALUE(TEXT(RTD("cqg.rtd",,"StudyData","SUBMINUTE(("&amp;$B$3&amp;"),1,FillGap)","Bar",,"Close","5",Z1,,,,,"T"),Sheet1!$D$8)))</f>
        <v>2739.25</v>
      </c>
      <c r="Z1" s="22">
        <v>0</v>
      </c>
      <c r="AA1" s="28">
        <f>RTD("cqg.rtd",,"StudyData","SUBMINUTE(("&amp;$B$3&amp;"),1,Regular)","FG",,"Time","5",Z1,,,,,"T")</f>
        <v>43167.645833333299</v>
      </c>
      <c r="AB1" s="22">
        <f xml:space="preserve"> RTD("cqg.rtd",,"StudyData","BAVolCr.BidVol^(SUBMINUTE(("&amp;$B$3&amp;"),1,FillGap),5,0)",  "Bar",, "Open", "5",Z1,,,,,"T")</f>
        <v>463</v>
      </c>
      <c r="AC1" s="22">
        <f xml:space="preserve"> RTD("cqg.rtd",,"StudyData","BAVolCr.AskVol^(SUBMINUTE(("&amp;$B$3&amp;"),1,FillGap),5,0)",  "Bar",, "Open", "5",Z1,,,,,"T")</f>
        <v>424</v>
      </c>
      <c r="AE1" s="28">
        <f>RTD("cqg.rtd",,"StudyData","SUBMINUTE(("&amp;$B$3&amp;"),5,Regular)","FG",,"Time","5",Z1,,,,,"T")</f>
        <v>43167.645833333299</v>
      </c>
      <c r="AF1" s="22">
        <f>IF(RTD("cqg.rtd",,"StudyData","SUBMINUTE(("&amp;$B$3&amp;"),5,FillGap)","Bar",,"Open","5",Z1,,,,,"T")="",NA(),_xlfn.NUMBERVALUE(TEXT(RTD("cqg.rtd",,"StudyData","SUBMINUTE(("&amp;$B$3&amp;"),5,FillGap)","Bar",,"Open","5",Z1,,,,,"T"),Sheet1!$D$8)))</f>
        <v>2739.25</v>
      </c>
      <c r="AG1" s="22">
        <f>IF(RTD("cqg.rtd",,"StudyData","SUBMINUTE(("&amp;$B$3&amp;"),5,FillGap)","Bar",,"High","5",Z1,,,,,"T")="",NA(),_xlfn.NUMBERVALUE(TEXT(RTD("cqg.rtd",,"StudyData","SUBMINUTE(("&amp;$B$3&amp;"),5,FillGap)","Bar",,"High","5",Z1,,,,,"T"),Sheet1!$D$8)))</f>
        <v>2739.25</v>
      </c>
      <c r="AH1" s="22">
        <f>IF(RTD("cqg.rtd",,"StudyData","SUBMINUTE(("&amp;$B$3&amp;"),5,FillGap)","Bar",,"Low","5",Z1,,,,,"T")="",NA(),_xlfn.NUMBERVALUE(TEXT(RTD("cqg.rtd",,"StudyData","SUBMINUTE(("&amp;$B$3&amp;"),5,FillGap)","Bar",,"Low","5",Z1,,,,,"T"),Sheet1!$D$8)))</f>
        <v>2739.25</v>
      </c>
      <c r="AI1" s="22">
        <f>IF(RTD("cqg.rtd",,"StudyData","SUBMINUTE(("&amp;$B$3&amp;"),5,FillGap)","Bar",,"Close","5",Z1,,,,,"T")="",NA(),_xlfn.NUMBERVALUE(TEXT(RTD("cqg.rtd",,"StudyData","SUBMINUTE(("&amp;$B$3&amp;"),5,FillGap)","Bar",,"Close","5",Z1,,,,,"T"),Sheet1!$D$8)))</f>
        <v>2739.25</v>
      </c>
      <c r="AJ1" s="22">
        <f xml:space="preserve"> RTD("cqg.rtd",,"StudyData","BAVolCr.BidVol^(SUBMINUTE(("&amp;$B$3&amp;"),5,FillGap),5,0)",  "Bar",, "Open", "5",Z1,,,,,"T")</f>
        <v>1180</v>
      </c>
      <c r="AK1" s="22">
        <f xml:space="preserve"> RTD("cqg.rtd",,"StudyData","BAVolCr.AskVol^(SUBMINUTE(("&amp;$B$3&amp;"),5,FillGap),5,0)",  "Bar",, "Open", "5",Z1,,,,,"T")</f>
        <v>1332</v>
      </c>
    </row>
    <row r="2" spans="2:37" ht="15.95" customHeight="1" x14ac:dyDescent="0.3">
      <c r="E2" s="22" t="str">
        <f>IF(OR(C3=0.0078125,C3=0.015625,C3=0.03125),"B","T")</f>
        <v>T</v>
      </c>
      <c r="L2" s="23" t="str">
        <f>TEXT(ROUND(L1,$C$8)-$C$3,$D$8)</f>
        <v>2740.25</v>
      </c>
      <c r="M2" s="24" t="str">
        <f t="shared" ref="M2:M65" si="0">P2</f>
        <v/>
      </c>
      <c r="N2" s="25" t="str">
        <f t="shared" ref="N2:N65" si="1">Q2</f>
        <v/>
      </c>
      <c r="O2" s="26">
        <f>IFERROR(RTD("cqg.rtd",,"StudyData","FPVol(FootprintOp ("&amp;$B$3&amp;", 0),"&amp;L2&amp;")", "Bar",, "Close","D","0","all",,,,"T"),"")</f>
        <v>1212</v>
      </c>
      <c r="P2" s="27" t="str">
        <f t="shared" ref="P2:P65" si="2">IF(L2=$B$4,$B$5,"")</f>
        <v/>
      </c>
      <c r="Q2" s="22" t="str">
        <f t="shared" ref="Q2:Q65" si="3">IF(L2=$C$4,$C$5,"")</f>
        <v/>
      </c>
      <c r="R2" s="22">
        <f t="shared" ref="R2:R65" si="4">O2</f>
        <v>1212</v>
      </c>
      <c r="Y2" s="22">
        <f>IF(RTD("cqg.rtd",,"StudyData","SUBMINUTE(("&amp;$B$3&amp;"),1,FillGap)","Bar",,"Close","5",Z2,,,,,"T")="",NA(),_xlfn.NUMBERVALUE(TEXT(RTD("cqg.rtd",,"StudyData","SUBMINUTE(("&amp;$B$3&amp;"),1,FillGap)","Bar",,"Close","5",Z2,,,,,"T"),Sheet1!$D$8)))</f>
        <v>2739.25</v>
      </c>
      <c r="Z2" s="22">
        <f>Z1-1</f>
        <v>-1</v>
      </c>
      <c r="AA2" s="28">
        <f>RTD("cqg.rtd",,"StudyData","SUBMINUTE(("&amp;$B$3&amp;"),1,Regular)","FG",,"Time","5",Z2,,,,,"T")</f>
        <v>43167.635405092602</v>
      </c>
      <c r="AB2" s="22">
        <f xml:space="preserve"> RTD("cqg.rtd",,"StudyData","BAVolCr.BidVol^(SUBMINUTE(("&amp;$B$3&amp;"),1,FillGap),5,0)",  "Bar",, "Open", "5",Z2,,,,,"T")</f>
        <v>324</v>
      </c>
      <c r="AC2" s="22">
        <f xml:space="preserve"> RTD("cqg.rtd",,"StudyData","BAVolCr.AskVol^(SUBMINUTE(("&amp;$B$3&amp;"),1,FillGap),5,0)",  "Bar",, "Open", "5",Z2,,,,,"T")</f>
        <v>415</v>
      </c>
      <c r="AE2" s="28">
        <f>RTD("cqg.rtd",,"StudyData","SUBMINUTE(("&amp;$B$3&amp;"),5,Regular)","FG",,"Time","5",Z2,,,,,"T")</f>
        <v>43167.635358796302</v>
      </c>
      <c r="AF2" s="22">
        <f>IF(RTD("cqg.rtd",,"StudyData","SUBMINUTE(("&amp;$B$3&amp;"),5,FillGap)","Bar",,"Open","5",Z2,,,,,"T")="",NA(),_xlfn.NUMBERVALUE(TEXT(RTD("cqg.rtd",,"StudyData","SUBMINUTE(("&amp;$B$3&amp;"),5,FillGap)","Bar",,"Open","5",Z2,,,,,"T"),Sheet1!$D$8)))</f>
        <v>2738.75</v>
      </c>
      <c r="AG2" s="22">
        <f>IF(RTD("cqg.rtd",,"StudyData","SUBMINUTE(("&amp;$B$3&amp;"),5,FillGap)","Bar",,"High","5",Z2,,,,,"T")="",NA(),_xlfn.NUMBERVALUE(TEXT(RTD("cqg.rtd",,"StudyData","SUBMINUTE(("&amp;$B$3&amp;"),5,FillGap)","Bar",,"High","5",Z2,,,,,"T"),Sheet1!$D$8)))</f>
        <v>2739.5</v>
      </c>
      <c r="AH2" s="22">
        <f>IF(RTD("cqg.rtd",,"StudyData","SUBMINUTE(("&amp;$B$3&amp;"),5,FillGap)","Bar",,"Low","5",Z2,,,,,"T")="",NA(),_xlfn.NUMBERVALUE(TEXT(RTD("cqg.rtd",,"StudyData","SUBMINUTE(("&amp;$B$3&amp;"),5,FillGap)","Bar",,"Low","5",Z2,,,,,"T"),Sheet1!$D$8)))</f>
        <v>2738.75</v>
      </c>
      <c r="AI2" s="22">
        <f>IF(RTD("cqg.rtd",,"StudyData","SUBMINUTE(("&amp;$B$3&amp;"),5,FillGap)","Bar",,"Close","5",Z2,,,,,"T")="",NA(),_xlfn.NUMBERVALUE(TEXT(RTD("cqg.rtd",,"StudyData","SUBMINUTE(("&amp;$B$3&amp;"),5,FillGap)","Bar",,"Close","5",Z2,,,,,"T"),Sheet1!$D$8)))</f>
        <v>2739.25</v>
      </c>
      <c r="AJ2" s="22">
        <f xml:space="preserve"> RTD("cqg.rtd",,"StudyData","BAVolCr.BidVol^(SUBMINUTE(("&amp;$B$3&amp;"),5,FillGap),5,0)",  "Bar",, "Open", "5",Z2,,,,,"T")</f>
        <v>952</v>
      </c>
      <c r="AK2" s="22">
        <f xml:space="preserve"> RTD("cqg.rtd",,"StudyData","BAVolCr.AskVol^(SUBMINUTE(("&amp;$B$3&amp;"),5,FillGap),5,0)",  "Bar",, "Open", "5",Z2,,,,,"T")</f>
        <v>1309</v>
      </c>
    </row>
    <row r="3" spans="2:37" ht="15.95" customHeight="1" x14ac:dyDescent="0.3">
      <c r="B3" s="22" t="str">
        <f>MainDisplay!B38</f>
        <v>EP</v>
      </c>
      <c r="C3" s="22">
        <f>RTD("cqg.rtd", ,"ContractData",B3, "TickSize",, "T")</f>
        <v>0.25</v>
      </c>
      <c r="L3" s="23" t="str">
        <f t="shared" ref="L3:L66" si="5">TEXT(ROUND(L2,$C$8)-$C$3,$D$8)</f>
        <v>2740.00</v>
      </c>
      <c r="M3" s="24" t="str">
        <f t="shared" si="0"/>
        <v/>
      </c>
      <c r="N3" s="25" t="str">
        <f t="shared" si="1"/>
        <v/>
      </c>
      <c r="O3" s="26">
        <f>IFERROR(RTD("cqg.rtd",,"StudyData","FPVol(FootprintOp ("&amp;$B$3&amp;", 0),"&amp;L3&amp;")", "Bar",, "Close","D","0","all",,,,"T"),"")</f>
        <v>1801</v>
      </c>
      <c r="P3" s="27" t="str">
        <f t="shared" si="2"/>
        <v/>
      </c>
      <c r="Q3" s="22" t="str">
        <f t="shared" si="3"/>
        <v/>
      </c>
      <c r="R3" s="22">
        <f t="shared" si="4"/>
        <v>1801</v>
      </c>
      <c r="Y3" s="22">
        <f>IF(RTD("cqg.rtd",,"StudyData","SUBMINUTE(("&amp;$B$3&amp;"),1,FillGap)","Bar",,"Close","5",Z3,,,,,"T")="",NA(),_xlfn.NUMBERVALUE(TEXT(RTD("cqg.rtd",,"StudyData","SUBMINUTE(("&amp;$B$3&amp;"),1,FillGap)","Bar",,"Close","5",Z3,,,,,"T"),Sheet1!$D$8)))</f>
        <v>2739.25</v>
      </c>
      <c r="Z3" s="22">
        <f t="shared" ref="Z3:Z61" si="6">Z2-1</f>
        <v>-2</v>
      </c>
      <c r="AA3" s="28">
        <f>RTD("cqg.rtd",,"StudyData","SUBMINUTE(("&amp;$B$3&amp;"),1,Regular)","FG",,"Time","5",Z3,,,,,"T")</f>
        <v>43167.635393518503</v>
      </c>
      <c r="AB3" s="22">
        <f xml:space="preserve"> RTD("cqg.rtd",,"StudyData","BAVolCr.BidVol^(SUBMINUTE(("&amp;$B$3&amp;"),1,FillGap),5,0)",  "Bar",, "Open", "5",Z3,,,,,"T")</f>
        <v>280</v>
      </c>
      <c r="AC3" s="22">
        <f xml:space="preserve"> RTD("cqg.rtd",,"StudyData","BAVolCr.AskVol^(SUBMINUTE(("&amp;$B$3&amp;"),1,FillGap),5,0)",  "Bar",, "Open", "5",Z3,,,,,"T")</f>
        <v>408</v>
      </c>
      <c r="AE3" s="28">
        <f>RTD("cqg.rtd",,"StudyData","SUBMINUTE(("&amp;$B$3&amp;"),5,Regular)","FG",,"Time","5",Z3,,,,,"T")</f>
        <v>43167.635300925896</v>
      </c>
      <c r="AF3" s="22">
        <f>IF(RTD("cqg.rtd",,"StudyData","SUBMINUTE(("&amp;$B$3&amp;"),5,FillGap)","Bar",,"Open","5",Z3,,,,,"T")="",NA(),_xlfn.NUMBERVALUE(TEXT(RTD("cqg.rtd",,"StudyData","SUBMINUTE(("&amp;$B$3&amp;"),5,FillGap)","Bar",,"Open","5",Z3,,,,,"T"),Sheet1!$D$8)))</f>
        <v>2739.25</v>
      </c>
      <c r="AG3" s="22">
        <f>IF(RTD("cqg.rtd",,"StudyData","SUBMINUTE(("&amp;$B$3&amp;"),5,FillGap)","Bar",,"High","5",Z3,,,,,"T")="",NA(),_xlfn.NUMBERVALUE(TEXT(RTD("cqg.rtd",,"StudyData","SUBMINUTE(("&amp;$B$3&amp;"),5,FillGap)","Bar",,"High","5",Z3,,,,,"T"),Sheet1!$D$8)))</f>
        <v>2739.5</v>
      </c>
      <c r="AH3" s="22">
        <f>IF(RTD("cqg.rtd",,"StudyData","SUBMINUTE(("&amp;$B$3&amp;"),5,FillGap)","Bar",,"Low","5",Z3,,,,,"T")="",NA(),_xlfn.NUMBERVALUE(TEXT(RTD("cqg.rtd",,"StudyData","SUBMINUTE(("&amp;$B$3&amp;"),5,FillGap)","Bar",,"Low","5",Z3,,,,,"T"),Sheet1!$D$8)))</f>
        <v>2738.75</v>
      </c>
      <c r="AI3" s="22">
        <f>IF(RTD("cqg.rtd",,"StudyData","SUBMINUTE(("&amp;$B$3&amp;"),5,FillGap)","Bar",,"Close","5",Z3,,,,,"T")="",NA(),_xlfn.NUMBERVALUE(TEXT(RTD("cqg.rtd",,"StudyData","SUBMINUTE(("&amp;$B$3&amp;"),5,FillGap)","Bar",,"Close","5",Z3,,,,,"T"),Sheet1!$D$8)))</f>
        <v>2738.75</v>
      </c>
      <c r="AJ3" s="22">
        <f xml:space="preserve"> RTD("cqg.rtd",,"StudyData","BAVolCr.BidVol^(SUBMINUTE(("&amp;$B$3&amp;"),5,FillGap),5,0)",  "Bar",, "Open", "5",Z3,,,,,"T")</f>
        <v>1003</v>
      </c>
      <c r="AK3" s="22">
        <f xml:space="preserve"> RTD("cqg.rtd",,"StudyData","BAVolCr.AskVol^(SUBMINUTE(("&amp;$B$3&amp;"),5,FillGap),5,0)",  "Bar",, "Open", "5",Z3,,,,,"T")</f>
        <v>1330</v>
      </c>
    </row>
    <row r="4" spans="2:37" ht="15.95" customHeight="1" x14ac:dyDescent="0.3">
      <c r="B4" s="29" t="str">
        <f>TEXT(ROUND(RTD("cqg.rtd", ,"ContractData",B3, "Bid",, "T"),C8),D8)</f>
        <v>2739.75</v>
      </c>
      <c r="C4" s="29" t="str">
        <f>TEXT(ROUND(RTD("cqg.rtd", ,"ContractData",B3, "Ask",, "T"),C8),D8)</f>
        <v>2739.75</v>
      </c>
      <c r="D4" s="29" t="str">
        <f>TEXT(ROUND(RTD("cqg.rtd", ,"ContractData",B3, "Open",, "T"),C8),D8)</f>
        <v>2722.50</v>
      </c>
      <c r="E4" s="29" t="str">
        <f>TEXT(ROUND(RTD("cqg.rtd", ,"ContractData",B3, "High",, "T"),C8),D8)</f>
        <v>2740.50</v>
      </c>
      <c r="F4" s="29" t="str">
        <f>TEXT(ROUND(RTD("cqg.rtd", ,"ContractData",B3, "Low",, "T"),C8),D8)</f>
        <v>2720.00</v>
      </c>
      <c r="G4" s="29" t="str">
        <f>TEXT(ROUND(RTD("cqg.rtd", ,"ContractData",B3, "LastTrade",, "T"),C8),D8)</f>
        <v>2739.25</v>
      </c>
      <c r="H4" s="22">
        <f>RTD("cqg.rtd", ,"ContractData",B3, "VolumeLastTrade",, "T")</f>
        <v>1</v>
      </c>
      <c r="I4" s="29" t="str">
        <f>TEXT(ROUND(RTD("cqg.rtd", ,"ContractData",B3, "NEtLastTrade",, "T"),C8),D8)</f>
        <v>16.00</v>
      </c>
      <c r="L4" s="23" t="str">
        <f t="shared" si="5"/>
        <v>2739.75</v>
      </c>
      <c r="M4" s="24">
        <f t="shared" si="0"/>
        <v>110</v>
      </c>
      <c r="N4" s="25">
        <f t="shared" si="1"/>
        <v>152</v>
      </c>
      <c r="O4" s="26">
        <f>RTD("cqg.rtd",,"StudyData","FPVol(FootprintOp ("&amp;$B$3&amp;", 0),"&amp;L4&amp;")", "Bar",, "Close","D","0","all",,,,"T")</f>
        <v>3853</v>
      </c>
      <c r="P4" s="27">
        <f t="shared" si="2"/>
        <v>110</v>
      </c>
      <c r="Q4" s="22">
        <f t="shared" si="3"/>
        <v>152</v>
      </c>
      <c r="R4" s="22">
        <f t="shared" si="4"/>
        <v>3853</v>
      </c>
      <c r="U4" s="22">
        <f ca="1">INDIRECT(ADDRESS(U1,12))+(60*C3)</f>
        <v>2754.25</v>
      </c>
      <c r="Y4" s="22">
        <f>IF(RTD("cqg.rtd",,"StudyData","SUBMINUTE(("&amp;$B$3&amp;"),1,FillGap)","Bar",,"Close","5",Z4,,,,,"T")="",NA(),_xlfn.NUMBERVALUE(TEXT(RTD("cqg.rtd",,"StudyData","SUBMINUTE(("&amp;$B$3&amp;"),1,FillGap)","Bar",,"Close","5",Z4,,,,,"T"),Sheet1!$D$8)))</f>
        <v>2739.25</v>
      </c>
      <c r="Z4" s="22">
        <f t="shared" si="6"/>
        <v>-3</v>
      </c>
      <c r="AA4" s="28">
        <f>RTD("cqg.rtd",,"StudyData","SUBMINUTE(("&amp;$B$3&amp;"),1,Regular)","FG",,"Time","5",Z4,,,,,"T")</f>
        <v>43167.635381944398</v>
      </c>
      <c r="AB4" s="22">
        <f xml:space="preserve"> RTD("cqg.rtd",,"StudyData","BAVolCr.BidVol^(SUBMINUTE(("&amp;$B$3&amp;"),1,FillGap),5,0)",  "Bar",, "Open", "5",Z4,,,,,"T")</f>
        <v>260</v>
      </c>
      <c r="AC4" s="22">
        <f xml:space="preserve"> RTD("cqg.rtd",,"StudyData","BAVolCr.AskVol^(SUBMINUTE(("&amp;$B$3&amp;"),1,FillGap),5,0)",  "Bar",, "Open", "5",Z4,,,,,"T")</f>
        <v>269</v>
      </c>
      <c r="AE4" s="28">
        <f>RTD("cqg.rtd",,"StudyData","SUBMINUTE(("&amp;$B$3&amp;"),5,Regular)","FG",,"Time","5",Z4,,,,,"T")</f>
        <v>43167.6352430556</v>
      </c>
      <c r="AF4" s="22">
        <f>IF(RTD("cqg.rtd",,"StudyData","SUBMINUTE(("&amp;$B$3&amp;"),5,FillGap)","Bar",,"Open","5",Z4,,,,,"T")="",NA(),_xlfn.NUMBERVALUE(TEXT(RTD("cqg.rtd",,"StudyData","SUBMINUTE(("&amp;$B$3&amp;"),5,FillGap)","Bar",,"Open","5",Z4,,,,,"T"),Sheet1!$D$8)))</f>
        <v>2739</v>
      </c>
      <c r="AG4" s="22">
        <f>IF(RTD("cqg.rtd",,"StudyData","SUBMINUTE(("&amp;$B$3&amp;"),5,FillGap)","Bar",,"High","5",Z4,,,,,"T")="",NA(),_xlfn.NUMBERVALUE(TEXT(RTD("cqg.rtd",,"StudyData","SUBMINUTE(("&amp;$B$3&amp;"),5,FillGap)","Bar",,"High","5",Z4,,,,,"T"),Sheet1!$D$8)))</f>
        <v>2739.5</v>
      </c>
      <c r="AH4" s="22">
        <f>IF(RTD("cqg.rtd",,"StudyData","SUBMINUTE(("&amp;$B$3&amp;"),5,FillGap)","Bar",,"Low","5",Z4,,,,,"T")="",NA(),_xlfn.NUMBERVALUE(TEXT(RTD("cqg.rtd",,"StudyData","SUBMINUTE(("&amp;$B$3&amp;"),5,FillGap)","Bar",,"Low","5",Z4,,,,,"T"),Sheet1!$D$8)))</f>
        <v>2739</v>
      </c>
      <c r="AI4" s="22">
        <f>IF(RTD("cqg.rtd",,"StudyData","SUBMINUTE(("&amp;$B$3&amp;"),5,FillGap)","Bar",,"Close","5",Z4,,,,,"T")="",NA(),_xlfn.NUMBERVALUE(TEXT(RTD("cqg.rtd",,"StudyData","SUBMINUTE(("&amp;$B$3&amp;"),5,FillGap)","Bar",,"Close","5",Z4,,,,,"T"),Sheet1!$D$8)))</f>
        <v>2739.25</v>
      </c>
      <c r="AJ4" s="22">
        <f xml:space="preserve"> RTD("cqg.rtd",,"StudyData","BAVolCr.BidVol^(SUBMINUTE(("&amp;$B$3&amp;"),5,FillGap),5,0)",  "Bar",, "Open", "5",Z4,,,,,"T")</f>
        <v>1436</v>
      </c>
      <c r="AK4" s="22">
        <f xml:space="preserve"> RTD("cqg.rtd",,"StudyData","BAVolCr.AskVol^(SUBMINUTE(("&amp;$B$3&amp;"),5,FillGap),5,0)",  "Bar",, "Open", "5",Z4,,,,,"T")</f>
        <v>1382</v>
      </c>
    </row>
    <row r="5" spans="2:37" ht="15.95" customHeight="1" x14ac:dyDescent="0.3">
      <c r="B5" s="22">
        <f>RTD("cqg.rtd", ,"ContractData",B3, "MT_LastBidVolume",, "T")</f>
        <v>110</v>
      </c>
      <c r="C5" s="22">
        <f>RTD("cqg.rtd", ,"ContractData",B3, "MT_LastAskVolume",, "T")</f>
        <v>152</v>
      </c>
      <c r="D5" s="22" t="str">
        <f>IF(C4&gt;E4,C4,E4)</f>
        <v>2740.50</v>
      </c>
      <c r="L5" s="23" t="str">
        <f t="shared" si="5"/>
        <v>2739.50</v>
      </c>
      <c r="M5" s="24" t="str">
        <f t="shared" si="0"/>
        <v/>
      </c>
      <c r="N5" s="25" t="str">
        <f t="shared" si="1"/>
        <v/>
      </c>
      <c r="O5" s="26">
        <f>RTD("cqg.rtd",,"StudyData","FPVol(FootprintOp ("&amp;$B$3&amp;", 0),"&amp;L5&amp;")", "Bar",, "Close","D","0","all",,,,"T")</f>
        <v>7646</v>
      </c>
      <c r="P5" s="27" t="str">
        <f t="shared" si="2"/>
        <v/>
      </c>
      <c r="Q5" s="22" t="str">
        <f t="shared" si="3"/>
        <v/>
      </c>
      <c r="R5" s="22">
        <f t="shared" si="4"/>
        <v>7646</v>
      </c>
      <c r="Y5" s="22">
        <f>IF(RTD("cqg.rtd",,"StudyData","SUBMINUTE(("&amp;$B$3&amp;"),1,FillGap)","Bar",,"Close","5",Z5,,,,,"T")="",NA(),_xlfn.NUMBERVALUE(TEXT(RTD("cqg.rtd",,"StudyData","SUBMINUTE(("&amp;$B$3&amp;"),1,FillGap)","Bar",,"Close","5",Z5,,,,,"T"),Sheet1!$D$8)))</f>
        <v>2739.25</v>
      </c>
      <c r="Z5" s="22">
        <f t="shared" si="6"/>
        <v>-4</v>
      </c>
      <c r="AA5" s="28">
        <f>RTD("cqg.rtd",,"StudyData","SUBMINUTE(("&amp;$B$3&amp;"),1,Regular)","FG",,"Time","5",Z5,,,,,"T")</f>
        <v>43167.635370370401</v>
      </c>
      <c r="AB5" s="22">
        <f xml:space="preserve"> RTD("cqg.rtd",,"StudyData","BAVolCr.BidVol^(SUBMINUTE(("&amp;$B$3&amp;"),1,FillGap),5,0)",  "Bar",, "Open", "5",Z5,,,,,"T")</f>
        <v>252</v>
      </c>
      <c r="AC5" s="22">
        <f xml:space="preserve"> RTD("cqg.rtd",,"StudyData","BAVolCr.AskVol^(SUBMINUTE(("&amp;$B$3&amp;"),1,FillGap),5,0)",  "Bar",, "Open", "5",Z5,,,,,"T")</f>
        <v>172</v>
      </c>
      <c r="AE5" s="28">
        <f>RTD("cqg.rtd",,"StudyData","SUBMINUTE(("&amp;$B$3&amp;"),5,Regular)","FG",,"Time","5",Z5,,,,,"T")</f>
        <v>43167.635185185201</v>
      </c>
      <c r="AF5" s="22">
        <f>IF(RTD("cqg.rtd",,"StudyData","SUBMINUTE(("&amp;$B$3&amp;"),5,FillGap)","Bar",,"Open","5",Z5,,,,,"T")="",NA(),_xlfn.NUMBERVALUE(TEXT(RTD("cqg.rtd",,"StudyData","SUBMINUTE(("&amp;$B$3&amp;"),5,FillGap)","Bar",,"Open","5",Z5,,,,,"T"),Sheet1!$D$8)))</f>
        <v>2738.75</v>
      </c>
      <c r="AG5" s="22">
        <f>IF(RTD("cqg.rtd",,"StudyData","SUBMINUTE(("&amp;$B$3&amp;"),5,FillGap)","Bar",,"High","5",Z5,,,,,"T")="",NA(),_xlfn.NUMBERVALUE(TEXT(RTD("cqg.rtd",,"StudyData","SUBMINUTE(("&amp;$B$3&amp;"),5,FillGap)","Bar",,"High","5",Z5,,,,,"T"),Sheet1!$D$8)))</f>
        <v>2739.25</v>
      </c>
      <c r="AH5" s="22">
        <f>IF(RTD("cqg.rtd",,"StudyData","SUBMINUTE(("&amp;$B$3&amp;"),5,FillGap)","Bar",,"Low","5",Z5,,,,,"T")="",NA(),_xlfn.NUMBERVALUE(TEXT(RTD("cqg.rtd",,"StudyData","SUBMINUTE(("&amp;$B$3&amp;"),5,FillGap)","Bar",,"Low","5",Z5,,,,,"T"),Sheet1!$D$8)))</f>
        <v>2738.75</v>
      </c>
      <c r="AI5" s="22">
        <f>IF(RTD("cqg.rtd",,"StudyData","SUBMINUTE(("&amp;$B$3&amp;"),5,FillGap)","Bar",,"Close","5",Z5,,,,,"T")="",NA(),_xlfn.NUMBERVALUE(TEXT(RTD("cqg.rtd",,"StudyData","SUBMINUTE(("&amp;$B$3&amp;"),5,FillGap)","Bar",,"Close","5",Z5,,,,,"T"),Sheet1!$D$8)))</f>
        <v>2739.25</v>
      </c>
      <c r="AJ5" s="22">
        <f xml:space="preserve"> RTD("cqg.rtd",,"StudyData","BAVolCr.BidVol^(SUBMINUTE(("&amp;$B$3&amp;"),5,FillGap),5,0)",  "Bar",, "Open", "5",Z5,,,,,"T")</f>
        <v>1325</v>
      </c>
      <c r="AK5" s="22">
        <f xml:space="preserve"> RTD("cqg.rtd",,"StudyData","BAVolCr.AskVol^(SUBMINUTE(("&amp;$B$3&amp;"),5,FillGap),5,0)",  "Bar",, "Open", "5",Z5,,,,,"T")</f>
        <v>1711</v>
      </c>
    </row>
    <row r="6" spans="2:37" ht="15.95" customHeight="1" x14ac:dyDescent="0.3">
      <c r="L6" s="23" t="str">
        <f t="shared" si="5"/>
        <v>2739.25</v>
      </c>
      <c r="M6" s="24" t="str">
        <f t="shared" si="0"/>
        <v/>
      </c>
      <c r="N6" s="25" t="str">
        <f t="shared" si="1"/>
        <v/>
      </c>
      <c r="O6" s="26">
        <f>RTD("cqg.rtd",,"StudyData","FPVol(FootprintOp ("&amp;$B$3&amp;", 0),"&amp;L6&amp;")", "Bar",, "Close","D","0","all",,,,"T")</f>
        <v>13114</v>
      </c>
      <c r="P6" s="27" t="str">
        <f t="shared" si="2"/>
        <v/>
      </c>
      <c r="Q6" s="22" t="str">
        <f t="shared" si="3"/>
        <v/>
      </c>
      <c r="R6" s="22">
        <f t="shared" si="4"/>
        <v>13114</v>
      </c>
      <c r="Y6" s="22">
        <f>IF(RTD("cqg.rtd",,"StudyData","SUBMINUTE(("&amp;$B$3&amp;"),1,FillGap)","Bar",,"Close","5",Z6,,,,,"T")="",NA(),_xlfn.NUMBERVALUE(TEXT(RTD("cqg.rtd",,"StudyData","SUBMINUTE(("&amp;$B$3&amp;"),1,FillGap)","Bar",,"Close","5",Z6,,,,,"T"),Sheet1!$D$8)))</f>
        <v>2738.75</v>
      </c>
      <c r="Z6" s="22">
        <f t="shared" si="6"/>
        <v>-5</v>
      </c>
      <c r="AA6" s="28">
        <f>RTD("cqg.rtd",,"StudyData","SUBMINUTE(("&amp;$B$3&amp;"),1,Regular)","FG",,"Time","5",Z6,,,,,"T")</f>
        <v>43167.635358796302</v>
      </c>
      <c r="AB6" s="22">
        <f xml:space="preserve"> RTD("cqg.rtd",,"StudyData","BAVolCr.BidVol^(SUBMINUTE(("&amp;$B$3&amp;"),1,FillGap),5,0)",  "Bar",, "Open", "5",Z6,,,,,"T")</f>
        <v>273</v>
      </c>
      <c r="AC6" s="22">
        <f xml:space="preserve"> RTD("cqg.rtd",,"StudyData","BAVolCr.AskVol^(SUBMINUTE(("&amp;$B$3&amp;"),1,FillGap),5,0)",  "Bar",, "Open", "5",Z6,,,,,"T")</f>
        <v>84</v>
      </c>
      <c r="AE6" s="28">
        <f>RTD("cqg.rtd",,"StudyData","SUBMINUTE(("&amp;$B$3&amp;"),5,Regular)","FG",,"Time","5",Z6,,,,,"T")</f>
        <v>43167.635127314803</v>
      </c>
      <c r="AF6" s="22">
        <f>IF(RTD("cqg.rtd",,"StudyData","SUBMINUTE(("&amp;$B$3&amp;"),5,FillGap)","Bar",,"Open","5",Z6,,,,,"T")="",NA(),_xlfn.NUMBERVALUE(TEXT(RTD("cqg.rtd",,"StudyData","SUBMINUTE(("&amp;$B$3&amp;"),5,FillGap)","Bar",,"Open","5",Z6,,,,,"T"),Sheet1!$D$8)))</f>
        <v>2739</v>
      </c>
      <c r="AG6" s="22">
        <f>IF(RTD("cqg.rtd",,"StudyData","SUBMINUTE(("&amp;$B$3&amp;"),5,FillGap)","Bar",,"High","5",Z6,,,,,"T")="",NA(),_xlfn.NUMBERVALUE(TEXT(RTD("cqg.rtd",,"StudyData","SUBMINUTE(("&amp;$B$3&amp;"),5,FillGap)","Bar",,"High","5",Z6,,,,,"T"),Sheet1!$D$8)))</f>
        <v>2739</v>
      </c>
      <c r="AH6" s="22">
        <f>IF(RTD("cqg.rtd",,"StudyData","SUBMINUTE(("&amp;$B$3&amp;"),5,FillGap)","Bar",,"Low","5",Z6,,,,,"T")="",NA(),_xlfn.NUMBERVALUE(TEXT(RTD("cqg.rtd",,"StudyData","SUBMINUTE(("&amp;$B$3&amp;"),5,FillGap)","Bar",,"Low","5",Z6,,,,,"T"),Sheet1!$D$8)))</f>
        <v>2738.75</v>
      </c>
      <c r="AI6" s="22">
        <f>IF(RTD("cqg.rtd",,"StudyData","SUBMINUTE(("&amp;$B$3&amp;"),5,FillGap)","Bar",,"Close","5",Z6,,,,,"T")="",NA(),_xlfn.NUMBERVALUE(TEXT(RTD("cqg.rtd",,"StudyData","SUBMINUTE(("&amp;$B$3&amp;"),5,FillGap)","Bar",,"Close","5",Z6,,,,,"T"),Sheet1!$D$8)))</f>
        <v>2739</v>
      </c>
      <c r="AJ6" s="22">
        <f xml:space="preserve"> RTD("cqg.rtd",,"StudyData","BAVolCr.BidVol^(SUBMINUTE(("&amp;$B$3&amp;"),5,FillGap),5,0)",  "Bar",, "Open", "5",Z6,,,,,"T")</f>
        <v>1390</v>
      </c>
      <c r="AK6" s="22">
        <f xml:space="preserve"> RTD("cqg.rtd",,"StudyData","BAVolCr.AskVol^(SUBMINUTE(("&amp;$B$3&amp;"),5,FillGap),5,0)",  "Bar",, "Open", "5",Z6,,,,,"T")</f>
        <v>1925</v>
      </c>
    </row>
    <row r="7" spans="2:37" ht="15.95" customHeight="1" x14ac:dyDescent="0.3">
      <c r="L7" s="23" t="str">
        <f t="shared" si="5"/>
        <v>2739.00</v>
      </c>
      <c r="M7" s="24" t="str">
        <f t="shared" si="0"/>
        <v/>
      </c>
      <c r="N7" s="25" t="str">
        <f t="shared" si="1"/>
        <v/>
      </c>
      <c r="O7" s="26">
        <f>RTD("cqg.rtd",,"StudyData","FPVol(FootprintOp ("&amp;$B$3&amp;", 0),"&amp;L7&amp;")", "Bar",, "Close","D","0","all",,,,"T")</f>
        <v>14220</v>
      </c>
      <c r="P7" s="27" t="str">
        <f t="shared" si="2"/>
        <v/>
      </c>
      <c r="Q7" s="22" t="str">
        <f t="shared" si="3"/>
        <v/>
      </c>
      <c r="R7" s="22">
        <f t="shared" si="4"/>
        <v>14220</v>
      </c>
      <c r="Y7" s="22">
        <f>IF(RTD("cqg.rtd",,"StudyData","SUBMINUTE(("&amp;$B$3&amp;"),1,FillGap)","Bar",,"Close","5",Z7,,,,,"T")="",NA(),_xlfn.NUMBERVALUE(TEXT(RTD("cqg.rtd",,"StudyData","SUBMINUTE(("&amp;$B$3&amp;"),1,FillGap)","Bar",,"Close","5",Z7,,,,,"T"),Sheet1!$D$8)))</f>
        <v>2738.75</v>
      </c>
      <c r="Z7" s="22">
        <f t="shared" si="6"/>
        <v>-6</v>
      </c>
      <c r="AA7" s="28">
        <f>RTD("cqg.rtd",,"StudyData","SUBMINUTE(("&amp;$B$3&amp;"),1,Regular)","FG",,"Time","5",Z7,,,,,"T")</f>
        <v>43167.635347222204</v>
      </c>
      <c r="AB7" s="22">
        <f xml:space="preserve"> RTD("cqg.rtd",,"StudyData","BAVolCr.BidVol^(SUBMINUTE(("&amp;$B$3&amp;"),1,FillGap),5,0)",  "Bar",, "Open", "5",Z7,,,,,"T")</f>
        <v>287</v>
      </c>
      <c r="AC7" s="22">
        <f xml:space="preserve"> RTD("cqg.rtd",,"StudyData","BAVolCr.AskVol^(SUBMINUTE(("&amp;$B$3&amp;"),1,FillGap),5,0)",  "Bar",, "Open", "5",Z7,,,,,"T")</f>
        <v>123</v>
      </c>
      <c r="AE7" s="28">
        <f>RTD("cqg.rtd",,"StudyData","SUBMINUTE(("&amp;$B$3&amp;"),5,Regular)","FG",,"Time","5",Z7,,,,,"T")</f>
        <v>43167.635069444397</v>
      </c>
      <c r="AF7" s="22">
        <f>IF(RTD("cqg.rtd",,"StudyData","SUBMINUTE(("&amp;$B$3&amp;"),5,FillGap)","Bar",,"Open","5",Z7,,,,,"T")="",NA(),_xlfn.NUMBERVALUE(TEXT(RTD("cqg.rtd",,"StudyData","SUBMINUTE(("&amp;$B$3&amp;"),5,FillGap)","Bar",,"Open","5",Z7,,,,,"T"),Sheet1!$D$8)))</f>
        <v>2739.5</v>
      </c>
      <c r="AG7" s="22">
        <f>IF(RTD("cqg.rtd",,"StudyData","SUBMINUTE(("&amp;$B$3&amp;"),5,FillGap)","Bar",,"High","5",Z7,,,,,"T")="",NA(),_xlfn.NUMBERVALUE(TEXT(RTD("cqg.rtd",,"StudyData","SUBMINUTE(("&amp;$B$3&amp;"),5,FillGap)","Bar",,"High","5",Z7,,,,,"T"),Sheet1!$D$8)))</f>
        <v>2739.5</v>
      </c>
      <c r="AH7" s="22">
        <f>IF(RTD("cqg.rtd",,"StudyData","SUBMINUTE(("&amp;$B$3&amp;"),5,FillGap)","Bar",,"Low","5",Z7,,,,,"T")="",NA(),_xlfn.NUMBERVALUE(TEXT(RTD("cqg.rtd",,"StudyData","SUBMINUTE(("&amp;$B$3&amp;"),5,FillGap)","Bar",,"Low","5",Z7,,,,,"T"),Sheet1!$D$8)))</f>
        <v>2738.75</v>
      </c>
      <c r="AI7" s="22">
        <f>IF(RTD("cqg.rtd",,"StudyData","SUBMINUTE(("&amp;$B$3&amp;"),5,FillGap)","Bar",,"Close","5",Z7,,,,,"T")="",NA(),_xlfn.NUMBERVALUE(TEXT(RTD("cqg.rtd",,"StudyData","SUBMINUTE(("&amp;$B$3&amp;"),5,FillGap)","Bar",,"Close","5",Z7,,,,,"T"),Sheet1!$D$8)))</f>
        <v>2739</v>
      </c>
      <c r="AJ7" s="22">
        <f xml:space="preserve"> RTD("cqg.rtd",,"StudyData","BAVolCr.BidVol^(SUBMINUTE(("&amp;$B$3&amp;"),5,FillGap),5,0)",  "Bar",, "Open", "5",Z7,,,,,"T")</f>
        <v>1398</v>
      </c>
      <c r="AK7" s="22">
        <f xml:space="preserve"> RTD("cqg.rtd",,"StudyData","BAVolCr.AskVol^(SUBMINUTE(("&amp;$B$3&amp;"),5,FillGap),5,0)",  "Bar",, "Open", "5",Z7,,,,,"T")</f>
        <v>1752</v>
      </c>
    </row>
    <row r="8" spans="2:37" ht="15.95" customHeight="1" x14ac:dyDescent="0.3">
      <c r="C8" s="22">
        <f>LEN(C3)-2</f>
        <v>2</v>
      </c>
      <c r="D8" s="22" t="str">
        <f>IF(C8=1,"#.00",VLOOKUP(C8,E8:F15,2,FALSE))</f>
        <v>#.00</v>
      </c>
      <c r="E8" s="22">
        <v>0</v>
      </c>
      <c r="F8" s="22" t="s">
        <v>17</v>
      </c>
      <c r="L8" s="23" t="str">
        <f t="shared" si="5"/>
        <v>2738.75</v>
      </c>
      <c r="M8" s="24" t="str">
        <f t="shared" si="0"/>
        <v/>
      </c>
      <c r="N8" s="25" t="str">
        <f t="shared" si="1"/>
        <v/>
      </c>
      <c r="O8" s="26">
        <f>RTD("cqg.rtd",,"StudyData","FPVol(FootprintOp ("&amp;$B$3&amp;", 0),"&amp;L8&amp;")", "Bar",, "Close","D","0","all",,,,"T")</f>
        <v>16018</v>
      </c>
      <c r="P8" s="27" t="str">
        <f t="shared" si="2"/>
        <v/>
      </c>
      <c r="Q8" s="22" t="str">
        <f t="shared" si="3"/>
        <v/>
      </c>
      <c r="R8" s="22">
        <f t="shared" si="4"/>
        <v>16018</v>
      </c>
      <c r="X8" s="22" t="str">
        <f>TEXT(IF(E4-G4&lt;60*C3,E4,IF(G4-F4&lt;60*C3,F4+60*C3,W10)),D8)</f>
        <v>2740.50</v>
      </c>
      <c r="Y8" s="22">
        <f>IF(RTD("cqg.rtd",,"StudyData","SUBMINUTE(("&amp;$B$3&amp;"),1,FillGap)","Bar",,"Close","5",Z8,,,,,"T")="",NA(),_xlfn.NUMBERVALUE(TEXT(RTD("cqg.rtd",,"StudyData","SUBMINUTE(("&amp;$B$3&amp;"),1,FillGap)","Bar",,"Close","5",Z8,,,,,"T"),Sheet1!$D$8)))</f>
        <v>2739.25</v>
      </c>
      <c r="Z8" s="22">
        <f t="shared" si="6"/>
        <v>-7</v>
      </c>
      <c r="AA8" s="28">
        <f>RTD("cqg.rtd",,"StudyData","SUBMINUTE(("&amp;$B$3&amp;"),1,Regular)","FG",,"Time","5",Z8,,,,,"T")</f>
        <v>43167.635335648098</v>
      </c>
      <c r="AB8" s="22">
        <f xml:space="preserve"> RTD("cqg.rtd",,"StudyData","BAVolCr.BidVol^(SUBMINUTE(("&amp;$B$3&amp;"),1,FillGap),5,0)",  "Bar",, "Open", "5",Z8,,,,,"T")</f>
        <v>138</v>
      </c>
      <c r="AC8" s="22">
        <f xml:space="preserve"> RTD("cqg.rtd",,"StudyData","BAVolCr.AskVol^(SUBMINUTE(("&amp;$B$3&amp;"),1,FillGap),5,0)",  "Bar",, "Open", "5",Z8,,,,,"T")</f>
        <v>106</v>
      </c>
      <c r="AE8" s="28">
        <f>RTD("cqg.rtd",,"StudyData","SUBMINUTE(("&amp;$B$3&amp;"),5,Regular)","FG",,"Time","5",Z8,,,,,"T")</f>
        <v>43167.635011574101</v>
      </c>
      <c r="AF8" s="22">
        <f>IF(RTD("cqg.rtd",,"StudyData","SUBMINUTE(("&amp;$B$3&amp;"),5,FillGap)","Bar",,"Open","5",Z8,,,,,"T")="",NA(),_xlfn.NUMBERVALUE(TEXT(RTD("cqg.rtd",,"StudyData","SUBMINUTE(("&amp;$B$3&amp;"),5,FillGap)","Bar",,"Open","5",Z8,,,,,"T"),Sheet1!$D$8)))</f>
        <v>2739.75</v>
      </c>
      <c r="AG8" s="22">
        <f>IF(RTD("cqg.rtd",,"StudyData","SUBMINUTE(("&amp;$B$3&amp;"),5,FillGap)","Bar",,"High","5",Z8,,,,,"T")="",NA(),_xlfn.NUMBERVALUE(TEXT(RTD("cqg.rtd",,"StudyData","SUBMINUTE(("&amp;$B$3&amp;"),5,FillGap)","Bar",,"High","5",Z8,,,,,"T"),Sheet1!$D$8)))</f>
        <v>2740</v>
      </c>
      <c r="AH8" s="22">
        <f>IF(RTD("cqg.rtd",,"StudyData","SUBMINUTE(("&amp;$B$3&amp;"),5,FillGap)","Bar",,"Low","5",Z8,,,,,"T")="",NA(),_xlfn.NUMBERVALUE(TEXT(RTD("cqg.rtd",,"StudyData","SUBMINUTE(("&amp;$B$3&amp;"),5,FillGap)","Bar",,"Low","5",Z8,,,,,"T"),Sheet1!$D$8)))</f>
        <v>2739.25</v>
      </c>
      <c r="AI8" s="22">
        <f>IF(RTD("cqg.rtd",,"StudyData","SUBMINUTE(("&amp;$B$3&amp;"),5,FillGap)","Bar",,"Close","5",Z8,,,,,"T")="",NA(),_xlfn.NUMBERVALUE(TEXT(RTD("cqg.rtd",,"StudyData","SUBMINUTE(("&amp;$B$3&amp;"),5,FillGap)","Bar",,"Close","5",Z8,,,,,"T"),Sheet1!$D$8)))</f>
        <v>2739.25</v>
      </c>
      <c r="AJ8" s="22">
        <f xml:space="preserve"> RTD("cqg.rtd",,"StudyData","BAVolCr.BidVol^(SUBMINUTE(("&amp;$B$3&amp;"),5,FillGap),5,0)",  "Bar",, "Open", "5",Z8,,,,,"T")</f>
        <v>1417</v>
      </c>
      <c r="AK8" s="22">
        <f xml:space="preserve"> RTD("cqg.rtd",,"StudyData","BAVolCr.AskVol^(SUBMINUTE(("&amp;$B$3&amp;"),5,FillGap),5,0)",  "Bar",, "Open", "5",Z8,,,,,"T")</f>
        <v>1327</v>
      </c>
    </row>
    <row r="9" spans="2:37" ht="15.95" customHeight="1" x14ac:dyDescent="0.3">
      <c r="E9" s="22">
        <v>1</v>
      </c>
      <c r="F9" s="22" t="s">
        <v>18</v>
      </c>
      <c r="L9" s="23" t="str">
        <f t="shared" si="5"/>
        <v>2738.50</v>
      </c>
      <c r="M9" s="24" t="str">
        <f t="shared" si="0"/>
        <v/>
      </c>
      <c r="N9" s="25" t="str">
        <f t="shared" si="1"/>
        <v/>
      </c>
      <c r="O9" s="26">
        <f>RTD("cqg.rtd",,"StudyData","FPVol(FootprintOp ("&amp;$B$3&amp;", 0),"&amp;L9&amp;")", "Bar",, "Close","D","0","all",,,,"T")</f>
        <v>14654</v>
      </c>
      <c r="P9" s="27" t="str">
        <f t="shared" si="2"/>
        <v/>
      </c>
      <c r="Q9" s="22" t="str">
        <f t="shared" si="3"/>
        <v/>
      </c>
      <c r="R9" s="22">
        <f t="shared" si="4"/>
        <v>14654</v>
      </c>
      <c r="Y9" s="22">
        <f>IF(RTD("cqg.rtd",,"StudyData","SUBMINUTE(("&amp;$B$3&amp;"),1,FillGap)","Bar",,"Close","5",Z9,,,,,"T")="",NA(),_xlfn.NUMBERVALUE(TEXT(RTD("cqg.rtd",,"StudyData","SUBMINUTE(("&amp;$B$3&amp;"),1,FillGap)","Bar",,"Close","5",Z9,,,,,"T"),Sheet1!$D$8)))</f>
        <v>2739</v>
      </c>
      <c r="Z9" s="22">
        <f t="shared" si="6"/>
        <v>-8</v>
      </c>
      <c r="AA9" s="28">
        <f>RTD("cqg.rtd",,"StudyData","SUBMINUTE(("&amp;$B$3&amp;"),1,Regular)","FG",,"Time","5",Z9,,,,,"T")</f>
        <v>43167.635324074101</v>
      </c>
      <c r="AB9" s="22">
        <f xml:space="preserve"> RTD("cqg.rtd",,"StudyData","BAVolCr.BidVol^(SUBMINUTE(("&amp;$B$3&amp;"),1,FillGap),5,0)",  "Bar",, "Open", "5",Z9,,,,,"T")</f>
        <v>128</v>
      </c>
      <c r="AC9" s="22">
        <f xml:space="preserve"> RTD("cqg.rtd",,"StudyData","BAVolCr.AskVol^(SUBMINUTE(("&amp;$B$3&amp;"),1,FillGap),5,0)",  "Bar",, "Open", "5",Z9,,,,,"T")</f>
        <v>103</v>
      </c>
      <c r="AE9" s="28">
        <f>RTD("cqg.rtd",,"StudyData","SUBMINUTE(("&amp;$B$3&amp;"),5,Regular)","FG",,"Time","5",Z9,,,,,"T")</f>
        <v>43167.634953703702</v>
      </c>
      <c r="AF9" s="22">
        <f>IF(RTD("cqg.rtd",,"StudyData","SUBMINUTE(("&amp;$B$3&amp;"),5,FillGap)","Bar",,"Open","5",Z9,,,,,"T")="",NA(),_xlfn.NUMBERVALUE(TEXT(RTD("cqg.rtd",,"StudyData","SUBMINUTE(("&amp;$B$3&amp;"),5,FillGap)","Bar",,"Open","5",Z9,,,,,"T"),Sheet1!$D$8)))</f>
        <v>2739.5</v>
      </c>
      <c r="AG9" s="22">
        <f>IF(RTD("cqg.rtd",,"StudyData","SUBMINUTE(("&amp;$B$3&amp;"),5,FillGap)","Bar",,"High","5",Z9,,,,,"T")="",NA(),_xlfn.NUMBERVALUE(TEXT(RTD("cqg.rtd",,"StudyData","SUBMINUTE(("&amp;$B$3&amp;"),5,FillGap)","Bar",,"High","5",Z9,,,,,"T"),Sheet1!$D$8)))</f>
        <v>2739.75</v>
      </c>
      <c r="AH9" s="22">
        <f>IF(RTD("cqg.rtd",,"StudyData","SUBMINUTE(("&amp;$B$3&amp;"),5,FillGap)","Bar",,"Low","5",Z9,,,,,"T")="",NA(),_xlfn.NUMBERVALUE(TEXT(RTD("cqg.rtd",,"StudyData","SUBMINUTE(("&amp;$B$3&amp;"),5,FillGap)","Bar",,"Low","5",Z9,,,,,"T"),Sheet1!$D$8)))</f>
        <v>2739.5</v>
      </c>
      <c r="AI9" s="22">
        <f>IF(RTD("cqg.rtd",,"StudyData","SUBMINUTE(("&amp;$B$3&amp;"),5,FillGap)","Bar",,"Close","5",Z9,,,,,"T")="",NA(),_xlfn.NUMBERVALUE(TEXT(RTD("cqg.rtd",,"StudyData","SUBMINUTE(("&amp;$B$3&amp;"),5,FillGap)","Bar",,"Close","5",Z9,,,,,"T"),Sheet1!$D$8)))</f>
        <v>2739.75</v>
      </c>
      <c r="AJ9" s="22">
        <f xml:space="preserve"> RTD("cqg.rtd",,"StudyData","BAVolCr.BidVol^(SUBMINUTE(("&amp;$B$3&amp;"),5,FillGap),5,0)",  "Bar",, "Open", "5",Z9,,,,,"T")</f>
        <v>989</v>
      </c>
      <c r="AK9" s="22">
        <f xml:space="preserve"> RTD("cqg.rtd",,"StudyData","BAVolCr.AskVol^(SUBMINUTE(("&amp;$B$3&amp;"),5,FillGap),5,0)",  "Bar",, "Open", "5",Z9,,,,,"T")</f>
        <v>1219</v>
      </c>
    </row>
    <row r="10" spans="2:37" ht="15.95" customHeight="1" x14ac:dyDescent="0.3">
      <c r="B10" s="29"/>
      <c r="E10" s="22">
        <v>2</v>
      </c>
      <c r="F10" s="22" t="s">
        <v>19</v>
      </c>
      <c r="L10" s="23" t="str">
        <f t="shared" si="5"/>
        <v>2738.25</v>
      </c>
      <c r="M10" s="24" t="str">
        <f t="shared" si="0"/>
        <v/>
      </c>
      <c r="N10" s="25" t="str">
        <f t="shared" si="1"/>
        <v/>
      </c>
      <c r="O10" s="26">
        <f>RTD("cqg.rtd",,"StudyData","FPVol(FootprintOp ("&amp;$B$3&amp;", 0),"&amp;L10&amp;")", "Bar",, "Close","D","0","all",,,,"T")</f>
        <v>15538</v>
      </c>
      <c r="P10" s="27" t="str">
        <f t="shared" si="2"/>
        <v/>
      </c>
      <c r="Q10" s="22" t="str">
        <f t="shared" si="3"/>
        <v/>
      </c>
      <c r="R10" s="22">
        <f t="shared" si="4"/>
        <v>15538</v>
      </c>
      <c r="W10" s="22">
        <f>RTD("cqg.rtd",,"StudyData",$B$3,"FG",,"High","1","0",,,,,"T")+2*C3</f>
        <v>2739.75</v>
      </c>
      <c r="Y10" s="22">
        <f>IF(RTD("cqg.rtd",,"StudyData","SUBMINUTE(("&amp;$B$3&amp;"),1,FillGap)","Bar",,"Close","5",Z10,,,,,"T")="",NA(),_xlfn.NUMBERVALUE(TEXT(RTD("cqg.rtd",,"StudyData","SUBMINUTE(("&amp;$B$3&amp;"),1,FillGap)","Bar",,"Close","5",Z10,,,,,"T"),Sheet1!$D$8)))</f>
        <v>2739.25</v>
      </c>
      <c r="Z10" s="22">
        <f t="shared" si="6"/>
        <v>-9</v>
      </c>
      <c r="AA10" s="28">
        <f>RTD("cqg.rtd",,"StudyData","SUBMINUTE(("&amp;$B$3&amp;"),1,Regular)","FG",,"Time","5",Z10,,,,,"T")</f>
        <v>43167.635312500002</v>
      </c>
      <c r="AB10" s="22">
        <f xml:space="preserve"> RTD("cqg.rtd",,"StudyData","BAVolCr.BidVol^(SUBMINUTE(("&amp;$B$3&amp;"),1,FillGap),5,0)",  "Bar",, "Open", "5",Z10,,,,,"T")</f>
        <v>134</v>
      </c>
      <c r="AC10" s="22">
        <f xml:space="preserve"> RTD("cqg.rtd",,"StudyData","BAVolCr.AskVol^(SUBMINUTE(("&amp;$B$3&amp;"),1,FillGap),5,0)",  "Bar",, "Open", "5",Z10,,,,,"T")</f>
        <v>112</v>
      </c>
      <c r="AE10" s="28">
        <f>RTD("cqg.rtd",,"StudyData","SUBMINUTE(("&amp;$B$3&amp;"),5,Regular)","FG",,"Time","5",Z10,,,,,"T")</f>
        <v>43167.634895833296</v>
      </c>
      <c r="AF10" s="22">
        <f>IF(RTD("cqg.rtd",,"StudyData","SUBMINUTE(("&amp;$B$3&amp;"),5,FillGap)","Bar",,"Open","5",Z10,,,,,"T")="",NA(),_xlfn.NUMBERVALUE(TEXT(RTD("cqg.rtd",,"StudyData","SUBMINUTE(("&amp;$B$3&amp;"),5,FillGap)","Bar",,"Open","5",Z10,,,,,"T"),Sheet1!$D$8)))</f>
        <v>2738.75</v>
      </c>
      <c r="AG10" s="22">
        <f>IF(RTD("cqg.rtd",,"StudyData","SUBMINUTE(("&amp;$B$3&amp;"),5,FillGap)","Bar",,"High","5",Z10,,,,,"T")="",NA(),_xlfn.NUMBERVALUE(TEXT(RTD("cqg.rtd",,"StudyData","SUBMINUTE(("&amp;$B$3&amp;"),5,FillGap)","Bar",,"High","5",Z10,,,,,"T"),Sheet1!$D$8)))</f>
        <v>2739.5</v>
      </c>
      <c r="AH10" s="22">
        <f>IF(RTD("cqg.rtd",,"StudyData","SUBMINUTE(("&amp;$B$3&amp;"),5,FillGap)","Bar",,"Low","5",Z10,,,,,"T")="",NA(),_xlfn.NUMBERVALUE(TEXT(RTD("cqg.rtd",,"StudyData","SUBMINUTE(("&amp;$B$3&amp;"),5,FillGap)","Bar",,"Low","5",Z10,,,,,"T"),Sheet1!$D$8)))</f>
        <v>2738.75</v>
      </c>
      <c r="AI10" s="22">
        <f>IF(RTD("cqg.rtd",,"StudyData","SUBMINUTE(("&amp;$B$3&amp;"),5,FillGap)","Bar",,"Close","5",Z10,,,,,"T")="",NA(),_xlfn.NUMBERVALUE(TEXT(RTD("cqg.rtd",,"StudyData","SUBMINUTE(("&amp;$B$3&amp;"),5,FillGap)","Bar",,"Close","5",Z10,,,,,"T"),Sheet1!$D$8)))</f>
        <v>2739.5</v>
      </c>
      <c r="AJ10" s="22">
        <f xml:space="preserve"> RTD("cqg.rtd",,"StudyData","BAVolCr.BidVol^(SUBMINUTE(("&amp;$B$3&amp;"),5,FillGap),5,0)",  "Bar",, "Open", "5",Z10,,,,,"T")</f>
        <v>949</v>
      </c>
      <c r="AK10" s="22">
        <f xml:space="preserve"> RTD("cqg.rtd",,"StudyData","BAVolCr.AskVol^(SUBMINUTE(("&amp;$B$3&amp;"),5,FillGap),5,0)",  "Bar",, "Open", "5",Z10,,,,,"T")</f>
        <v>728</v>
      </c>
    </row>
    <row r="11" spans="2:37" ht="15.95" customHeight="1" x14ac:dyDescent="0.3">
      <c r="E11" s="22">
        <v>3</v>
      </c>
      <c r="F11" s="22" t="s">
        <v>20</v>
      </c>
      <c r="L11" s="23" t="str">
        <f t="shared" si="5"/>
        <v>2738.00</v>
      </c>
      <c r="M11" s="24" t="str">
        <f t="shared" si="0"/>
        <v/>
      </c>
      <c r="N11" s="25" t="str">
        <f t="shared" si="1"/>
        <v/>
      </c>
      <c r="O11" s="26">
        <f>RTD("cqg.rtd",,"StudyData","FPVol(FootprintOp ("&amp;$B$3&amp;", 0),"&amp;L11&amp;")", "Bar",, "Close","D","0","all",,,,"T")</f>
        <v>11236</v>
      </c>
      <c r="P11" s="27" t="str">
        <f t="shared" si="2"/>
        <v/>
      </c>
      <c r="Q11" s="22" t="str">
        <f t="shared" si="3"/>
        <v/>
      </c>
      <c r="R11" s="22">
        <f t="shared" si="4"/>
        <v>11236</v>
      </c>
      <c r="Y11" s="22">
        <f>IF(RTD("cqg.rtd",,"StudyData","SUBMINUTE(("&amp;$B$3&amp;"),1,FillGap)","Bar",,"Close","5",Z11,,,,,"T")="",NA(),_xlfn.NUMBERVALUE(TEXT(RTD("cqg.rtd",,"StudyData","SUBMINUTE(("&amp;$B$3&amp;"),1,FillGap)","Bar",,"Close","5",Z11,,,,,"T"),Sheet1!$D$8)))</f>
        <v>2739.5</v>
      </c>
      <c r="Z11" s="22">
        <f t="shared" si="6"/>
        <v>-10</v>
      </c>
      <c r="AA11" s="28">
        <f>RTD("cqg.rtd",,"StudyData","SUBMINUTE(("&amp;$B$3&amp;"),1,Regular)","FG",,"Time","5",Z11,,,,,"T")</f>
        <v>43167.635300925896</v>
      </c>
      <c r="AB11" s="22">
        <f xml:space="preserve"> RTD("cqg.rtd",,"StudyData","BAVolCr.BidVol^(SUBMINUTE(("&amp;$B$3&amp;"),1,FillGap),5,0)",  "Bar",, "Open", "5",Z11,,,,,"T")</f>
        <v>253</v>
      </c>
      <c r="AC11" s="22">
        <f xml:space="preserve"> RTD("cqg.rtd",,"StudyData","BAVolCr.AskVol^(SUBMINUTE(("&amp;$B$3&amp;"),1,FillGap),5,0)",  "Bar",, "Open", "5",Z11,,,,,"T")</f>
        <v>122</v>
      </c>
      <c r="AE11" s="28">
        <f>RTD("cqg.rtd",,"StudyData","SUBMINUTE(("&amp;$B$3&amp;"),5,Regular)","FG",,"Time","5",Z11,,,,,"T")</f>
        <v>43167.634837963</v>
      </c>
      <c r="AF11" s="22">
        <f>IF(RTD("cqg.rtd",,"StudyData","SUBMINUTE(("&amp;$B$3&amp;"),5,FillGap)","Bar",,"Open","5",Z11,,,,,"T")="",NA(),_xlfn.NUMBERVALUE(TEXT(RTD("cqg.rtd",,"StudyData","SUBMINUTE(("&amp;$B$3&amp;"),5,FillGap)","Bar",,"Open","5",Z11,,,,,"T"),Sheet1!$D$8)))</f>
        <v>2738.75</v>
      </c>
      <c r="AG11" s="22">
        <f>IF(RTD("cqg.rtd",,"StudyData","SUBMINUTE(("&amp;$B$3&amp;"),5,FillGap)","Bar",,"High","5",Z11,,,,,"T")="",NA(),_xlfn.NUMBERVALUE(TEXT(RTD("cqg.rtd",,"StudyData","SUBMINUTE(("&amp;$B$3&amp;"),5,FillGap)","Bar",,"High","5",Z11,,,,,"T"),Sheet1!$D$8)))</f>
        <v>2739</v>
      </c>
      <c r="AH11" s="22">
        <f>IF(RTD("cqg.rtd",,"StudyData","SUBMINUTE(("&amp;$B$3&amp;"),5,FillGap)","Bar",,"Low","5",Z11,,,,,"T")="",NA(),_xlfn.NUMBERVALUE(TEXT(RTD("cqg.rtd",,"StudyData","SUBMINUTE(("&amp;$B$3&amp;"),5,FillGap)","Bar",,"Low","5",Z11,,,,,"T"),Sheet1!$D$8)))</f>
        <v>2738.5</v>
      </c>
      <c r="AI11" s="22">
        <f>IF(RTD("cqg.rtd",,"StudyData","SUBMINUTE(("&amp;$B$3&amp;"),5,FillGap)","Bar",,"Close","5",Z11,,,,,"T")="",NA(),_xlfn.NUMBERVALUE(TEXT(RTD("cqg.rtd",,"StudyData","SUBMINUTE(("&amp;$B$3&amp;"),5,FillGap)","Bar",,"Close","5",Z11,,,,,"T"),Sheet1!$D$8)))</f>
        <v>2738.75</v>
      </c>
      <c r="AJ11" s="22">
        <f xml:space="preserve"> RTD("cqg.rtd",,"StudyData","BAVolCr.BidVol^(SUBMINUTE(("&amp;$B$3&amp;"),5,FillGap),5,0)",  "Bar",, "Open", "5",Z11,,,,,"T")</f>
        <v>890</v>
      </c>
      <c r="AK11" s="22">
        <f xml:space="preserve"> RTD("cqg.rtd",,"StudyData","BAVolCr.AskVol^(SUBMINUTE(("&amp;$B$3&amp;"),5,FillGap),5,0)",  "Bar",, "Open", "5",Z11,,,,,"T")</f>
        <v>322</v>
      </c>
    </row>
    <row r="12" spans="2:37" ht="15.95" customHeight="1" x14ac:dyDescent="0.3">
      <c r="C12" s="22" t="str">
        <f>TEXT(ROUND(RTD("cqg.rtd", ,"ContractData",B3, "Bid",, "T"),C8),D8)</f>
        <v>2739.75</v>
      </c>
      <c r="E12" s="22">
        <v>4</v>
      </c>
      <c r="F12" s="22" t="s">
        <v>21</v>
      </c>
      <c r="L12" s="23" t="str">
        <f t="shared" si="5"/>
        <v>2737.75</v>
      </c>
      <c r="M12" s="24" t="str">
        <f t="shared" si="0"/>
        <v/>
      </c>
      <c r="N12" s="25" t="str">
        <f t="shared" si="1"/>
        <v/>
      </c>
      <c r="O12" s="26">
        <f>RTD("cqg.rtd",,"StudyData","FPVol(FootprintOp ("&amp;$B$3&amp;", 0),"&amp;L12&amp;")", "Bar",, "Close","D","0","all",,,,"T")</f>
        <v>8540</v>
      </c>
      <c r="P12" s="27" t="str">
        <f t="shared" si="2"/>
        <v/>
      </c>
      <c r="Q12" s="22" t="str">
        <f t="shared" si="3"/>
        <v/>
      </c>
      <c r="R12" s="22">
        <f t="shared" si="4"/>
        <v>8540</v>
      </c>
      <c r="Y12" s="22">
        <f>IF(RTD("cqg.rtd",,"StudyData","SUBMINUTE(("&amp;$B$3&amp;"),1,FillGap)","Bar",,"Close","5",Z12,,,,,"T")="",NA(),_xlfn.NUMBERVALUE(TEXT(RTD("cqg.rtd",,"StudyData","SUBMINUTE(("&amp;$B$3&amp;"),1,FillGap)","Bar",,"Close","5",Z12,,,,,"T"),Sheet1!$D$8)))</f>
        <v>2739.25</v>
      </c>
      <c r="Z12" s="22">
        <f t="shared" si="6"/>
        <v>-11</v>
      </c>
      <c r="AA12" s="28">
        <f>RTD("cqg.rtd",,"StudyData","SUBMINUTE(("&amp;$B$3&amp;"),1,Regular)","FG",,"Time","5",Z12,,,,,"T")</f>
        <v>43167.6352893519</v>
      </c>
      <c r="AB12" s="22">
        <f xml:space="preserve"> RTD("cqg.rtd",,"StudyData","BAVolCr.BidVol^(SUBMINUTE(("&amp;$B$3&amp;"),1,FillGap),5,0)",  "Bar",, "Open", "5",Z12,,,,,"T")</f>
        <v>189</v>
      </c>
      <c r="AC12" s="22">
        <f xml:space="preserve"> RTD("cqg.rtd",,"StudyData","BAVolCr.AskVol^(SUBMINUTE(("&amp;$B$3&amp;"),1,FillGap),5,0)",  "Bar",, "Open", "5",Z12,,,,,"T")</f>
        <v>169</v>
      </c>
      <c r="AE12" s="28">
        <f>RTD("cqg.rtd",,"StudyData","SUBMINUTE(("&amp;$B$3&amp;"),5,Regular)","FG",,"Time","5",Z12,,,,,"T")</f>
        <v>43167.634780092601</v>
      </c>
      <c r="AF12" s="22">
        <f>IF(RTD("cqg.rtd",,"StudyData","SUBMINUTE(("&amp;$B$3&amp;"),5,FillGap)","Bar",,"Open","5",Z12,,,,,"T")="",NA(),_xlfn.NUMBERVALUE(TEXT(RTD("cqg.rtd",,"StudyData","SUBMINUTE(("&amp;$B$3&amp;"),5,FillGap)","Bar",,"Open","5",Z12,,,,,"T"),Sheet1!$D$8)))</f>
        <v>2739</v>
      </c>
      <c r="AG12" s="22">
        <f>IF(RTD("cqg.rtd",,"StudyData","SUBMINUTE(("&amp;$B$3&amp;"),5,FillGap)","Bar",,"High","5",Z12,,,,,"T")="",NA(),_xlfn.NUMBERVALUE(TEXT(RTD("cqg.rtd",,"StudyData","SUBMINUTE(("&amp;$B$3&amp;"),5,FillGap)","Bar",,"High","5",Z12,,,,,"T"),Sheet1!$D$8)))</f>
        <v>2739</v>
      </c>
      <c r="AH12" s="22">
        <f>IF(RTD("cqg.rtd",,"StudyData","SUBMINUTE(("&amp;$B$3&amp;"),5,FillGap)","Bar",,"Low","5",Z12,,,,,"T")="",NA(),_xlfn.NUMBERVALUE(TEXT(RTD("cqg.rtd",,"StudyData","SUBMINUTE(("&amp;$B$3&amp;"),5,FillGap)","Bar",,"Low","5",Z12,,,,,"T"),Sheet1!$D$8)))</f>
        <v>2738.5</v>
      </c>
      <c r="AI12" s="22">
        <f>IF(RTD("cqg.rtd",,"StudyData","SUBMINUTE(("&amp;$B$3&amp;"),5,FillGap)","Bar",,"Close","5",Z12,,,,,"T")="",NA(),_xlfn.NUMBERVALUE(TEXT(RTD("cqg.rtd",,"StudyData","SUBMINUTE(("&amp;$B$3&amp;"),5,FillGap)","Bar",,"Close","5",Z12,,,,,"T"),Sheet1!$D$8)))</f>
        <v>2738.5</v>
      </c>
      <c r="AJ12" s="22">
        <f xml:space="preserve"> RTD("cqg.rtd",,"StudyData","BAVolCr.BidVol^(SUBMINUTE(("&amp;$B$3&amp;"),5,FillGap),5,0)",  "Bar",, "Open", "5",Z12,,,,,"T")</f>
        <v>841</v>
      </c>
      <c r="AK12" s="22">
        <f xml:space="preserve"> RTD("cqg.rtd",,"StudyData","BAVolCr.AskVol^(SUBMINUTE(("&amp;$B$3&amp;"),5,FillGap),5,0)",  "Bar",, "Open", "5",Z12,,,,,"T")</f>
        <v>103</v>
      </c>
    </row>
    <row r="13" spans="2:37" ht="15.95" customHeight="1" x14ac:dyDescent="0.3">
      <c r="E13" s="22">
        <v>5</v>
      </c>
      <c r="F13" s="22" t="s">
        <v>22</v>
      </c>
      <c r="L13" s="23" t="str">
        <f t="shared" si="5"/>
        <v>2737.50</v>
      </c>
      <c r="M13" s="24" t="str">
        <f t="shared" si="0"/>
        <v/>
      </c>
      <c r="N13" s="25" t="str">
        <f t="shared" si="1"/>
        <v/>
      </c>
      <c r="O13" s="26">
        <f>RTD("cqg.rtd",,"StudyData","FPVol(FootprintOp ("&amp;$B$3&amp;", 0),"&amp;L13&amp;")", "Bar",, "Close","D","0","all",,,,"T")</f>
        <v>7376</v>
      </c>
      <c r="P13" s="27" t="str">
        <f t="shared" si="2"/>
        <v/>
      </c>
      <c r="Q13" s="22" t="str">
        <f t="shared" si="3"/>
        <v/>
      </c>
      <c r="R13" s="22">
        <f t="shared" si="4"/>
        <v>7376</v>
      </c>
      <c r="W13" s="29"/>
      <c r="Y13" s="22">
        <f>IF(RTD("cqg.rtd",,"StudyData","SUBMINUTE(("&amp;$B$3&amp;"),1,FillGap)","Bar",,"Close","5",Z13,,,,,"T")="",NA(),_xlfn.NUMBERVALUE(TEXT(RTD("cqg.rtd",,"StudyData","SUBMINUTE(("&amp;$B$3&amp;"),1,FillGap)","Bar",,"Close","5",Z13,,,,,"T"),Sheet1!$D$8)))</f>
        <v>2739.25</v>
      </c>
      <c r="Z13" s="22">
        <f t="shared" si="6"/>
        <v>-12</v>
      </c>
      <c r="AA13" s="28">
        <f>RTD("cqg.rtd",,"StudyData","SUBMINUTE(("&amp;$B$3&amp;"),1,Regular)","FG",,"Time","5",Z13,,,,,"T")</f>
        <v>43167.635277777801</v>
      </c>
      <c r="AB13" s="22">
        <f xml:space="preserve"> RTD("cqg.rtd",,"StudyData","BAVolCr.BidVol^(SUBMINUTE(("&amp;$B$3&amp;"),1,FillGap),5,0)",  "Bar",, "Open", "5",Z13,,,,,"T")</f>
        <v>187</v>
      </c>
      <c r="AC13" s="22">
        <f xml:space="preserve"> RTD("cqg.rtd",,"StudyData","BAVolCr.AskVol^(SUBMINUTE(("&amp;$B$3&amp;"),1,FillGap),5,0)",  "Bar",, "Open", "5",Z13,,,,,"T")</f>
        <v>192</v>
      </c>
      <c r="AE13" s="28">
        <f>RTD("cqg.rtd",,"StudyData","SUBMINUTE(("&amp;$B$3&amp;"),5,Regular)","FG",,"Time","5",Z13,,,,,"T")</f>
        <v>43167.634722222203</v>
      </c>
      <c r="AF13" s="22">
        <f>IF(RTD("cqg.rtd",,"StudyData","SUBMINUTE(("&amp;$B$3&amp;"),5,FillGap)","Bar",,"Open","5",Z13,,,,,"T")="",NA(),_xlfn.NUMBERVALUE(TEXT(RTD("cqg.rtd",,"StudyData","SUBMINUTE(("&amp;$B$3&amp;"),5,FillGap)","Bar",,"Open","5",Z13,,,,,"T"),Sheet1!$D$8)))</f>
        <v>2739</v>
      </c>
      <c r="AG13" s="22">
        <f>IF(RTD("cqg.rtd",,"StudyData","SUBMINUTE(("&amp;$B$3&amp;"),5,FillGap)","Bar",,"High","5",Z13,,,,,"T")="",NA(),_xlfn.NUMBERVALUE(TEXT(RTD("cqg.rtd",,"StudyData","SUBMINUTE(("&amp;$B$3&amp;"),5,FillGap)","Bar",,"High","5",Z13,,,,,"T"),Sheet1!$D$8)))</f>
        <v>2739.25</v>
      </c>
      <c r="AH13" s="22">
        <f>IF(RTD("cqg.rtd",,"StudyData","SUBMINUTE(("&amp;$B$3&amp;"),5,FillGap)","Bar",,"Low","5",Z13,,,,,"T")="",NA(),_xlfn.NUMBERVALUE(TEXT(RTD("cqg.rtd",,"StudyData","SUBMINUTE(("&amp;$B$3&amp;"),5,FillGap)","Bar",,"Low","5",Z13,,,,,"T"),Sheet1!$D$8)))</f>
        <v>2738.75</v>
      </c>
      <c r="AI13" s="22">
        <f>IF(RTD("cqg.rtd",,"StudyData","SUBMINUTE(("&amp;$B$3&amp;"),5,FillGap)","Bar",,"Close","5",Z13,,,,,"T")="",NA(),_xlfn.NUMBERVALUE(TEXT(RTD("cqg.rtd",,"StudyData","SUBMINUTE(("&amp;$B$3&amp;"),5,FillGap)","Bar",,"Close","5",Z13,,,,,"T"),Sheet1!$D$8)))</f>
        <v>2738.75</v>
      </c>
      <c r="AJ13" s="22">
        <f xml:space="preserve"> RTD("cqg.rtd",,"StudyData","BAVolCr.BidVol^(SUBMINUTE(("&amp;$B$3&amp;"),5,FillGap),5,0)",  "Bar",, "Open", "5",Z13,,,,,"T")</f>
        <v>486</v>
      </c>
      <c r="AK13" s="22">
        <f xml:space="preserve"> RTD("cqg.rtd",,"StudyData","BAVolCr.AskVol^(SUBMINUTE(("&amp;$B$3&amp;"),5,FillGap),5,0)",  "Bar",, "Open", "5",Z13,,,,,"T")</f>
        <v>92</v>
      </c>
    </row>
    <row r="14" spans="2:37" ht="15.95" customHeight="1" x14ac:dyDescent="0.3">
      <c r="E14" s="22">
        <v>6</v>
      </c>
      <c r="F14" s="22" t="s">
        <v>23</v>
      </c>
      <c r="L14" s="23" t="str">
        <f t="shared" si="5"/>
        <v>2737.25</v>
      </c>
      <c r="M14" s="24" t="str">
        <f t="shared" si="0"/>
        <v/>
      </c>
      <c r="N14" s="25" t="str">
        <f t="shared" si="1"/>
        <v/>
      </c>
      <c r="O14" s="26">
        <f>RTD("cqg.rtd",,"StudyData","FPVol(FootprintOp ("&amp;$B$3&amp;", 0),"&amp;L14&amp;")", "Bar",, "Close","D","0","all",,,,"T")</f>
        <v>8751</v>
      </c>
      <c r="P14" s="27" t="str">
        <f t="shared" si="2"/>
        <v/>
      </c>
      <c r="Q14" s="22" t="str">
        <f t="shared" si="3"/>
        <v/>
      </c>
      <c r="R14" s="22">
        <f t="shared" si="4"/>
        <v>8751</v>
      </c>
      <c r="Y14" s="22">
        <f>IF(RTD("cqg.rtd",,"StudyData","SUBMINUTE(("&amp;$B$3&amp;"),1,FillGap)","Bar",,"Close","5",Z14,,,,,"T")="",NA(),_xlfn.NUMBERVALUE(TEXT(RTD("cqg.rtd",,"StudyData","SUBMINUTE(("&amp;$B$3&amp;"),1,FillGap)","Bar",,"Close","5",Z14,,,,,"T"),Sheet1!$D$8)))</f>
        <v>2739.25</v>
      </c>
      <c r="Z14" s="22">
        <f t="shared" si="6"/>
        <v>-13</v>
      </c>
      <c r="AA14" s="28">
        <f>RTD("cqg.rtd",,"StudyData","SUBMINUTE(("&amp;$B$3&amp;"),1,Regular)","FG",,"Time","5",Z14,,,,,"T")</f>
        <v>43167.635266203702</v>
      </c>
      <c r="AB14" s="22">
        <f xml:space="preserve"> RTD("cqg.rtd",,"StudyData","BAVolCr.BidVol^(SUBMINUTE(("&amp;$B$3&amp;"),1,FillGap),5,0)",  "Bar",, "Open", "5",Z14,,,,,"T")</f>
        <v>185</v>
      </c>
      <c r="AC14" s="22">
        <f xml:space="preserve"> RTD("cqg.rtd",,"StudyData","BAVolCr.AskVol^(SUBMINUTE(("&amp;$B$3&amp;"),1,FillGap),5,0)",  "Bar",, "Open", "5",Z14,,,,,"T")</f>
        <v>206</v>
      </c>
      <c r="AE14" s="28">
        <f>RTD("cqg.rtd",,"StudyData","SUBMINUTE(("&amp;$B$3&amp;"),5,Regular)","FG",,"Time","5",Z14,,,,,"T")</f>
        <v>43167.634664351899</v>
      </c>
      <c r="AF14" s="22">
        <f>IF(RTD("cqg.rtd",,"StudyData","SUBMINUTE(("&amp;$B$3&amp;"),5,FillGap)","Bar",,"Open","5",Z14,,,,,"T")="",NA(),_xlfn.NUMBERVALUE(TEXT(RTD("cqg.rtd",,"StudyData","SUBMINUTE(("&amp;$B$3&amp;"),5,FillGap)","Bar",,"Open","5",Z14,,,,,"T"),Sheet1!$D$8)))</f>
        <v>2739</v>
      </c>
      <c r="AG14" s="22">
        <f>IF(RTD("cqg.rtd",,"StudyData","SUBMINUTE(("&amp;$B$3&amp;"),5,FillGap)","Bar",,"High","5",Z14,,,,,"T")="",NA(),_xlfn.NUMBERVALUE(TEXT(RTD("cqg.rtd",,"StudyData","SUBMINUTE(("&amp;$B$3&amp;"),5,FillGap)","Bar",,"High","5",Z14,,,,,"T"),Sheet1!$D$8)))</f>
        <v>2739.25</v>
      </c>
      <c r="AH14" s="22">
        <f>IF(RTD("cqg.rtd",,"StudyData","SUBMINUTE(("&amp;$B$3&amp;"),5,FillGap)","Bar",,"Low","5",Z14,,,,,"T")="",NA(),_xlfn.NUMBERVALUE(TEXT(RTD("cqg.rtd",,"StudyData","SUBMINUTE(("&amp;$B$3&amp;"),5,FillGap)","Bar",,"Low","5",Z14,,,,,"T"),Sheet1!$D$8)))</f>
        <v>2739</v>
      </c>
      <c r="AI14" s="22">
        <f>IF(RTD("cqg.rtd",,"StudyData","SUBMINUTE(("&amp;$B$3&amp;"),5,FillGap)","Bar",,"Close","5",Z14,,,,,"T")="",NA(),_xlfn.NUMBERVALUE(TEXT(RTD("cqg.rtd",,"StudyData","SUBMINUTE(("&amp;$B$3&amp;"),5,FillGap)","Bar",,"Close","5",Z14,,,,,"T"),Sheet1!$D$8)))</f>
        <v>2739</v>
      </c>
      <c r="AJ14" s="22">
        <f xml:space="preserve"> RTD("cqg.rtd",,"StudyData","BAVolCr.BidVol^(SUBMINUTE(("&amp;$B$3&amp;"),5,FillGap),5,0)",  "Bar",, "Open", "5",Z14,,,,,"T")</f>
        <v>217</v>
      </c>
      <c r="AK14" s="22">
        <f xml:space="preserve"> RTD("cqg.rtd",,"StudyData","BAVolCr.AskVol^(SUBMINUTE(("&amp;$B$3&amp;"),5,FillGap),5,0)",  "Bar",, "Open", "5",Z14,,,,,"T")</f>
        <v>45</v>
      </c>
    </row>
    <row r="15" spans="2:37" ht="15.95" customHeight="1" x14ac:dyDescent="0.3">
      <c r="E15" s="22">
        <v>7</v>
      </c>
      <c r="F15" s="22" t="s">
        <v>24</v>
      </c>
      <c r="L15" s="23" t="str">
        <f t="shared" si="5"/>
        <v>2737.00</v>
      </c>
      <c r="M15" s="24" t="str">
        <f t="shared" si="0"/>
        <v/>
      </c>
      <c r="N15" s="25" t="str">
        <f t="shared" si="1"/>
        <v/>
      </c>
      <c r="O15" s="26">
        <f>RTD("cqg.rtd",,"StudyData","FPVol(FootprintOp ("&amp;$B$3&amp;", 0),"&amp;L15&amp;")", "Bar",, "Close","D","0","all",,,,"T")</f>
        <v>8063</v>
      </c>
      <c r="P15" s="27" t="str">
        <f t="shared" si="2"/>
        <v/>
      </c>
      <c r="Q15" s="22" t="str">
        <f t="shared" si="3"/>
        <v/>
      </c>
      <c r="R15" s="22">
        <f t="shared" si="4"/>
        <v>8063</v>
      </c>
      <c r="Y15" s="22">
        <f>IF(RTD("cqg.rtd",,"StudyData","SUBMINUTE(("&amp;$B$3&amp;"),1,FillGap)","Bar",,"Close","5",Z15,,,,,"T")="",NA(),_xlfn.NUMBERVALUE(TEXT(RTD("cqg.rtd",,"StudyData","SUBMINUTE(("&amp;$B$3&amp;"),1,FillGap)","Bar",,"Close","5",Z15,,,,,"T"),Sheet1!$D$8)))</f>
        <v>2739.25</v>
      </c>
      <c r="Z15" s="22">
        <f t="shared" si="6"/>
        <v>-14</v>
      </c>
      <c r="AA15" s="28">
        <f>RTD("cqg.rtd",,"StudyData","SUBMINUTE(("&amp;$B$3&amp;"),1,Regular)","FG",,"Time","5",Z15,,,,,"T")</f>
        <v>43167.635254629597</v>
      </c>
      <c r="AB15" s="22">
        <f xml:space="preserve"> RTD("cqg.rtd",,"StudyData","BAVolCr.BidVol^(SUBMINUTE(("&amp;$B$3&amp;"),1,FillGap),5,0)",  "Bar",, "Open", "5",Z15,,,,,"T")</f>
        <v>212</v>
      </c>
      <c r="AC15" s="22">
        <f xml:space="preserve"> RTD("cqg.rtd",,"StudyData","BAVolCr.AskVol^(SUBMINUTE(("&amp;$B$3&amp;"),1,FillGap),5,0)",  "Bar",, "Open", "5",Z15,,,,,"T")</f>
        <v>248</v>
      </c>
      <c r="AE15" s="28">
        <f>RTD("cqg.rtd",,"StudyData","SUBMINUTE(("&amp;$B$3&amp;"),5,Regular)","FG",,"Time","5",Z15,,,,,"T")</f>
        <v>43167.634606481501</v>
      </c>
      <c r="AF15" s="22">
        <f>IF(RTD("cqg.rtd",,"StudyData","SUBMINUTE(("&amp;$B$3&amp;"),5,FillGap)","Bar",,"Open","5",Z15,,,,,"T")="",NA(),_xlfn.NUMBERVALUE(TEXT(RTD("cqg.rtd",,"StudyData","SUBMINUTE(("&amp;$B$3&amp;"),5,FillGap)","Bar",,"Open","5",Z15,,,,,"T"),Sheet1!$D$8)))</f>
        <v>2739</v>
      </c>
      <c r="AG15" s="22">
        <f>IF(RTD("cqg.rtd",,"StudyData","SUBMINUTE(("&amp;$B$3&amp;"),5,FillGap)","Bar",,"High","5",Z15,,,,,"T")="",NA(),_xlfn.NUMBERVALUE(TEXT(RTD("cqg.rtd",,"StudyData","SUBMINUTE(("&amp;$B$3&amp;"),5,FillGap)","Bar",,"High","5",Z15,,,,,"T"),Sheet1!$D$8)))</f>
        <v>2739</v>
      </c>
      <c r="AH15" s="22">
        <f>IF(RTD("cqg.rtd",,"StudyData","SUBMINUTE(("&amp;$B$3&amp;"),5,FillGap)","Bar",,"Low","5",Z15,,,,,"T")="",NA(),_xlfn.NUMBERVALUE(TEXT(RTD("cqg.rtd",,"StudyData","SUBMINUTE(("&amp;$B$3&amp;"),5,FillGap)","Bar",,"Low","5",Z15,,,,,"T"),Sheet1!$D$8)))</f>
        <v>2739</v>
      </c>
      <c r="AI15" s="22">
        <f>IF(RTD("cqg.rtd",,"StudyData","SUBMINUTE(("&amp;$B$3&amp;"),5,FillGap)","Bar",,"Close","5",Z15,,,,,"T")="",NA(),_xlfn.NUMBERVALUE(TEXT(RTD("cqg.rtd",,"StudyData","SUBMINUTE(("&amp;$B$3&amp;"),5,FillGap)","Bar",,"Close","5",Z15,,,,,"T"),Sheet1!$D$8)))</f>
        <v>2739</v>
      </c>
      <c r="AJ15" s="22">
        <f xml:space="preserve"> RTD("cqg.rtd",,"StudyData","BAVolCr.BidVol^(SUBMINUTE(("&amp;$B$3&amp;"),5,FillGap),5,0)",  "Bar",, "Open", "5",Z15,,,,,"T")</f>
        <v>362</v>
      </c>
      <c r="AK15" s="22">
        <f xml:space="preserve"> RTD("cqg.rtd",,"StudyData","BAVolCr.AskVol^(SUBMINUTE(("&amp;$B$3&amp;"),5,FillGap),5,0)",  "Bar",, "Open", "5",Z15,,,,,"T")</f>
        <v>48</v>
      </c>
    </row>
    <row r="16" spans="2:37" ht="15.95" customHeight="1" x14ac:dyDescent="0.3">
      <c r="L16" s="23" t="str">
        <f t="shared" si="5"/>
        <v>2736.75</v>
      </c>
      <c r="M16" s="24" t="str">
        <f t="shared" si="0"/>
        <v/>
      </c>
      <c r="N16" s="25" t="str">
        <f t="shared" si="1"/>
        <v/>
      </c>
      <c r="O16" s="26">
        <f>RTD("cqg.rtd",,"StudyData","FPVol(FootprintOp ("&amp;$B$3&amp;", 0),"&amp;L16&amp;")", "Bar",, "Close","D","0","all",,,,"T")</f>
        <v>10424</v>
      </c>
      <c r="P16" s="27" t="str">
        <f t="shared" si="2"/>
        <v/>
      </c>
      <c r="Q16" s="22" t="str">
        <f t="shared" si="3"/>
        <v/>
      </c>
      <c r="R16" s="22">
        <f t="shared" si="4"/>
        <v>10424</v>
      </c>
      <c r="Y16" s="22">
        <f>IF(RTD("cqg.rtd",,"StudyData","SUBMINUTE(("&amp;$B$3&amp;"),1,FillGap)","Bar",,"Close","5",Z16,,,,,"T")="",NA(),_xlfn.NUMBERVALUE(TEXT(RTD("cqg.rtd",,"StudyData","SUBMINUTE(("&amp;$B$3&amp;"),1,FillGap)","Bar",,"Close","5",Z16,,,,,"T"),Sheet1!$D$8)))</f>
        <v>2739.25</v>
      </c>
      <c r="Z16" s="22">
        <f t="shared" si="6"/>
        <v>-15</v>
      </c>
      <c r="AA16" s="28">
        <f>RTD("cqg.rtd",,"StudyData","SUBMINUTE(("&amp;$B$3&amp;"),1,Regular)","FG",,"Time","5",Z16,,,,,"T")</f>
        <v>43167.6352430556</v>
      </c>
      <c r="AB16" s="22">
        <f xml:space="preserve"> RTD("cqg.rtd",,"StudyData","BAVolCr.BidVol^(SUBMINUTE(("&amp;$B$3&amp;"),1,FillGap),5,0)",  "Bar",, "Open", "5",Z16,,,,,"T")</f>
        <v>59</v>
      </c>
      <c r="AC16" s="22">
        <f xml:space="preserve"> RTD("cqg.rtd",,"StudyData","BAVolCr.AskVol^(SUBMINUTE(("&amp;$B$3&amp;"),1,FillGap),5,0)",  "Bar",, "Open", "5",Z16,,,,,"T")</f>
        <v>257</v>
      </c>
      <c r="AE16" s="28">
        <f>RTD("cqg.rtd",,"StudyData","SUBMINUTE(("&amp;$B$3&amp;"),5,Regular)","FG",,"Time","5",Z16,,,,,"T")</f>
        <v>43167.634548611102</v>
      </c>
      <c r="AF16" s="22">
        <f>IF(RTD("cqg.rtd",,"StudyData","SUBMINUTE(("&amp;$B$3&amp;"),5,FillGap)","Bar",,"Open","5",Z16,,,,,"T")="",NA(),_xlfn.NUMBERVALUE(TEXT(RTD("cqg.rtd",,"StudyData","SUBMINUTE(("&amp;$B$3&amp;"),5,FillGap)","Bar",,"Open","5",Z16,,,,,"T"),Sheet1!$D$8)))</f>
        <v>2739</v>
      </c>
      <c r="AG16" s="22">
        <f>IF(RTD("cqg.rtd",,"StudyData","SUBMINUTE(("&amp;$B$3&amp;"),5,FillGap)","Bar",,"High","5",Z16,,,,,"T")="",NA(),_xlfn.NUMBERVALUE(TEXT(RTD("cqg.rtd",,"StudyData","SUBMINUTE(("&amp;$B$3&amp;"),5,FillGap)","Bar",,"High","5",Z16,,,,,"T"),Sheet1!$D$8)))</f>
        <v>2739</v>
      </c>
      <c r="AH16" s="22">
        <f>IF(RTD("cqg.rtd",,"StudyData","SUBMINUTE(("&amp;$B$3&amp;"),5,FillGap)","Bar",,"Low","5",Z16,,,,,"T")="",NA(),_xlfn.NUMBERVALUE(TEXT(RTD("cqg.rtd",,"StudyData","SUBMINUTE(("&amp;$B$3&amp;"),5,FillGap)","Bar",,"Low","5",Z16,,,,,"T"),Sheet1!$D$8)))</f>
        <v>2739</v>
      </c>
      <c r="AI16" s="22">
        <f>IF(RTD("cqg.rtd",,"StudyData","SUBMINUTE(("&amp;$B$3&amp;"),5,FillGap)","Bar",,"Close","5",Z16,,,,,"T")="",NA(),_xlfn.NUMBERVALUE(TEXT(RTD("cqg.rtd",,"StudyData","SUBMINUTE(("&amp;$B$3&amp;"),5,FillGap)","Bar",,"Close","5",Z16,,,,,"T"),Sheet1!$D$8)))</f>
        <v>2739</v>
      </c>
      <c r="AJ16" s="22">
        <f xml:space="preserve"> RTD("cqg.rtd",,"StudyData","BAVolCr.BidVol^(SUBMINUTE(("&amp;$B$3&amp;"),5,FillGap),5,0)",  "Bar",, "Open", "5",Z16,,,,,"T")</f>
        <v>310</v>
      </c>
      <c r="AK16" s="22">
        <f xml:space="preserve"> RTD("cqg.rtd",,"StudyData","BAVolCr.AskVol^(SUBMINUTE(("&amp;$B$3&amp;"),5,FillGap),5,0)",  "Bar",, "Open", "5",Z16,,,,,"T")</f>
        <v>40</v>
      </c>
    </row>
    <row r="17" spans="6:37" ht="15.95" customHeight="1" x14ac:dyDescent="0.3">
      <c r="L17" s="23" t="str">
        <f t="shared" si="5"/>
        <v>2736.50</v>
      </c>
      <c r="M17" s="24" t="str">
        <f t="shared" si="0"/>
        <v/>
      </c>
      <c r="N17" s="25" t="str">
        <f t="shared" si="1"/>
        <v/>
      </c>
      <c r="O17" s="26">
        <f>RTD("cqg.rtd",,"StudyData","FPVol(FootprintOp ("&amp;$B$3&amp;", 0),"&amp;L17&amp;")", "Bar",, "Close","D","0","all",,,,"T")</f>
        <v>14311</v>
      </c>
      <c r="P17" s="27" t="str">
        <f t="shared" si="2"/>
        <v/>
      </c>
      <c r="Q17" s="22" t="str">
        <f t="shared" si="3"/>
        <v/>
      </c>
      <c r="R17" s="22">
        <f t="shared" si="4"/>
        <v>14311</v>
      </c>
      <c r="Y17" s="22">
        <f>IF(RTD("cqg.rtd",,"StudyData","SUBMINUTE(("&amp;$B$3&amp;"),1,FillGap)","Bar",,"Close","5",Z17,,,,,"T")="",NA(),_xlfn.NUMBERVALUE(TEXT(RTD("cqg.rtd",,"StudyData","SUBMINUTE(("&amp;$B$3&amp;"),1,FillGap)","Bar",,"Close","5",Z17,,,,,"T"),Sheet1!$D$8)))</f>
        <v>2739.25</v>
      </c>
      <c r="Z17" s="22">
        <f t="shared" si="6"/>
        <v>-16</v>
      </c>
      <c r="AA17" s="28">
        <f>RTD("cqg.rtd",,"StudyData","SUBMINUTE(("&amp;$B$3&amp;"),1,Regular)","FG",,"Time","5",Z17,,,,,"T")</f>
        <v>43167.635231481501</v>
      </c>
      <c r="AB17" s="22">
        <f xml:space="preserve"> RTD("cqg.rtd",,"StudyData","BAVolCr.BidVol^(SUBMINUTE(("&amp;$B$3&amp;"),1,FillGap),5,0)",  "Bar",, "Open", "5",Z17,,,,,"T")</f>
        <v>56</v>
      </c>
      <c r="AC17" s="22">
        <f xml:space="preserve"> RTD("cqg.rtd",,"StudyData","BAVolCr.AskVol^(SUBMINUTE(("&amp;$B$3&amp;"),1,FillGap),5,0)",  "Bar",, "Open", "5",Z17,,,,,"T")</f>
        <v>210</v>
      </c>
      <c r="AE17" s="28">
        <f>RTD("cqg.rtd",,"StudyData","SUBMINUTE(("&amp;$B$3&amp;"),5,Regular)","FG",,"Time","5",Z17,,,,,"T")</f>
        <v>43167.634490740696</v>
      </c>
      <c r="AF17" s="22">
        <f>IF(RTD("cqg.rtd",,"StudyData","SUBMINUTE(("&amp;$B$3&amp;"),5,FillGap)","Bar",,"Open","5",Z17,,,,,"T")="",NA(),_xlfn.NUMBERVALUE(TEXT(RTD("cqg.rtd",,"StudyData","SUBMINUTE(("&amp;$B$3&amp;"),5,FillGap)","Bar",,"Open","5",Z17,,,,,"T"),Sheet1!$D$8)))</f>
        <v>2739</v>
      </c>
      <c r="AG17" s="22">
        <f>IF(RTD("cqg.rtd",,"StudyData","SUBMINUTE(("&amp;$B$3&amp;"),5,FillGap)","Bar",,"High","5",Z17,,,,,"T")="",NA(),_xlfn.NUMBERVALUE(TEXT(RTD("cqg.rtd",,"StudyData","SUBMINUTE(("&amp;$B$3&amp;"),5,FillGap)","Bar",,"High","5",Z17,,,,,"T"),Sheet1!$D$8)))</f>
        <v>2739</v>
      </c>
      <c r="AH17" s="22">
        <f>IF(RTD("cqg.rtd",,"StudyData","SUBMINUTE(("&amp;$B$3&amp;"),5,FillGap)","Bar",,"Low","5",Z17,,,,,"T")="",NA(),_xlfn.NUMBERVALUE(TEXT(RTD("cqg.rtd",,"StudyData","SUBMINUTE(("&amp;$B$3&amp;"),5,FillGap)","Bar",,"Low","5",Z17,,,,,"T"),Sheet1!$D$8)))</f>
        <v>2739</v>
      </c>
      <c r="AI17" s="22">
        <f>IF(RTD("cqg.rtd",,"StudyData","SUBMINUTE(("&amp;$B$3&amp;"),5,FillGap)","Bar",,"Close","5",Z17,,,,,"T")="",NA(),_xlfn.NUMBERVALUE(TEXT(RTD("cqg.rtd",,"StudyData","SUBMINUTE(("&amp;$B$3&amp;"),5,FillGap)","Bar",,"Close","5",Z17,,,,,"T"),Sheet1!$D$8)))</f>
        <v>2739</v>
      </c>
      <c r="AJ17" s="22">
        <f xml:space="preserve"> RTD("cqg.rtd",,"StudyData","BAVolCr.BidVol^(SUBMINUTE(("&amp;$B$3&amp;"),5,FillGap),5,0)",  "Bar",, "Open", "5",Z17,,,,,"T")</f>
        <v>296</v>
      </c>
      <c r="AK17" s="22">
        <f xml:space="preserve"> RTD("cqg.rtd",,"StudyData","BAVolCr.AskVol^(SUBMINUTE(("&amp;$B$3&amp;"),5,FillGap),5,0)",  "Bar",, "Open", "5",Z17,,,,,"T")</f>
        <v>160</v>
      </c>
    </row>
    <row r="18" spans="6:37" ht="15.95" customHeight="1" x14ac:dyDescent="0.3">
      <c r="L18" s="23" t="str">
        <f t="shared" si="5"/>
        <v>2736.25</v>
      </c>
      <c r="M18" s="24" t="str">
        <f t="shared" si="0"/>
        <v/>
      </c>
      <c r="N18" s="25" t="str">
        <f t="shared" si="1"/>
        <v/>
      </c>
      <c r="O18" s="26">
        <f>RTD("cqg.rtd",,"StudyData","FPVol(FootprintOp ("&amp;$B$3&amp;", 0),"&amp;L18&amp;")", "Bar",, "Close","D","0","all",,,,"T")</f>
        <v>12205</v>
      </c>
      <c r="P18" s="27" t="str">
        <f t="shared" si="2"/>
        <v/>
      </c>
      <c r="Q18" s="22" t="str">
        <f t="shared" si="3"/>
        <v/>
      </c>
      <c r="R18" s="22">
        <f t="shared" si="4"/>
        <v>12205</v>
      </c>
      <c r="Y18" s="22">
        <f>IF(RTD("cqg.rtd",,"StudyData","SUBMINUTE(("&amp;$B$3&amp;"),1,FillGap)","Bar",,"Close","5",Z18,,,,,"T")="",NA(),_xlfn.NUMBERVALUE(TEXT(RTD("cqg.rtd",,"StudyData","SUBMINUTE(("&amp;$B$3&amp;"),1,FillGap)","Bar",,"Close","5",Z18,,,,,"T"),Sheet1!$D$8)))</f>
        <v>2739.25</v>
      </c>
      <c r="Z18" s="22">
        <f t="shared" si="6"/>
        <v>-17</v>
      </c>
      <c r="AA18" s="28">
        <f>RTD("cqg.rtd",,"StudyData","SUBMINUTE(("&amp;$B$3&amp;"),1,Regular)","FG",,"Time","5",Z18,,,,,"T")</f>
        <v>43167.635219907403</v>
      </c>
      <c r="AB18" s="22">
        <f xml:space="preserve"> RTD("cqg.rtd",,"StudyData","BAVolCr.BidVol^(SUBMINUTE(("&amp;$B$3&amp;"),1,FillGap),5,0)",  "Bar",, "Open", "5",Z18,,,,,"T")</f>
        <v>84</v>
      </c>
      <c r="AC18" s="22">
        <f xml:space="preserve"> RTD("cqg.rtd",,"StudyData","BAVolCr.AskVol^(SUBMINUTE(("&amp;$B$3&amp;"),1,FillGap),5,0)",  "Bar",, "Open", "5",Z18,,,,,"T")</f>
        <v>216</v>
      </c>
      <c r="AE18" s="28">
        <f>RTD("cqg.rtd",,"StudyData","SUBMINUTE(("&amp;$B$3&amp;"),5,Regular)","FG",,"Time","5",Z18,,,,,"T")</f>
        <v>43167.6344328704</v>
      </c>
      <c r="AF18" s="22">
        <f>IF(RTD("cqg.rtd",,"StudyData","SUBMINUTE(("&amp;$B$3&amp;"),5,FillGap)","Bar",,"Open","5",Z18,,,,,"T")="",NA(),_xlfn.NUMBERVALUE(TEXT(RTD("cqg.rtd",,"StudyData","SUBMINUTE(("&amp;$B$3&amp;"),5,FillGap)","Bar",,"Open","5",Z18,,,,,"T"),Sheet1!$D$8)))</f>
        <v>2739</v>
      </c>
      <c r="AG18" s="22">
        <f>IF(RTD("cqg.rtd",,"StudyData","SUBMINUTE(("&amp;$B$3&amp;"),5,FillGap)","Bar",,"High","5",Z18,,,,,"T")="",NA(),_xlfn.NUMBERVALUE(TEXT(RTD("cqg.rtd",,"StudyData","SUBMINUTE(("&amp;$B$3&amp;"),5,FillGap)","Bar",,"High","5",Z18,,,,,"T"),Sheet1!$D$8)))</f>
        <v>2739.25</v>
      </c>
      <c r="AH18" s="22">
        <f>IF(RTD("cqg.rtd",,"StudyData","SUBMINUTE(("&amp;$B$3&amp;"),5,FillGap)","Bar",,"Low","5",Z18,,,,,"T")="",NA(),_xlfn.NUMBERVALUE(TEXT(RTD("cqg.rtd",,"StudyData","SUBMINUTE(("&amp;$B$3&amp;"),5,FillGap)","Bar",,"Low","5",Z18,,,,,"T"),Sheet1!$D$8)))</f>
        <v>2739</v>
      </c>
      <c r="AI18" s="22">
        <f>IF(RTD("cqg.rtd",,"StudyData","SUBMINUTE(("&amp;$B$3&amp;"),5,FillGap)","Bar",,"Close","5",Z18,,,,,"T")="",NA(),_xlfn.NUMBERVALUE(TEXT(RTD("cqg.rtd",,"StudyData","SUBMINUTE(("&amp;$B$3&amp;"),5,FillGap)","Bar",,"Close","5",Z18,,,,,"T"),Sheet1!$D$8)))</f>
        <v>2739</v>
      </c>
      <c r="AJ18" s="22">
        <f xml:space="preserve"> RTD("cqg.rtd",,"StudyData","BAVolCr.BidVol^(SUBMINUTE(("&amp;$B$3&amp;"),5,FillGap),5,0)",  "Bar",, "Open", "5",Z18,,,,,"T")</f>
        <v>280</v>
      </c>
      <c r="AK18" s="22">
        <f xml:space="preserve"> RTD("cqg.rtd",,"StudyData","BAVolCr.AskVol^(SUBMINUTE(("&amp;$B$3&amp;"),5,FillGap),5,0)",  "Bar",, "Open", "5",Z18,,,,,"T")</f>
        <v>294</v>
      </c>
    </row>
    <row r="19" spans="6:37" ht="15.95" customHeight="1" x14ac:dyDescent="0.3">
      <c r="F19" s="30"/>
      <c r="L19" s="23" t="str">
        <f t="shared" si="5"/>
        <v>2736.00</v>
      </c>
      <c r="M19" s="24" t="str">
        <f t="shared" si="0"/>
        <v/>
      </c>
      <c r="N19" s="25" t="str">
        <f t="shared" si="1"/>
        <v/>
      </c>
      <c r="O19" s="26">
        <f>RTD("cqg.rtd",,"StudyData","FPVol(FootprintOp ("&amp;$B$3&amp;", 0),"&amp;L19&amp;")", "Bar",, "Close","D","0","all",,,,"T")</f>
        <v>13486</v>
      </c>
      <c r="P19" s="27" t="str">
        <f t="shared" si="2"/>
        <v/>
      </c>
      <c r="Q19" s="22" t="str">
        <f t="shared" si="3"/>
        <v/>
      </c>
      <c r="R19" s="22">
        <f t="shared" si="4"/>
        <v>13486</v>
      </c>
      <c r="Y19" s="22">
        <f>IF(RTD("cqg.rtd",,"StudyData","SUBMINUTE(("&amp;$B$3&amp;"),1,FillGap)","Bar",,"Close","5",Z19,,,,,"T")="",NA(),_xlfn.NUMBERVALUE(TEXT(RTD("cqg.rtd",,"StudyData","SUBMINUTE(("&amp;$B$3&amp;"),1,FillGap)","Bar",,"Close","5",Z19,,,,,"T"),Sheet1!$D$8)))</f>
        <v>2739</v>
      </c>
      <c r="Z19" s="22">
        <f t="shared" si="6"/>
        <v>-18</v>
      </c>
      <c r="AA19" s="28">
        <f>RTD("cqg.rtd",,"StudyData","SUBMINUTE(("&amp;$B$3&amp;"),1,Regular)","FG",,"Time","5",Z19,,,,,"T")</f>
        <v>43167.635208333297</v>
      </c>
      <c r="AB19" s="22">
        <f xml:space="preserve"> RTD("cqg.rtd",,"StudyData","BAVolCr.BidVol^(SUBMINUTE(("&amp;$B$3&amp;"),1,FillGap),5,0)",  "Bar",, "Open", "5",Z19,,,,,"T")</f>
        <v>113</v>
      </c>
      <c r="AC19" s="22">
        <f xml:space="preserve"> RTD("cqg.rtd",,"StudyData","BAVolCr.AskVol^(SUBMINUTE(("&amp;$B$3&amp;"),1,FillGap),5,0)",  "Bar",, "Open", "5",Z19,,,,,"T")</f>
        <v>205</v>
      </c>
      <c r="AE19" s="28">
        <f>RTD("cqg.rtd",,"StudyData","SUBMINUTE(("&amp;$B$3&amp;"),5,Regular)","FG",,"Time","5",Z19,,,,,"T")</f>
        <v>43167.634375000001</v>
      </c>
      <c r="AF19" s="22">
        <f>IF(RTD("cqg.rtd",,"StudyData","SUBMINUTE(("&amp;$B$3&amp;"),5,FillGap)","Bar",,"Open","5",Z19,,,,,"T")="",NA(),_xlfn.NUMBERVALUE(TEXT(RTD("cqg.rtd",,"StudyData","SUBMINUTE(("&amp;$B$3&amp;"),5,FillGap)","Bar",,"Open","5",Z19,,,,,"T"),Sheet1!$D$8)))</f>
        <v>2739</v>
      </c>
      <c r="AG19" s="22">
        <f>IF(RTD("cqg.rtd",,"StudyData","SUBMINUTE(("&amp;$B$3&amp;"),5,FillGap)","Bar",,"High","5",Z19,,,,,"T")="",NA(),_xlfn.NUMBERVALUE(TEXT(RTD("cqg.rtd",,"StudyData","SUBMINUTE(("&amp;$B$3&amp;"),5,FillGap)","Bar",,"High","5",Z19,,,,,"T"),Sheet1!$D$8)))</f>
        <v>2739.25</v>
      </c>
      <c r="AH19" s="22">
        <f>IF(RTD("cqg.rtd",,"StudyData","SUBMINUTE(("&amp;$B$3&amp;"),5,FillGap)","Bar",,"Low","5",Z19,,,,,"T")="",NA(),_xlfn.NUMBERVALUE(TEXT(RTD("cqg.rtd",,"StudyData","SUBMINUTE(("&amp;$B$3&amp;"),5,FillGap)","Bar",,"Low","5",Z19,,,,,"T"),Sheet1!$D$8)))</f>
        <v>2739</v>
      </c>
      <c r="AI19" s="22">
        <f>IF(RTD("cqg.rtd",,"StudyData","SUBMINUTE(("&amp;$B$3&amp;"),5,FillGap)","Bar",,"Close","5",Z19,,,,,"T")="",NA(),_xlfn.NUMBERVALUE(TEXT(RTD("cqg.rtd",,"StudyData","SUBMINUTE(("&amp;$B$3&amp;"),5,FillGap)","Bar",,"Close","5",Z19,,,,,"T"),Sheet1!$D$8)))</f>
        <v>2739.25</v>
      </c>
      <c r="AJ19" s="22">
        <f xml:space="preserve"> RTD("cqg.rtd",,"StudyData","BAVolCr.BidVol^(SUBMINUTE(("&amp;$B$3&amp;"),5,FillGap),5,0)",  "Bar",, "Open", "5",Z19,,,,,"T")</f>
        <v>294</v>
      </c>
      <c r="AK19" s="22">
        <f xml:space="preserve"> RTD("cqg.rtd",,"StudyData","BAVolCr.AskVol^(SUBMINUTE(("&amp;$B$3&amp;"),5,FillGap),5,0)",  "Bar",, "Open", "5",Z19,,,,,"T")</f>
        <v>330</v>
      </c>
    </row>
    <row r="20" spans="6:37" ht="15.95" customHeight="1" x14ac:dyDescent="0.3">
      <c r="L20" s="23" t="str">
        <f t="shared" si="5"/>
        <v>2735.75</v>
      </c>
      <c r="M20" s="24" t="str">
        <f t="shared" si="0"/>
        <v/>
      </c>
      <c r="N20" s="25" t="str">
        <f t="shared" si="1"/>
        <v/>
      </c>
      <c r="O20" s="26">
        <f>RTD("cqg.rtd",,"StudyData","FPVol(FootprintOp ("&amp;$B$3&amp;", 0),"&amp;L20&amp;")", "Bar",, "Close","D","0","all",,,,"T")</f>
        <v>11213</v>
      </c>
      <c r="P20" s="27" t="str">
        <f t="shared" si="2"/>
        <v/>
      </c>
      <c r="Q20" s="22" t="str">
        <f t="shared" si="3"/>
        <v/>
      </c>
      <c r="R20" s="22">
        <f t="shared" si="4"/>
        <v>11213</v>
      </c>
      <c r="Y20" s="22">
        <f>IF(RTD("cqg.rtd",,"StudyData","SUBMINUTE(("&amp;$B$3&amp;"),1,FillGap)","Bar",,"Close","5",Z20,,,,,"T")="",NA(),_xlfn.NUMBERVALUE(TEXT(RTD("cqg.rtd",,"StudyData","SUBMINUTE(("&amp;$B$3&amp;"),1,FillGap)","Bar",,"Close","5",Z20,,,,,"T"),Sheet1!$D$8)))</f>
        <v>2739</v>
      </c>
      <c r="Z20" s="22">
        <f t="shared" si="6"/>
        <v>-19</v>
      </c>
      <c r="AA20" s="28">
        <f>RTD("cqg.rtd",,"StudyData","SUBMINUTE(("&amp;$B$3&amp;"),1,Regular)","FG",,"Time","5",Z20,,,,,"T")</f>
        <v>43167.6351967593</v>
      </c>
      <c r="AB20" s="22">
        <f xml:space="preserve"> RTD("cqg.rtd",,"StudyData","BAVolCr.BidVol^(SUBMINUTE(("&amp;$B$3&amp;"),1,FillGap),5,0)",  "Bar",, "Open", "5",Z20,,,,,"T")</f>
        <v>80</v>
      </c>
      <c r="AC20" s="22">
        <f xml:space="preserve"> RTD("cqg.rtd",,"StudyData","BAVolCr.AskVol^(SUBMINUTE(("&amp;$B$3&amp;"),1,FillGap),5,0)",  "Bar",, "Open", "5",Z20,,,,,"T")</f>
        <v>215</v>
      </c>
      <c r="AE20" s="28">
        <f>RTD("cqg.rtd",,"StudyData","SUBMINUTE(("&amp;$B$3&amp;"),5,Regular)","FG",,"Time","5",Z20,,,,,"T")</f>
        <v>43167.634317129603</v>
      </c>
      <c r="AF20" s="22">
        <f>IF(RTD("cqg.rtd",,"StudyData","SUBMINUTE(("&amp;$B$3&amp;"),5,FillGap)","Bar",,"Open","5",Z20,,,,,"T")="",NA(),_xlfn.NUMBERVALUE(TEXT(RTD("cqg.rtd",,"StudyData","SUBMINUTE(("&amp;$B$3&amp;"),5,FillGap)","Bar",,"Open","5",Z20,,,,,"T"),Sheet1!$D$8)))</f>
        <v>2739.25</v>
      </c>
      <c r="AG20" s="22">
        <f>IF(RTD("cqg.rtd",,"StudyData","SUBMINUTE(("&amp;$B$3&amp;"),5,FillGap)","Bar",,"High","5",Z20,,,,,"T")="",NA(),_xlfn.NUMBERVALUE(TEXT(RTD("cqg.rtd",,"StudyData","SUBMINUTE(("&amp;$B$3&amp;"),5,FillGap)","Bar",,"High","5",Z20,,,,,"T"),Sheet1!$D$8)))</f>
        <v>2739.25</v>
      </c>
      <c r="AH20" s="22">
        <f>IF(RTD("cqg.rtd",,"StudyData","SUBMINUTE(("&amp;$B$3&amp;"),5,FillGap)","Bar",,"Low","5",Z20,,,,,"T")="",NA(),_xlfn.NUMBERVALUE(TEXT(RTD("cqg.rtd",,"StudyData","SUBMINUTE(("&amp;$B$3&amp;"),5,FillGap)","Bar",,"Low","5",Z20,,,,,"T"),Sheet1!$D$8)))</f>
        <v>2739</v>
      </c>
      <c r="AI20" s="22">
        <f>IF(RTD("cqg.rtd",,"StudyData","SUBMINUTE(("&amp;$B$3&amp;"),5,FillGap)","Bar",,"Close","5",Z20,,,,,"T")="",NA(),_xlfn.NUMBERVALUE(TEXT(RTD("cqg.rtd",,"StudyData","SUBMINUTE(("&amp;$B$3&amp;"),5,FillGap)","Bar",,"Close","5",Z20,,,,,"T"),Sheet1!$D$8)))</f>
        <v>2739</v>
      </c>
      <c r="AJ20" s="22">
        <f xml:space="preserve"> RTD("cqg.rtd",,"StudyData","BAVolCr.BidVol^(SUBMINUTE(("&amp;$B$3&amp;"),5,FillGap),5,0)",  "Bar",, "Open", "5",Z20,,,,,"T")</f>
        <v>649</v>
      </c>
      <c r="AK20" s="22">
        <f xml:space="preserve"> RTD("cqg.rtd",,"StudyData","BAVolCr.AskVol^(SUBMINUTE(("&amp;$B$3&amp;"),5,FillGap),5,0)",  "Bar",, "Open", "5",Z20,,,,,"T")</f>
        <v>423</v>
      </c>
    </row>
    <row r="21" spans="6:37" ht="15.95" customHeight="1" x14ac:dyDescent="0.3">
      <c r="L21" s="23" t="str">
        <f t="shared" si="5"/>
        <v>2735.50</v>
      </c>
      <c r="M21" s="24" t="str">
        <f t="shared" si="0"/>
        <v/>
      </c>
      <c r="N21" s="25" t="str">
        <f t="shared" si="1"/>
        <v/>
      </c>
      <c r="O21" s="26">
        <f>RTD("cqg.rtd",,"StudyData","FPVol(FootprintOp ("&amp;$B$3&amp;", 0),"&amp;L21&amp;")", "Bar",, "Close","D","0","all",,,,"T")</f>
        <v>10761</v>
      </c>
      <c r="P21" s="27" t="str">
        <f t="shared" si="2"/>
        <v/>
      </c>
      <c r="Q21" s="22" t="str">
        <f t="shared" si="3"/>
        <v/>
      </c>
      <c r="R21" s="22">
        <f t="shared" si="4"/>
        <v>10761</v>
      </c>
      <c r="Y21" s="22">
        <f>IF(RTD("cqg.rtd",,"StudyData","SUBMINUTE(("&amp;$B$3&amp;"),1,FillGap)","Bar",,"Close","5",Z21,,,,,"T")="",NA(),_xlfn.NUMBERVALUE(TEXT(RTD("cqg.rtd",,"StudyData","SUBMINUTE(("&amp;$B$3&amp;"),1,FillGap)","Bar",,"Close","5",Z21,,,,,"T"),Sheet1!$D$8)))</f>
        <v>2739</v>
      </c>
      <c r="Z21" s="22">
        <f t="shared" si="6"/>
        <v>-20</v>
      </c>
      <c r="AA21" s="28">
        <f>RTD("cqg.rtd",,"StudyData","SUBMINUTE(("&amp;$B$3&amp;"),1,Regular)","FG",,"Time","5",Z21,,,,,"T")</f>
        <v>43167.635185185201</v>
      </c>
      <c r="AB21" s="22">
        <f xml:space="preserve"> RTD("cqg.rtd",,"StudyData","BAVolCr.BidVol^(SUBMINUTE(("&amp;$B$3&amp;"),1,FillGap),5,0)",  "Bar",, "Open", "5",Z21,,,,,"T")</f>
        <v>101</v>
      </c>
      <c r="AC21" s="22">
        <f xml:space="preserve"> RTD("cqg.rtd",,"StudyData","BAVolCr.AskVol^(SUBMINUTE(("&amp;$B$3&amp;"),1,FillGap),5,0)",  "Bar",, "Open", "5",Z21,,,,,"T")</f>
        <v>429</v>
      </c>
      <c r="AE21" s="28">
        <f>RTD("cqg.rtd",,"StudyData","SUBMINUTE(("&amp;$B$3&amp;"),5,Regular)","FG",,"Time","5",Z21,,,,,"T")</f>
        <v>43167.634259259299</v>
      </c>
      <c r="AF21" s="22">
        <f>IF(RTD("cqg.rtd",,"StudyData","SUBMINUTE(("&amp;$B$3&amp;"),5,FillGap)","Bar",,"Open","5",Z21,,,,,"T")="",NA(),_xlfn.NUMBERVALUE(TEXT(RTD("cqg.rtd",,"StudyData","SUBMINUTE(("&amp;$B$3&amp;"),5,FillGap)","Bar",,"Open","5",Z21,,,,,"T"),Sheet1!$D$8)))</f>
        <v>2739</v>
      </c>
      <c r="AG21" s="22">
        <f>IF(RTD("cqg.rtd",,"StudyData","SUBMINUTE(("&amp;$B$3&amp;"),5,FillGap)","Bar",,"High","5",Z21,,,,,"T")="",NA(),_xlfn.NUMBERVALUE(TEXT(RTD("cqg.rtd",,"StudyData","SUBMINUTE(("&amp;$B$3&amp;"),5,FillGap)","Bar",,"High","5",Z21,,,,,"T"),Sheet1!$D$8)))</f>
        <v>2739.5</v>
      </c>
      <c r="AH21" s="22">
        <f>IF(RTD("cqg.rtd",,"StudyData","SUBMINUTE(("&amp;$B$3&amp;"),5,FillGap)","Bar",,"Low","5",Z21,,,,,"T")="",NA(),_xlfn.NUMBERVALUE(TEXT(RTD("cqg.rtd",,"StudyData","SUBMINUTE(("&amp;$B$3&amp;"),5,FillGap)","Bar",,"Low","5",Z21,,,,,"T"),Sheet1!$D$8)))</f>
        <v>2739</v>
      </c>
      <c r="AI21" s="22">
        <f>IF(RTD("cqg.rtd",,"StudyData","SUBMINUTE(("&amp;$B$3&amp;"),5,FillGap)","Bar",,"Close","5",Z21,,,,,"T")="",NA(),_xlfn.NUMBERVALUE(TEXT(RTD("cqg.rtd",,"StudyData","SUBMINUTE(("&amp;$B$3&amp;"),5,FillGap)","Bar",,"Close","5",Z21,,,,,"T"),Sheet1!$D$8)))</f>
        <v>2739.25</v>
      </c>
      <c r="AJ21" s="22">
        <f xml:space="preserve"> RTD("cqg.rtd",,"StudyData","BAVolCr.BidVol^(SUBMINUTE(("&amp;$B$3&amp;"),5,FillGap),5,0)",  "Bar",, "Open", "5",Z21,,,,,"T")</f>
        <v>691</v>
      </c>
      <c r="AK21" s="22">
        <f xml:space="preserve"> RTD("cqg.rtd",,"StudyData","BAVolCr.AskVol^(SUBMINUTE(("&amp;$B$3&amp;"),5,FillGap),5,0)",  "Bar",, "Open", "5",Z21,,,,,"T")</f>
        <v>538</v>
      </c>
    </row>
    <row r="22" spans="6:37" ht="15.95" customHeight="1" x14ac:dyDescent="0.3">
      <c r="L22" s="23" t="str">
        <f t="shared" si="5"/>
        <v>2735.25</v>
      </c>
      <c r="M22" s="24" t="str">
        <f t="shared" si="0"/>
        <v/>
      </c>
      <c r="N22" s="25" t="str">
        <f t="shared" si="1"/>
        <v/>
      </c>
      <c r="O22" s="26">
        <f>RTD("cqg.rtd",,"StudyData","FPVol(FootprintOp ("&amp;$B$3&amp;", 0),"&amp;L22&amp;")", "Bar",, "Close","D","0","all",,,,"T")</f>
        <v>13408</v>
      </c>
      <c r="P22" s="27" t="str">
        <f t="shared" si="2"/>
        <v/>
      </c>
      <c r="Q22" s="22" t="str">
        <f t="shared" si="3"/>
        <v/>
      </c>
      <c r="R22" s="22">
        <f t="shared" si="4"/>
        <v>13408</v>
      </c>
      <c r="Y22" s="22">
        <f>IF(RTD("cqg.rtd",,"StudyData","SUBMINUTE(("&amp;$B$3&amp;"),1,FillGap)","Bar",,"Close","5",Z22,,,,,"T")="",NA(),_xlfn.NUMBERVALUE(TEXT(RTD("cqg.rtd",,"StudyData","SUBMINUTE(("&amp;$B$3&amp;"),1,FillGap)","Bar",,"Close","5",Z22,,,,,"T"),Sheet1!$D$8)))</f>
        <v>2739</v>
      </c>
      <c r="Z22" s="22">
        <f t="shared" si="6"/>
        <v>-21</v>
      </c>
      <c r="AA22" s="28">
        <f>RTD("cqg.rtd",,"StudyData","SUBMINUTE(("&amp;$B$3&amp;"),1,Regular)","FG",,"Time","5",Z22,,,,,"T")</f>
        <v>43167.635173611103</v>
      </c>
      <c r="AB22" s="22">
        <f xml:space="preserve"> RTD("cqg.rtd",,"StudyData","BAVolCr.BidVol^(SUBMINUTE(("&amp;$B$3&amp;"),1,FillGap),5,0)",  "Bar",, "Open", "5",Z22,,,,,"T")</f>
        <v>96</v>
      </c>
      <c r="AC22" s="22">
        <f xml:space="preserve"> RTD("cqg.rtd",,"StudyData","BAVolCr.AskVol^(SUBMINUTE(("&amp;$B$3&amp;"),1,FillGap),5,0)",  "Bar",, "Open", "5",Z22,,,,,"T")</f>
        <v>392</v>
      </c>
      <c r="AE22" s="28">
        <f>RTD("cqg.rtd",,"StudyData","SUBMINUTE(("&amp;$B$3&amp;"),5,Regular)","FG",,"Time","5",Z22,,,,,"T")</f>
        <v>43167.634201388901</v>
      </c>
      <c r="AF22" s="22">
        <f>IF(RTD("cqg.rtd",,"StudyData","SUBMINUTE(("&amp;$B$3&amp;"),5,FillGap)","Bar",,"Open","5",Z22,,,,,"T")="",NA(),_xlfn.NUMBERVALUE(TEXT(RTD("cqg.rtd",,"StudyData","SUBMINUTE(("&amp;$B$3&amp;"),5,FillGap)","Bar",,"Open","5",Z22,,,,,"T"),Sheet1!$D$8)))</f>
        <v>2739</v>
      </c>
      <c r="AG22" s="22">
        <f>IF(RTD("cqg.rtd",,"StudyData","SUBMINUTE(("&amp;$B$3&amp;"),5,FillGap)","Bar",,"High","5",Z22,,,,,"T")="",NA(),_xlfn.NUMBERVALUE(TEXT(RTD("cqg.rtd",,"StudyData","SUBMINUTE(("&amp;$B$3&amp;"),5,FillGap)","Bar",,"High","5",Z22,,,,,"T"),Sheet1!$D$8)))</f>
        <v>2739.25</v>
      </c>
      <c r="AH22" s="22">
        <f>IF(RTD("cqg.rtd",,"StudyData","SUBMINUTE(("&amp;$B$3&amp;"),5,FillGap)","Bar",,"Low","5",Z22,,,,,"T")="",NA(),_xlfn.NUMBERVALUE(TEXT(RTD("cqg.rtd",,"StudyData","SUBMINUTE(("&amp;$B$3&amp;"),5,FillGap)","Bar",,"Low","5",Z22,,,,,"T"),Sheet1!$D$8)))</f>
        <v>2739</v>
      </c>
      <c r="AI22" s="22">
        <f>IF(RTD("cqg.rtd",,"StudyData","SUBMINUTE(("&amp;$B$3&amp;"),5,FillGap)","Bar",,"Close","5",Z22,,,,,"T")="",NA(),_xlfn.NUMBERVALUE(TEXT(RTD("cqg.rtd",,"StudyData","SUBMINUTE(("&amp;$B$3&amp;"),5,FillGap)","Bar",,"Close","5",Z22,,,,,"T"),Sheet1!$D$8)))</f>
        <v>2739.25</v>
      </c>
      <c r="AJ22" s="22">
        <f xml:space="preserve"> RTD("cqg.rtd",,"StudyData","BAVolCr.BidVol^(SUBMINUTE(("&amp;$B$3&amp;"),5,FillGap),5,0)",  "Bar",, "Open", "5",Z22,,,,,"T")</f>
        <v>680</v>
      </c>
      <c r="AK22" s="22">
        <f xml:space="preserve"> RTD("cqg.rtd",,"StudyData","BAVolCr.AskVol^(SUBMINUTE(("&amp;$B$3&amp;"),5,FillGap),5,0)",  "Bar",, "Open", "5",Z22,,,,,"T")</f>
        <v>425</v>
      </c>
    </row>
    <row r="23" spans="6:37" ht="15.95" customHeight="1" x14ac:dyDescent="0.3">
      <c r="L23" s="23" t="str">
        <f t="shared" si="5"/>
        <v>2735.00</v>
      </c>
      <c r="M23" s="24" t="str">
        <f t="shared" si="0"/>
        <v/>
      </c>
      <c r="N23" s="25" t="str">
        <f t="shared" si="1"/>
        <v/>
      </c>
      <c r="O23" s="26">
        <f>RTD("cqg.rtd",,"StudyData","FPVol(FootprintOp ("&amp;$B$3&amp;", 0),"&amp;L23&amp;")", "Bar",, "Close","D","0","all",,,,"T")</f>
        <v>19268</v>
      </c>
      <c r="P23" s="27" t="str">
        <f t="shared" si="2"/>
        <v/>
      </c>
      <c r="Q23" s="22" t="str">
        <f t="shared" si="3"/>
        <v/>
      </c>
      <c r="R23" s="22">
        <f t="shared" si="4"/>
        <v>19268</v>
      </c>
      <c r="Y23" s="22">
        <f>IF(RTD("cqg.rtd",,"StudyData","SUBMINUTE(("&amp;$B$3&amp;"),1,FillGap)","Bar",,"Close","5",Z23,,,,,"T")="",NA(),_xlfn.NUMBERVALUE(TEXT(RTD("cqg.rtd",,"StudyData","SUBMINUTE(("&amp;$B$3&amp;"),1,FillGap)","Bar",,"Close","5",Z23,,,,,"T"),Sheet1!$D$8)))</f>
        <v>2739</v>
      </c>
      <c r="Z23" s="22">
        <f t="shared" si="6"/>
        <v>-22</v>
      </c>
      <c r="AA23" s="28">
        <f>RTD("cqg.rtd",,"StudyData","SUBMINUTE(("&amp;$B$3&amp;"),1,Regular)","FG",,"Time","5",Z23,,,,,"T")</f>
        <v>43167.635162036997</v>
      </c>
      <c r="AB23" s="22">
        <f xml:space="preserve"> RTD("cqg.rtd",,"StudyData","BAVolCr.BidVol^(SUBMINUTE(("&amp;$B$3&amp;"),1,FillGap),5,0)",  "Bar",, "Open", "5",Z23,,,,,"T")</f>
        <v>265</v>
      </c>
      <c r="AC23" s="22">
        <f xml:space="preserve"> RTD("cqg.rtd",,"StudyData","BAVolCr.AskVol^(SUBMINUTE(("&amp;$B$3&amp;"),1,FillGap),5,0)",  "Bar",, "Open", "5",Z23,,,,,"T")</f>
        <v>430</v>
      </c>
      <c r="AE23" s="28">
        <f>RTD("cqg.rtd",,"StudyData","SUBMINUTE(("&amp;$B$3&amp;"),5,Regular)","FG",,"Time","5",Z23,,,,,"T")</f>
        <v>43167.634143518502</v>
      </c>
      <c r="AF23" s="22">
        <f>IF(RTD("cqg.rtd",,"StudyData","SUBMINUTE(("&amp;$B$3&amp;"),5,FillGap)","Bar",,"Open","5",Z23,,,,,"T")="",NA(),_xlfn.NUMBERVALUE(TEXT(RTD("cqg.rtd",,"StudyData","SUBMINUTE(("&amp;$B$3&amp;"),5,FillGap)","Bar",,"Open","5",Z23,,,,,"T"),Sheet1!$D$8)))</f>
        <v>2739.5</v>
      </c>
      <c r="AG23" s="22">
        <f>IF(RTD("cqg.rtd",,"StudyData","SUBMINUTE(("&amp;$B$3&amp;"),5,FillGap)","Bar",,"High","5",Z23,,,,,"T")="",NA(),_xlfn.NUMBERVALUE(TEXT(RTD("cqg.rtd",,"StudyData","SUBMINUTE(("&amp;$B$3&amp;"),5,FillGap)","Bar",,"High","5",Z23,,,,,"T"),Sheet1!$D$8)))</f>
        <v>2739.5</v>
      </c>
      <c r="AH23" s="22">
        <f>IF(RTD("cqg.rtd",,"StudyData","SUBMINUTE(("&amp;$B$3&amp;"),5,FillGap)","Bar",,"Low","5",Z23,,,,,"T")="",NA(),_xlfn.NUMBERVALUE(TEXT(RTD("cqg.rtd",,"StudyData","SUBMINUTE(("&amp;$B$3&amp;"),5,FillGap)","Bar",,"Low","5",Z23,,,,,"T"),Sheet1!$D$8)))</f>
        <v>2739.25</v>
      </c>
      <c r="AI23" s="22">
        <f>IF(RTD("cqg.rtd",,"StudyData","SUBMINUTE(("&amp;$B$3&amp;"),5,FillGap)","Bar",,"Close","5",Z23,,,,,"T")="",NA(),_xlfn.NUMBERVALUE(TEXT(RTD("cqg.rtd",,"StudyData","SUBMINUTE(("&amp;$B$3&amp;"),5,FillGap)","Bar",,"Close","5",Z23,,,,,"T"),Sheet1!$D$8)))</f>
        <v>2739.25</v>
      </c>
      <c r="AJ23" s="22">
        <f xml:space="preserve"> RTD("cqg.rtd",,"StudyData","BAVolCr.BidVol^(SUBMINUTE(("&amp;$B$3&amp;"),5,FillGap),5,0)",  "Bar",, "Open", "5",Z23,,,,,"T")</f>
        <v>671</v>
      </c>
      <c r="AK23" s="22">
        <f xml:space="preserve"> RTD("cqg.rtd",,"StudyData","BAVolCr.AskVol^(SUBMINUTE(("&amp;$B$3&amp;"),5,FillGap),5,0)",  "Bar",, "Open", "5",Z23,,,,,"T")</f>
        <v>360</v>
      </c>
    </row>
    <row r="24" spans="6:37" ht="15.95" customHeight="1" x14ac:dyDescent="0.3">
      <c r="L24" s="23" t="str">
        <f t="shared" si="5"/>
        <v>2734.75</v>
      </c>
      <c r="M24" s="24" t="str">
        <f t="shared" si="0"/>
        <v/>
      </c>
      <c r="N24" s="25" t="str">
        <f t="shared" si="1"/>
        <v/>
      </c>
      <c r="O24" s="26">
        <f>RTD("cqg.rtd",,"StudyData","FPVol(FootprintOp ("&amp;$B$3&amp;", 0),"&amp;L24&amp;")", "Bar",, "Close","D","0","all",,,,"T")</f>
        <v>15874</v>
      </c>
      <c r="P24" s="27" t="str">
        <f t="shared" si="2"/>
        <v/>
      </c>
      <c r="Q24" s="22" t="str">
        <f t="shared" si="3"/>
        <v/>
      </c>
      <c r="R24" s="22">
        <f t="shared" si="4"/>
        <v>15874</v>
      </c>
      <c r="Y24" s="22">
        <f>IF(RTD("cqg.rtd",,"StudyData","SUBMINUTE(("&amp;$B$3&amp;"),1,FillGap)","Bar",,"Close","5",Z24,,,,,"T")="",NA(),_xlfn.NUMBERVALUE(TEXT(RTD("cqg.rtd",,"StudyData","SUBMINUTE(("&amp;$B$3&amp;"),1,FillGap)","Bar",,"Close","5",Z24,,,,,"T"),Sheet1!$D$8)))</f>
        <v>2738.75</v>
      </c>
      <c r="Z24" s="22">
        <f t="shared" si="6"/>
        <v>-23</v>
      </c>
      <c r="AA24" s="28">
        <f>RTD("cqg.rtd",,"StudyData","SUBMINUTE(("&amp;$B$3&amp;"),1,Regular)","FG",,"Time","5",Z24,,,,,"T")</f>
        <v>43167.635150463</v>
      </c>
      <c r="AB24" s="22">
        <f xml:space="preserve"> RTD("cqg.rtd",,"StudyData","BAVolCr.BidVol^(SUBMINUTE(("&amp;$B$3&amp;"),1,FillGap),5,0)",  "Bar",, "Open", "5",Z24,,,,,"T")</f>
        <v>227</v>
      </c>
      <c r="AC24" s="22">
        <f xml:space="preserve"> RTD("cqg.rtd",,"StudyData","BAVolCr.AskVol^(SUBMINUTE(("&amp;$B$3&amp;"),1,FillGap),5,0)",  "Bar",, "Open", "5",Z24,,,,,"T")</f>
        <v>413</v>
      </c>
      <c r="AE24" s="28">
        <f>RTD("cqg.rtd",,"StudyData","SUBMINUTE(("&amp;$B$3&amp;"),5,Regular)","FG",,"Time","5",Z24,,,,,"T")</f>
        <v>43167.634085648097</v>
      </c>
      <c r="AF24" s="22">
        <f>IF(RTD("cqg.rtd",,"StudyData","SUBMINUTE(("&amp;$B$3&amp;"),5,FillGap)","Bar",,"Open","5",Z24,,,,,"T")="",NA(),_xlfn.NUMBERVALUE(TEXT(RTD("cqg.rtd",,"StudyData","SUBMINUTE(("&amp;$B$3&amp;"),5,FillGap)","Bar",,"Open","5",Z24,,,,,"T"),Sheet1!$D$8)))</f>
        <v>2740</v>
      </c>
      <c r="AG24" s="22">
        <f>IF(RTD("cqg.rtd",,"StudyData","SUBMINUTE(("&amp;$B$3&amp;"),5,FillGap)","Bar",,"High","5",Z24,,,,,"T")="",NA(),_xlfn.NUMBERVALUE(TEXT(RTD("cqg.rtd",,"StudyData","SUBMINUTE(("&amp;$B$3&amp;"),5,FillGap)","Bar",,"High","5",Z24,,,,,"T"),Sheet1!$D$8)))</f>
        <v>2740</v>
      </c>
      <c r="AH24" s="22">
        <f>IF(RTD("cqg.rtd",,"StudyData","SUBMINUTE(("&amp;$B$3&amp;"),5,FillGap)","Bar",,"Low","5",Z24,,,,,"T")="",NA(),_xlfn.NUMBERVALUE(TEXT(RTD("cqg.rtd",,"StudyData","SUBMINUTE(("&amp;$B$3&amp;"),5,FillGap)","Bar",,"Low","5",Z24,,,,,"T"),Sheet1!$D$8)))</f>
        <v>2739.25</v>
      </c>
      <c r="AI24" s="22">
        <f>IF(RTD("cqg.rtd",,"StudyData","SUBMINUTE(("&amp;$B$3&amp;"),5,FillGap)","Bar",,"Close","5",Z24,,,,,"T")="",NA(),_xlfn.NUMBERVALUE(TEXT(RTD("cqg.rtd",,"StudyData","SUBMINUTE(("&amp;$B$3&amp;"),5,FillGap)","Bar",,"Close","5",Z24,,,,,"T"),Sheet1!$D$8)))</f>
        <v>2739.25</v>
      </c>
      <c r="AJ24" s="22">
        <f xml:space="preserve"> RTD("cqg.rtd",,"StudyData","BAVolCr.BidVol^(SUBMINUTE(("&amp;$B$3&amp;"),5,FillGap),5,0)",  "Bar",, "Open", "5",Z24,,,,,"T")</f>
        <v>674</v>
      </c>
      <c r="AK24" s="22">
        <f xml:space="preserve"> RTD("cqg.rtd",,"StudyData","BAVolCr.AskVol^(SUBMINUTE(("&amp;$B$3&amp;"),5,FillGap),5,0)",  "Bar",, "Open", "5",Z24,,,,,"T")</f>
        <v>342</v>
      </c>
    </row>
    <row r="25" spans="6:37" ht="15.95" customHeight="1" x14ac:dyDescent="0.3">
      <c r="L25" s="23" t="str">
        <f t="shared" si="5"/>
        <v>2734.50</v>
      </c>
      <c r="M25" s="24" t="str">
        <f t="shared" si="0"/>
        <v/>
      </c>
      <c r="N25" s="25" t="str">
        <f t="shared" si="1"/>
        <v/>
      </c>
      <c r="O25" s="26">
        <f>RTD("cqg.rtd",,"StudyData","FPVol(FootprintOp ("&amp;$B$3&amp;", 0),"&amp;L25&amp;")", "Bar",, "Close","D","0","all",,,,"T")</f>
        <v>21124</v>
      </c>
      <c r="P25" s="27" t="str">
        <f t="shared" si="2"/>
        <v/>
      </c>
      <c r="Q25" s="22" t="str">
        <f t="shared" si="3"/>
        <v/>
      </c>
      <c r="R25" s="22">
        <f t="shared" si="4"/>
        <v>21124</v>
      </c>
      <c r="Y25" s="22">
        <f>IF(RTD("cqg.rtd",,"StudyData","SUBMINUTE(("&amp;$B$3&amp;"),1,FillGap)","Bar",,"Close","5",Z25,,,,,"T")="",NA(),_xlfn.NUMBERVALUE(TEXT(RTD("cqg.rtd",,"StudyData","SUBMINUTE(("&amp;$B$3&amp;"),1,FillGap)","Bar",,"Close","5",Z25,,,,,"T"),Sheet1!$D$8)))</f>
        <v>2739</v>
      </c>
      <c r="Z25" s="22">
        <f t="shared" si="6"/>
        <v>-24</v>
      </c>
      <c r="AA25" s="28">
        <f>RTD("cqg.rtd",,"StudyData","SUBMINUTE(("&amp;$B$3&amp;"),1,Regular)","FG",,"Time","5",Z25,,,,,"T")</f>
        <v>43167.635138888902</v>
      </c>
      <c r="AB25" s="22">
        <f xml:space="preserve"> RTD("cqg.rtd",,"StudyData","BAVolCr.BidVol^(SUBMINUTE(("&amp;$B$3&amp;"),1,FillGap),5,0)",  "Bar",, "Open", "5",Z25,,,,,"T")</f>
        <v>224</v>
      </c>
      <c r="AC25" s="22">
        <f xml:space="preserve"> RTD("cqg.rtd",,"StudyData","BAVolCr.AskVol^(SUBMINUTE(("&amp;$B$3&amp;"),1,FillGap),5,0)",  "Bar",, "Open", "5",Z25,,,,,"T")</f>
        <v>372</v>
      </c>
      <c r="AE25" s="28">
        <f>RTD("cqg.rtd",,"StudyData","SUBMINUTE(("&amp;$B$3&amp;"),5,Regular)","FG",,"Time","5",Z25,,,,,"T")</f>
        <v>43167.6340277778</v>
      </c>
      <c r="AF25" s="22">
        <f>IF(RTD("cqg.rtd",,"StudyData","SUBMINUTE(("&amp;$B$3&amp;"),5,FillGap)","Bar",,"Open","5",Z25,,,,,"T")="",NA(),_xlfn.NUMBERVALUE(TEXT(RTD("cqg.rtd",,"StudyData","SUBMINUTE(("&amp;$B$3&amp;"),5,FillGap)","Bar",,"Open","5",Z25,,,,,"T"),Sheet1!$D$8)))</f>
        <v>2740</v>
      </c>
      <c r="AG25" s="22">
        <f>IF(RTD("cqg.rtd",,"StudyData","SUBMINUTE(("&amp;$B$3&amp;"),5,FillGap)","Bar",,"High","5",Z25,,,,,"T")="",NA(),_xlfn.NUMBERVALUE(TEXT(RTD("cqg.rtd",,"StudyData","SUBMINUTE(("&amp;$B$3&amp;"),5,FillGap)","Bar",,"High","5",Z25,,,,,"T"),Sheet1!$D$8)))</f>
        <v>2740</v>
      </c>
      <c r="AH25" s="22">
        <f>IF(RTD("cqg.rtd",,"StudyData","SUBMINUTE(("&amp;$B$3&amp;"),5,FillGap)","Bar",,"Low","5",Z25,,,,,"T")="",NA(),_xlfn.NUMBERVALUE(TEXT(RTD("cqg.rtd",,"StudyData","SUBMINUTE(("&amp;$B$3&amp;"),5,FillGap)","Bar",,"Low","5",Z25,,,,,"T"),Sheet1!$D$8)))</f>
        <v>2739.75</v>
      </c>
      <c r="AI25" s="22">
        <f>IF(RTD("cqg.rtd",,"StudyData","SUBMINUTE(("&amp;$B$3&amp;"),5,FillGap)","Bar",,"Close","5",Z25,,,,,"T")="",NA(),_xlfn.NUMBERVALUE(TEXT(RTD("cqg.rtd",,"StudyData","SUBMINUTE(("&amp;$B$3&amp;"),5,FillGap)","Bar",,"Close","5",Z25,,,,,"T"),Sheet1!$D$8)))</f>
        <v>2739.75</v>
      </c>
      <c r="AJ25" s="22">
        <f xml:space="preserve"> RTD("cqg.rtd",,"StudyData","BAVolCr.BidVol^(SUBMINUTE(("&amp;$B$3&amp;"),5,FillGap),5,0)",  "Bar",, "Open", "5",Z25,,,,,"T")</f>
        <v>256</v>
      </c>
      <c r="AK25" s="22">
        <f xml:space="preserve"> RTD("cqg.rtd",,"StudyData","BAVolCr.AskVol^(SUBMINUTE(("&amp;$B$3&amp;"),5,FillGap),5,0)",  "Bar",, "Open", "5",Z25,,,,,"T")</f>
        <v>355</v>
      </c>
    </row>
    <row r="26" spans="6:37" ht="15.95" customHeight="1" x14ac:dyDescent="0.3">
      <c r="L26" s="23" t="str">
        <f t="shared" si="5"/>
        <v>2734.25</v>
      </c>
      <c r="M26" s="24" t="str">
        <f t="shared" si="0"/>
        <v/>
      </c>
      <c r="N26" s="25" t="str">
        <f t="shared" si="1"/>
        <v/>
      </c>
      <c r="O26" s="26">
        <f>RTD("cqg.rtd",,"StudyData","FPVol(FootprintOp ("&amp;$B$3&amp;", 0),"&amp;L26&amp;")", "Bar",, "Close","D","0","all",,,,"T")</f>
        <v>23147</v>
      </c>
      <c r="P26" s="27" t="str">
        <f t="shared" si="2"/>
        <v/>
      </c>
      <c r="Q26" s="22" t="str">
        <f t="shared" si="3"/>
        <v/>
      </c>
      <c r="R26" s="22">
        <f t="shared" si="4"/>
        <v>23147</v>
      </c>
      <c r="Y26" s="22">
        <f>IF(RTD("cqg.rtd",,"StudyData","SUBMINUTE(("&amp;$B$3&amp;"),1,FillGap)","Bar",,"Close","5",Z26,,,,,"T")="",NA(),_xlfn.NUMBERVALUE(TEXT(RTD("cqg.rtd",,"StudyData","SUBMINUTE(("&amp;$B$3&amp;"),1,FillGap)","Bar",,"Close","5",Z26,,,,,"T"),Sheet1!$D$8)))</f>
        <v>2738.75</v>
      </c>
      <c r="Z26" s="22">
        <f t="shared" si="6"/>
        <v>-25</v>
      </c>
      <c r="AA26" s="28">
        <f>RTD("cqg.rtd",,"StudyData","SUBMINUTE(("&amp;$B$3&amp;"),1,Regular)","FG",,"Time","5",Z26,,,,,"T")</f>
        <v>43167.635127314803</v>
      </c>
      <c r="AB26" s="22">
        <f xml:space="preserve"> RTD("cqg.rtd",,"StudyData","BAVolCr.BidVol^(SUBMINUTE(("&amp;$B$3&amp;"),1,FillGap),5,0)",  "Bar",, "Open", "5",Z26,,,,,"T")</f>
        <v>228</v>
      </c>
      <c r="AC26" s="22">
        <f xml:space="preserve"> RTD("cqg.rtd",,"StudyData","BAVolCr.AskVol^(SUBMINUTE(("&amp;$B$3&amp;"),1,FillGap),5,0)",  "Bar",, "Open", "5",Z26,,,,,"T")</f>
        <v>144</v>
      </c>
      <c r="AE26" s="28">
        <f>RTD("cqg.rtd",,"StudyData","SUBMINUTE(("&amp;$B$3&amp;"),5,Regular)","FG",,"Time","5",Z26,,,,,"T")</f>
        <v>43167.633969907401</v>
      </c>
      <c r="AF26" s="22">
        <f>IF(RTD("cqg.rtd",,"StudyData","SUBMINUTE(("&amp;$B$3&amp;"),5,FillGap)","Bar",,"Open","5",Z26,,,,,"T")="",NA(),_xlfn.NUMBERVALUE(TEXT(RTD("cqg.rtd",,"StudyData","SUBMINUTE(("&amp;$B$3&amp;"),5,FillGap)","Bar",,"Open","5",Z26,,,,,"T"),Sheet1!$D$8)))</f>
        <v>2739.75</v>
      </c>
      <c r="AG26" s="22">
        <f>IF(RTD("cqg.rtd",,"StudyData","SUBMINUTE(("&amp;$B$3&amp;"),5,FillGap)","Bar",,"High","5",Z26,,,,,"T")="",NA(),_xlfn.NUMBERVALUE(TEXT(RTD("cqg.rtd",,"StudyData","SUBMINUTE(("&amp;$B$3&amp;"),5,FillGap)","Bar",,"High","5",Z26,,,,,"T"),Sheet1!$D$8)))</f>
        <v>2740</v>
      </c>
      <c r="AH26" s="22">
        <f>IF(RTD("cqg.rtd",,"StudyData","SUBMINUTE(("&amp;$B$3&amp;"),5,FillGap)","Bar",,"Low","5",Z26,,,,,"T")="",NA(),_xlfn.NUMBERVALUE(TEXT(RTD("cqg.rtd",,"StudyData","SUBMINUTE(("&amp;$B$3&amp;"),5,FillGap)","Bar",,"Low","5",Z26,,,,,"T"),Sheet1!$D$8)))</f>
        <v>2739.75</v>
      </c>
      <c r="AI26" s="22">
        <f>IF(RTD("cqg.rtd",,"StudyData","SUBMINUTE(("&amp;$B$3&amp;"),5,FillGap)","Bar",,"Close","5",Z26,,,,,"T")="",NA(),_xlfn.NUMBERVALUE(TEXT(RTD("cqg.rtd",,"StudyData","SUBMINUTE(("&amp;$B$3&amp;"),5,FillGap)","Bar",,"Close","5",Z26,,,,,"T"),Sheet1!$D$8)))</f>
        <v>2739.75</v>
      </c>
      <c r="AJ26" s="22">
        <f xml:space="preserve"> RTD("cqg.rtd",,"StudyData","BAVolCr.BidVol^(SUBMINUTE(("&amp;$B$3&amp;"),5,FillGap),5,0)",  "Bar",, "Open", "5",Z26,,,,,"T")</f>
        <v>227</v>
      </c>
      <c r="AK26" s="22">
        <f xml:space="preserve"> RTD("cqg.rtd",,"StudyData","BAVolCr.AskVol^(SUBMINUTE(("&amp;$B$3&amp;"),5,FillGap),5,0)",  "Bar",, "Open", "5",Z26,,,,,"T")</f>
        <v>231</v>
      </c>
    </row>
    <row r="27" spans="6:37" ht="15.95" customHeight="1" x14ac:dyDescent="0.3">
      <c r="L27" s="23" t="str">
        <f t="shared" si="5"/>
        <v>2734.00</v>
      </c>
      <c r="M27" s="24" t="str">
        <f t="shared" si="0"/>
        <v/>
      </c>
      <c r="N27" s="25" t="str">
        <f t="shared" si="1"/>
        <v/>
      </c>
      <c r="O27" s="26">
        <f>RTD("cqg.rtd",,"StudyData","FPVol(FootprintOp ("&amp;$B$3&amp;", 0),"&amp;L27&amp;")", "Bar",, "Close","D","0","all",,,,"T")</f>
        <v>22427</v>
      </c>
      <c r="P27" s="27" t="str">
        <f t="shared" si="2"/>
        <v/>
      </c>
      <c r="Q27" s="22" t="str">
        <f t="shared" si="3"/>
        <v/>
      </c>
      <c r="R27" s="22">
        <f t="shared" si="4"/>
        <v>22427</v>
      </c>
      <c r="Y27" s="22">
        <f>IF(RTD("cqg.rtd",,"StudyData","SUBMINUTE(("&amp;$B$3&amp;"),1,FillGap)","Bar",,"Close","5",Z27,,,,,"T")="",NA(),_xlfn.NUMBERVALUE(TEXT(RTD("cqg.rtd",,"StudyData","SUBMINUTE(("&amp;$B$3&amp;"),1,FillGap)","Bar",,"Close","5",Z27,,,,,"T"),Sheet1!$D$8)))</f>
        <v>2739</v>
      </c>
      <c r="Z27" s="22">
        <f t="shared" si="6"/>
        <v>-26</v>
      </c>
      <c r="AA27" s="28">
        <f>RTD("cqg.rtd",,"StudyData","SUBMINUTE(("&amp;$B$3&amp;"),1,Regular)","FG",,"Time","5",Z27,,,,,"T")</f>
        <v>43167.635115740697</v>
      </c>
      <c r="AB27" s="22">
        <f xml:space="preserve"> RTD("cqg.rtd",,"StudyData","BAVolCr.BidVol^(SUBMINUTE(("&amp;$B$3&amp;"),1,FillGap),5,0)",  "Bar",, "Open", "5",Z27,,,,,"T")</f>
        <v>375</v>
      </c>
      <c r="AC27" s="22">
        <f xml:space="preserve"> RTD("cqg.rtd",,"StudyData","BAVolCr.AskVol^(SUBMINUTE(("&amp;$B$3&amp;"),1,FillGap),5,0)",  "Bar",, "Open", "5",Z27,,,,,"T")</f>
        <v>436</v>
      </c>
      <c r="AE27" s="28">
        <f>RTD("cqg.rtd",,"StudyData","SUBMINUTE(("&amp;$B$3&amp;"),5,Regular)","FG",,"Time","5",Z27,,,,,"T")</f>
        <v>43167.633912037003</v>
      </c>
      <c r="AF27" s="22">
        <f>IF(RTD("cqg.rtd",,"StudyData","SUBMINUTE(("&amp;$B$3&amp;"),5,FillGap)","Bar",,"Open","5",Z27,,,,,"T")="",NA(),_xlfn.NUMBERVALUE(TEXT(RTD("cqg.rtd",,"StudyData","SUBMINUTE(("&amp;$B$3&amp;"),5,FillGap)","Bar",,"Open","5",Z27,,,,,"T"),Sheet1!$D$8)))</f>
        <v>2739.75</v>
      </c>
      <c r="AG27" s="22">
        <f>IF(RTD("cqg.rtd",,"StudyData","SUBMINUTE(("&amp;$B$3&amp;"),5,FillGap)","Bar",,"High","5",Z27,,,,,"T")="",NA(),_xlfn.NUMBERVALUE(TEXT(RTD("cqg.rtd",,"StudyData","SUBMINUTE(("&amp;$B$3&amp;"),5,FillGap)","Bar",,"High","5",Z27,,,,,"T"),Sheet1!$D$8)))</f>
        <v>2740</v>
      </c>
      <c r="AH27" s="22">
        <f>IF(RTD("cqg.rtd",,"StudyData","SUBMINUTE(("&amp;$B$3&amp;"),5,FillGap)","Bar",,"Low","5",Z27,,,,,"T")="",NA(),_xlfn.NUMBERVALUE(TEXT(RTD("cqg.rtd",,"StudyData","SUBMINUTE(("&amp;$B$3&amp;"),5,FillGap)","Bar",,"Low","5",Z27,,,,,"T"),Sheet1!$D$8)))</f>
        <v>2739.75</v>
      </c>
      <c r="AI27" s="22">
        <f>IF(RTD("cqg.rtd",,"StudyData","SUBMINUTE(("&amp;$B$3&amp;"),5,FillGap)","Bar",,"Close","5",Z27,,,,,"T")="",NA(),_xlfn.NUMBERVALUE(TEXT(RTD("cqg.rtd",,"StudyData","SUBMINUTE(("&amp;$B$3&amp;"),5,FillGap)","Bar",,"Close","5",Z27,,,,,"T"),Sheet1!$D$8)))</f>
        <v>2739.75</v>
      </c>
      <c r="AJ27" s="22">
        <f xml:space="preserve"> RTD("cqg.rtd",,"StudyData","BAVolCr.BidVol^(SUBMINUTE(("&amp;$B$3&amp;"),5,FillGap),5,0)",  "Bar",, "Open", "5",Z27,,,,,"T")</f>
        <v>266</v>
      </c>
      <c r="AK27" s="22">
        <f xml:space="preserve"> RTD("cqg.rtd",,"StudyData","BAVolCr.AskVol^(SUBMINUTE(("&amp;$B$3&amp;"),5,FillGap),5,0)",  "Bar",, "Open", "5",Z27,,,,,"T")</f>
        <v>237</v>
      </c>
    </row>
    <row r="28" spans="6:37" ht="15.95" customHeight="1" x14ac:dyDescent="0.3">
      <c r="L28" s="23" t="str">
        <f t="shared" si="5"/>
        <v>2733.75</v>
      </c>
      <c r="M28" s="24" t="str">
        <f t="shared" si="0"/>
        <v/>
      </c>
      <c r="N28" s="25" t="str">
        <f t="shared" si="1"/>
        <v/>
      </c>
      <c r="O28" s="26">
        <f>RTD("cqg.rtd",,"StudyData","FPVol(FootprintOp ("&amp;$B$3&amp;", 0),"&amp;L28&amp;")", "Bar",, "Close","D","0","all",,,,"T")</f>
        <v>19068</v>
      </c>
      <c r="P28" s="27" t="str">
        <f t="shared" si="2"/>
        <v/>
      </c>
      <c r="Q28" s="22" t="str">
        <f t="shared" si="3"/>
        <v/>
      </c>
      <c r="R28" s="22">
        <f t="shared" si="4"/>
        <v>19068</v>
      </c>
      <c r="Y28" s="22">
        <f>IF(RTD("cqg.rtd",,"StudyData","SUBMINUTE(("&amp;$B$3&amp;"),1,FillGap)","Bar",,"Close","5",Z28,,,,,"T")="",NA(),_xlfn.NUMBERVALUE(TEXT(RTD("cqg.rtd",,"StudyData","SUBMINUTE(("&amp;$B$3&amp;"),1,FillGap)","Bar",,"Close","5",Z28,,,,,"T"),Sheet1!$D$8)))</f>
        <v>2739</v>
      </c>
      <c r="Z28" s="22">
        <f t="shared" si="6"/>
        <v>-27</v>
      </c>
      <c r="AA28" s="28">
        <f>RTD("cqg.rtd",,"StudyData","SUBMINUTE(("&amp;$B$3&amp;"),1,Regular)","FG",,"Time","5",Z28,,,,,"T")</f>
        <v>43167.6351041667</v>
      </c>
      <c r="AB28" s="22">
        <f xml:space="preserve"> RTD("cqg.rtd",,"StudyData","BAVolCr.BidVol^(SUBMINUTE(("&amp;$B$3&amp;"),1,FillGap),5,0)",  "Bar",, "Open", "5",Z28,,,,,"T")</f>
        <v>610</v>
      </c>
      <c r="AC28" s="22">
        <f xml:space="preserve"> RTD("cqg.rtd",,"StudyData","BAVolCr.AskVol^(SUBMINUTE(("&amp;$B$3&amp;"),1,FillGap),5,0)",  "Bar",, "Open", "5",Z28,,,,,"T")</f>
        <v>419</v>
      </c>
      <c r="AE28" s="28">
        <f>RTD("cqg.rtd",,"StudyData","SUBMINUTE(("&amp;$B$3&amp;"),5,Regular)","FG",,"Time","5",Z28,,,,,"T")</f>
        <v>43167.633854166699</v>
      </c>
      <c r="AF28" s="22">
        <f>IF(RTD("cqg.rtd",,"StudyData","SUBMINUTE(("&amp;$B$3&amp;"),5,FillGap)","Bar",,"Open","5",Z28,,,,,"T")="",NA(),_xlfn.NUMBERVALUE(TEXT(RTD("cqg.rtd",,"StudyData","SUBMINUTE(("&amp;$B$3&amp;"),5,FillGap)","Bar",,"Open","5",Z28,,,,,"T"),Sheet1!$D$8)))</f>
        <v>2739.75</v>
      </c>
      <c r="AG28" s="22">
        <f>IF(RTD("cqg.rtd",,"StudyData","SUBMINUTE(("&amp;$B$3&amp;"),5,FillGap)","Bar",,"High","5",Z28,,,,,"T")="",NA(),_xlfn.NUMBERVALUE(TEXT(RTD("cqg.rtd",,"StudyData","SUBMINUTE(("&amp;$B$3&amp;"),5,FillGap)","Bar",,"High","5",Z28,,,,,"T"),Sheet1!$D$8)))</f>
        <v>2739.75</v>
      </c>
      <c r="AH28" s="22">
        <f>IF(RTD("cqg.rtd",,"StudyData","SUBMINUTE(("&amp;$B$3&amp;"),5,FillGap)","Bar",,"Low","5",Z28,,,,,"T")="",NA(),_xlfn.NUMBERVALUE(TEXT(RTD("cqg.rtd",,"StudyData","SUBMINUTE(("&amp;$B$3&amp;"),5,FillGap)","Bar",,"Low","5",Z28,,,,,"T"),Sheet1!$D$8)))</f>
        <v>2739.5</v>
      </c>
      <c r="AI28" s="22">
        <f>IF(RTD("cqg.rtd",,"StudyData","SUBMINUTE(("&amp;$B$3&amp;"),5,FillGap)","Bar",,"Close","5",Z28,,,,,"T")="",NA(),_xlfn.NUMBERVALUE(TEXT(RTD("cqg.rtd",,"StudyData","SUBMINUTE(("&amp;$B$3&amp;"),5,FillGap)","Bar",,"Close","5",Z28,,,,,"T"),Sheet1!$D$8)))</f>
        <v>2739.75</v>
      </c>
      <c r="AJ28" s="22">
        <f xml:space="preserve"> RTD("cqg.rtd",,"StudyData","BAVolCr.BidVol^(SUBMINUTE(("&amp;$B$3&amp;"),5,FillGap),5,0)",  "Bar",, "Open", "5",Z28,,,,,"T")</f>
        <v>255</v>
      </c>
      <c r="AK28" s="22">
        <f xml:space="preserve"> RTD("cqg.rtd",,"StudyData","BAVolCr.AskVol^(SUBMINUTE(("&amp;$B$3&amp;"),5,FillGap),5,0)",  "Bar",, "Open", "5",Z28,,,,,"T")</f>
        <v>171</v>
      </c>
    </row>
    <row r="29" spans="6:37" ht="15.95" customHeight="1" x14ac:dyDescent="0.3">
      <c r="L29" s="23" t="str">
        <f t="shared" si="5"/>
        <v>2733.50</v>
      </c>
      <c r="M29" s="24" t="str">
        <f t="shared" si="0"/>
        <v/>
      </c>
      <c r="N29" s="25" t="str">
        <f t="shared" si="1"/>
        <v/>
      </c>
      <c r="O29" s="26">
        <f>RTD("cqg.rtd",,"StudyData","FPVol(FootprintOp ("&amp;$B$3&amp;", 0),"&amp;L29&amp;")", "Bar",, "Close","D","0","all",,,,"T")</f>
        <v>21025</v>
      </c>
      <c r="P29" s="27" t="str">
        <f t="shared" si="2"/>
        <v/>
      </c>
      <c r="Q29" s="22" t="str">
        <f t="shared" si="3"/>
        <v/>
      </c>
      <c r="R29" s="22">
        <f t="shared" si="4"/>
        <v>21025</v>
      </c>
      <c r="Y29" s="22">
        <f>IF(RTD("cqg.rtd",,"StudyData","SUBMINUTE(("&amp;$B$3&amp;"),1,FillGap)","Bar",,"Close","5",Z29,,,,,"T")="",NA(),_xlfn.NUMBERVALUE(TEXT(RTD("cqg.rtd",,"StudyData","SUBMINUTE(("&amp;$B$3&amp;"),1,FillGap)","Bar",,"Close","5",Z29,,,,,"T"),Sheet1!$D$8)))</f>
        <v>2739</v>
      </c>
      <c r="Z29" s="22">
        <f t="shared" si="6"/>
        <v>-28</v>
      </c>
      <c r="AA29" s="28">
        <f>RTD("cqg.rtd",,"StudyData","SUBMINUTE(("&amp;$B$3&amp;"),1,Regular)","FG",,"Time","5",Z29,,,,,"T")</f>
        <v>43167.635092592602</v>
      </c>
      <c r="AB29" s="22">
        <f xml:space="preserve"> RTD("cqg.rtd",,"StudyData","BAVolCr.BidVol^(SUBMINUTE(("&amp;$B$3&amp;"),1,FillGap),5,0)",  "Bar",, "Open", "5",Z29,,,,,"T")</f>
        <v>638</v>
      </c>
      <c r="AC29" s="22">
        <f xml:space="preserve"> RTD("cqg.rtd",,"StudyData","BAVolCr.AskVol^(SUBMINUTE(("&amp;$B$3&amp;"),1,FillGap),5,0)",  "Bar",, "Open", "5",Z29,,,,,"T")</f>
        <v>416</v>
      </c>
      <c r="AE29" s="28">
        <f>RTD("cqg.rtd",,"StudyData","SUBMINUTE(("&amp;$B$3&amp;"),5,Regular)","FG",,"Time","5",Z29,,,,,"T")</f>
        <v>43167.633796296301</v>
      </c>
      <c r="AF29" s="22">
        <f>IF(RTD("cqg.rtd",,"StudyData","SUBMINUTE(("&amp;$B$3&amp;"),5,FillGap)","Bar",,"Open","5",Z29,,,,,"T")="",NA(),_xlfn.NUMBERVALUE(TEXT(RTD("cqg.rtd",,"StudyData","SUBMINUTE(("&amp;$B$3&amp;"),5,FillGap)","Bar",,"Open","5",Z29,,,,,"T"),Sheet1!$D$8)))</f>
        <v>2739.75</v>
      </c>
      <c r="AG29" s="22">
        <f>IF(RTD("cqg.rtd",,"StudyData","SUBMINUTE(("&amp;$B$3&amp;"),5,FillGap)","Bar",,"High","5",Z29,,,,,"T")="",NA(),_xlfn.NUMBERVALUE(TEXT(RTD("cqg.rtd",,"StudyData","SUBMINUTE(("&amp;$B$3&amp;"),5,FillGap)","Bar",,"High","5",Z29,,,,,"T"),Sheet1!$D$8)))</f>
        <v>2740</v>
      </c>
      <c r="AH29" s="22">
        <f>IF(RTD("cqg.rtd",,"StudyData","SUBMINUTE(("&amp;$B$3&amp;"),5,FillGap)","Bar",,"Low","5",Z29,,,,,"T")="",NA(),_xlfn.NUMBERVALUE(TEXT(RTD("cqg.rtd",,"StudyData","SUBMINUTE(("&amp;$B$3&amp;"),5,FillGap)","Bar",,"Low","5",Z29,,,,,"T"),Sheet1!$D$8)))</f>
        <v>2739.5</v>
      </c>
      <c r="AI29" s="22">
        <f>IF(RTD("cqg.rtd",,"StudyData","SUBMINUTE(("&amp;$B$3&amp;"),5,FillGap)","Bar",,"Close","5",Z29,,,,,"T")="",NA(),_xlfn.NUMBERVALUE(TEXT(RTD("cqg.rtd",,"StudyData","SUBMINUTE(("&amp;$B$3&amp;"),5,FillGap)","Bar",,"Close","5",Z29,,,,,"T"),Sheet1!$D$8)))</f>
        <v>2739.75</v>
      </c>
      <c r="AJ29" s="22">
        <f xml:space="preserve"> RTD("cqg.rtd",,"StudyData","BAVolCr.BidVol^(SUBMINUTE(("&amp;$B$3&amp;"),5,FillGap),5,0)",  "Bar",, "Open", "5",Z29,,,,,"T")</f>
        <v>293</v>
      </c>
      <c r="AK29" s="22">
        <f xml:space="preserve"> RTD("cqg.rtd",,"StudyData","BAVolCr.AskVol^(SUBMINUTE(("&amp;$B$3&amp;"),5,FillGap),5,0)",  "Bar",, "Open", "5",Z29,,,,,"T")</f>
        <v>240</v>
      </c>
    </row>
    <row r="30" spans="6:37" ht="15.95" customHeight="1" x14ac:dyDescent="0.3">
      <c r="L30" s="23" t="str">
        <f t="shared" si="5"/>
        <v>2733.25</v>
      </c>
      <c r="M30" s="24" t="str">
        <f t="shared" si="0"/>
        <v/>
      </c>
      <c r="N30" s="25" t="str">
        <f t="shared" si="1"/>
        <v/>
      </c>
      <c r="O30" s="26">
        <f>RTD("cqg.rtd",,"StudyData","FPVol(FootprintOp ("&amp;$B$3&amp;", 0),"&amp;L30&amp;")", "Bar",, "Close","D","0","all",,,,"T")</f>
        <v>21249</v>
      </c>
      <c r="P30" s="27" t="str">
        <f t="shared" si="2"/>
        <v/>
      </c>
      <c r="Q30" s="22" t="str">
        <f t="shared" si="3"/>
        <v/>
      </c>
      <c r="R30" s="22">
        <f t="shared" si="4"/>
        <v>21249</v>
      </c>
      <c r="Y30" s="22">
        <f>IF(RTD("cqg.rtd",,"StudyData","SUBMINUTE(("&amp;$B$3&amp;"),1,FillGap)","Bar",,"Close","5",Z30,,,,,"T")="",NA(),_xlfn.NUMBERVALUE(TEXT(RTD("cqg.rtd",,"StudyData","SUBMINUTE(("&amp;$B$3&amp;"),1,FillGap)","Bar",,"Close","5",Z30,,,,,"T"),Sheet1!$D$8)))</f>
        <v>2739.25</v>
      </c>
      <c r="Z30" s="22">
        <f t="shared" si="6"/>
        <v>-29</v>
      </c>
      <c r="AA30" s="28">
        <f>RTD("cqg.rtd",,"StudyData","SUBMINUTE(("&amp;$B$3&amp;"),1,Regular)","FG",,"Time","5",Z30,,,,,"T")</f>
        <v>43167.635081018503</v>
      </c>
      <c r="AB30" s="22">
        <f xml:space="preserve"> RTD("cqg.rtd",,"StudyData","BAVolCr.BidVol^(SUBMINUTE(("&amp;$B$3&amp;"),1,FillGap),5,0)",  "Bar",, "Open", "5",Z30,,,,,"T")</f>
        <v>785</v>
      </c>
      <c r="AC30" s="22">
        <f xml:space="preserve"> RTD("cqg.rtd",,"StudyData","BAVolCr.AskVol^(SUBMINUTE(("&amp;$B$3&amp;"),1,FillGap),5,0)",  "Bar",, "Open", "5",Z30,,,,,"T")</f>
        <v>400</v>
      </c>
      <c r="AE30" s="28">
        <f>RTD("cqg.rtd",,"StudyData","SUBMINUTE(("&amp;$B$3&amp;"),5,Regular)","FG",,"Time","5",Z30,,,,,"T")</f>
        <v>43167.633738425902</v>
      </c>
      <c r="AF30" s="22">
        <f>IF(RTD("cqg.rtd",,"StudyData","SUBMINUTE(("&amp;$B$3&amp;"),5,FillGap)","Bar",,"Open","5",Z30,,,,,"T")="",NA(),_xlfn.NUMBERVALUE(TEXT(RTD("cqg.rtd",,"StudyData","SUBMINUTE(("&amp;$B$3&amp;"),5,FillGap)","Bar",,"Open","5",Z30,,,,,"T"),Sheet1!$D$8)))</f>
        <v>2739.75</v>
      </c>
      <c r="AG30" s="22">
        <f>IF(RTD("cqg.rtd",,"StudyData","SUBMINUTE(("&amp;$B$3&amp;"),5,FillGap)","Bar",,"High","5",Z30,,,,,"T")="",NA(),_xlfn.NUMBERVALUE(TEXT(RTD("cqg.rtd",,"StudyData","SUBMINUTE(("&amp;$B$3&amp;"),5,FillGap)","Bar",,"High","5",Z30,,,,,"T"),Sheet1!$D$8)))</f>
        <v>2740</v>
      </c>
      <c r="AH30" s="22">
        <f>IF(RTD("cqg.rtd",,"StudyData","SUBMINUTE(("&amp;$B$3&amp;"),5,FillGap)","Bar",,"Low","5",Z30,,,,,"T")="",NA(),_xlfn.NUMBERVALUE(TEXT(RTD("cqg.rtd",,"StudyData","SUBMINUTE(("&amp;$B$3&amp;"),5,FillGap)","Bar",,"Low","5",Z30,,,,,"T"),Sheet1!$D$8)))</f>
        <v>2739.75</v>
      </c>
      <c r="AI30" s="22">
        <f>IF(RTD("cqg.rtd",,"StudyData","SUBMINUTE(("&amp;$B$3&amp;"),5,FillGap)","Bar",,"Close","5",Z30,,,,,"T")="",NA(),_xlfn.NUMBERVALUE(TEXT(RTD("cqg.rtd",,"StudyData","SUBMINUTE(("&amp;$B$3&amp;"),5,FillGap)","Bar",,"Close","5",Z30,,,,,"T"),Sheet1!$D$8)))</f>
        <v>2739.75</v>
      </c>
      <c r="AJ30" s="22">
        <f xml:space="preserve"> RTD("cqg.rtd",,"StudyData","BAVolCr.BidVol^(SUBMINUTE(("&amp;$B$3&amp;"),5,FillGap),5,0)",  "Bar",, "Open", "5",Z30,,,,,"T")</f>
        <v>178</v>
      </c>
      <c r="AK30" s="22">
        <f xml:space="preserve"> RTD("cqg.rtd",,"StudyData","BAVolCr.AskVol^(SUBMINUTE(("&amp;$B$3&amp;"),5,FillGap),5,0)",  "Bar",, "Open", "5",Z30,,,,,"T")</f>
        <v>182</v>
      </c>
    </row>
    <row r="31" spans="6:37" ht="15.95" customHeight="1" x14ac:dyDescent="0.3">
      <c r="L31" s="23" t="str">
        <f t="shared" si="5"/>
        <v>2733.00</v>
      </c>
      <c r="M31" s="24" t="str">
        <f t="shared" si="0"/>
        <v/>
      </c>
      <c r="N31" s="25" t="str">
        <f t="shared" si="1"/>
        <v/>
      </c>
      <c r="O31" s="26">
        <f>RTD("cqg.rtd",,"StudyData","FPVol(FootprintOp ("&amp;$B$3&amp;", 0),"&amp;L31&amp;")", "Bar",, "Close","D","0","all",,,,"T")</f>
        <v>18250</v>
      </c>
      <c r="P31" s="27" t="str">
        <f t="shared" si="2"/>
        <v/>
      </c>
      <c r="Q31" s="22" t="str">
        <f t="shared" si="3"/>
        <v/>
      </c>
      <c r="R31" s="22">
        <f t="shared" si="4"/>
        <v>18250</v>
      </c>
      <c r="Y31" s="22">
        <f>IF(RTD("cqg.rtd",,"StudyData","SUBMINUTE(("&amp;$B$3&amp;"),1,FillGap)","Bar",,"Close","5",Z31,,,,,"T")="",NA(),_xlfn.NUMBERVALUE(TEXT(RTD("cqg.rtd",,"StudyData","SUBMINUTE(("&amp;$B$3&amp;"),1,FillGap)","Bar",,"Close","5",Z31,,,,,"T"),Sheet1!$D$8)))</f>
        <v>2739.25</v>
      </c>
      <c r="Z31" s="22">
        <f t="shared" si="6"/>
        <v>-30</v>
      </c>
      <c r="AA31" s="28">
        <f>RTD("cqg.rtd",,"StudyData","SUBMINUTE(("&amp;$B$3&amp;"),1,Regular)","FG",,"Time","5",Z31,,,,,"T")</f>
        <v>43167.635069444397</v>
      </c>
      <c r="AB31" s="22">
        <f xml:space="preserve"> RTD("cqg.rtd",,"StudyData","BAVolCr.BidVol^(SUBMINUTE(("&amp;$B$3&amp;"),1,FillGap),5,0)",  "Bar",, "Open", "5",Z31,,,,,"T")</f>
        <v>786</v>
      </c>
      <c r="AC31" s="22">
        <f xml:space="preserve"> RTD("cqg.rtd",,"StudyData","BAVolCr.AskVol^(SUBMINUTE(("&amp;$B$3&amp;"),1,FillGap),5,0)",  "Bar",, "Open", "5",Z31,,,,,"T")</f>
        <v>486</v>
      </c>
      <c r="AE31" s="28">
        <f>RTD("cqg.rtd",,"StudyData","SUBMINUTE(("&amp;$B$3&amp;"),5,Regular)","FG",,"Time","5",Z31,,,,,"T")</f>
        <v>43167.633680555598</v>
      </c>
      <c r="AF31" s="22">
        <f>IF(RTD("cqg.rtd",,"StudyData","SUBMINUTE(("&amp;$B$3&amp;"),5,FillGap)","Bar",,"Open","5",Z31,,,,,"T")="",NA(),_xlfn.NUMBERVALUE(TEXT(RTD("cqg.rtd",,"StudyData","SUBMINUTE(("&amp;$B$3&amp;"),5,FillGap)","Bar",,"Open","5",Z31,,,,,"T"),Sheet1!$D$8)))</f>
        <v>2740</v>
      </c>
      <c r="AG31" s="22">
        <f>IF(RTD("cqg.rtd",,"StudyData","SUBMINUTE(("&amp;$B$3&amp;"),5,FillGap)","Bar",,"High","5",Z31,,,,,"T")="",NA(),_xlfn.NUMBERVALUE(TEXT(RTD("cqg.rtd",,"StudyData","SUBMINUTE(("&amp;$B$3&amp;"),5,FillGap)","Bar",,"High","5",Z31,,,,,"T"),Sheet1!$D$8)))</f>
        <v>2740</v>
      </c>
      <c r="AH31" s="22">
        <f>IF(RTD("cqg.rtd",,"StudyData","SUBMINUTE(("&amp;$B$3&amp;"),5,FillGap)","Bar",,"Low","5",Z31,,,,,"T")="",NA(),_xlfn.NUMBERVALUE(TEXT(RTD("cqg.rtd",,"StudyData","SUBMINUTE(("&amp;$B$3&amp;"),5,FillGap)","Bar",,"Low","5",Z31,,,,,"T"),Sheet1!$D$8)))</f>
        <v>2739.75</v>
      </c>
      <c r="AI31" s="22">
        <f>IF(RTD("cqg.rtd",,"StudyData","SUBMINUTE(("&amp;$B$3&amp;"),5,FillGap)","Bar",,"Close","5",Z31,,,,,"T")="",NA(),_xlfn.NUMBERVALUE(TEXT(RTD("cqg.rtd",,"StudyData","SUBMINUTE(("&amp;$B$3&amp;"),5,FillGap)","Bar",,"Close","5",Z31,,,,,"T"),Sheet1!$D$8)))</f>
        <v>2739.75</v>
      </c>
      <c r="AJ31" s="22">
        <f xml:space="preserve"> RTD("cqg.rtd",,"StudyData","BAVolCr.BidVol^(SUBMINUTE(("&amp;$B$3&amp;"),5,FillGap),5,0)",  "Bar",, "Open", "5",Z31,,,,,"T")</f>
        <v>206</v>
      </c>
      <c r="AK31" s="22">
        <f xml:space="preserve"> RTD("cqg.rtd",,"StudyData","BAVolCr.AskVol^(SUBMINUTE(("&amp;$B$3&amp;"),5,FillGap),5,0)",  "Bar",, "Open", "5",Z31,,,,,"T")</f>
        <v>198</v>
      </c>
    </row>
    <row r="32" spans="6:37" ht="15.95" customHeight="1" x14ac:dyDescent="0.3">
      <c r="L32" s="23" t="str">
        <f t="shared" si="5"/>
        <v>2732.75</v>
      </c>
      <c r="M32" s="24" t="str">
        <f t="shared" si="0"/>
        <v/>
      </c>
      <c r="N32" s="25" t="str">
        <f t="shared" si="1"/>
        <v/>
      </c>
      <c r="O32" s="26">
        <f>RTD("cqg.rtd",,"StudyData","FPVol(FootprintOp ("&amp;$B$3&amp;", 0),"&amp;L32&amp;")", "Bar",, "Close","D","0","all",,,,"T")</f>
        <v>15389</v>
      </c>
      <c r="P32" s="27" t="str">
        <f t="shared" si="2"/>
        <v/>
      </c>
      <c r="Q32" s="22" t="str">
        <f t="shared" si="3"/>
        <v/>
      </c>
      <c r="R32" s="22">
        <f t="shared" si="4"/>
        <v>15389</v>
      </c>
      <c r="Y32" s="22">
        <f>IF(RTD("cqg.rtd",,"StudyData","SUBMINUTE(("&amp;$B$3&amp;"),1,FillGap)","Bar",,"Close","5",Z32,,,,,"T")="",NA(),_xlfn.NUMBERVALUE(TEXT(RTD("cqg.rtd",,"StudyData","SUBMINUTE(("&amp;$B$3&amp;"),1,FillGap)","Bar",,"Close","5",Z32,,,,,"T"),Sheet1!$D$8)))</f>
        <v>2739.25</v>
      </c>
      <c r="Z32" s="22">
        <f t="shared" si="6"/>
        <v>-31</v>
      </c>
      <c r="AA32" s="28">
        <f>RTD("cqg.rtd",,"StudyData","SUBMINUTE(("&amp;$B$3&amp;"),1,Regular)","FG",,"Time","5",Z32,,,,,"T")</f>
        <v>43167.6350578704</v>
      </c>
      <c r="AB32" s="22">
        <f xml:space="preserve"> RTD("cqg.rtd",,"StudyData","BAVolCr.BidVol^(SUBMINUTE(("&amp;$B$3&amp;"),1,FillGap),5,0)",  "Bar",, "Open", "5",Z32,,,,,"T")</f>
        <v>720</v>
      </c>
      <c r="AC32" s="22">
        <f xml:space="preserve"> RTD("cqg.rtd",,"StudyData","BAVolCr.AskVol^(SUBMINUTE(("&amp;$B$3&amp;"),1,FillGap),5,0)",  "Bar",, "Open", "5",Z32,,,,,"T")</f>
        <v>175</v>
      </c>
      <c r="AE32" s="28">
        <f>RTD("cqg.rtd",,"StudyData","SUBMINUTE(("&amp;$B$3&amp;"),5,Regular)","FG",,"Time","5",Z32,,,,,"T")</f>
        <v>43167.6336226852</v>
      </c>
      <c r="AF32" s="22">
        <f>IF(RTD("cqg.rtd",,"StudyData","SUBMINUTE(("&amp;$B$3&amp;"),5,FillGap)","Bar",,"Open","5",Z32,,,,,"T")="",NA(),_xlfn.NUMBERVALUE(TEXT(RTD("cqg.rtd",,"StudyData","SUBMINUTE(("&amp;$B$3&amp;"),5,FillGap)","Bar",,"Open","5",Z32,,,,,"T"),Sheet1!$D$8)))</f>
        <v>2740</v>
      </c>
      <c r="AG32" s="22">
        <f>IF(RTD("cqg.rtd",,"StudyData","SUBMINUTE(("&amp;$B$3&amp;"),5,FillGap)","Bar",,"High","5",Z32,,,,,"T")="",NA(),_xlfn.NUMBERVALUE(TEXT(RTD("cqg.rtd",,"StudyData","SUBMINUTE(("&amp;$B$3&amp;"),5,FillGap)","Bar",,"High","5",Z32,,,,,"T"),Sheet1!$D$8)))</f>
        <v>2740</v>
      </c>
      <c r="AH32" s="22">
        <f>IF(RTD("cqg.rtd",,"StudyData","SUBMINUTE(("&amp;$B$3&amp;"),5,FillGap)","Bar",,"Low","5",Z32,,,,,"T")="",NA(),_xlfn.NUMBERVALUE(TEXT(RTD("cqg.rtd",,"StudyData","SUBMINUTE(("&amp;$B$3&amp;"),5,FillGap)","Bar",,"Low","5",Z32,,,,,"T"),Sheet1!$D$8)))</f>
        <v>2739.75</v>
      </c>
      <c r="AI32" s="22">
        <f>IF(RTD("cqg.rtd",,"StudyData","SUBMINUTE(("&amp;$B$3&amp;"),5,FillGap)","Bar",,"Close","5",Z32,,,,,"T")="",NA(),_xlfn.NUMBERVALUE(TEXT(RTD("cqg.rtd",,"StudyData","SUBMINUTE(("&amp;$B$3&amp;"),5,FillGap)","Bar",,"Close","5",Z32,,,,,"T"),Sheet1!$D$8)))</f>
        <v>2739.75</v>
      </c>
      <c r="AJ32" s="22">
        <f xml:space="preserve"> RTD("cqg.rtd",,"StudyData","BAVolCr.BidVol^(SUBMINUTE(("&amp;$B$3&amp;"),5,FillGap),5,0)",  "Bar",, "Open", "5",Z32,,,,,"T")</f>
        <v>204</v>
      </c>
      <c r="AK32" s="22">
        <f xml:space="preserve"> RTD("cqg.rtd",,"StudyData","BAVolCr.AskVol^(SUBMINUTE(("&amp;$B$3&amp;"),5,FillGap),5,0)",  "Bar",, "Open", "5",Z32,,,,,"T")</f>
        <v>210</v>
      </c>
    </row>
    <row r="33" spans="12:37" ht="15.95" customHeight="1" x14ac:dyDescent="0.3">
      <c r="L33" s="23" t="str">
        <f t="shared" si="5"/>
        <v>2732.50</v>
      </c>
      <c r="M33" s="24" t="str">
        <f t="shared" si="0"/>
        <v/>
      </c>
      <c r="N33" s="25" t="str">
        <f t="shared" si="1"/>
        <v/>
      </c>
      <c r="O33" s="26">
        <f>RTD("cqg.rtd",,"StudyData","FPVol(FootprintOp ("&amp;$B$3&amp;", 0),"&amp;L33&amp;")", "Bar",, "Close","D","0","all",,,,"T")</f>
        <v>17141</v>
      </c>
      <c r="P33" s="27" t="str">
        <f t="shared" si="2"/>
        <v/>
      </c>
      <c r="Q33" s="22" t="str">
        <f t="shared" si="3"/>
        <v/>
      </c>
      <c r="R33" s="22">
        <f t="shared" si="4"/>
        <v>17141</v>
      </c>
      <c r="Y33" s="22">
        <f>IF(RTD("cqg.rtd",,"StudyData","SUBMINUTE(("&amp;$B$3&amp;"),1,FillGap)","Bar",,"Close","5",Z33,,,,,"T")="",NA(),_xlfn.NUMBERVALUE(TEXT(RTD("cqg.rtd",,"StudyData","SUBMINUTE(("&amp;$B$3&amp;"),1,FillGap)","Bar",,"Close","5",Z33,,,,,"T"),Sheet1!$D$8)))</f>
        <v>2739.75</v>
      </c>
      <c r="Z33" s="22">
        <f t="shared" si="6"/>
        <v>-32</v>
      </c>
      <c r="AA33" s="28">
        <f>RTD("cqg.rtd",,"StudyData","SUBMINUTE(("&amp;$B$3&amp;"),1,Regular)","FG",,"Time","5",Z33,,,,,"T")</f>
        <v>43167.635046296302</v>
      </c>
      <c r="AB33" s="22">
        <f xml:space="preserve"> RTD("cqg.rtd",,"StudyData","BAVolCr.BidVol^(SUBMINUTE(("&amp;$B$3&amp;"),1,FillGap),5,0)",  "Bar",, "Open", "5",Z33,,,,,"T")</f>
        <v>295</v>
      </c>
      <c r="AC33" s="22">
        <f xml:space="preserve"> RTD("cqg.rtd",,"StudyData","BAVolCr.AskVol^(SUBMINUTE(("&amp;$B$3&amp;"),1,FillGap),5,0)",  "Bar",, "Open", "5",Z33,,,,,"T")</f>
        <v>393</v>
      </c>
      <c r="AE33" s="28">
        <f>RTD("cqg.rtd",,"StudyData","SUBMINUTE(("&amp;$B$3&amp;"),5,Regular)","FG",,"Time","5",Z33,,,,,"T")</f>
        <v>43167.633564814802</v>
      </c>
      <c r="AF33" s="22">
        <f>IF(RTD("cqg.rtd",,"StudyData","SUBMINUTE(("&amp;$B$3&amp;"),5,FillGap)","Bar",,"Open","5",Z33,,,,,"T")="",NA(),_xlfn.NUMBERVALUE(TEXT(RTD("cqg.rtd",,"StudyData","SUBMINUTE(("&amp;$B$3&amp;"),5,FillGap)","Bar",,"Open","5",Z33,,,,,"T"),Sheet1!$D$8)))</f>
        <v>2739.5</v>
      </c>
      <c r="AG33" s="22">
        <f>IF(RTD("cqg.rtd",,"StudyData","SUBMINUTE(("&amp;$B$3&amp;"),5,FillGap)","Bar",,"High","5",Z33,,,,,"T")="",NA(),_xlfn.NUMBERVALUE(TEXT(RTD("cqg.rtd",,"StudyData","SUBMINUTE(("&amp;$B$3&amp;"),5,FillGap)","Bar",,"High","5",Z33,,,,,"T"),Sheet1!$D$8)))</f>
        <v>2740</v>
      </c>
      <c r="AH33" s="22">
        <f>IF(RTD("cqg.rtd",,"StudyData","SUBMINUTE(("&amp;$B$3&amp;"),5,FillGap)","Bar",,"Low","5",Z33,,,,,"T")="",NA(),_xlfn.NUMBERVALUE(TEXT(RTD("cqg.rtd",,"StudyData","SUBMINUTE(("&amp;$B$3&amp;"),5,FillGap)","Bar",,"Low","5",Z33,,,,,"T"),Sheet1!$D$8)))</f>
        <v>2739.5</v>
      </c>
      <c r="AI33" s="22">
        <f>IF(RTD("cqg.rtd",,"StudyData","SUBMINUTE(("&amp;$B$3&amp;"),5,FillGap)","Bar",,"Close","5",Z33,,,,,"T")="",NA(),_xlfn.NUMBERVALUE(TEXT(RTD("cqg.rtd",,"StudyData","SUBMINUTE(("&amp;$B$3&amp;"),5,FillGap)","Bar",,"Close","5",Z33,,,,,"T"),Sheet1!$D$8)))</f>
        <v>2739.75</v>
      </c>
      <c r="AJ33" s="22">
        <f xml:space="preserve"> RTD("cqg.rtd",,"StudyData","BAVolCr.BidVol^(SUBMINUTE(("&amp;$B$3&amp;"),5,FillGap),5,0)",  "Bar",, "Open", "5",Z33,,,,,"T")</f>
        <v>226</v>
      </c>
      <c r="AK33" s="22">
        <f xml:space="preserve"> RTD("cqg.rtd",,"StudyData","BAVolCr.AskVol^(SUBMINUTE(("&amp;$B$3&amp;"),5,FillGap),5,0)",  "Bar",, "Open", "5",Z33,,,,,"T")</f>
        <v>259</v>
      </c>
    </row>
    <row r="34" spans="12:37" ht="15.95" customHeight="1" x14ac:dyDescent="0.3">
      <c r="L34" s="23" t="str">
        <f t="shared" si="5"/>
        <v>2732.25</v>
      </c>
      <c r="M34" s="24" t="str">
        <f t="shared" si="0"/>
        <v/>
      </c>
      <c r="N34" s="25" t="str">
        <f t="shared" si="1"/>
        <v/>
      </c>
      <c r="O34" s="26">
        <f>RTD("cqg.rtd",,"StudyData","FPVol(FootprintOp ("&amp;$B$3&amp;", 0),"&amp;L34&amp;")", "Bar",, "Close","D","0","all",,,,"T")</f>
        <v>16879</v>
      </c>
      <c r="P34" s="27" t="str">
        <f t="shared" si="2"/>
        <v/>
      </c>
      <c r="Q34" s="22" t="str">
        <f t="shared" si="3"/>
        <v/>
      </c>
      <c r="R34" s="22">
        <f t="shared" si="4"/>
        <v>16879</v>
      </c>
      <c r="Y34" s="22">
        <f>IF(RTD("cqg.rtd",,"StudyData","SUBMINUTE(("&amp;$B$3&amp;"),1,FillGap)","Bar",,"Close","5",Z34,,,,,"T")="",NA(),_xlfn.NUMBERVALUE(TEXT(RTD("cqg.rtd",,"StudyData","SUBMINUTE(("&amp;$B$3&amp;"),1,FillGap)","Bar",,"Close","5",Z34,,,,,"T"),Sheet1!$D$8)))</f>
        <v>2739.75</v>
      </c>
      <c r="Z34" s="22">
        <f t="shared" si="6"/>
        <v>-33</v>
      </c>
      <c r="AA34" s="28">
        <f>RTD("cqg.rtd",,"StudyData","SUBMINUTE(("&amp;$B$3&amp;"),1,Regular)","FG",,"Time","5",Z34,,,,,"T")</f>
        <v>43167.635034722203</v>
      </c>
      <c r="AB34" s="22">
        <f xml:space="preserve"> RTD("cqg.rtd",,"StudyData","BAVolCr.BidVol^(SUBMINUTE(("&amp;$B$3&amp;"),1,FillGap),5,0)",  "Bar",, "Open", "5",Z34,,,,,"T")</f>
        <v>323</v>
      </c>
      <c r="AC34" s="22">
        <f xml:space="preserve"> RTD("cqg.rtd",,"StudyData","BAVolCr.AskVol^(SUBMINUTE(("&amp;$B$3&amp;"),1,FillGap),5,0)",  "Bar",, "Open", "5",Z34,,,,,"T")</f>
        <v>397</v>
      </c>
      <c r="AE34" s="28">
        <f>RTD("cqg.rtd",,"StudyData","SUBMINUTE(("&amp;$B$3&amp;"),5,Regular)","FG",,"Time","5",Z34,,,,,"T")</f>
        <v>43167.633506944403</v>
      </c>
      <c r="AF34" s="22">
        <f>IF(RTD("cqg.rtd",,"StudyData","SUBMINUTE(("&amp;$B$3&amp;"),5,FillGap)","Bar",,"Open","5",Z34,,,,,"T")="",NA(),_xlfn.NUMBERVALUE(TEXT(RTD("cqg.rtd",,"StudyData","SUBMINUTE(("&amp;$B$3&amp;"),5,FillGap)","Bar",,"Open","5",Z34,,,,,"T"),Sheet1!$D$8)))</f>
        <v>2739.5</v>
      </c>
      <c r="AG34" s="22">
        <f>IF(RTD("cqg.rtd",,"StudyData","SUBMINUTE(("&amp;$B$3&amp;"),5,FillGap)","Bar",,"High","5",Z34,,,,,"T")="",NA(),_xlfn.NUMBERVALUE(TEXT(RTD("cqg.rtd",,"StudyData","SUBMINUTE(("&amp;$B$3&amp;"),5,FillGap)","Bar",,"High","5",Z34,,,,,"T"),Sheet1!$D$8)))</f>
        <v>2739.75</v>
      </c>
      <c r="AH34" s="22">
        <f>IF(RTD("cqg.rtd",,"StudyData","SUBMINUTE(("&amp;$B$3&amp;"),5,FillGap)","Bar",,"Low","5",Z34,,,,,"T")="",NA(),_xlfn.NUMBERVALUE(TEXT(RTD("cqg.rtd",,"StudyData","SUBMINUTE(("&amp;$B$3&amp;"),5,FillGap)","Bar",,"Low","5",Z34,,,,,"T"),Sheet1!$D$8)))</f>
        <v>2739.5</v>
      </c>
      <c r="AI34" s="22">
        <f>IF(RTD("cqg.rtd",,"StudyData","SUBMINUTE(("&amp;$B$3&amp;"),5,FillGap)","Bar",,"Close","5",Z34,,,,,"T")="",NA(),_xlfn.NUMBERVALUE(TEXT(RTD("cqg.rtd",,"StudyData","SUBMINUTE(("&amp;$B$3&amp;"),5,FillGap)","Bar",,"Close","5",Z34,,,,,"T"),Sheet1!$D$8)))</f>
        <v>2739.5</v>
      </c>
      <c r="AJ34" s="22">
        <f xml:space="preserve"> RTD("cqg.rtd",,"StudyData","BAVolCr.BidVol^(SUBMINUTE(("&amp;$B$3&amp;"),5,FillGap),5,0)",  "Bar",, "Open", "5",Z34,,,,,"T")</f>
        <v>252</v>
      </c>
      <c r="AK34" s="22">
        <f xml:space="preserve"> RTD("cqg.rtd",,"StudyData","BAVolCr.AskVol^(SUBMINUTE(("&amp;$B$3&amp;"),5,FillGap),5,0)",  "Bar",, "Open", "5",Z34,,,,,"T")</f>
        <v>211</v>
      </c>
    </row>
    <row r="35" spans="12:37" ht="15.95" customHeight="1" x14ac:dyDescent="0.3">
      <c r="L35" s="23" t="str">
        <f t="shared" si="5"/>
        <v>2732.00</v>
      </c>
      <c r="M35" s="24" t="str">
        <f t="shared" si="0"/>
        <v/>
      </c>
      <c r="N35" s="25" t="str">
        <f t="shared" si="1"/>
        <v/>
      </c>
      <c r="O35" s="26">
        <f>RTD("cqg.rtd",,"StudyData","FPVol(FootprintOp ("&amp;$B$3&amp;", 0),"&amp;L35&amp;")", "Bar",, "Close","D","0","all",,,,"T")</f>
        <v>17666</v>
      </c>
      <c r="P35" s="27" t="str">
        <f t="shared" si="2"/>
        <v/>
      </c>
      <c r="Q35" s="22" t="str">
        <f t="shared" si="3"/>
        <v/>
      </c>
      <c r="R35" s="22">
        <f t="shared" si="4"/>
        <v>17666</v>
      </c>
      <c r="Y35" s="22">
        <f>IF(RTD("cqg.rtd",,"StudyData","SUBMINUTE(("&amp;$B$3&amp;"),1,FillGap)","Bar",,"Close","5",Z35,,,,,"T")="",NA(),_xlfn.NUMBERVALUE(TEXT(RTD("cqg.rtd",,"StudyData","SUBMINUTE(("&amp;$B$3&amp;"),1,FillGap)","Bar",,"Close","5",Z35,,,,,"T"),Sheet1!$D$8)))</f>
        <v>2739.75</v>
      </c>
      <c r="Z35" s="22">
        <f t="shared" si="6"/>
        <v>-34</v>
      </c>
      <c r="AA35" s="28">
        <f>RTD("cqg.rtd",,"StudyData","SUBMINUTE(("&amp;$B$3&amp;"),1,Regular)","FG",,"Time","5",Z35,,,,,"T")</f>
        <v>43167.635023148097</v>
      </c>
      <c r="AB35" s="22">
        <f xml:space="preserve"> RTD("cqg.rtd",,"StudyData","BAVolCr.BidVol^(SUBMINUTE(("&amp;$B$3&amp;"),1,FillGap),5,0)",  "Bar",, "Open", "5",Z35,,,,,"T")</f>
        <v>175</v>
      </c>
      <c r="AC35" s="22">
        <f xml:space="preserve"> RTD("cqg.rtd",,"StudyData","BAVolCr.AskVol^(SUBMINUTE(("&amp;$B$3&amp;"),1,FillGap),5,0)",  "Bar",, "Open", "5",Z35,,,,,"T")</f>
        <v>400</v>
      </c>
      <c r="AE35" s="28">
        <f>RTD("cqg.rtd",,"StudyData","SUBMINUTE(("&amp;$B$3&amp;"),5,Regular)","FG",,"Time","5",Z35,,,,,"T")</f>
        <v>43167.633449074099</v>
      </c>
      <c r="AF35" s="22">
        <f>IF(RTD("cqg.rtd",,"StudyData","SUBMINUTE(("&amp;$B$3&amp;"),5,FillGap)","Bar",,"Open","5",Z35,,,,,"T")="",NA(),_xlfn.NUMBERVALUE(TEXT(RTD("cqg.rtd",,"StudyData","SUBMINUTE(("&amp;$B$3&amp;"),5,FillGap)","Bar",,"Open","5",Z35,,,,,"T"),Sheet1!$D$8)))</f>
        <v>2739.75</v>
      </c>
      <c r="AG35" s="22">
        <f>IF(RTD("cqg.rtd",,"StudyData","SUBMINUTE(("&amp;$B$3&amp;"),5,FillGap)","Bar",,"High","5",Z35,,,,,"T")="",NA(),_xlfn.NUMBERVALUE(TEXT(RTD("cqg.rtd",,"StudyData","SUBMINUTE(("&amp;$B$3&amp;"),5,FillGap)","Bar",,"High","5",Z35,,,,,"T"),Sheet1!$D$8)))</f>
        <v>2739.75</v>
      </c>
      <c r="AH35" s="22">
        <f>IF(RTD("cqg.rtd",,"StudyData","SUBMINUTE(("&amp;$B$3&amp;"),5,FillGap)","Bar",,"Low","5",Z35,,,,,"T")="",NA(),_xlfn.NUMBERVALUE(TEXT(RTD("cqg.rtd",,"StudyData","SUBMINUTE(("&amp;$B$3&amp;"),5,FillGap)","Bar",,"Low","5",Z35,,,,,"T"),Sheet1!$D$8)))</f>
        <v>2739.5</v>
      </c>
      <c r="AI35" s="22">
        <f>IF(RTD("cqg.rtd",,"StudyData","SUBMINUTE(("&amp;$B$3&amp;"),5,FillGap)","Bar",,"Close","5",Z35,,,,,"T")="",NA(),_xlfn.NUMBERVALUE(TEXT(RTD("cqg.rtd",,"StudyData","SUBMINUTE(("&amp;$B$3&amp;"),5,FillGap)","Bar",,"Close","5",Z35,,,,,"T"),Sheet1!$D$8)))</f>
        <v>2739.75</v>
      </c>
      <c r="AJ35" s="22">
        <f xml:space="preserve"> RTD("cqg.rtd",,"StudyData","BAVolCr.BidVol^(SUBMINUTE(("&amp;$B$3&amp;"),5,FillGap),5,0)",  "Bar",, "Open", "5",Z35,,,,,"T")</f>
        <v>432</v>
      </c>
      <c r="AK35" s="22">
        <f xml:space="preserve"> RTD("cqg.rtd",,"StudyData","BAVolCr.AskVol^(SUBMINUTE(("&amp;$B$3&amp;"),5,FillGap),5,0)",  "Bar",, "Open", "5",Z35,,,,,"T")</f>
        <v>230</v>
      </c>
    </row>
    <row r="36" spans="12:37" ht="15.95" customHeight="1" x14ac:dyDescent="0.3">
      <c r="L36" s="23" t="str">
        <f t="shared" si="5"/>
        <v>2731.75</v>
      </c>
      <c r="M36" s="24" t="str">
        <f t="shared" si="0"/>
        <v/>
      </c>
      <c r="N36" s="25" t="str">
        <f t="shared" si="1"/>
        <v/>
      </c>
      <c r="O36" s="26">
        <f>RTD("cqg.rtd",,"StudyData","FPVol(FootprintOp ("&amp;$B$3&amp;", 0),"&amp;L36&amp;")", "Bar",, "Close","D","0","all",,,,"T")</f>
        <v>17005</v>
      </c>
      <c r="P36" s="27" t="str">
        <f t="shared" si="2"/>
        <v/>
      </c>
      <c r="Q36" s="22" t="str">
        <f t="shared" si="3"/>
        <v/>
      </c>
      <c r="R36" s="22">
        <f t="shared" si="4"/>
        <v>17005</v>
      </c>
      <c r="Y36" s="22">
        <f>IF(RTD("cqg.rtd",,"StudyData","SUBMINUTE(("&amp;$B$3&amp;"),1,FillGap)","Bar",,"Close","5",Z36,,,,,"T")="",NA(),_xlfn.NUMBERVALUE(TEXT(RTD("cqg.rtd",,"StudyData","SUBMINUTE(("&amp;$B$3&amp;"),1,FillGap)","Bar",,"Close","5",Z36,,,,,"T"),Sheet1!$D$8)))</f>
        <v>2739.75</v>
      </c>
      <c r="Z36" s="22">
        <f t="shared" si="6"/>
        <v>-35</v>
      </c>
      <c r="AA36" s="28">
        <f>RTD("cqg.rtd",,"StudyData","SUBMINUTE(("&amp;$B$3&amp;"),1,Regular)","FG",,"Time","5",Z36,,,,,"T")</f>
        <v>43167.635011574101</v>
      </c>
      <c r="AB36" s="22">
        <f xml:space="preserve"> RTD("cqg.rtd",,"StudyData","BAVolCr.BidVol^(SUBMINUTE(("&amp;$B$3&amp;"),1,FillGap),5,0)",  "Bar",, "Open", "5",Z36,,,,,"T")</f>
        <v>160</v>
      </c>
      <c r="AC36" s="22">
        <f xml:space="preserve"> RTD("cqg.rtd",,"StudyData","BAVolCr.AskVol^(SUBMINUTE(("&amp;$B$3&amp;"),1,FillGap),5,0)",  "Bar",, "Open", "5",Z36,,,,,"T")</f>
        <v>498</v>
      </c>
      <c r="AE36" s="28">
        <f>RTD("cqg.rtd",,"StudyData","SUBMINUTE(("&amp;$B$3&amp;"),5,Regular)","FG",,"Time","5",Z36,,,,,"T")</f>
        <v>43167.633391203701</v>
      </c>
      <c r="AF36" s="22">
        <f>IF(RTD("cqg.rtd",,"StudyData","SUBMINUTE(("&amp;$B$3&amp;"),5,FillGap)","Bar",,"Open","5",Z36,,,,,"T")="",NA(),_xlfn.NUMBERVALUE(TEXT(RTD("cqg.rtd",,"StudyData","SUBMINUTE(("&amp;$B$3&amp;"),5,FillGap)","Bar",,"Open","5",Z36,,,,,"T"),Sheet1!$D$8)))</f>
        <v>2739.75</v>
      </c>
      <c r="AG36" s="22">
        <f>IF(RTD("cqg.rtd",,"StudyData","SUBMINUTE(("&amp;$B$3&amp;"),5,FillGap)","Bar",,"High","5",Z36,,,,,"T")="",NA(),_xlfn.NUMBERVALUE(TEXT(RTD("cqg.rtd",,"StudyData","SUBMINUTE(("&amp;$B$3&amp;"),5,FillGap)","Bar",,"High","5",Z36,,,,,"T"),Sheet1!$D$8)))</f>
        <v>2739.75</v>
      </c>
      <c r="AH36" s="22">
        <f>IF(RTD("cqg.rtd",,"StudyData","SUBMINUTE(("&amp;$B$3&amp;"),5,FillGap)","Bar",,"Low","5",Z36,,,,,"T")="",NA(),_xlfn.NUMBERVALUE(TEXT(RTD("cqg.rtd",,"StudyData","SUBMINUTE(("&amp;$B$3&amp;"),5,FillGap)","Bar",,"Low","5",Z36,,,,,"T"),Sheet1!$D$8)))</f>
        <v>2739.5</v>
      </c>
      <c r="AI36" s="22">
        <f>IF(RTD("cqg.rtd",,"StudyData","SUBMINUTE(("&amp;$B$3&amp;"),5,FillGap)","Bar",,"Close","5",Z36,,,,,"T")="",NA(),_xlfn.NUMBERVALUE(TEXT(RTD("cqg.rtd",,"StudyData","SUBMINUTE(("&amp;$B$3&amp;"),5,FillGap)","Bar",,"Close","5",Z36,,,,,"T"),Sheet1!$D$8)))</f>
        <v>2739.5</v>
      </c>
      <c r="AJ36" s="22">
        <f xml:space="preserve"> RTD("cqg.rtd",,"StudyData","BAVolCr.BidVol^(SUBMINUTE(("&amp;$B$3&amp;"),5,FillGap),5,0)",  "Bar",, "Open", "5",Z36,,,,,"T")</f>
        <v>415</v>
      </c>
      <c r="AK36" s="22">
        <f xml:space="preserve"> RTD("cqg.rtd",,"StudyData","BAVolCr.AskVol^(SUBMINUTE(("&amp;$B$3&amp;"),5,FillGap),5,0)",  "Bar",, "Open", "5",Z36,,,,,"T")</f>
        <v>254</v>
      </c>
    </row>
    <row r="37" spans="12:37" ht="15.95" customHeight="1" x14ac:dyDescent="0.3">
      <c r="L37" s="23" t="str">
        <f t="shared" si="5"/>
        <v>2731.50</v>
      </c>
      <c r="M37" s="24" t="str">
        <f t="shared" si="0"/>
        <v/>
      </c>
      <c r="N37" s="25" t="str">
        <f t="shared" si="1"/>
        <v/>
      </c>
      <c r="O37" s="26">
        <f>RTD("cqg.rtd",,"StudyData","FPVol(FootprintOp ("&amp;$B$3&amp;", 0),"&amp;L37&amp;")", "Bar",, "Close","D","0","all",,,,"T")</f>
        <v>18603</v>
      </c>
      <c r="P37" s="27" t="str">
        <f t="shared" si="2"/>
        <v/>
      </c>
      <c r="Q37" s="22" t="str">
        <f t="shared" si="3"/>
        <v/>
      </c>
      <c r="R37" s="22">
        <f t="shared" si="4"/>
        <v>18603</v>
      </c>
      <c r="Y37" s="22">
        <f>IF(RTD("cqg.rtd",,"StudyData","SUBMINUTE(("&amp;$B$3&amp;"),1,FillGap)","Bar",,"Close","5",Z37,,,,,"T")="",NA(),_xlfn.NUMBERVALUE(TEXT(RTD("cqg.rtd",,"StudyData","SUBMINUTE(("&amp;$B$3&amp;"),1,FillGap)","Bar",,"Close","5",Z37,,,,,"T"),Sheet1!$D$8)))</f>
        <v>2739.75</v>
      </c>
      <c r="Z37" s="22">
        <f t="shared" si="6"/>
        <v>-36</v>
      </c>
      <c r="AA37" s="28">
        <f>RTD("cqg.rtd",,"StudyData","SUBMINUTE(("&amp;$B$3&amp;"),1,Regular)","FG",,"Time","5",Z37,,,,,"T")</f>
        <v>43167.635000000002</v>
      </c>
      <c r="AB37" s="22">
        <f xml:space="preserve"> RTD("cqg.rtd",,"StudyData","BAVolCr.BidVol^(SUBMINUTE(("&amp;$B$3&amp;"),1,FillGap),5,0)",  "Bar",, "Open", "5",Z37,,,,,"T")</f>
        <v>148</v>
      </c>
      <c r="AC37" s="22">
        <f xml:space="preserve"> RTD("cqg.rtd",,"StudyData","BAVolCr.AskVol^(SUBMINUTE(("&amp;$B$3&amp;"),1,FillGap),5,0)",  "Bar",, "Open", "5",Z37,,,,,"T")</f>
        <v>922</v>
      </c>
      <c r="AE37" s="28">
        <f>RTD("cqg.rtd",,"StudyData","SUBMINUTE(("&amp;$B$3&amp;"),5,Regular)","FG",,"Time","5",Z37,,,,,"T")</f>
        <v>43167.633333333302</v>
      </c>
      <c r="AF37" s="22">
        <f>IF(RTD("cqg.rtd",,"StudyData","SUBMINUTE(("&amp;$B$3&amp;"),5,FillGap)","Bar",,"Open","5",Z37,,,,,"T")="",NA(),_xlfn.NUMBERVALUE(TEXT(RTD("cqg.rtd",,"StudyData","SUBMINUTE(("&amp;$B$3&amp;"),5,FillGap)","Bar",,"Open","5",Z37,,,,,"T"),Sheet1!$D$8)))</f>
        <v>2739.5</v>
      </c>
      <c r="AG37" s="22">
        <f>IF(RTD("cqg.rtd",,"StudyData","SUBMINUTE(("&amp;$B$3&amp;"),5,FillGap)","Bar",,"High","5",Z37,,,,,"T")="",NA(),_xlfn.NUMBERVALUE(TEXT(RTD("cqg.rtd",,"StudyData","SUBMINUTE(("&amp;$B$3&amp;"),5,FillGap)","Bar",,"High","5",Z37,,,,,"T"),Sheet1!$D$8)))</f>
        <v>2739.75</v>
      </c>
      <c r="AH37" s="22">
        <f>IF(RTD("cqg.rtd",,"StudyData","SUBMINUTE(("&amp;$B$3&amp;"),5,FillGap)","Bar",,"Low","5",Z37,,,,,"T")="",NA(),_xlfn.NUMBERVALUE(TEXT(RTD("cqg.rtd",,"StudyData","SUBMINUTE(("&amp;$B$3&amp;"),5,FillGap)","Bar",,"Low","5",Z37,,,,,"T"),Sheet1!$D$8)))</f>
        <v>2739.25</v>
      </c>
      <c r="AI37" s="22">
        <f>IF(RTD("cqg.rtd",,"StudyData","SUBMINUTE(("&amp;$B$3&amp;"),5,FillGap)","Bar",,"Close","5",Z37,,,,,"T")="",NA(),_xlfn.NUMBERVALUE(TEXT(RTD("cqg.rtd",,"StudyData","SUBMINUTE(("&amp;$B$3&amp;"),5,FillGap)","Bar",,"Close","5",Z37,,,,,"T"),Sheet1!$D$8)))</f>
        <v>2739.5</v>
      </c>
      <c r="AJ37" s="22">
        <f xml:space="preserve"> RTD("cqg.rtd",,"StudyData","BAVolCr.BidVol^(SUBMINUTE(("&amp;$B$3&amp;"),5,FillGap),5,0)",  "Bar",, "Open", "5",Z37,,,,,"T")</f>
        <v>448</v>
      </c>
      <c r="AK37" s="22">
        <f xml:space="preserve"> RTD("cqg.rtd",,"StudyData","BAVolCr.AskVol^(SUBMINUTE(("&amp;$B$3&amp;"),5,FillGap),5,0)",  "Bar",, "Open", "5",Z37,,,,,"T")</f>
        <v>370</v>
      </c>
    </row>
    <row r="38" spans="12:37" ht="15.95" customHeight="1" x14ac:dyDescent="0.3">
      <c r="L38" s="23" t="str">
        <f t="shared" si="5"/>
        <v>2731.25</v>
      </c>
      <c r="M38" s="24" t="str">
        <f t="shared" si="0"/>
        <v/>
      </c>
      <c r="N38" s="25" t="str">
        <f t="shared" si="1"/>
        <v/>
      </c>
      <c r="O38" s="26">
        <f>RTD("cqg.rtd",,"StudyData","FPVol(FootprintOp ("&amp;$B$3&amp;", 0),"&amp;L38&amp;")", "Bar",, "Close","D","0","all",,,,"T")</f>
        <v>18966</v>
      </c>
      <c r="P38" s="27" t="str">
        <f t="shared" si="2"/>
        <v/>
      </c>
      <c r="Q38" s="22" t="str">
        <f t="shared" si="3"/>
        <v/>
      </c>
      <c r="R38" s="22">
        <f t="shared" si="4"/>
        <v>18966</v>
      </c>
      <c r="Y38" s="22">
        <f>IF(RTD("cqg.rtd",,"StudyData","SUBMINUTE(("&amp;$B$3&amp;"),1,FillGap)","Bar",,"Close","5",Z38,,,,,"T")="",NA(),_xlfn.NUMBERVALUE(TEXT(RTD("cqg.rtd",,"StudyData","SUBMINUTE(("&amp;$B$3&amp;"),1,FillGap)","Bar",,"Close","5",Z38,,,,,"T"),Sheet1!$D$8)))</f>
        <v>2739.5</v>
      </c>
      <c r="Z38" s="22">
        <f t="shared" si="6"/>
        <v>-37</v>
      </c>
      <c r="AA38" s="28">
        <f>RTD("cqg.rtd",,"StudyData","SUBMINUTE(("&amp;$B$3&amp;"),1,Regular)","FG",,"Time","5",Z38,,,,,"T")</f>
        <v>43167.634988425903</v>
      </c>
      <c r="AB38" s="22">
        <f xml:space="preserve"> RTD("cqg.rtd",,"StudyData","BAVolCr.BidVol^(SUBMINUTE(("&amp;$B$3&amp;"),1,FillGap),5,0)",  "Bar",, "Open", "5",Z38,,,,,"T")</f>
        <v>208</v>
      </c>
      <c r="AC38" s="22">
        <f xml:space="preserve"> RTD("cqg.rtd",,"StudyData","BAVolCr.AskVol^(SUBMINUTE(("&amp;$B$3&amp;"),1,FillGap),5,0)",  "Bar",, "Open", "5",Z38,,,,,"T")</f>
        <v>1076</v>
      </c>
      <c r="AE38" s="28">
        <f>RTD("cqg.rtd",,"StudyData","SUBMINUTE(("&amp;$B$3&amp;"),5,Regular)","FG",,"Time","5",Z38,,,,,"T")</f>
        <v>43167.633275462998</v>
      </c>
      <c r="AF38" s="22">
        <f>IF(RTD("cqg.rtd",,"StudyData","SUBMINUTE(("&amp;$B$3&amp;"),5,FillGap)","Bar",,"Open","5",Z38,,,,,"T")="",NA(),_xlfn.NUMBERVALUE(TEXT(RTD("cqg.rtd",,"StudyData","SUBMINUTE(("&amp;$B$3&amp;"),5,FillGap)","Bar",,"Open","5",Z38,,,,,"T"),Sheet1!$D$8)))</f>
        <v>2739.5</v>
      </c>
      <c r="AG38" s="22">
        <f>IF(RTD("cqg.rtd",,"StudyData","SUBMINUTE(("&amp;$B$3&amp;"),5,FillGap)","Bar",,"High","5",Z38,,,,,"T")="",NA(),_xlfn.NUMBERVALUE(TEXT(RTD("cqg.rtd",,"StudyData","SUBMINUTE(("&amp;$B$3&amp;"),5,FillGap)","Bar",,"High","5",Z38,,,,,"T"),Sheet1!$D$8)))</f>
        <v>2739.5</v>
      </c>
      <c r="AH38" s="22">
        <f>IF(RTD("cqg.rtd",,"StudyData","SUBMINUTE(("&amp;$B$3&amp;"),5,FillGap)","Bar",,"Low","5",Z38,,,,,"T")="",NA(),_xlfn.NUMBERVALUE(TEXT(RTD("cqg.rtd",,"StudyData","SUBMINUTE(("&amp;$B$3&amp;"),5,FillGap)","Bar",,"Low","5",Z38,,,,,"T"),Sheet1!$D$8)))</f>
        <v>2739.25</v>
      </c>
      <c r="AI38" s="22">
        <f>IF(RTD("cqg.rtd",,"StudyData","SUBMINUTE(("&amp;$B$3&amp;"),5,FillGap)","Bar",,"Close","5",Z38,,,,,"T")="",NA(),_xlfn.NUMBERVALUE(TEXT(RTD("cqg.rtd",,"StudyData","SUBMINUTE(("&amp;$B$3&amp;"),5,FillGap)","Bar",,"Close","5",Z38,,,,,"T"),Sheet1!$D$8)))</f>
        <v>2739.5</v>
      </c>
      <c r="AJ38" s="22">
        <f xml:space="preserve"> RTD("cqg.rtd",,"StudyData","BAVolCr.BidVol^(SUBMINUTE(("&amp;$B$3&amp;"),5,FillGap),5,0)",  "Bar",, "Open", "5",Z38,,,,,"T")</f>
        <v>517</v>
      </c>
      <c r="AK38" s="22">
        <f xml:space="preserve"> RTD("cqg.rtd",,"StudyData","BAVolCr.AskVol^(SUBMINUTE(("&amp;$B$3&amp;"),5,FillGap),5,0)",  "Bar",, "Open", "5",Z38,,,,,"T")</f>
        <v>400</v>
      </c>
    </row>
    <row r="39" spans="12:37" ht="15.95" customHeight="1" x14ac:dyDescent="0.3">
      <c r="L39" s="23" t="str">
        <f t="shared" si="5"/>
        <v>2731.00</v>
      </c>
      <c r="M39" s="24" t="str">
        <f t="shared" si="0"/>
        <v/>
      </c>
      <c r="N39" s="25" t="str">
        <f t="shared" si="1"/>
        <v/>
      </c>
      <c r="O39" s="26">
        <f>RTD("cqg.rtd",,"StudyData","FPVol(FootprintOp ("&amp;$B$3&amp;", 0),"&amp;L39&amp;")", "Bar",, "Close","D","0","all",,,,"T")</f>
        <v>17656</v>
      </c>
      <c r="P39" s="27" t="str">
        <f t="shared" si="2"/>
        <v/>
      </c>
      <c r="Q39" s="22" t="str">
        <f t="shared" si="3"/>
        <v/>
      </c>
      <c r="R39" s="22">
        <f t="shared" si="4"/>
        <v>17656</v>
      </c>
      <c r="Y39" s="22">
        <f>IF(RTD("cqg.rtd",,"StudyData","SUBMINUTE(("&amp;$B$3&amp;"),1,FillGap)","Bar",,"Close","5",Z39,,,,,"T")="",NA(),_xlfn.NUMBERVALUE(TEXT(RTD("cqg.rtd",,"StudyData","SUBMINUTE(("&amp;$B$3&amp;"),1,FillGap)","Bar",,"Close","5",Z39,,,,,"T"),Sheet1!$D$8)))</f>
        <v>2739.75</v>
      </c>
      <c r="Z39" s="22">
        <f t="shared" si="6"/>
        <v>-38</v>
      </c>
      <c r="AA39" s="28">
        <f>RTD("cqg.rtd",,"StudyData","SUBMINUTE(("&amp;$B$3&amp;"),1,Regular)","FG",,"Time","5",Z39,,,,,"T")</f>
        <v>43167.634976851899</v>
      </c>
      <c r="AB39" s="22">
        <f xml:space="preserve"> RTD("cqg.rtd",,"StudyData","BAVolCr.BidVol^(SUBMINUTE(("&amp;$B$3&amp;"),1,FillGap),5,0)",  "Bar",, "Open", "5",Z39,,,,,"T")</f>
        <v>153</v>
      </c>
      <c r="AC39" s="22">
        <f xml:space="preserve"> RTD("cqg.rtd",,"StudyData","BAVolCr.AskVol^(SUBMINUTE(("&amp;$B$3&amp;"),1,FillGap),5,0)",  "Bar",, "Open", "5",Z39,,,,,"T")</f>
        <v>1055</v>
      </c>
      <c r="AE39" s="28">
        <f>RTD("cqg.rtd",,"StudyData","SUBMINUTE(("&amp;$B$3&amp;"),5,Regular)","FG",,"Time","5",Z39,,,,,"T")</f>
        <v>43167.6332175926</v>
      </c>
      <c r="AF39" s="22">
        <f>IF(RTD("cqg.rtd",,"StudyData","SUBMINUTE(("&amp;$B$3&amp;"),5,FillGap)","Bar",,"Open","5",Z39,,,,,"T")="",NA(),_xlfn.NUMBERVALUE(TEXT(RTD("cqg.rtd",,"StudyData","SUBMINUTE(("&amp;$B$3&amp;"),5,FillGap)","Bar",,"Open","5",Z39,,,,,"T"),Sheet1!$D$8)))</f>
        <v>2739.75</v>
      </c>
      <c r="AG39" s="22">
        <f>IF(RTD("cqg.rtd",,"StudyData","SUBMINUTE(("&amp;$B$3&amp;"),5,FillGap)","Bar",,"High","5",Z39,,,,,"T")="",NA(),_xlfn.NUMBERVALUE(TEXT(RTD("cqg.rtd",,"StudyData","SUBMINUTE(("&amp;$B$3&amp;"),5,FillGap)","Bar",,"High","5",Z39,,,,,"T"),Sheet1!$D$8)))</f>
        <v>2739.75</v>
      </c>
      <c r="AH39" s="22">
        <f>IF(RTD("cqg.rtd",,"StudyData","SUBMINUTE(("&amp;$B$3&amp;"),5,FillGap)","Bar",,"Low","5",Z39,,,,,"T")="",NA(),_xlfn.NUMBERVALUE(TEXT(RTD("cqg.rtd",,"StudyData","SUBMINUTE(("&amp;$B$3&amp;"),5,FillGap)","Bar",,"Low","5",Z39,,,,,"T"),Sheet1!$D$8)))</f>
        <v>2739.5</v>
      </c>
      <c r="AI39" s="22">
        <f>IF(RTD("cqg.rtd",,"StudyData","SUBMINUTE(("&amp;$B$3&amp;"),5,FillGap)","Bar",,"Close","5",Z39,,,,,"T")="",NA(),_xlfn.NUMBERVALUE(TEXT(RTD("cqg.rtd",,"StudyData","SUBMINUTE(("&amp;$B$3&amp;"),5,FillGap)","Bar",,"Close","5",Z39,,,,,"T"),Sheet1!$D$8)))</f>
        <v>2739.5</v>
      </c>
      <c r="AJ39" s="22">
        <f xml:space="preserve"> RTD("cqg.rtd",,"StudyData","BAVolCr.BidVol^(SUBMINUTE(("&amp;$B$3&amp;"),5,FillGap),5,0)",  "Bar",, "Open", "5",Z39,,,,,"T")</f>
        <v>476</v>
      </c>
      <c r="AK39" s="22">
        <f xml:space="preserve"> RTD("cqg.rtd",,"StudyData","BAVolCr.AskVol^(SUBMINUTE(("&amp;$B$3&amp;"),5,FillGap),5,0)",  "Bar",, "Open", "5",Z39,,,,,"T")</f>
        <v>367</v>
      </c>
    </row>
    <row r="40" spans="12:37" ht="15.95" customHeight="1" x14ac:dyDescent="0.3">
      <c r="L40" s="23" t="str">
        <f t="shared" si="5"/>
        <v>2730.75</v>
      </c>
      <c r="M40" s="24" t="str">
        <f t="shared" si="0"/>
        <v/>
      </c>
      <c r="N40" s="25" t="str">
        <f t="shared" si="1"/>
        <v/>
      </c>
      <c r="O40" s="26">
        <f>RTD("cqg.rtd",,"StudyData","FPVol(FootprintOp ("&amp;$B$3&amp;", 0),"&amp;L40&amp;")", "Bar",, "Close","D","0","all",,,,"T")</f>
        <v>19185</v>
      </c>
      <c r="P40" s="27" t="str">
        <f t="shared" si="2"/>
        <v/>
      </c>
      <c r="Q40" s="22" t="str">
        <f t="shared" si="3"/>
        <v/>
      </c>
      <c r="R40" s="22">
        <f t="shared" si="4"/>
        <v>19185</v>
      </c>
      <c r="Y40" s="22">
        <f>IF(RTD("cqg.rtd",,"StudyData","SUBMINUTE(("&amp;$B$3&amp;"),1,FillGap)","Bar",,"Close","5",Z40,,,,,"T")="",NA(),_xlfn.NUMBERVALUE(TEXT(RTD("cqg.rtd",,"StudyData","SUBMINUTE(("&amp;$B$3&amp;"),1,FillGap)","Bar",,"Close","5",Z40,,,,,"T"),Sheet1!$D$8)))</f>
        <v>2739.5</v>
      </c>
      <c r="Z40" s="22">
        <f t="shared" si="6"/>
        <v>-39</v>
      </c>
      <c r="AA40" s="28">
        <f>RTD("cqg.rtd",,"StudyData","SUBMINUTE(("&amp;$B$3&amp;"),1,Regular)","FG",,"Time","5",Z40,,,,,"T")</f>
        <v>43167.634965277801</v>
      </c>
      <c r="AB40" s="22">
        <f xml:space="preserve"> RTD("cqg.rtd",,"StudyData","BAVolCr.BidVol^(SUBMINUTE(("&amp;$B$3&amp;"),1,FillGap),5,0)",  "Bar",, "Open", "5",Z40,,,,,"T")</f>
        <v>183</v>
      </c>
      <c r="AC40" s="22">
        <f xml:space="preserve"> RTD("cqg.rtd",,"StudyData","BAVolCr.AskVol^(SUBMINUTE(("&amp;$B$3&amp;"),1,FillGap),5,0)",  "Bar",, "Open", "5",Z40,,,,,"T")</f>
        <v>1048</v>
      </c>
      <c r="AE40" s="28">
        <f>RTD("cqg.rtd",,"StudyData","SUBMINUTE(("&amp;$B$3&amp;"),5,Regular)","FG",,"Time","5",Z40,,,,,"T")</f>
        <v>43167.633159722202</v>
      </c>
      <c r="AF40" s="22">
        <f>IF(RTD("cqg.rtd",,"StudyData","SUBMINUTE(("&amp;$B$3&amp;"),5,FillGap)","Bar",,"Open","5",Z40,,,,,"T")="",NA(),_xlfn.NUMBERVALUE(TEXT(RTD("cqg.rtd",,"StudyData","SUBMINUTE(("&amp;$B$3&amp;"),5,FillGap)","Bar",,"Open","5",Z40,,,,,"T"),Sheet1!$D$8)))</f>
        <v>2739.5</v>
      </c>
      <c r="AG40" s="22">
        <f>IF(RTD("cqg.rtd",,"StudyData","SUBMINUTE(("&amp;$B$3&amp;"),5,FillGap)","Bar",,"High","5",Z40,,,,,"T")="",NA(),_xlfn.NUMBERVALUE(TEXT(RTD("cqg.rtd",,"StudyData","SUBMINUTE(("&amp;$B$3&amp;"),5,FillGap)","Bar",,"High","5",Z40,,,,,"T"),Sheet1!$D$8)))</f>
        <v>2739.75</v>
      </c>
      <c r="AH40" s="22">
        <f>IF(RTD("cqg.rtd",,"StudyData","SUBMINUTE(("&amp;$B$3&amp;"),5,FillGap)","Bar",,"Low","5",Z40,,,,,"T")="",NA(),_xlfn.NUMBERVALUE(TEXT(RTD("cqg.rtd",,"StudyData","SUBMINUTE(("&amp;$B$3&amp;"),5,FillGap)","Bar",,"Low","5",Z40,,,,,"T"),Sheet1!$D$8)))</f>
        <v>2739.5</v>
      </c>
      <c r="AI40" s="22">
        <f>IF(RTD("cqg.rtd",,"StudyData","SUBMINUTE(("&amp;$B$3&amp;"),5,FillGap)","Bar",,"Close","5",Z40,,,,,"T")="",NA(),_xlfn.NUMBERVALUE(TEXT(RTD("cqg.rtd",,"StudyData","SUBMINUTE(("&amp;$B$3&amp;"),5,FillGap)","Bar",,"Close","5",Z40,,,,,"T"),Sheet1!$D$8)))</f>
        <v>2739.75</v>
      </c>
      <c r="AJ40" s="22">
        <f xml:space="preserve"> RTD("cqg.rtd",,"StudyData","BAVolCr.BidVol^(SUBMINUTE(("&amp;$B$3&amp;"),5,FillGap),5,0)",  "Bar",, "Open", "5",Z40,,,,,"T")</f>
        <v>351</v>
      </c>
      <c r="AK40" s="22">
        <f xml:space="preserve"> RTD("cqg.rtd",,"StudyData","BAVolCr.AskVol^(SUBMINUTE(("&amp;$B$3&amp;"),5,FillGap),5,0)",  "Bar",, "Open", "5",Z40,,,,,"T")</f>
        <v>370</v>
      </c>
    </row>
    <row r="41" spans="12:37" ht="15.95" customHeight="1" x14ac:dyDescent="0.3">
      <c r="L41" s="23" t="str">
        <f t="shared" si="5"/>
        <v>2730.50</v>
      </c>
      <c r="M41" s="24" t="str">
        <f t="shared" si="0"/>
        <v/>
      </c>
      <c r="N41" s="25" t="str">
        <f t="shared" si="1"/>
        <v/>
      </c>
      <c r="O41" s="26">
        <f>RTD("cqg.rtd",,"StudyData","FPVol(FootprintOp ("&amp;$B$3&amp;", 0),"&amp;L41&amp;")", "Bar",, "Close","D","0","all",,,,"T")</f>
        <v>21303</v>
      </c>
      <c r="P41" s="27" t="str">
        <f t="shared" si="2"/>
        <v/>
      </c>
      <c r="Q41" s="22" t="str">
        <f t="shared" si="3"/>
        <v/>
      </c>
      <c r="R41" s="22">
        <f t="shared" si="4"/>
        <v>21303</v>
      </c>
      <c r="Y41" s="22">
        <f>IF(RTD("cqg.rtd",,"StudyData","SUBMINUTE(("&amp;$B$3&amp;"),1,FillGap)","Bar",,"Close","5",Z41,,,,,"T")="",NA(),_xlfn.NUMBERVALUE(TEXT(RTD("cqg.rtd",,"StudyData","SUBMINUTE(("&amp;$B$3&amp;"),1,FillGap)","Bar",,"Close","5",Z41,,,,,"T"),Sheet1!$D$8)))</f>
        <v>2739.5</v>
      </c>
      <c r="Z41" s="22">
        <f t="shared" si="6"/>
        <v>-40</v>
      </c>
      <c r="AA41" s="28">
        <f>RTD("cqg.rtd",,"StudyData","SUBMINUTE(("&amp;$B$3&amp;"),1,Regular)","FG",,"Time","5",Z41,,,,,"T")</f>
        <v>43167.634953703702</v>
      </c>
      <c r="AB41" s="22">
        <f xml:space="preserve"> RTD("cqg.rtd",,"StudyData","BAVolCr.BidVol^(SUBMINUTE(("&amp;$B$3&amp;"),1,FillGap),5,0)",  "Bar",, "Open", "5",Z41,,,,,"T")</f>
        <v>186</v>
      </c>
      <c r="AC41" s="22">
        <f xml:space="preserve"> RTD("cqg.rtd",,"StudyData","BAVolCr.AskVol^(SUBMINUTE(("&amp;$B$3&amp;"),1,FillGap),5,0)",  "Bar",, "Open", "5",Z41,,,,,"T")</f>
        <v>848</v>
      </c>
      <c r="AE41" s="28">
        <f>RTD("cqg.rtd",,"StudyData","SUBMINUTE(("&amp;$B$3&amp;"),5,Regular)","FG",,"Time","5",Z41,,,,,"T")</f>
        <v>43167.633101851898</v>
      </c>
      <c r="AF41" s="22">
        <f>IF(RTD("cqg.rtd",,"StudyData","SUBMINUTE(("&amp;$B$3&amp;"),5,FillGap)","Bar",,"Open","5",Z41,,,,,"T")="",NA(),_xlfn.NUMBERVALUE(TEXT(RTD("cqg.rtd",,"StudyData","SUBMINUTE(("&amp;$B$3&amp;"),5,FillGap)","Bar",,"Open","5",Z41,,,,,"T"),Sheet1!$D$8)))</f>
        <v>2739.5</v>
      </c>
      <c r="AG41" s="22">
        <f>IF(RTD("cqg.rtd",,"StudyData","SUBMINUTE(("&amp;$B$3&amp;"),5,FillGap)","Bar",,"High","5",Z41,,,,,"T")="",NA(),_xlfn.NUMBERVALUE(TEXT(RTD("cqg.rtd",,"StudyData","SUBMINUTE(("&amp;$B$3&amp;"),5,FillGap)","Bar",,"High","5",Z41,,,,,"T"),Sheet1!$D$8)))</f>
        <v>2740</v>
      </c>
      <c r="AH41" s="22">
        <f>IF(RTD("cqg.rtd",,"StudyData","SUBMINUTE(("&amp;$B$3&amp;"),5,FillGap)","Bar",,"Low","5",Z41,,,,,"T")="",NA(),_xlfn.NUMBERVALUE(TEXT(RTD("cqg.rtd",,"StudyData","SUBMINUTE(("&amp;$B$3&amp;"),5,FillGap)","Bar",,"Low","5",Z41,,,,,"T"),Sheet1!$D$8)))</f>
        <v>2739.5</v>
      </c>
      <c r="AI41" s="22">
        <f>IF(RTD("cqg.rtd",,"StudyData","SUBMINUTE(("&amp;$B$3&amp;"),5,FillGap)","Bar",,"Close","5",Z41,,,,,"T")="",NA(),_xlfn.NUMBERVALUE(TEXT(RTD("cqg.rtd",,"StudyData","SUBMINUTE(("&amp;$B$3&amp;"),5,FillGap)","Bar",,"Close","5",Z41,,,,,"T"),Sheet1!$D$8)))</f>
        <v>2739.75</v>
      </c>
      <c r="AJ41" s="22">
        <f xml:space="preserve"> RTD("cqg.rtd",,"StudyData","BAVolCr.BidVol^(SUBMINUTE(("&amp;$B$3&amp;"),5,FillGap),5,0)",  "Bar",, "Open", "5",Z41,,,,,"T")</f>
        <v>357</v>
      </c>
      <c r="AK41" s="22">
        <f xml:space="preserve"> RTD("cqg.rtd",,"StudyData","BAVolCr.AskVol^(SUBMINUTE(("&amp;$B$3&amp;"),5,FillGap),5,0)",  "Bar",, "Open", "5",Z41,,,,,"T")</f>
        <v>356</v>
      </c>
    </row>
    <row r="42" spans="12:37" ht="15.95" customHeight="1" x14ac:dyDescent="0.3">
      <c r="L42" s="23" t="str">
        <f t="shared" si="5"/>
        <v>2730.25</v>
      </c>
      <c r="M42" s="24" t="str">
        <f t="shared" si="0"/>
        <v/>
      </c>
      <c r="N42" s="25" t="str">
        <f t="shared" si="1"/>
        <v/>
      </c>
      <c r="O42" s="26">
        <f>RTD("cqg.rtd",,"StudyData","FPVol(FootprintOp ("&amp;$B$3&amp;", 0),"&amp;L42&amp;")", "Bar",, "Close","D","0","all",,,,"T")</f>
        <v>22107</v>
      </c>
      <c r="P42" s="27" t="str">
        <f t="shared" si="2"/>
        <v/>
      </c>
      <c r="Q42" s="22" t="str">
        <f t="shared" si="3"/>
        <v/>
      </c>
      <c r="R42" s="22">
        <f t="shared" si="4"/>
        <v>22107</v>
      </c>
      <c r="Y42" s="22">
        <f>IF(RTD("cqg.rtd",,"StudyData","SUBMINUTE(("&amp;$B$3&amp;"),1,FillGap)","Bar",,"Close","5",Z42,,,,,"T")="",NA(),_xlfn.NUMBERVALUE(TEXT(RTD("cqg.rtd",,"StudyData","SUBMINUTE(("&amp;$B$3&amp;"),1,FillGap)","Bar",,"Close","5",Z42,,,,,"T"),Sheet1!$D$8)))</f>
        <v>2739.5</v>
      </c>
      <c r="Z42" s="22">
        <f t="shared" si="6"/>
        <v>-41</v>
      </c>
      <c r="AA42" s="28">
        <f>RTD("cqg.rtd",,"StudyData","SUBMINUTE(("&amp;$B$3&amp;"),1,Regular)","FG",,"Time","5",Z42,,,,,"T")</f>
        <v>43167.634942129604</v>
      </c>
      <c r="AB42" s="22">
        <f xml:space="preserve"> RTD("cqg.rtd",,"StudyData","BAVolCr.BidVol^(SUBMINUTE(("&amp;$B$3&amp;"),1,FillGap),5,0)",  "Bar",, "Open", "5",Z42,,,,,"T")</f>
        <v>121</v>
      </c>
      <c r="AC42" s="22">
        <f xml:space="preserve"> RTD("cqg.rtd",,"StudyData","BAVolCr.AskVol^(SUBMINUTE(("&amp;$B$3&amp;"),1,FillGap),5,0)",  "Bar",, "Open", "5",Z42,,,,,"T")</f>
        <v>424</v>
      </c>
      <c r="AE42" s="28">
        <f>RTD("cqg.rtd",,"StudyData","SUBMINUTE(("&amp;$B$3&amp;"),5,Regular)","FG",,"Time","5",Z42,,,,,"T")</f>
        <v>43167.633043981499</v>
      </c>
      <c r="AF42" s="22">
        <f>IF(RTD("cqg.rtd",,"StudyData","SUBMINUTE(("&amp;$B$3&amp;"),5,FillGap)","Bar",,"Open","5",Z42,,,,,"T")="",NA(),_xlfn.NUMBERVALUE(TEXT(RTD("cqg.rtd",,"StudyData","SUBMINUTE(("&amp;$B$3&amp;"),5,FillGap)","Bar",,"Open","5",Z42,,,,,"T"),Sheet1!$D$8)))</f>
        <v>2739.5</v>
      </c>
      <c r="AG42" s="22">
        <f>IF(RTD("cqg.rtd",,"StudyData","SUBMINUTE(("&amp;$B$3&amp;"),5,FillGap)","Bar",,"High","5",Z42,,,,,"T")="",NA(),_xlfn.NUMBERVALUE(TEXT(RTD("cqg.rtd",,"StudyData","SUBMINUTE(("&amp;$B$3&amp;"),5,FillGap)","Bar",,"High","5",Z42,,,,,"T"),Sheet1!$D$8)))</f>
        <v>2739.75</v>
      </c>
      <c r="AH42" s="22">
        <f>IF(RTD("cqg.rtd",,"StudyData","SUBMINUTE(("&amp;$B$3&amp;"),5,FillGap)","Bar",,"Low","5",Z42,,,,,"T")="",NA(),_xlfn.NUMBERVALUE(TEXT(RTD("cqg.rtd",,"StudyData","SUBMINUTE(("&amp;$B$3&amp;"),5,FillGap)","Bar",,"Low","5",Z42,,,,,"T"),Sheet1!$D$8)))</f>
        <v>2739.5</v>
      </c>
      <c r="AI42" s="22">
        <f>IF(RTD("cqg.rtd",,"StudyData","SUBMINUTE(("&amp;$B$3&amp;"),5,FillGap)","Bar",,"Close","5",Z42,,,,,"T")="",NA(),_xlfn.NUMBERVALUE(TEXT(RTD("cqg.rtd",,"StudyData","SUBMINUTE(("&amp;$B$3&amp;"),5,FillGap)","Bar",,"Close","5",Z42,,,,,"T"),Sheet1!$D$8)))</f>
        <v>2739.5</v>
      </c>
      <c r="AJ42" s="22">
        <f xml:space="preserve"> RTD("cqg.rtd",,"StudyData","BAVolCr.BidVol^(SUBMINUTE(("&amp;$B$3&amp;"),5,FillGap),5,0)",  "Bar",, "Open", "5",Z42,,,,,"T")</f>
        <v>347</v>
      </c>
      <c r="AK42" s="22">
        <f xml:space="preserve"> RTD("cqg.rtd",,"StudyData","BAVolCr.AskVol^(SUBMINUTE(("&amp;$B$3&amp;"),5,FillGap),5,0)",  "Bar",, "Open", "5",Z42,,,,,"T")</f>
        <v>325</v>
      </c>
    </row>
    <row r="43" spans="12:37" ht="15.95" customHeight="1" x14ac:dyDescent="0.3">
      <c r="L43" s="23" t="str">
        <f t="shared" si="5"/>
        <v>2730.00</v>
      </c>
      <c r="M43" s="24" t="str">
        <f t="shared" si="0"/>
        <v/>
      </c>
      <c r="N43" s="25" t="str">
        <f t="shared" si="1"/>
        <v/>
      </c>
      <c r="O43" s="26">
        <f>RTD("cqg.rtd",,"StudyData","FPVol(FootprintOp ("&amp;$B$3&amp;", 0),"&amp;L43&amp;")", "Bar",, "Close","D","0","all",,,,"T")</f>
        <v>21211</v>
      </c>
      <c r="P43" s="27" t="str">
        <f t="shared" si="2"/>
        <v/>
      </c>
      <c r="Q43" s="22" t="str">
        <f t="shared" si="3"/>
        <v/>
      </c>
      <c r="R43" s="22">
        <f t="shared" si="4"/>
        <v>21211</v>
      </c>
      <c r="Y43" s="22">
        <f>IF(RTD("cqg.rtd",,"StudyData","SUBMINUTE(("&amp;$B$3&amp;"),1,FillGap)","Bar",,"Close","5",Z43,,,,,"T")="",NA(),_xlfn.NUMBERVALUE(TEXT(RTD("cqg.rtd",,"StudyData","SUBMINUTE(("&amp;$B$3&amp;"),1,FillGap)","Bar",,"Close","5",Z43,,,,,"T"),Sheet1!$D$8)))</f>
        <v>2738.75</v>
      </c>
      <c r="Z43" s="22">
        <f t="shared" si="6"/>
        <v>-42</v>
      </c>
      <c r="AA43" s="28">
        <f>RTD("cqg.rtd",,"StudyData","SUBMINUTE(("&amp;$B$3&amp;"),1,Regular)","FG",,"Time","5",Z43,,,,,"T")</f>
        <v>43167.6349305556</v>
      </c>
      <c r="AB43" s="22">
        <f xml:space="preserve"> RTD("cqg.rtd",,"StudyData","BAVolCr.BidVol^(SUBMINUTE(("&amp;$B$3&amp;"),1,FillGap),5,0)",  "Bar",, "Open", "5",Z43,,,,,"T")</f>
        <v>54</v>
      </c>
      <c r="AC43" s="22">
        <f xml:space="preserve"> RTD("cqg.rtd",,"StudyData","BAVolCr.AskVol^(SUBMINUTE(("&amp;$B$3&amp;"),1,FillGap),5,0)",  "Bar",, "Open", "5",Z43,,,,,"T")</f>
        <v>0</v>
      </c>
      <c r="AE43" s="28">
        <f>RTD("cqg.rtd",,"StudyData","SUBMINUTE(("&amp;$B$3&amp;"),5,Regular)","FG",,"Time","5",Z43,,,,,"T")</f>
        <v>43167.632986111101</v>
      </c>
      <c r="AF43" s="22">
        <f>IF(RTD("cqg.rtd",,"StudyData","SUBMINUTE(("&amp;$B$3&amp;"),5,FillGap)","Bar",,"Open","5",Z43,,,,,"T")="",NA(),_xlfn.NUMBERVALUE(TEXT(RTD("cqg.rtd",,"StudyData","SUBMINUTE(("&amp;$B$3&amp;"),5,FillGap)","Bar",,"Open","5",Z43,,,,,"T"),Sheet1!$D$8)))</f>
        <v>2739.75</v>
      </c>
      <c r="AG43" s="22">
        <f>IF(RTD("cqg.rtd",,"StudyData","SUBMINUTE(("&amp;$B$3&amp;"),5,FillGap)","Bar",,"High","5",Z43,,,,,"T")="",NA(),_xlfn.NUMBERVALUE(TEXT(RTD("cqg.rtd",,"StudyData","SUBMINUTE(("&amp;$B$3&amp;"),5,FillGap)","Bar",,"High","5",Z43,,,,,"T"),Sheet1!$D$8)))</f>
        <v>2739.75</v>
      </c>
      <c r="AH43" s="22">
        <f>IF(RTD("cqg.rtd",,"StudyData","SUBMINUTE(("&amp;$B$3&amp;"),5,FillGap)","Bar",,"Low","5",Z43,,,,,"T")="",NA(),_xlfn.NUMBERVALUE(TEXT(RTD("cqg.rtd",,"StudyData","SUBMINUTE(("&amp;$B$3&amp;"),5,FillGap)","Bar",,"Low","5",Z43,,,,,"T"),Sheet1!$D$8)))</f>
        <v>2739.5</v>
      </c>
      <c r="AI43" s="22">
        <f>IF(RTD("cqg.rtd",,"StudyData","SUBMINUTE(("&amp;$B$3&amp;"),5,FillGap)","Bar",,"Close","5",Z43,,,,,"T")="",NA(),_xlfn.NUMBERVALUE(TEXT(RTD("cqg.rtd",,"StudyData","SUBMINUTE(("&amp;$B$3&amp;"),5,FillGap)","Bar",,"Close","5",Z43,,,,,"T"),Sheet1!$D$8)))</f>
        <v>2739.5</v>
      </c>
      <c r="AJ43" s="22">
        <f xml:space="preserve"> RTD("cqg.rtd",,"StudyData","BAVolCr.BidVol^(SUBMINUTE(("&amp;$B$3&amp;"),5,FillGap),5,0)",  "Bar",, "Open", "5",Z43,,,,,"T")</f>
        <v>323</v>
      </c>
      <c r="AK43" s="22">
        <f xml:space="preserve"> RTD("cqg.rtd",,"StudyData","BAVolCr.AskVol^(SUBMINUTE(("&amp;$B$3&amp;"),5,FillGap),5,0)",  "Bar",, "Open", "5",Z43,,,,,"T")</f>
        <v>366</v>
      </c>
    </row>
    <row r="44" spans="12:37" ht="15.95" customHeight="1" x14ac:dyDescent="0.3">
      <c r="L44" s="23" t="str">
        <f t="shared" si="5"/>
        <v>2729.75</v>
      </c>
      <c r="M44" s="24" t="str">
        <f t="shared" si="0"/>
        <v/>
      </c>
      <c r="N44" s="25" t="str">
        <f t="shared" si="1"/>
        <v/>
      </c>
      <c r="O44" s="26">
        <f>RTD("cqg.rtd",,"StudyData","FPVol(FootprintOp ("&amp;$B$3&amp;", 0),"&amp;L44&amp;")", "Bar",, "Close","D","0","all",,,,"T")</f>
        <v>20673</v>
      </c>
      <c r="P44" s="27" t="str">
        <f t="shared" si="2"/>
        <v/>
      </c>
      <c r="Q44" s="22" t="str">
        <f t="shared" si="3"/>
        <v/>
      </c>
      <c r="R44" s="22">
        <f t="shared" si="4"/>
        <v>20673</v>
      </c>
      <c r="Y44" s="22">
        <f>IF(RTD("cqg.rtd",,"StudyData","SUBMINUTE(("&amp;$B$3&amp;"),1,FillGap)","Bar",,"Close","5",Z44,,,,,"T")="",NA(),_xlfn.NUMBERVALUE(TEXT(RTD("cqg.rtd",,"StudyData","SUBMINUTE(("&amp;$B$3&amp;"),1,FillGap)","Bar",,"Close","5",Z44,,,,,"T"),Sheet1!$D$8)))</f>
        <v>2738.75</v>
      </c>
      <c r="Z44" s="22">
        <f t="shared" si="6"/>
        <v>-43</v>
      </c>
      <c r="AA44" s="28">
        <f>RTD("cqg.rtd",,"StudyData","SUBMINUTE(("&amp;$B$3&amp;"),1,Regular)","FG",,"Time","5",Z44,,,,,"T")</f>
        <v>43167.634918981501</v>
      </c>
      <c r="AB44" s="22">
        <f xml:space="preserve"> RTD("cqg.rtd",,"StudyData","BAVolCr.BidVol^(SUBMINUTE(("&amp;$B$3&amp;"),1,FillGap),5,0)",  "Bar",, "Open", "5",Z44,,,,,"T")</f>
        <v>55</v>
      </c>
      <c r="AC44" s="22">
        <f xml:space="preserve"> RTD("cqg.rtd",,"StudyData","BAVolCr.AskVol^(SUBMINUTE(("&amp;$B$3&amp;"),1,FillGap),5,0)",  "Bar",, "Open", "5",Z44,,,,,"T")</f>
        <v>0</v>
      </c>
      <c r="AE44" s="28">
        <f>RTD("cqg.rtd",,"StudyData","SUBMINUTE(("&amp;$B$3&amp;"),5,Regular)","FG",,"Time","5",Z44,,,,,"T")</f>
        <v>43167.632928240702</v>
      </c>
      <c r="AF44" s="22">
        <f>IF(RTD("cqg.rtd",,"StudyData","SUBMINUTE(("&amp;$B$3&amp;"),5,FillGap)","Bar",,"Open","5",Z44,,,,,"T")="",NA(),_xlfn.NUMBERVALUE(TEXT(RTD("cqg.rtd",,"StudyData","SUBMINUTE(("&amp;$B$3&amp;"),5,FillGap)","Bar",,"Open","5",Z44,,,,,"T"),Sheet1!$D$8)))</f>
        <v>2739.5</v>
      </c>
      <c r="AG44" s="22">
        <f>IF(RTD("cqg.rtd",,"StudyData","SUBMINUTE(("&amp;$B$3&amp;"),5,FillGap)","Bar",,"High","5",Z44,,,,,"T")="",NA(),_xlfn.NUMBERVALUE(TEXT(RTD("cqg.rtd",,"StudyData","SUBMINUTE(("&amp;$B$3&amp;"),5,FillGap)","Bar",,"High","5",Z44,,,,,"T"),Sheet1!$D$8)))</f>
        <v>2739.5</v>
      </c>
      <c r="AH44" s="22">
        <f>IF(RTD("cqg.rtd",,"StudyData","SUBMINUTE(("&amp;$B$3&amp;"),5,FillGap)","Bar",,"Low","5",Z44,,,,,"T")="",NA(),_xlfn.NUMBERVALUE(TEXT(RTD("cqg.rtd",,"StudyData","SUBMINUTE(("&amp;$B$3&amp;"),5,FillGap)","Bar",,"Low","5",Z44,,,,,"T"),Sheet1!$D$8)))</f>
        <v>2739.5</v>
      </c>
      <c r="AI44" s="22">
        <f>IF(RTD("cqg.rtd",,"StudyData","SUBMINUTE(("&amp;$B$3&amp;"),5,FillGap)","Bar",,"Close","5",Z44,,,,,"T")="",NA(),_xlfn.NUMBERVALUE(TEXT(RTD("cqg.rtd",,"StudyData","SUBMINUTE(("&amp;$B$3&amp;"),5,FillGap)","Bar",,"Close","5",Z44,,,,,"T"),Sheet1!$D$8)))</f>
        <v>2739.5</v>
      </c>
      <c r="AJ44" s="22">
        <f xml:space="preserve"> RTD("cqg.rtd",,"StudyData","BAVolCr.BidVol^(SUBMINUTE(("&amp;$B$3&amp;"),5,FillGap),5,0)",  "Bar",, "Open", "5",Z44,,,,,"T")</f>
        <v>307</v>
      </c>
      <c r="AK44" s="22">
        <f xml:space="preserve"> RTD("cqg.rtd",,"StudyData","BAVolCr.AskVol^(SUBMINUTE(("&amp;$B$3&amp;"),5,FillGap),5,0)",  "Bar",, "Open", "5",Z44,,,,,"T")</f>
        <v>408</v>
      </c>
    </row>
    <row r="45" spans="12:37" ht="15.95" customHeight="1" x14ac:dyDescent="0.3">
      <c r="L45" s="23" t="str">
        <f t="shared" si="5"/>
        <v>2729.50</v>
      </c>
      <c r="M45" s="24" t="str">
        <f t="shared" si="0"/>
        <v/>
      </c>
      <c r="N45" s="25" t="str">
        <f t="shared" si="1"/>
        <v/>
      </c>
      <c r="O45" s="26">
        <f>RTD("cqg.rtd",,"StudyData","FPVol(FootprintOp ("&amp;$B$3&amp;", 0),"&amp;L45&amp;")", "Bar",, "Close","D","0","all",,,,"T")</f>
        <v>22429</v>
      </c>
      <c r="P45" s="27" t="str">
        <f t="shared" si="2"/>
        <v/>
      </c>
      <c r="Q45" s="22" t="str">
        <f t="shared" si="3"/>
        <v/>
      </c>
      <c r="R45" s="22">
        <f t="shared" si="4"/>
        <v>22429</v>
      </c>
      <c r="Y45" s="22">
        <f>IF(RTD("cqg.rtd",,"StudyData","SUBMINUTE(("&amp;$B$3&amp;"),1,FillGap)","Bar",,"Close","5",Z45,,,,,"T")="",NA(),_xlfn.NUMBERVALUE(TEXT(RTD("cqg.rtd",,"StudyData","SUBMINUTE(("&amp;$B$3&amp;"),1,FillGap)","Bar",,"Close","5",Z45,,,,,"T"),Sheet1!$D$8)))</f>
        <v>2738.75</v>
      </c>
      <c r="Z45" s="22">
        <f t="shared" si="6"/>
        <v>-44</v>
      </c>
      <c r="AA45" s="28">
        <f>RTD("cqg.rtd",,"StudyData","SUBMINUTE(("&amp;$B$3&amp;"),1,Regular)","FG",,"Time","5",Z45,,,,,"T")</f>
        <v>43167.634907407402</v>
      </c>
      <c r="AB45" s="22">
        <f xml:space="preserve"> RTD("cqg.rtd",,"StudyData","BAVolCr.BidVol^(SUBMINUTE(("&amp;$B$3&amp;"),1,FillGap),5,0)",  "Bar",, "Open", "5",Z45,,,,,"T")</f>
        <v>28</v>
      </c>
      <c r="AC45" s="22">
        <f xml:space="preserve"> RTD("cqg.rtd",,"StudyData","BAVolCr.AskVol^(SUBMINUTE(("&amp;$B$3&amp;"),1,FillGap),5,0)",  "Bar",, "Open", "5",Z45,,,,,"T")</f>
        <v>0</v>
      </c>
      <c r="AE45" s="28">
        <f>RTD("cqg.rtd",,"StudyData","SUBMINUTE(("&amp;$B$3&amp;"),5,Regular)","FG",,"Time","5",Z45,,,,,"T")</f>
        <v>43167.632870370398</v>
      </c>
      <c r="AF45" s="22">
        <f>IF(RTD("cqg.rtd",,"StudyData","SUBMINUTE(("&amp;$B$3&amp;"),5,FillGap)","Bar",,"Open","5",Z45,,,,,"T")="",NA(),_xlfn.NUMBERVALUE(TEXT(RTD("cqg.rtd",,"StudyData","SUBMINUTE(("&amp;$B$3&amp;"),5,FillGap)","Bar",,"Open","5",Z45,,,,,"T"),Sheet1!$D$8)))</f>
        <v>2739.25</v>
      </c>
      <c r="AG45" s="22">
        <f>IF(RTD("cqg.rtd",,"StudyData","SUBMINUTE(("&amp;$B$3&amp;"),5,FillGap)","Bar",,"High","5",Z45,,,,,"T")="",NA(),_xlfn.NUMBERVALUE(TEXT(RTD("cqg.rtd",,"StudyData","SUBMINUTE(("&amp;$B$3&amp;"),5,FillGap)","Bar",,"High","5",Z45,,,,,"T"),Sheet1!$D$8)))</f>
        <v>2739.5</v>
      </c>
      <c r="AH45" s="22">
        <f>IF(RTD("cqg.rtd",,"StudyData","SUBMINUTE(("&amp;$B$3&amp;"),5,FillGap)","Bar",,"Low","5",Z45,,,,,"T")="",NA(),_xlfn.NUMBERVALUE(TEXT(RTD("cqg.rtd",,"StudyData","SUBMINUTE(("&amp;$B$3&amp;"),5,FillGap)","Bar",,"Low","5",Z45,,,,,"T"),Sheet1!$D$8)))</f>
        <v>2739.25</v>
      </c>
      <c r="AI45" s="22">
        <f>IF(RTD("cqg.rtd",,"StudyData","SUBMINUTE(("&amp;$B$3&amp;"),5,FillGap)","Bar",,"Close","5",Z45,,,,,"T")="",NA(),_xlfn.NUMBERVALUE(TEXT(RTD("cqg.rtd",,"StudyData","SUBMINUTE(("&amp;$B$3&amp;"),5,FillGap)","Bar",,"Close","5",Z45,,,,,"T"),Sheet1!$D$8)))</f>
        <v>2739.5</v>
      </c>
      <c r="AJ45" s="22">
        <f xml:space="preserve"> RTD("cqg.rtd",,"StudyData","BAVolCr.BidVol^(SUBMINUTE(("&amp;$B$3&amp;"),5,FillGap),5,0)",  "Bar",, "Open", "5",Z45,,,,,"T")</f>
        <v>297</v>
      </c>
      <c r="AK45" s="22">
        <f xml:space="preserve"> RTD("cqg.rtd",,"StudyData","BAVolCr.AskVol^(SUBMINUTE(("&amp;$B$3&amp;"),5,FillGap),5,0)",  "Bar",, "Open", "5",Z45,,,,,"T")</f>
        <v>436</v>
      </c>
    </row>
    <row r="46" spans="12:37" ht="15.95" customHeight="1" x14ac:dyDescent="0.3">
      <c r="L46" s="23" t="str">
        <f t="shared" si="5"/>
        <v>2729.25</v>
      </c>
      <c r="M46" s="24" t="str">
        <f t="shared" si="0"/>
        <v/>
      </c>
      <c r="N46" s="25" t="str">
        <f t="shared" si="1"/>
        <v/>
      </c>
      <c r="O46" s="26">
        <f>RTD("cqg.rtd",,"StudyData","FPVol(FootprintOp ("&amp;$B$3&amp;", 0),"&amp;L46&amp;")", "Bar",, "Close","D","0","all",,,,"T")</f>
        <v>21638</v>
      </c>
      <c r="P46" s="27" t="str">
        <f t="shared" si="2"/>
        <v/>
      </c>
      <c r="Q46" s="22" t="str">
        <f t="shared" si="3"/>
        <v/>
      </c>
      <c r="R46" s="22">
        <f t="shared" si="4"/>
        <v>21638</v>
      </c>
      <c r="Y46" s="22">
        <f>IF(RTD("cqg.rtd",,"StudyData","SUBMINUTE(("&amp;$B$3&amp;"),1,FillGap)","Bar",,"Close","5",Z46,,,,,"T")="",NA(),_xlfn.NUMBERVALUE(TEXT(RTD("cqg.rtd",,"StudyData","SUBMINUTE(("&amp;$B$3&amp;"),1,FillGap)","Bar",,"Close","5",Z46,,,,,"T"),Sheet1!$D$8)))</f>
        <v>2738.75</v>
      </c>
      <c r="Z46" s="22">
        <f t="shared" si="6"/>
        <v>-45</v>
      </c>
      <c r="AA46" s="28">
        <f>RTD("cqg.rtd",,"StudyData","SUBMINUTE(("&amp;$B$3&amp;"),1,Regular)","FG",,"Time","5",Z46,,,,,"T")</f>
        <v>43167.634895833296</v>
      </c>
      <c r="AB46" s="22">
        <f xml:space="preserve"> RTD("cqg.rtd",,"StudyData","BAVolCr.BidVol^(SUBMINUTE(("&amp;$B$3&amp;"),1,FillGap),5,0)",  "Bar",, "Open", "5",Z46,,,,,"T")</f>
        <v>112</v>
      </c>
      <c r="AC46" s="22">
        <f xml:space="preserve"> RTD("cqg.rtd",,"StudyData","BAVolCr.AskVol^(SUBMINUTE(("&amp;$B$3&amp;"),1,FillGap),5,0)",  "Bar",, "Open", "5",Z46,,,,,"T")</f>
        <v>216</v>
      </c>
      <c r="AE46" s="28">
        <f>RTD("cqg.rtd",,"StudyData","SUBMINUTE(("&amp;$B$3&amp;"),5,Regular)","FG",,"Time","5",Z46,,,,,"T")</f>
        <v>43167.6328125</v>
      </c>
      <c r="AF46" s="22">
        <f>IF(RTD("cqg.rtd",,"StudyData","SUBMINUTE(("&amp;$B$3&amp;"),5,FillGap)","Bar",,"Open","5",Z46,,,,,"T")="",NA(),_xlfn.NUMBERVALUE(TEXT(RTD("cqg.rtd",,"StudyData","SUBMINUTE(("&amp;$B$3&amp;"),5,FillGap)","Bar",,"Open","5",Z46,,,,,"T"),Sheet1!$D$8)))</f>
        <v>2739.25</v>
      </c>
      <c r="AG46" s="22">
        <f>IF(RTD("cqg.rtd",,"StudyData","SUBMINUTE(("&amp;$B$3&amp;"),5,FillGap)","Bar",,"High","5",Z46,,,,,"T")="",NA(),_xlfn.NUMBERVALUE(TEXT(RTD("cqg.rtd",,"StudyData","SUBMINUTE(("&amp;$B$3&amp;"),5,FillGap)","Bar",,"High","5",Z46,,,,,"T"),Sheet1!$D$8)))</f>
        <v>2739.25</v>
      </c>
      <c r="AH46" s="22">
        <f>IF(RTD("cqg.rtd",,"StudyData","SUBMINUTE(("&amp;$B$3&amp;"),5,FillGap)","Bar",,"Low","5",Z46,,,,,"T")="",NA(),_xlfn.NUMBERVALUE(TEXT(RTD("cqg.rtd",,"StudyData","SUBMINUTE(("&amp;$B$3&amp;"),5,FillGap)","Bar",,"Low","5",Z46,,,,,"T"),Sheet1!$D$8)))</f>
        <v>2739</v>
      </c>
      <c r="AI46" s="22">
        <f>IF(RTD("cqg.rtd",,"StudyData","SUBMINUTE(("&amp;$B$3&amp;"),5,FillGap)","Bar",,"Close","5",Z46,,,,,"T")="",NA(),_xlfn.NUMBERVALUE(TEXT(RTD("cqg.rtd",,"StudyData","SUBMINUTE(("&amp;$B$3&amp;"),5,FillGap)","Bar",,"Close","5",Z46,,,,,"T"),Sheet1!$D$8)))</f>
        <v>2739.25</v>
      </c>
      <c r="AJ46" s="22">
        <f xml:space="preserve"> RTD("cqg.rtd",,"StudyData","BAVolCr.BidVol^(SUBMINUTE(("&amp;$B$3&amp;"),5,FillGap),5,0)",  "Bar",, "Open", "5",Z46,,,,,"T")</f>
        <v>427</v>
      </c>
      <c r="AK46" s="22">
        <f xml:space="preserve"> RTD("cqg.rtd",,"StudyData","BAVolCr.AskVol^(SUBMINUTE(("&amp;$B$3&amp;"),5,FillGap),5,0)",  "Bar",, "Open", "5",Z46,,,,,"T")</f>
        <v>511</v>
      </c>
    </row>
    <row r="47" spans="12:37" ht="15.95" customHeight="1" x14ac:dyDescent="0.3">
      <c r="L47" s="23" t="str">
        <f t="shared" si="5"/>
        <v>2729.00</v>
      </c>
      <c r="M47" s="24" t="str">
        <f t="shared" si="0"/>
        <v/>
      </c>
      <c r="N47" s="25" t="str">
        <f t="shared" si="1"/>
        <v/>
      </c>
      <c r="O47" s="26">
        <f>RTD("cqg.rtd",,"StudyData","FPVol(FootprintOp ("&amp;$B$3&amp;", 0),"&amp;L47&amp;")", "Bar",, "Close","D","0","all",,,,"T")</f>
        <v>22223</v>
      </c>
      <c r="P47" s="27" t="str">
        <f t="shared" si="2"/>
        <v/>
      </c>
      <c r="Q47" s="22" t="str">
        <f t="shared" si="3"/>
        <v/>
      </c>
      <c r="R47" s="22">
        <f t="shared" si="4"/>
        <v>22223</v>
      </c>
      <c r="Y47" s="22">
        <f>IF(RTD("cqg.rtd",,"StudyData","SUBMINUTE(("&amp;$B$3&amp;"),1,FillGap)","Bar",,"Close","5",Z47,,,,,"T")="",NA(),_xlfn.NUMBERVALUE(TEXT(RTD("cqg.rtd",,"StudyData","SUBMINUTE(("&amp;$B$3&amp;"),1,FillGap)","Bar",,"Close","5",Z47,,,,,"T"),Sheet1!$D$8)))</f>
        <v>2738.75</v>
      </c>
      <c r="Z47" s="22">
        <f t="shared" si="6"/>
        <v>-46</v>
      </c>
      <c r="AA47" s="28">
        <f>RTD("cqg.rtd",,"StudyData","SUBMINUTE(("&amp;$B$3&amp;"),1,Regular)","FG",,"Time","5",Z47,,,,,"T")</f>
        <v>43167.6348842593</v>
      </c>
      <c r="AB47" s="22">
        <f xml:space="preserve"> RTD("cqg.rtd",,"StudyData","BAVolCr.BidVol^(SUBMINUTE(("&amp;$B$3&amp;"),1,FillGap),5,0)",  "Bar",, "Open", "5",Z47,,,,,"T")</f>
        <v>110</v>
      </c>
      <c r="AC47" s="22">
        <f xml:space="preserve"> RTD("cqg.rtd",,"StudyData","BAVolCr.AskVol^(SUBMINUTE(("&amp;$B$3&amp;"),1,FillGap),5,0)",  "Bar",, "Open", "5",Z47,,,,,"T")</f>
        <v>219</v>
      </c>
      <c r="AE47" s="28">
        <f>RTD("cqg.rtd",,"StudyData","SUBMINUTE(("&amp;$B$3&amp;"),5,Regular)","FG",,"Time","5",Z47,,,,,"T")</f>
        <v>43167.632754629602</v>
      </c>
      <c r="AF47" s="22">
        <f>IF(RTD("cqg.rtd",,"StudyData","SUBMINUTE(("&amp;$B$3&amp;"),5,FillGap)","Bar",,"Open","5",Z47,,,,,"T")="",NA(),_xlfn.NUMBERVALUE(TEXT(RTD("cqg.rtd",,"StudyData","SUBMINUTE(("&amp;$B$3&amp;"),5,FillGap)","Bar",,"Open","5",Z47,,,,,"T"),Sheet1!$D$8)))</f>
        <v>2739</v>
      </c>
      <c r="AG47" s="22">
        <f>IF(RTD("cqg.rtd",,"StudyData","SUBMINUTE(("&amp;$B$3&amp;"),5,FillGap)","Bar",,"High","5",Z47,,,,,"T")="",NA(),_xlfn.NUMBERVALUE(TEXT(RTD("cqg.rtd",,"StudyData","SUBMINUTE(("&amp;$B$3&amp;"),5,FillGap)","Bar",,"High","5",Z47,,,,,"T"),Sheet1!$D$8)))</f>
        <v>2739.25</v>
      </c>
      <c r="AH47" s="22">
        <f>IF(RTD("cqg.rtd",,"StudyData","SUBMINUTE(("&amp;$B$3&amp;"),5,FillGap)","Bar",,"Low","5",Z47,,,,,"T")="",NA(),_xlfn.NUMBERVALUE(TEXT(RTD("cqg.rtd",,"StudyData","SUBMINUTE(("&amp;$B$3&amp;"),5,FillGap)","Bar",,"Low","5",Z47,,,,,"T"),Sheet1!$D$8)))</f>
        <v>2739</v>
      </c>
      <c r="AI47" s="22">
        <f>IF(RTD("cqg.rtd",,"StudyData","SUBMINUTE(("&amp;$B$3&amp;"),5,FillGap)","Bar",,"Close","5",Z47,,,,,"T")="",NA(),_xlfn.NUMBERVALUE(TEXT(RTD("cqg.rtd",,"StudyData","SUBMINUTE(("&amp;$B$3&amp;"),5,FillGap)","Bar",,"Close","5",Z47,,,,,"T"),Sheet1!$D$8)))</f>
        <v>2739.25</v>
      </c>
      <c r="AJ47" s="22">
        <f xml:space="preserve"> RTD("cqg.rtd",,"StudyData","BAVolCr.BidVol^(SUBMINUTE(("&amp;$B$3&amp;"),5,FillGap),5,0)",  "Bar",, "Open", "5",Z47,,,,,"T")</f>
        <v>339</v>
      </c>
      <c r="AK47" s="22">
        <f xml:space="preserve"> RTD("cqg.rtd",,"StudyData","BAVolCr.AskVol^(SUBMINUTE(("&amp;$B$3&amp;"),5,FillGap),5,0)",  "Bar",, "Open", "5",Z47,,,,,"T")</f>
        <v>437</v>
      </c>
    </row>
    <row r="48" spans="12:37" ht="15.95" customHeight="1" x14ac:dyDescent="0.3">
      <c r="L48" s="23" t="str">
        <f t="shared" si="5"/>
        <v>2728.75</v>
      </c>
      <c r="M48" s="24" t="str">
        <f t="shared" si="0"/>
        <v/>
      </c>
      <c r="N48" s="25" t="str">
        <f t="shared" si="1"/>
        <v/>
      </c>
      <c r="O48" s="26">
        <f>RTD("cqg.rtd",,"StudyData","FPVol(FootprintOp ("&amp;$B$3&amp;", 0),"&amp;L48&amp;")", "Bar",, "Close","D","0","all",,,,"T")</f>
        <v>23028</v>
      </c>
      <c r="P48" s="27" t="str">
        <f t="shared" si="2"/>
        <v/>
      </c>
      <c r="Q48" s="22" t="str">
        <f t="shared" si="3"/>
        <v/>
      </c>
      <c r="R48" s="22">
        <f t="shared" si="4"/>
        <v>23028</v>
      </c>
      <c r="Y48" s="22">
        <f>IF(RTD("cqg.rtd",,"StudyData","SUBMINUTE(("&amp;$B$3&amp;"),1,FillGap)","Bar",,"Close","5",Z48,,,,,"T")="",NA(),_xlfn.NUMBERVALUE(TEXT(RTD("cqg.rtd",,"StudyData","SUBMINUTE(("&amp;$B$3&amp;"),1,FillGap)","Bar",,"Close","5",Z48,,,,,"T"),Sheet1!$D$8)))</f>
        <v>2738.75</v>
      </c>
      <c r="Z48" s="22">
        <f t="shared" si="6"/>
        <v>-47</v>
      </c>
      <c r="AA48" s="28">
        <f>RTD("cqg.rtd",,"StudyData","SUBMINUTE(("&amp;$B$3&amp;"),1,Regular)","FG",,"Time","5",Z48,,,,,"T")</f>
        <v>43167.634872685099</v>
      </c>
      <c r="AB48" s="22">
        <f xml:space="preserve"> RTD("cqg.rtd",,"StudyData","BAVolCr.BidVol^(SUBMINUTE(("&amp;$B$3&amp;"),1,FillGap),5,0)",  "Bar",, "Open", "5",Z48,,,,,"T")</f>
        <v>459</v>
      </c>
      <c r="AC48" s="22">
        <f xml:space="preserve"> RTD("cqg.rtd",,"StudyData","BAVolCr.AskVol^(SUBMINUTE(("&amp;$B$3&amp;"),1,FillGap),5,0)",  "Bar",, "Open", "5",Z48,,,,,"T")</f>
        <v>219</v>
      </c>
      <c r="AE48" s="28">
        <f>RTD("cqg.rtd",,"StudyData","SUBMINUTE(("&amp;$B$3&amp;"),5,Regular)","FG",,"Time","5",Z48,,,,,"T")</f>
        <v>43167.632696759298</v>
      </c>
      <c r="AF48" s="22">
        <f>IF(RTD("cqg.rtd",,"StudyData","SUBMINUTE(("&amp;$B$3&amp;"),5,FillGap)","Bar",,"Open","5",Z48,,,,,"T")="",NA(),_xlfn.NUMBERVALUE(TEXT(RTD("cqg.rtd",,"StudyData","SUBMINUTE(("&amp;$B$3&amp;"),5,FillGap)","Bar",,"Open","5",Z48,,,,,"T"),Sheet1!$D$8)))</f>
        <v>2739.25</v>
      </c>
      <c r="AG48" s="22">
        <f>IF(RTD("cqg.rtd",,"StudyData","SUBMINUTE(("&amp;$B$3&amp;"),5,FillGap)","Bar",,"High","5",Z48,,,,,"T")="",NA(),_xlfn.NUMBERVALUE(TEXT(RTD("cqg.rtd",,"StudyData","SUBMINUTE(("&amp;$B$3&amp;"),5,FillGap)","Bar",,"High","5",Z48,,,,,"T"),Sheet1!$D$8)))</f>
        <v>2739.25</v>
      </c>
      <c r="AH48" s="22">
        <f>IF(RTD("cqg.rtd",,"StudyData","SUBMINUTE(("&amp;$B$3&amp;"),5,FillGap)","Bar",,"Low","5",Z48,,,,,"T")="",NA(),_xlfn.NUMBERVALUE(TEXT(RTD("cqg.rtd",,"StudyData","SUBMINUTE(("&amp;$B$3&amp;"),5,FillGap)","Bar",,"Low","5",Z48,,,,,"T"),Sheet1!$D$8)))</f>
        <v>2739</v>
      </c>
      <c r="AI48" s="22">
        <f>IF(RTD("cqg.rtd",,"StudyData","SUBMINUTE(("&amp;$B$3&amp;"),5,FillGap)","Bar",,"Close","5",Z48,,,,,"T")="",NA(),_xlfn.NUMBERVALUE(TEXT(RTD("cqg.rtd",,"StudyData","SUBMINUTE(("&amp;$B$3&amp;"),5,FillGap)","Bar",,"Close","5",Z48,,,,,"T"),Sheet1!$D$8)))</f>
        <v>2739</v>
      </c>
      <c r="AJ48" s="22">
        <f xml:space="preserve"> RTD("cqg.rtd",,"StudyData","BAVolCr.BidVol^(SUBMINUTE(("&amp;$B$3&amp;"),5,FillGap),5,0)",  "Bar",, "Open", "5",Z48,,,,,"T")</f>
        <v>280</v>
      </c>
      <c r="AK48" s="22">
        <f xml:space="preserve"> RTD("cqg.rtd",,"StudyData","BAVolCr.AskVol^(SUBMINUTE(("&amp;$B$3&amp;"),5,FillGap),5,0)",  "Bar",, "Open", "5",Z48,,,,,"T")</f>
        <v>367</v>
      </c>
    </row>
    <row r="49" spans="12:37" ht="15.95" customHeight="1" x14ac:dyDescent="0.3">
      <c r="L49" s="23" t="str">
        <f t="shared" si="5"/>
        <v>2728.50</v>
      </c>
      <c r="M49" s="24" t="str">
        <f t="shared" si="0"/>
        <v/>
      </c>
      <c r="N49" s="25" t="str">
        <f t="shared" si="1"/>
        <v/>
      </c>
      <c r="O49" s="26">
        <f>RTD("cqg.rtd",,"StudyData","FPVol(FootprintOp ("&amp;$B$3&amp;", 0),"&amp;L49&amp;")", "Bar",, "Close","D","0","all",,,,"T")</f>
        <v>22730</v>
      </c>
      <c r="P49" s="27" t="str">
        <f t="shared" si="2"/>
        <v/>
      </c>
      <c r="Q49" s="22" t="str">
        <f t="shared" si="3"/>
        <v/>
      </c>
      <c r="R49" s="22">
        <f t="shared" si="4"/>
        <v>22730</v>
      </c>
      <c r="Y49" s="22">
        <f>IF(RTD("cqg.rtd",,"StudyData","SUBMINUTE(("&amp;$B$3&amp;"),1,FillGap)","Bar",,"Close","5",Z49,,,,,"T")="",NA(),_xlfn.NUMBERVALUE(TEXT(RTD("cqg.rtd",,"StudyData","SUBMINUTE(("&amp;$B$3&amp;"),1,FillGap)","Bar",,"Close","5",Z49,,,,,"T"),Sheet1!$D$8)))</f>
        <v>2738.75</v>
      </c>
      <c r="Z49" s="22">
        <f t="shared" si="6"/>
        <v>-48</v>
      </c>
      <c r="AA49" s="28">
        <f>RTD("cqg.rtd",,"StudyData","SUBMINUTE(("&amp;$B$3&amp;"),1,Regular)","FG",,"Time","5",Z49,,,,,"T")</f>
        <v>43167.634861111103</v>
      </c>
      <c r="AB49" s="22">
        <f xml:space="preserve"> RTD("cqg.rtd",,"StudyData","BAVolCr.BidVol^(SUBMINUTE(("&amp;$B$3&amp;"),1,FillGap),5,0)",  "Bar",, "Open", "5",Z49,,,,,"T")</f>
        <v>461</v>
      </c>
      <c r="AC49" s="22">
        <f xml:space="preserve"> RTD("cqg.rtd",,"StudyData","BAVolCr.AskVol^(SUBMINUTE(("&amp;$B$3&amp;"),1,FillGap),5,0)",  "Bar",, "Open", "5",Z49,,,,,"T")</f>
        <v>219</v>
      </c>
      <c r="AE49" s="28">
        <f>RTD("cqg.rtd",,"StudyData","SUBMINUTE(("&amp;$B$3&amp;"),5,Regular)","FG",,"Time","5",Z49,,,,,"T")</f>
        <v>43167.632638888899</v>
      </c>
      <c r="AF49" s="22">
        <f>IF(RTD("cqg.rtd",,"StudyData","SUBMINUTE(("&amp;$B$3&amp;"),5,FillGap)","Bar",,"Open","5",Z49,,,,,"T")="",NA(),_xlfn.NUMBERVALUE(TEXT(RTD("cqg.rtd",,"StudyData","SUBMINUTE(("&amp;$B$3&amp;"),5,FillGap)","Bar",,"Open","5",Z49,,,,,"T"),Sheet1!$D$8)))</f>
        <v>2739</v>
      </c>
      <c r="AG49" s="22">
        <f>IF(RTD("cqg.rtd",,"StudyData","SUBMINUTE(("&amp;$B$3&amp;"),5,FillGap)","Bar",,"High","5",Z49,,,,,"T")="",NA(),_xlfn.NUMBERVALUE(TEXT(RTD("cqg.rtd",,"StudyData","SUBMINUTE(("&amp;$B$3&amp;"),5,FillGap)","Bar",,"High","5",Z49,,,,,"T"),Sheet1!$D$8)))</f>
        <v>2739.25</v>
      </c>
      <c r="AH49" s="22">
        <f>IF(RTD("cqg.rtd",,"StudyData","SUBMINUTE(("&amp;$B$3&amp;"),5,FillGap)","Bar",,"Low","5",Z49,,,,,"T")="",NA(),_xlfn.NUMBERVALUE(TEXT(RTD("cqg.rtd",,"StudyData","SUBMINUTE(("&amp;$B$3&amp;"),5,FillGap)","Bar",,"Low","5",Z49,,,,,"T"),Sheet1!$D$8)))</f>
        <v>2739</v>
      </c>
      <c r="AI49" s="22">
        <f>IF(RTD("cqg.rtd",,"StudyData","SUBMINUTE(("&amp;$B$3&amp;"),5,FillGap)","Bar",,"Close","5",Z49,,,,,"T")="",NA(),_xlfn.NUMBERVALUE(TEXT(RTD("cqg.rtd",,"StudyData","SUBMINUTE(("&amp;$B$3&amp;"),5,FillGap)","Bar",,"Close","5",Z49,,,,,"T"),Sheet1!$D$8)))</f>
        <v>2739</v>
      </c>
      <c r="AJ49" s="22">
        <f xml:space="preserve"> RTD("cqg.rtd",,"StudyData","BAVolCr.BidVol^(SUBMINUTE(("&amp;$B$3&amp;"),5,FillGap),5,0)",  "Bar",, "Open", "5",Z49,,,,,"T")</f>
        <v>306</v>
      </c>
      <c r="AK49" s="22">
        <f xml:space="preserve"> RTD("cqg.rtd",,"StudyData","BAVolCr.AskVol^(SUBMINUTE(("&amp;$B$3&amp;"),5,FillGap),5,0)",  "Bar",, "Open", "5",Z49,,,,,"T")</f>
        <v>299</v>
      </c>
    </row>
    <row r="50" spans="12:37" ht="15.95" customHeight="1" x14ac:dyDescent="0.3">
      <c r="L50" s="23" t="str">
        <f t="shared" si="5"/>
        <v>2728.25</v>
      </c>
      <c r="M50" s="24" t="str">
        <f t="shared" si="0"/>
        <v/>
      </c>
      <c r="N50" s="25" t="str">
        <f t="shared" si="1"/>
        <v/>
      </c>
      <c r="O50" s="26">
        <f>RTD("cqg.rtd",,"StudyData","FPVol(FootprintOp ("&amp;$B$3&amp;", 0),"&amp;L50&amp;")", "Bar",, "Close","D","0","all",,,,"T")</f>
        <v>19163</v>
      </c>
      <c r="P50" s="27" t="str">
        <f t="shared" si="2"/>
        <v/>
      </c>
      <c r="Q50" s="22" t="str">
        <f t="shared" si="3"/>
        <v/>
      </c>
      <c r="R50" s="22">
        <f t="shared" si="4"/>
        <v>19163</v>
      </c>
      <c r="Y50" s="22">
        <f>IF(RTD("cqg.rtd",,"StudyData","SUBMINUTE(("&amp;$B$3&amp;"),1,FillGap)","Bar",,"Close","5",Z50,,,,,"T")="",NA(),_xlfn.NUMBERVALUE(TEXT(RTD("cqg.rtd",,"StudyData","SUBMINUTE(("&amp;$B$3&amp;"),1,FillGap)","Bar",,"Close","5",Z50,,,,,"T"),Sheet1!$D$8)))</f>
        <v>2738.75</v>
      </c>
      <c r="Z50" s="22">
        <f t="shared" si="6"/>
        <v>-49</v>
      </c>
      <c r="AA50" s="28">
        <f>RTD("cqg.rtd",,"StudyData","SUBMINUTE(("&amp;$B$3&amp;"),1,Regular)","FG",,"Time","5",Z50,,,,,"T")</f>
        <v>43167.634849536997</v>
      </c>
      <c r="AB50" s="22">
        <f xml:space="preserve"> RTD("cqg.rtd",,"StudyData","BAVolCr.BidVol^(SUBMINUTE(("&amp;$B$3&amp;"),1,FillGap),5,0)",  "Bar",, "Open", "5",Z50,,,,,"T")</f>
        <v>490</v>
      </c>
      <c r="AC50" s="22">
        <f xml:space="preserve"> RTD("cqg.rtd",,"StudyData","BAVolCr.AskVol^(SUBMINUTE(("&amp;$B$3&amp;"),1,FillGap),5,0)",  "Bar",, "Open", "5",Z50,,,,,"T")</f>
        <v>219</v>
      </c>
      <c r="AE50" s="28">
        <f>RTD("cqg.rtd",,"StudyData","SUBMINUTE(("&amp;$B$3&amp;"),5,Regular)","FG",,"Time","5",Z50,,,,,"T")</f>
        <v>43167.632581018501</v>
      </c>
      <c r="AF50" s="22">
        <f>IF(RTD("cqg.rtd",,"StudyData","SUBMINUTE(("&amp;$B$3&amp;"),5,FillGap)","Bar",,"Open","5",Z50,,,,,"T")="",NA(),_xlfn.NUMBERVALUE(TEXT(RTD("cqg.rtd",,"StudyData","SUBMINUTE(("&amp;$B$3&amp;"),5,FillGap)","Bar",,"Open","5",Z50,,,,,"T"),Sheet1!$D$8)))</f>
        <v>2739</v>
      </c>
      <c r="AG50" s="22">
        <f>IF(RTD("cqg.rtd",,"StudyData","SUBMINUTE(("&amp;$B$3&amp;"),5,FillGap)","Bar",,"High","5",Z50,,,,,"T")="",NA(),_xlfn.NUMBERVALUE(TEXT(RTD("cqg.rtd",,"StudyData","SUBMINUTE(("&amp;$B$3&amp;"),5,FillGap)","Bar",,"High","5",Z50,,,,,"T"),Sheet1!$D$8)))</f>
        <v>2739</v>
      </c>
      <c r="AH50" s="22">
        <f>IF(RTD("cqg.rtd",,"StudyData","SUBMINUTE(("&amp;$B$3&amp;"),5,FillGap)","Bar",,"Low","5",Z50,,,,,"T")="",NA(),_xlfn.NUMBERVALUE(TEXT(RTD("cqg.rtd",,"StudyData","SUBMINUTE(("&amp;$B$3&amp;"),5,FillGap)","Bar",,"Low","5",Z50,,,,,"T"),Sheet1!$D$8)))</f>
        <v>2739</v>
      </c>
      <c r="AI50" s="22">
        <f>IF(RTD("cqg.rtd",,"StudyData","SUBMINUTE(("&amp;$B$3&amp;"),5,FillGap)","Bar",,"Close","5",Z50,,,,,"T")="",NA(),_xlfn.NUMBERVALUE(TEXT(RTD("cqg.rtd",,"StudyData","SUBMINUTE(("&amp;$B$3&amp;"),5,FillGap)","Bar",,"Close","5",Z50,,,,,"T"),Sheet1!$D$8)))</f>
        <v>2739</v>
      </c>
      <c r="AJ50" s="22">
        <f xml:space="preserve"> RTD("cqg.rtd",,"StudyData","BAVolCr.BidVol^(SUBMINUTE(("&amp;$B$3&amp;"),5,FillGap),5,0)",  "Bar",, "Open", "5",Z50,,,,,"T")</f>
        <v>259</v>
      </c>
      <c r="AK50" s="22">
        <f xml:space="preserve"> RTD("cqg.rtd",,"StudyData","BAVolCr.AskVol^(SUBMINUTE(("&amp;$B$3&amp;"),5,FillGap),5,0)",  "Bar",, "Open", "5",Z50,,,,,"T")</f>
        <v>191</v>
      </c>
    </row>
    <row r="51" spans="12:37" ht="15.95" customHeight="1" x14ac:dyDescent="0.3">
      <c r="L51" s="23" t="str">
        <f t="shared" si="5"/>
        <v>2728.00</v>
      </c>
      <c r="M51" s="24" t="str">
        <f t="shared" si="0"/>
        <v/>
      </c>
      <c r="N51" s="25" t="str">
        <f t="shared" si="1"/>
        <v/>
      </c>
      <c r="O51" s="26">
        <f>RTD("cqg.rtd",,"StudyData","FPVol(FootprintOp ("&amp;$B$3&amp;", 0),"&amp;L51&amp;")", "Bar",, "Close","D","0","all",,,,"T")</f>
        <v>17081</v>
      </c>
      <c r="P51" s="27" t="str">
        <f t="shared" si="2"/>
        <v/>
      </c>
      <c r="Q51" s="22" t="str">
        <f t="shared" si="3"/>
        <v/>
      </c>
      <c r="R51" s="22">
        <f t="shared" si="4"/>
        <v>17081</v>
      </c>
      <c r="Y51" s="22">
        <f>IF(RTD("cqg.rtd",,"StudyData","SUBMINUTE(("&amp;$B$3&amp;"),1,FillGap)","Bar",,"Close","5",Z51,,,,,"T")="",NA(),_xlfn.NUMBERVALUE(TEXT(RTD("cqg.rtd",,"StudyData","SUBMINUTE(("&amp;$B$3&amp;"),1,FillGap)","Bar",,"Close","5",Z51,,,,,"T"),Sheet1!$D$8)))</f>
        <v>2738.75</v>
      </c>
      <c r="Z51" s="22">
        <f t="shared" si="6"/>
        <v>-50</v>
      </c>
      <c r="AA51" s="28">
        <f>RTD("cqg.rtd",,"StudyData","SUBMINUTE(("&amp;$B$3&amp;"),1,Regular)","FG",,"Time","5",Z51,,,,,"T")</f>
        <v>43167.634837963</v>
      </c>
      <c r="AB51" s="22">
        <f xml:space="preserve"> RTD("cqg.rtd",,"StudyData","BAVolCr.BidVol^(SUBMINUTE(("&amp;$B$3&amp;"),1,FillGap),5,0)",  "Bar",, "Open", "5",Z51,,,,,"T")</f>
        <v>424</v>
      </c>
      <c r="AC51" s="22">
        <f xml:space="preserve"> RTD("cqg.rtd",,"StudyData","BAVolCr.AskVol^(SUBMINUTE(("&amp;$B$3&amp;"),1,FillGap),5,0)",  "Bar",, "Open", "5",Z51,,,,,"T")</f>
        <v>3</v>
      </c>
      <c r="AE51" s="28">
        <f>RTD("cqg.rtd",,"StudyData","SUBMINUTE(("&amp;$B$3&amp;"),5,Regular)","FG",,"Time","5",Z51,,,,,"T")</f>
        <v>43167.632523148102</v>
      </c>
      <c r="AF51" s="22">
        <f>IF(RTD("cqg.rtd",,"StudyData","SUBMINUTE(("&amp;$B$3&amp;"),5,FillGap)","Bar",,"Open","5",Z51,,,,,"T")="",NA(),_xlfn.NUMBERVALUE(TEXT(RTD("cqg.rtd",,"StudyData","SUBMINUTE(("&amp;$B$3&amp;"),5,FillGap)","Bar",,"Open","5",Z51,,,,,"T"),Sheet1!$D$8)))</f>
        <v>2739</v>
      </c>
      <c r="AG51" s="22">
        <f>IF(RTD("cqg.rtd",,"StudyData","SUBMINUTE(("&amp;$B$3&amp;"),5,FillGap)","Bar",,"High","5",Z51,,,,,"T")="",NA(),_xlfn.NUMBERVALUE(TEXT(RTD("cqg.rtd",,"StudyData","SUBMINUTE(("&amp;$B$3&amp;"),5,FillGap)","Bar",,"High","5",Z51,,,,,"T"),Sheet1!$D$8)))</f>
        <v>2739</v>
      </c>
      <c r="AH51" s="22">
        <f>IF(RTD("cqg.rtd",,"StudyData","SUBMINUTE(("&amp;$B$3&amp;"),5,FillGap)","Bar",,"Low","5",Z51,,,,,"T")="",NA(),_xlfn.NUMBERVALUE(TEXT(RTD("cqg.rtd",,"StudyData","SUBMINUTE(("&amp;$B$3&amp;"),5,FillGap)","Bar",,"Low","5",Z51,,,,,"T"),Sheet1!$D$8)))</f>
        <v>2738.75</v>
      </c>
      <c r="AI51" s="22">
        <f>IF(RTD("cqg.rtd",,"StudyData","SUBMINUTE(("&amp;$B$3&amp;"),5,FillGap)","Bar",,"Close","5",Z51,,,,,"T")="",NA(),_xlfn.NUMBERVALUE(TEXT(RTD("cqg.rtd",,"StudyData","SUBMINUTE(("&amp;$B$3&amp;"),5,FillGap)","Bar",,"Close","5",Z51,,,,,"T"),Sheet1!$D$8)))</f>
        <v>2739</v>
      </c>
      <c r="AJ51" s="22">
        <f xml:space="preserve"> RTD("cqg.rtd",,"StudyData","BAVolCr.BidVol^(SUBMINUTE(("&amp;$B$3&amp;"),5,FillGap),5,0)",  "Bar",, "Open", "5",Z51,,,,,"T")</f>
        <v>303</v>
      </c>
      <c r="AK51" s="22">
        <f xml:space="preserve"> RTD("cqg.rtd",,"StudyData","BAVolCr.AskVol^(SUBMINUTE(("&amp;$B$3&amp;"),5,FillGap),5,0)",  "Bar",, "Open", "5",Z51,,,,,"T")</f>
        <v>172</v>
      </c>
    </row>
    <row r="52" spans="12:37" ht="15.95" customHeight="1" x14ac:dyDescent="0.3">
      <c r="L52" s="23" t="str">
        <f t="shared" si="5"/>
        <v>2727.75</v>
      </c>
      <c r="M52" s="24" t="str">
        <f t="shared" si="0"/>
        <v/>
      </c>
      <c r="N52" s="25" t="str">
        <f t="shared" si="1"/>
        <v/>
      </c>
      <c r="O52" s="26">
        <f>RTD("cqg.rtd",,"StudyData","FPVol(FootprintOp ("&amp;$B$3&amp;", 0),"&amp;L52&amp;")", "Bar",, "Close","D","0","all",,,,"T")</f>
        <v>16211</v>
      </c>
      <c r="P52" s="27" t="str">
        <f t="shared" si="2"/>
        <v/>
      </c>
      <c r="Q52" s="22" t="str">
        <f t="shared" si="3"/>
        <v/>
      </c>
      <c r="R52" s="22">
        <f t="shared" si="4"/>
        <v>16211</v>
      </c>
      <c r="Y52" s="22">
        <f>IF(RTD("cqg.rtd",,"StudyData","SUBMINUTE(("&amp;$B$3&amp;"),1,FillGap)","Bar",,"Close","5",Z52,,,,,"T")="",NA(),_xlfn.NUMBERVALUE(TEXT(RTD("cqg.rtd",,"StudyData","SUBMINUTE(("&amp;$B$3&amp;"),1,FillGap)","Bar",,"Close","5",Z52,,,,,"T"),Sheet1!$D$8)))</f>
        <v>2738.5</v>
      </c>
      <c r="Z52" s="22">
        <f t="shared" si="6"/>
        <v>-51</v>
      </c>
      <c r="AA52" s="28">
        <f>RTD("cqg.rtd",,"StudyData","SUBMINUTE(("&amp;$B$3&amp;"),1,Regular)","FG",,"Time","5",Z52,,,,,"T")</f>
        <v>43167.634826388901</v>
      </c>
      <c r="AB52" s="22">
        <f xml:space="preserve"> RTD("cqg.rtd",,"StudyData","BAVolCr.BidVol^(SUBMINUTE(("&amp;$B$3&amp;"),1,FillGap),5,0)",  "Bar",, "Open", "5",Z52,,,,,"T")</f>
        <v>426</v>
      </c>
      <c r="AC52" s="22">
        <f xml:space="preserve"> RTD("cqg.rtd",,"StudyData","BAVolCr.AskVol^(SUBMINUTE(("&amp;$B$3&amp;"),1,FillGap),5,0)",  "Bar",, "Open", "5",Z52,,,,,"T")</f>
        <v>11</v>
      </c>
      <c r="AE52" s="28">
        <f>RTD("cqg.rtd",,"StudyData","SUBMINUTE(("&amp;$B$3&amp;"),5,Regular)","FG",,"Time","5",Z52,,,,,"T")</f>
        <v>43167.632465277798</v>
      </c>
      <c r="AF52" s="22">
        <f>IF(RTD("cqg.rtd",,"StudyData","SUBMINUTE(("&amp;$B$3&amp;"),5,FillGap)","Bar",,"Open","5",Z52,,,,,"T")="",NA(),_xlfn.NUMBERVALUE(TEXT(RTD("cqg.rtd",,"StudyData","SUBMINUTE(("&amp;$B$3&amp;"),5,FillGap)","Bar",,"Open","5",Z52,,,,,"T"),Sheet1!$D$8)))</f>
        <v>2738.75</v>
      </c>
      <c r="AG52" s="22">
        <f>IF(RTD("cqg.rtd",,"StudyData","SUBMINUTE(("&amp;$B$3&amp;"),5,FillGap)","Bar",,"High","5",Z52,,,,,"T")="",NA(),_xlfn.NUMBERVALUE(TEXT(RTD("cqg.rtd",,"StudyData","SUBMINUTE(("&amp;$B$3&amp;"),5,FillGap)","Bar",,"High","5",Z52,,,,,"T"),Sheet1!$D$8)))</f>
        <v>2738.75</v>
      </c>
      <c r="AH52" s="22">
        <f>IF(RTD("cqg.rtd",,"StudyData","SUBMINUTE(("&amp;$B$3&amp;"),5,FillGap)","Bar",,"Low","5",Z52,,,,,"T")="",NA(),_xlfn.NUMBERVALUE(TEXT(RTD("cqg.rtd",,"StudyData","SUBMINUTE(("&amp;$B$3&amp;"),5,FillGap)","Bar",,"Low","5",Z52,,,,,"T"),Sheet1!$D$8)))</f>
        <v>2738.75</v>
      </c>
      <c r="AI52" s="22">
        <f>IF(RTD("cqg.rtd",,"StudyData","SUBMINUTE(("&amp;$B$3&amp;"),5,FillGap)","Bar",,"Close","5",Z52,,,,,"T")="",NA(),_xlfn.NUMBERVALUE(TEXT(RTD("cqg.rtd",,"StudyData","SUBMINUTE(("&amp;$B$3&amp;"),5,FillGap)","Bar",,"Close","5",Z52,,,,,"T"),Sheet1!$D$8)))</f>
        <v>2738.75</v>
      </c>
      <c r="AJ52" s="22">
        <f xml:space="preserve"> RTD("cqg.rtd",,"StudyData","BAVolCr.BidVol^(SUBMINUTE(("&amp;$B$3&amp;"),5,FillGap),5,0)",  "Bar",, "Open", "5",Z52,,,,,"T")</f>
        <v>315</v>
      </c>
      <c r="AK52" s="22">
        <f xml:space="preserve"> RTD("cqg.rtd",,"StudyData","BAVolCr.AskVol^(SUBMINUTE(("&amp;$B$3&amp;"),5,FillGap),5,0)",  "Bar",, "Open", "5",Z52,,,,,"T")</f>
        <v>136</v>
      </c>
    </row>
    <row r="53" spans="12:37" ht="15.95" customHeight="1" x14ac:dyDescent="0.3">
      <c r="L53" s="23" t="str">
        <f t="shared" si="5"/>
        <v>2727.50</v>
      </c>
      <c r="M53" s="24" t="str">
        <f t="shared" si="0"/>
        <v/>
      </c>
      <c r="N53" s="25" t="str">
        <f t="shared" si="1"/>
        <v/>
      </c>
      <c r="O53" s="26">
        <f>RTD("cqg.rtd",,"StudyData","FPVol(FootprintOp ("&amp;$B$3&amp;", 0),"&amp;L53&amp;")", "Bar",, "Close","D","0","all",,,,"T")</f>
        <v>14831</v>
      </c>
      <c r="P53" s="27" t="str">
        <f t="shared" si="2"/>
        <v/>
      </c>
      <c r="Q53" s="22" t="str">
        <f t="shared" si="3"/>
        <v/>
      </c>
      <c r="R53" s="22">
        <f t="shared" si="4"/>
        <v>14831</v>
      </c>
      <c r="Y53" s="22">
        <f>IF(RTD("cqg.rtd",,"StudyData","SUBMINUTE(("&amp;$B$3&amp;"),1,FillGap)","Bar",,"Close","5",Z53,,,,,"T")="",NA(),_xlfn.NUMBERVALUE(TEXT(RTD("cqg.rtd",,"StudyData","SUBMINUTE(("&amp;$B$3&amp;"),1,FillGap)","Bar",,"Close","5",Z53,,,,,"T"),Sheet1!$D$8)))</f>
        <v>2738.75</v>
      </c>
      <c r="Z53" s="22">
        <f t="shared" si="6"/>
        <v>-52</v>
      </c>
      <c r="AA53" s="28">
        <f>RTD("cqg.rtd",,"StudyData","SUBMINUTE(("&amp;$B$3&amp;"),1,Regular)","FG",,"Time","5",Z53,,,,,"T")</f>
        <v>43167.634814814803</v>
      </c>
      <c r="AB53" s="22">
        <f xml:space="preserve"> RTD("cqg.rtd",,"StudyData","BAVolCr.BidVol^(SUBMINUTE(("&amp;$B$3&amp;"),1,FillGap),5,0)",  "Bar",, "Open", "5",Z53,,,,,"T")</f>
        <v>81</v>
      </c>
      <c r="AC53" s="22">
        <f xml:space="preserve"> RTD("cqg.rtd",,"StudyData","BAVolCr.AskVol^(SUBMINUTE(("&amp;$B$3&amp;"),1,FillGap),5,0)",  "Bar",, "Open", "5",Z53,,,,,"T")</f>
        <v>21</v>
      </c>
      <c r="AE53" s="28">
        <f>RTD("cqg.rtd",,"StudyData","SUBMINUTE(("&amp;$B$3&amp;"),5,Regular)","FG",,"Time","5",Z53,,,,,"T")</f>
        <v>43167.6324074074</v>
      </c>
      <c r="AF53" s="22">
        <f>IF(RTD("cqg.rtd",,"StudyData","SUBMINUTE(("&amp;$B$3&amp;"),5,FillGap)","Bar",,"Open","5",Z53,,,,,"T")="",NA(),_xlfn.NUMBERVALUE(TEXT(RTD("cqg.rtd",,"StudyData","SUBMINUTE(("&amp;$B$3&amp;"),5,FillGap)","Bar",,"Open","5",Z53,,,,,"T"),Sheet1!$D$8)))</f>
        <v>2738.75</v>
      </c>
      <c r="AG53" s="22">
        <f>IF(RTD("cqg.rtd",,"StudyData","SUBMINUTE(("&amp;$B$3&amp;"),5,FillGap)","Bar",,"High","5",Z53,,,,,"T")="",NA(),_xlfn.NUMBERVALUE(TEXT(RTD("cqg.rtd",,"StudyData","SUBMINUTE(("&amp;$B$3&amp;"),5,FillGap)","Bar",,"High","5",Z53,,,,,"T"),Sheet1!$D$8)))</f>
        <v>2738.75</v>
      </c>
      <c r="AH53" s="22">
        <f>IF(RTD("cqg.rtd",,"StudyData","SUBMINUTE(("&amp;$B$3&amp;"),5,FillGap)","Bar",,"Low","5",Z53,,,,,"T")="",NA(),_xlfn.NUMBERVALUE(TEXT(RTD("cqg.rtd",,"StudyData","SUBMINUTE(("&amp;$B$3&amp;"),5,FillGap)","Bar",,"Low","5",Z53,,,,,"T"),Sheet1!$D$8)))</f>
        <v>2738.75</v>
      </c>
      <c r="AI53" s="22">
        <f>IF(RTD("cqg.rtd",,"StudyData","SUBMINUTE(("&amp;$B$3&amp;"),5,FillGap)","Bar",,"Close","5",Z53,,,,,"T")="",NA(),_xlfn.NUMBERVALUE(TEXT(RTD("cqg.rtd",,"StudyData","SUBMINUTE(("&amp;$B$3&amp;"),5,FillGap)","Bar",,"Close","5",Z53,,,,,"T"),Sheet1!$D$8)))</f>
        <v>2738.75</v>
      </c>
      <c r="AJ53" s="22">
        <f xml:space="preserve"> RTD("cqg.rtd",,"StudyData","BAVolCr.BidVol^(SUBMINUTE(("&amp;$B$3&amp;"),5,FillGap),5,0)",  "Bar",, "Open", "5",Z53,,,,,"T")</f>
        <v>312</v>
      </c>
      <c r="AK53" s="22">
        <f xml:space="preserve"> RTD("cqg.rtd",,"StudyData","BAVolCr.AskVol^(SUBMINUTE(("&amp;$B$3&amp;"),5,FillGap),5,0)",  "Bar",, "Open", "5",Z53,,,,,"T")</f>
        <v>130</v>
      </c>
    </row>
    <row r="54" spans="12:37" ht="15.95" customHeight="1" x14ac:dyDescent="0.3">
      <c r="L54" s="23" t="str">
        <f t="shared" si="5"/>
        <v>2727.25</v>
      </c>
      <c r="M54" s="24" t="str">
        <f t="shared" si="0"/>
        <v/>
      </c>
      <c r="N54" s="25" t="str">
        <f t="shared" si="1"/>
        <v/>
      </c>
      <c r="O54" s="26">
        <f>RTD("cqg.rtd",,"StudyData","FPVol(FootprintOp ("&amp;$B$3&amp;", 0),"&amp;L54&amp;")", "Bar",, "Close","D","0","all",,,,"T")</f>
        <v>13926</v>
      </c>
      <c r="P54" s="27" t="str">
        <f t="shared" si="2"/>
        <v/>
      </c>
      <c r="Q54" s="22" t="str">
        <f t="shared" si="3"/>
        <v/>
      </c>
      <c r="R54" s="22">
        <f t="shared" si="4"/>
        <v>13926</v>
      </c>
      <c r="Y54" s="22">
        <f>IF(RTD("cqg.rtd",,"StudyData","SUBMINUTE(("&amp;$B$3&amp;"),1,FillGap)","Bar",,"Close","5",Z54,,,,,"T")="",NA(),_xlfn.NUMBERVALUE(TEXT(RTD("cqg.rtd",,"StudyData","SUBMINUTE(("&amp;$B$3&amp;"),1,FillGap)","Bar",,"Close","5",Z54,,,,,"T"),Sheet1!$D$8)))</f>
        <v>2738.75</v>
      </c>
      <c r="Z54" s="22">
        <f t="shared" si="6"/>
        <v>-53</v>
      </c>
      <c r="AA54" s="28">
        <f>RTD("cqg.rtd",,"StudyData","SUBMINUTE(("&amp;$B$3&amp;"),1,Regular)","FG",,"Time","5",Z54,,,,,"T")</f>
        <v>43167.634803240697</v>
      </c>
      <c r="AB54" s="22">
        <f xml:space="preserve"> RTD("cqg.rtd",,"StudyData","BAVolCr.BidVol^(SUBMINUTE(("&amp;$B$3&amp;"),1,FillGap),5,0)",  "Bar",, "Open", "5",Z54,,,,,"T")</f>
        <v>102</v>
      </c>
      <c r="AC54" s="22">
        <f xml:space="preserve"> RTD("cqg.rtd",,"StudyData","BAVolCr.AskVol^(SUBMINUTE(("&amp;$B$3&amp;"),1,FillGap),5,0)",  "Bar",, "Open", "5",Z54,,,,,"T")</f>
        <v>48</v>
      </c>
      <c r="AE54" s="28">
        <f>RTD("cqg.rtd",,"StudyData","SUBMINUTE(("&amp;$B$3&amp;"),5,Regular)","FG",,"Time","5",Z54,,,,,"T")</f>
        <v>43167.632349537002</v>
      </c>
      <c r="AF54" s="22">
        <f>IF(RTD("cqg.rtd",,"StudyData","SUBMINUTE(("&amp;$B$3&amp;"),5,FillGap)","Bar",,"Open","5",Z54,,,,,"T")="",NA(),_xlfn.NUMBERVALUE(TEXT(RTD("cqg.rtd",,"StudyData","SUBMINUTE(("&amp;$B$3&amp;"),5,FillGap)","Bar",,"Open","5",Z54,,,,,"T"),Sheet1!$D$8)))</f>
        <v>2738.75</v>
      </c>
      <c r="AG54" s="22">
        <f>IF(RTD("cqg.rtd",,"StudyData","SUBMINUTE(("&amp;$B$3&amp;"),5,FillGap)","Bar",,"High","5",Z54,,,,,"T")="",NA(),_xlfn.NUMBERVALUE(TEXT(RTD("cqg.rtd",,"StudyData","SUBMINUTE(("&amp;$B$3&amp;"),5,FillGap)","Bar",,"High","5",Z54,,,,,"T"),Sheet1!$D$8)))</f>
        <v>2738.75</v>
      </c>
      <c r="AH54" s="22">
        <f>IF(RTD("cqg.rtd",,"StudyData","SUBMINUTE(("&amp;$B$3&amp;"),5,FillGap)","Bar",,"Low","5",Z54,,,,,"T")="",NA(),_xlfn.NUMBERVALUE(TEXT(RTD("cqg.rtd",,"StudyData","SUBMINUTE(("&amp;$B$3&amp;"),5,FillGap)","Bar",,"Low","5",Z54,,,,,"T"),Sheet1!$D$8)))</f>
        <v>2738.75</v>
      </c>
      <c r="AI54" s="22">
        <f>IF(RTD("cqg.rtd",,"StudyData","SUBMINUTE(("&amp;$B$3&amp;"),5,FillGap)","Bar",,"Close","5",Z54,,,,,"T")="",NA(),_xlfn.NUMBERVALUE(TEXT(RTD("cqg.rtd",,"StudyData","SUBMINUTE(("&amp;$B$3&amp;"),5,FillGap)","Bar",,"Close","5",Z54,,,,,"T"),Sheet1!$D$8)))</f>
        <v>2738.75</v>
      </c>
      <c r="AJ54" s="22">
        <f xml:space="preserve"> RTD("cqg.rtd",,"StudyData","BAVolCr.BidVol^(SUBMINUTE(("&amp;$B$3&amp;"),5,FillGap),5,0)",  "Bar",, "Open", "5",Z54,,,,,"T")</f>
        <v>275</v>
      </c>
      <c r="AK54" s="22">
        <f xml:space="preserve"> RTD("cqg.rtd",,"StudyData","BAVolCr.AskVol^(SUBMINUTE(("&amp;$B$3&amp;"),5,FillGap),5,0)",  "Bar",, "Open", "5",Z54,,,,,"T")</f>
        <v>248</v>
      </c>
    </row>
    <row r="55" spans="12:37" ht="15.95" customHeight="1" x14ac:dyDescent="0.3">
      <c r="L55" s="23" t="str">
        <f t="shared" si="5"/>
        <v>2727.00</v>
      </c>
      <c r="M55" s="24" t="str">
        <f t="shared" si="0"/>
        <v/>
      </c>
      <c r="N55" s="25" t="str">
        <f t="shared" si="1"/>
        <v/>
      </c>
      <c r="O55" s="26">
        <f>RTD("cqg.rtd",,"StudyData","FPVol(FootprintOp ("&amp;$B$3&amp;", 0),"&amp;L55&amp;")", "Bar",, "Close","D","0","all",,,,"T")</f>
        <v>13361</v>
      </c>
      <c r="P55" s="27" t="str">
        <f t="shared" si="2"/>
        <v/>
      </c>
      <c r="Q55" s="22" t="str">
        <f t="shared" si="3"/>
        <v/>
      </c>
      <c r="R55" s="22">
        <f t="shared" si="4"/>
        <v>13361</v>
      </c>
      <c r="Y55" s="22">
        <f>IF(RTD("cqg.rtd",,"StudyData","SUBMINUTE(("&amp;$B$3&amp;"),1,FillGap)","Bar",,"Close","5",Z55,,,,,"T")="",NA(),_xlfn.NUMBERVALUE(TEXT(RTD("cqg.rtd",,"StudyData","SUBMINUTE(("&amp;$B$3&amp;"),1,FillGap)","Bar",,"Close","5",Z55,,,,,"T"),Sheet1!$D$8)))</f>
        <v>2738.75</v>
      </c>
      <c r="Z55" s="22">
        <f t="shared" si="6"/>
        <v>-54</v>
      </c>
      <c r="AA55" s="28">
        <f>RTD("cqg.rtd",,"StudyData","SUBMINUTE(("&amp;$B$3&amp;"),1,Regular)","FG",,"Time","5",Z55,,,,,"T")</f>
        <v>43167.6347916667</v>
      </c>
      <c r="AB55" s="22">
        <f xml:space="preserve"> RTD("cqg.rtd",,"StudyData","BAVolCr.BidVol^(SUBMINUTE(("&amp;$B$3&amp;"),1,FillGap),5,0)",  "Bar",, "Open", "5",Z55,,,,,"T")</f>
        <v>96</v>
      </c>
      <c r="AC55" s="22">
        <f xml:space="preserve"> RTD("cqg.rtd",,"StudyData","BAVolCr.AskVol^(SUBMINUTE(("&amp;$B$3&amp;"),1,FillGap),5,0)",  "Bar",, "Open", "5",Z55,,,,,"T")</f>
        <v>75</v>
      </c>
      <c r="AE55" s="28">
        <f>RTD("cqg.rtd",,"StudyData","SUBMINUTE(("&amp;$B$3&amp;"),5,Regular)","FG",,"Time","5",Z55,,,,,"T")</f>
        <v>43167.632291666698</v>
      </c>
      <c r="AF55" s="22">
        <f>IF(RTD("cqg.rtd",,"StudyData","SUBMINUTE(("&amp;$B$3&amp;"),5,FillGap)","Bar",,"Open","5",Z55,,,,,"T")="",NA(),_xlfn.NUMBERVALUE(TEXT(RTD("cqg.rtd",,"StudyData","SUBMINUTE(("&amp;$B$3&amp;"),5,FillGap)","Bar",,"Open","5",Z55,,,,,"T"),Sheet1!$D$8)))</f>
        <v>2738.75</v>
      </c>
      <c r="AG55" s="22">
        <f>IF(RTD("cqg.rtd",,"StudyData","SUBMINUTE(("&amp;$B$3&amp;"),5,FillGap)","Bar",,"High","5",Z55,,,,,"T")="",NA(),_xlfn.NUMBERVALUE(TEXT(RTD("cqg.rtd",,"StudyData","SUBMINUTE(("&amp;$B$3&amp;"),5,FillGap)","Bar",,"High","5",Z55,,,,,"T"),Sheet1!$D$8)))</f>
        <v>2739</v>
      </c>
      <c r="AH55" s="22">
        <f>IF(RTD("cqg.rtd",,"StudyData","SUBMINUTE(("&amp;$B$3&amp;"),5,FillGap)","Bar",,"Low","5",Z55,,,,,"T")="",NA(),_xlfn.NUMBERVALUE(TEXT(RTD("cqg.rtd",,"StudyData","SUBMINUTE(("&amp;$B$3&amp;"),5,FillGap)","Bar",,"Low","5",Z55,,,,,"T"),Sheet1!$D$8)))</f>
        <v>2738.75</v>
      </c>
      <c r="AI55" s="22">
        <f>IF(RTD("cqg.rtd",,"StudyData","SUBMINUTE(("&amp;$B$3&amp;"),5,FillGap)","Bar",,"Close","5",Z55,,,,,"T")="",NA(),_xlfn.NUMBERVALUE(TEXT(RTD("cqg.rtd",,"StudyData","SUBMINUTE(("&amp;$B$3&amp;"),5,FillGap)","Bar",,"Close","5",Z55,,,,,"T"),Sheet1!$D$8)))</f>
        <v>2738.75</v>
      </c>
      <c r="AJ55" s="22">
        <f xml:space="preserve"> RTD("cqg.rtd",,"StudyData","BAVolCr.BidVol^(SUBMINUTE(("&amp;$B$3&amp;"),5,FillGap),5,0)",  "Bar",, "Open", "5",Z55,,,,,"T")</f>
        <v>283</v>
      </c>
      <c r="AK55" s="22">
        <f xml:space="preserve"> RTD("cqg.rtd",,"StudyData","BAVolCr.AskVol^(SUBMINUTE(("&amp;$B$3&amp;"),5,FillGap),5,0)",  "Bar",, "Open", "5",Z55,,,,,"T")</f>
        <v>283</v>
      </c>
    </row>
    <row r="56" spans="12:37" ht="15.95" customHeight="1" x14ac:dyDescent="0.3">
      <c r="L56" s="23" t="str">
        <f t="shared" si="5"/>
        <v>2726.75</v>
      </c>
      <c r="M56" s="24" t="str">
        <f t="shared" si="0"/>
        <v/>
      </c>
      <c r="N56" s="25" t="str">
        <f t="shared" si="1"/>
        <v/>
      </c>
      <c r="O56" s="26">
        <f>RTD("cqg.rtd",,"StudyData","FPVol(FootprintOp ("&amp;$B$3&amp;", 0),"&amp;L56&amp;")", "Bar",, "Close","D","0","all",,,,"T")</f>
        <v>14556</v>
      </c>
      <c r="P56" s="27" t="str">
        <f t="shared" si="2"/>
        <v/>
      </c>
      <c r="Q56" s="22" t="str">
        <f t="shared" si="3"/>
        <v/>
      </c>
      <c r="R56" s="22">
        <f t="shared" si="4"/>
        <v>14556</v>
      </c>
      <c r="Y56" s="22">
        <f>IF(RTD("cqg.rtd",,"StudyData","SUBMINUTE(("&amp;$B$3&amp;"),1,FillGap)","Bar",,"Close","5",Z56,,,,,"T")="",NA(),_xlfn.NUMBERVALUE(TEXT(RTD("cqg.rtd",,"StudyData","SUBMINUTE(("&amp;$B$3&amp;"),1,FillGap)","Bar",,"Close","5",Z56,,,,,"T"),Sheet1!$D$8)))</f>
        <v>2738.75</v>
      </c>
      <c r="Z56" s="22">
        <f t="shared" si="6"/>
        <v>-55</v>
      </c>
      <c r="AA56" s="28">
        <f>RTD("cqg.rtd",,"StudyData","SUBMINUTE(("&amp;$B$3&amp;"),1,Regular)","FG",,"Time","5",Z56,,,,,"T")</f>
        <v>43167.634780092601</v>
      </c>
      <c r="AB56" s="22">
        <f xml:space="preserve"> RTD("cqg.rtd",,"StudyData","BAVolCr.BidVol^(SUBMINUTE(("&amp;$B$3&amp;"),1,FillGap),5,0)",  "Bar",, "Open", "5",Z56,,,,,"T")</f>
        <v>116</v>
      </c>
      <c r="AC56" s="22">
        <f xml:space="preserve"> RTD("cqg.rtd",,"StudyData","BAVolCr.AskVol^(SUBMINUTE(("&amp;$B$3&amp;"),1,FillGap),5,0)",  "Bar",, "Open", "5",Z56,,,,,"T")</f>
        <v>75</v>
      </c>
      <c r="AE56" s="28">
        <f>RTD("cqg.rtd",,"StudyData","SUBMINUTE(("&amp;$B$3&amp;"),5,Regular)","FG",,"Time","5",Z56,,,,,"T")</f>
        <v>43167.632233796299</v>
      </c>
      <c r="AF56" s="22">
        <f>IF(RTD("cqg.rtd",,"StudyData","SUBMINUTE(("&amp;$B$3&amp;"),5,FillGap)","Bar",,"Open","5",Z56,,,,,"T")="",NA(),_xlfn.NUMBERVALUE(TEXT(RTD("cqg.rtd",,"StudyData","SUBMINUTE(("&amp;$B$3&amp;"),5,FillGap)","Bar",,"Open","5",Z56,,,,,"T"),Sheet1!$D$8)))</f>
        <v>2738.75</v>
      </c>
      <c r="AG56" s="22">
        <f>IF(RTD("cqg.rtd",,"StudyData","SUBMINUTE(("&amp;$B$3&amp;"),5,FillGap)","Bar",,"High","5",Z56,,,,,"T")="",NA(),_xlfn.NUMBERVALUE(TEXT(RTD("cqg.rtd",,"StudyData","SUBMINUTE(("&amp;$B$3&amp;"),5,FillGap)","Bar",,"High","5",Z56,,,,,"T"),Sheet1!$D$8)))</f>
        <v>2738.75</v>
      </c>
      <c r="AH56" s="22">
        <f>IF(RTD("cqg.rtd",,"StudyData","SUBMINUTE(("&amp;$B$3&amp;"),5,FillGap)","Bar",,"Low","5",Z56,,,,,"T")="",NA(),_xlfn.NUMBERVALUE(TEXT(RTD("cqg.rtd",,"StudyData","SUBMINUTE(("&amp;$B$3&amp;"),5,FillGap)","Bar",,"Low","5",Z56,,,,,"T"),Sheet1!$D$8)))</f>
        <v>2738.75</v>
      </c>
      <c r="AI56" s="22">
        <f>IF(RTD("cqg.rtd",,"StudyData","SUBMINUTE(("&amp;$B$3&amp;"),5,FillGap)","Bar",,"Close","5",Z56,,,,,"T")="",NA(),_xlfn.NUMBERVALUE(TEXT(RTD("cqg.rtd",,"StudyData","SUBMINUTE(("&amp;$B$3&amp;"),5,FillGap)","Bar",,"Close","5",Z56,,,,,"T"),Sheet1!$D$8)))</f>
        <v>2738.75</v>
      </c>
      <c r="AJ56" s="22">
        <f xml:space="preserve"> RTD("cqg.rtd",,"StudyData","BAVolCr.BidVol^(SUBMINUTE(("&amp;$B$3&amp;"),5,FillGap),5,0)",  "Bar",, "Open", "5",Z56,,,,,"T")</f>
        <v>242</v>
      </c>
      <c r="AK56" s="22">
        <f xml:space="preserve"> RTD("cqg.rtd",,"StudyData","BAVolCr.AskVol^(SUBMINUTE(("&amp;$B$3&amp;"),5,FillGap),5,0)",  "Bar",, "Open", "5",Z56,,,,,"T")</f>
        <v>252</v>
      </c>
    </row>
    <row r="57" spans="12:37" ht="15.95" customHeight="1" x14ac:dyDescent="0.3">
      <c r="L57" s="23" t="str">
        <f t="shared" si="5"/>
        <v>2726.50</v>
      </c>
      <c r="M57" s="24" t="str">
        <f t="shared" si="0"/>
        <v/>
      </c>
      <c r="N57" s="25" t="str">
        <f t="shared" si="1"/>
        <v/>
      </c>
      <c r="O57" s="26">
        <f>RTD("cqg.rtd",,"StudyData","FPVol(FootprintOp ("&amp;$B$3&amp;", 0),"&amp;L57&amp;")", "Bar",, "Close","D","0","all",,,,"T")</f>
        <v>18121</v>
      </c>
      <c r="P57" s="27" t="str">
        <f t="shared" si="2"/>
        <v/>
      </c>
      <c r="Q57" s="22" t="str">
        <f t="shared" si="3"/>
        <v/>
      </c>
      <c r="R57" s="22">
        <f t="shared" si="4"/>
        <v>18121</v>
      </c>
      <c r="Y57" s="22">
        <f>IF(RTD("cqg.rtd",,"StudyData","SUBMINUTE(("&amp;$B$3&amp;"),1,FillGap)","Bar",,"Close","5",Z57,,,,,"T")="",NA(),_xlfn.NUMBERVALUE(TEXT(RTD("cqg.rtd",,"StudyData","SUBMINUTE(("&amp;$B$3&amp;"),1,FillGap)","Bar",,"Close","5",Z57,,,,,"T"),Sheet1!$D$8)))</f>
        <v>2738.75</v>
      </c>
      <c r="Z57" s="22">
        <f t="shared" si="6"/>
        <v>-56</v>
      </c>
      <c r="AA57" s="28">
        <f>RTD("cqg.rtd",,"StudyData","SUBMINUTE(("&amp;$B$3&amp;"),1,Regular)","FG",,"Time","5",Z57,,,,,"T")</f>
        <v>43167.634768518503</v>
      </c>
      <c r="AB57" s="22">
        <f xml:space="preserve"> RTD("cqg.rtd",,"StudyData","BAVolCr.BidVol^(SUBMINUTE(("&amp;$B$3&amp;"),1,FillGap),5,0)",  "Bar",, "Open", "5",Z57,,,,,"T")</f>
        <v>318</v>
      </c>
      <c r="AC57" s="22">
        <f xml:space="preserve"> RTD("cqg.rtd",,"StudyData","BAVolCr.AskVol^(SUBMINUTE(("&amp;$B$3&amp;"),1,FillGap),5,0)",  "Bar",, "Open", "5",Z57,,,,,"T")</f>
        <v>94</v>
      </c>
      <c r="AE57" s="28">
        <f>RTD("cqg.rtd",,"StudyData","SUBMINUTE(("&amp;$B$3&amp;"),5,Regular)","FG",,"Time","5",Z57,,,,,"T")</f>
        <v>43167.632175925901</v>
      </c>
      <c r="AF57" s="22">
        <f>IF(RTD("cqg.rtd",,"StudyData","SUBMINUTE(("&amp;$B$3&amp;"),5,FillGap)","Bar",,"Open","5",Z57,,,,,"T")="",NA(),_xlfn.NUMBERVALUE(TEXT(RTD("cqg.rtd",,"StudyData","SUBMINUTE(("&amp;$B$3&amp;"),5,FillGap)","Bar",,"Open","5",Z57,,,,,"T"),Sheet1!$D$8)))</f>
        <v>2738.75</v>
      </c>
      <c r="AG57" s="22">
        <f>IF(RTD("cqg.rtd",,"StudyData","SUBMINUTE(("&amp;$B$3&amp;"),5,FillGap)","Bar",,"High","5",Z57,,,,,"T")="",NA(),_xlfn.NUMBERVALUE(TEXT(RTD("cqg.rtd",,"StudyData","SUBMINUTE(("&amp;$B$3&amp;"),5,FillGap)","Bar",,"High","5",Z57,,,,,"T"),Sheet1!$D$8)))</f>
        <v>2739</v>
      </c>
      <c r="AH57" s="22">
        <f>IF(RTD("cqg.rtd",,"StudyData","SUBMINUTE(("&amp;$B$3&amp;"),5,FillGap)","Bar",,"Low","5",Z57,,,,,"T")="",NA(),_xlfn.NUMBERVALUE(TEXT(RTD("cqg.rtd",,"StudyData","SUBMINUTE(("&amp;$B$3&amp;"),5,FillGap)","Bar",,"Low","5",Z57,,,,,"T"),Sheet1!$D$8)))</f>
        <v>2738.75</v>
      </c>
      <c r="AI57" s="22">
        <f>IF(RTD("cqg.rtd",,"StudyData","SUBMINUTE(("&amp;$B$3&amp;"),5,FillGap)","Bar",,"Close","5",Z57,,,,,"T")="",NA(),_xlfn.NUMBERVALUE(TEXT(RTD("cqg.rtd",,"StudyData","SUBMINUTE(("&amp;$B$3&amp;"),5,FillGap)","Bar",,"Close","5",Z57,,,,,"T"),Sheet1!$D$8)))</f>
        <v>2738.75</v>
      </c>
      <c r="AJ57" s="22">
        <f xml:space="preserve"> RTD("cqg.rtd",,"StudyData","BAVolCr.BidVol^(SUBMINUTE(("&amp;$B$3&amp;"),5,FillGap),5,0)",  "Bar",, "Open", "5",Z57,,,,,"T")</f>
        <v>249</v>
      </c>
      <c r="AK57" s="22">
        <f xml:space="preserve"> RTD("cqg.rtd",,"StudyData","BAVolCr.AskVol^(SUBMINUTE(("&amp;$B$3&amp;"),5,FillGap),5,0)",  "Bar",, "Open", "5",Z57,,,,,"T")</f>
        <v>363</v>
      </c>
    </row>
    <row r="58" spans="12:37" ht="15.95" customHeight="1" x14ac:dyDescent="0.3">
      <c r="L58" s="23" t="str">
        <f t="shared" si="5"/>
        <v>2726.25</v>
      </c>
      <c r="M58" s="24" t="str">
        <f t="shared" si="0"/>
        <v/>
      </c>
      <c r="N58" s="25" t="str">
        <f t="shared" si="1"/>
        <v/>
      </c>
      <c r="O58" s="26">
        <f>RTD("cqg.rtd",,"StudyData","FPVol(FootprintOp ("&amp;$B$3&amp;", 0),"&amp;L58&amp;")", "Bar",, "Close","D","0","all",,,,"T")</f>
        <v>20880</v>
      </c>
      <c r="P58" s="27" t="str">
        <f t="shared" si="2"/>
        <v/>
      </c>
      <c r="Q58" s="22" t="str">
        <f t="shared" si="3"/>
        <v/>
      </c>
      <c r="R58" s="22">
        <f t="shared" si="4"/>
        <v>20880</v>
      </c>
      <c r="Y58" s="22">
        <f>IF(RTD("cqg.rtd",,"StudyData","SUBMINUTE(("&amp;$B$3&amp;"),1,FillGap)","Bar",,"Close","5",Z58,,,,,"T")="",NA(),_xlfn.NUMBERVALUE(TEXT(RTD("cqg.rtd",,"StudyData","SUBMINUTE(("&amp;$B$3&amp;"),1,FillGap)","Bar",,"Close","5",Z58,,,,,"T"),Sheet1!$D$8)))</f>
        <v>2739</v>
      </c>
      <c r="Z58" s="22">
        <f t="shared" si="6"/>
        <v>-57</v>
      </c>
      <c r="AA58" s="28">
        <f>RTD("cqg.rtd",,"StudyData","SUBMINUTE(("&amp;$B$3&amp;"),1,Regular)","FG",,"Time","5",Z58,,,,,"T")</f>
        <v>43167.634756944397</v>
      </c>
      <c r="AB58" s="22">
        <f xml:space="preserve"> RTD("cqg.rtd",,"StudyData","BAVolCr.BidVol^(SUBMINUTE(("&amp;$B$3&amp;"),1,FillGap),5,0)",  "Bar",, "Open", "5",Z58,,,,,"T")</f>
        <v>326</v>
      </c>
      <c r="AC58" s="22">
        <f xml:space="preserve"> RTD("cqg.rtd",,"StudyData","BAVolCr.AskVol^(SUBMINUTE(("&amp;$B$3&amp;"),1,FillGap),5,0)",  "Bar",, "Open", "5",Z58,,,,,"T")</f>
        <v>88</v>
      </c>
      <c r="AE58" s="28">
        <f>RTD("cqg.rtd",,"StudyData","SUBMINUTE(("&amp;$B$3&amp;"),5,Regular)","FG",,"Time","5",Z58,,,,,"T")</f>
        <v>43167.632118055597</v>
      </c>
      <c r="AF58" s="22">
        <f>IF(RTD("cqg.rtd",,"StudyData","SUBMINUTE(("&amp;$B$3&amp;"),5,FillGap)","Bar",,"Open","5",Z58,,,,,"T")="",NA(),_xlfn.NUMBERVALUE(TEXT(RTD("cqg.rtd",,"StudyData","SUBMINUTE(("&amp;$B$3&amp;"),5,FillGap)","Bar",,"Open","5",Z58,,,,,"T"),Sheet1!$D$8)))</f>
        <v>2738.75</v>
      </c>
      <c r="AG58" s="22">
        <f>IF(RTD("cqg.rtd",,"StudyData","SUBMINUTE(("&amp;$B$3&amp;"),5,FillGap)","Bar",,"High","5",Z58,,,,,"T")="",NA(),_xlfn.NUMBERVALUE(TEXT(RTD("cqg.rtd",,"StudyData","SUBMINUTE(("&amp;$B$3&amp;"),5,FillGap)","Bar",,"High","5",Z58,,,,,"T"),Sheet1!$D$8)))</f>
        <v>2738.75</v>
      </c>
      <c r="AH58" s="22">
        <f>IF(RTD("cqg.rtd",,"StudyData","SUBMINUTE(("&amp;$B$3&amp;"),5,FillGap)","Bar",,"Low","5",Z58,,,,,"T")="",NA(),_xlfn.NUMBERVALUE(TEXT(RTD("cqg.rtd",,"StudyData","SUBMINUTE(("&amp;$B$3&amp;"),5,FillGap)","Bar",,"Low","5",Z58,,,,,"T"),Sheet1!$D$8)))</f>
        <v>2738.5</v>
      </c>
      <c r="AI58" s="22">
        <f>IF(RTD("cqg.rtd",,"StudyData","SUBMINUTE(("&amp;$B$3&amp;"),5,FillGap)","Bar",,"Close","5",Z58,,,,,"T")="",NA(),_xlfn.NUMBERVALUE(TEXT(RTD("cqg.rtd",,"StudyData","SUBMINUTE(("&amp;$B$3&amp;"),5,FillGap)","Bar",,"Close","5",Z58,,,,,"T"),Sheet1!$D$8)))</f>
        <v>2738.75</v>
      </c>
      <c r="AJ58" s="22">
        <f xml:space="preserve"> RTD("cqg.rtd",,"StudyData","BAVolCr.BidVol^(SUBMINUTE(("&amp;$B$3&amp;"),5,FillGap),5,0)",  "Bar",, "Open", "5",Z58,,,,,"T")</f>
        <v>418</v>
      </c>
      <c r="AK58" s="22">
        <f xml:space="preserve"> RTD("cqg.rtd",,"StudyData","BAVolCr.AskVol^(SUBMINUTE(("&amp;$B$3&amp;"),5,FillGap),5,0)",  "Bar",, "Open", "5",Z58,,,,,"T")</f>
        <v>322</v>
      </c>
    </row>
    <row r="59" spans="12:37" ht="15.95" customHeight="1" x14ac:dyDescent="0.3">
      <c r="L59" s="23" t="str">
        <f t="shared" si="5"/>
        <v>2726.00</v>
      </c>
      <c r="M59" s="24" t="str">
        <f t="shared" si="0"/>
        <v/>
      </c>
      <c r="N59" s="25" t="str">
        <f t="shared" si="1"/>
        <v/>
      </c>
      <c r="O59" s="26">
        <f>RTD("cqg.rtd",,"StudyData","FPVol(FootprintOp ("&amp;$B$3&amp;", 0),"&amp;L59&amp;")", "Bar",, "Close","D","0","all",,,,"T")</f>
        <v>18461</v>
      </c>
      <c r="P59" s="27" t="str">
        <f t="shared" si="2"/>
        <v/>
      </c>
      <c r="Q59" s="22" t="str">
        <f t="shared" si="3"/>
        <v/>
      </c>
      <c r="R59" s="22">
        <f t="shared" si="4"/>
        <v>18461</v>
      </c>
      <c r="Y59" s="22">
        <f>IF(RTD("cqg.rtd",,"StudyData","SUBMINUTE(("&amp;$B$3&amp;"),1,FillGap)","Bar",,"Close","5",Z59,,,,,"T")="",NA(),_xlfn.NUMBERVALUE(TEXT(RTD("cqg.rtd",,"StudyData","SUBMINUTE(("&amp;$B$3&amp;"),1,FillGap)","Bar",,"Close","5",Z59,,,,,"T"),Sheet1!$D$8)))</f>
        <v>2739</v>
      </c>
      <c r="Z59" s="22">
        <f t="shared" si="6"/>
        <v>-58</v>
      </c>
      <c r="AA59" s="28">
        <f>RTD("cqg.rtd",,"StudyData","SUBMINUTE(("&amp;$B$3&amp;"),1,Regular)","FG",,"Time","5",Z59,,,,,"T")</f>
        <v>43167.6347453704</v>
      </c>
      <c r="AB59" s="22">
        <f xml:space="preserve"> RTD("cqg.rtd",,"StudyData","BAVolCr.BidVol^(SUBMINUTE(("&amp;$B$3&amp;"),1,FillGap),5,0)",  "Bar",, "Open", "5",Z59,,,,,"T")</f>
        <v>304</v>
      </c>
      <c r="AC59" s="22">
        <f xml:space="preserve"> RTD("cqg.rtd",,"StudyData","BAVolCr.AskVol^(SUBMINUTE(("&amp;$B$3&amp;"),1,FillGap),5,0)",  "Bar",, "Open", "5",Z59,,,,,"T")</f>
        <v>61</v>
      </c>
      <c r="AE59" s="28">
        <f>RTD("cqg.rtd",,"StudyData","SUBMINUTE(("&amp;$B$3&amp;"),5,Regular)","FG",,"Time","5",Z59,,,,,"T")</f>
        <v>43167.632060185198</v>
      </c>
      <c r="AF59" s="22">
        <f>IF(RTD("cqg.rtd",,"StudyData","SUBMINUTE(("&amp;$B$3&amp;"),5,FillGap)","Bar",,"Open","5",Z59,,,,,"T")="",NA(),_xlfn.NUMBERVALUE(TEXT(RTD("cqg.rtd",,"StudyData","SUBMINUTE(("&amp;$B$3&amp;"),5,FillGap)","Bar",,"Open","5",Z59,,,,,"T"),Sheet1!$D$8)))</f>
        <v>2738.5</v>
      </c>
      <c r="AG59" s="22">
        <f>IF(RTD("cqg.rtd",,"StudyData","SUBMINUTE(("&amp;$B$3&amp;"),5,FillGap)","Bar",,"High","5",Z59,,,,,"T")="",NA(),_xlfn.NUMBERVALUE(TEXT(RTD("cqg.rtd",,"StudyData","SUBMINUTE(("&amp;$B$3&amp;"),5,FillGap)","Bar",,"High","5",Z59,,,,,"T"),Sheet1!$D$8)))</f>
        <v>2738.75</v>
      </c>
      <c r="AH59" s="22">
        <f>IF(RTD("cqg.rtd",,"StudyData","SUBMINUTE(("&amp;$B$3&amp;"),5,FillGap)","Bar",,"Low","5",Z59,,,,,"T")="",NA(),_xlfn.NUMBERVALUE(TEXT(RTD("cqg.rtd",,"StudyData","SUBMINUTE(("&amp;$B$3&amp;"),5,FillGap)","Bar",,"Low","5",Z59,,,,,"T"),Sheet1!$D$8)))</f>
        <v>2738.5</v>
      </c>
      <c r="AI59" s="22">
        <f>IF(RTD("cqg.rtd",,"StudyData","SUBMINUTE(("&amp;$B$3&amp;"),5,FillGap)","Bar",,"Close","5",Z59,,,,,"T")="",NA(),_xlfn.NUMBERVALUE(TEXT(RTD("cqg.rtd",,"StudyData","SUBMINUTE(("&amp;$B$3&amp;"),5,FillGap)","Bar",,"Close","5",Z59,,,,,"T"),Sheet1!$D$8)))</f>
        <v>2738.75</v>
      </c>
      <c r="AJ59" s="22">
        <f xml:space="preserve"> RTD("cqg.rtd",,"StudyData","BAVolCr.BidVol^(SUBMINUTE(("&amp;$B$3&amp;"),5,FillGap),5,0)",  "Bar",, "Open", "5",Z59,,,,,"T")</f>
        <v>412</v>
      </c>
      <c r="AK59" s="22">
        <f xml:space="preserve"> RTD("cqg.rtd",,"StudyData","BAVolCr.AskVol^(SUBMINUTE(("&amp;$B$3&amp;"),5,FillGap),5,0)",  "Bar",, "Open", "5",Z59,,,,,"T")</f>
        <v>301</v>
      </c>
    </row>
    <row r="60" spans="12:37" ht="15.95" customHeight="1" x14ac:dyDescent="0.3">
      <c r="L60" s="23" t="str">
        <f t="shared" si="5"/>
        <v>2725.75</v>
      </c>
      <c r="M60" s="24" t="str">
        <f t="shared" si="0"/>
        <v/>
      </c>
      <c r="N60" s="25" t="str">
        <f t="shared" si="1"/>
        <v/>
      </c>
      <c r="O60" s="26">
        <f>RTD("cqg.rtd",,"StudyData","FPVol(FootprintOp ("&amp;$B$3&amp;", 0),"&amp;L60&amp;")", "Bar",, "Close","D","0","all",,,,"T")</f>
        <v>14996</v>
      </c>
      <c r="P60" s="27" t="str">
        <f t="shared" si="2"/>
        <v/>
      </c>
      <c r="Q60" s="22" t="str">
        <f t="shared" si="3"/>
        <v/>
      </c>
      <c r="R60" s="22">
        <f t="shared" si="4"/>
        <v>14996</v>
      </c>
      <c r="Y60" s="22">
        <f>IF(RTD("cqg.rtd",,"StudyData","SUBMINUTE(("&amp;$B$3&amp;"),1,FillGap)","Bar",,"Close","5",Z60,,,,,"T")="",NA(),_xlfn.NUMBERVALUE(TEXT(RTD("cqg.rtd",,"StudyData","SUBMINUTE(("&amp;$B$3&amp;"),1,FillGap)","Bar",,"Close","5",Z60,,,,,"T"),Sheet1!$D$8)))</f>
        <v>2739</v>
      </c>
      <c r="Z60" s="22">
        <f t="shared" si="6"/>
        <v>-59</v>
      </c>
      <c r="AA60" s="28">
        <f>RTD("cqg.rtd",,"StudyData","SUBMINUTE(("&amp;$B$3&amp;"),1,Regular)","FG",,"Time","5",Z60,,,,,"T")</f>
        <v>43167.634733796302</v>
      </c>
      <c r="AB60" s="22">
        <f xml:space="preserve"> RTD("cqg.rtd",,"StudyData","BAVolCr.BidVol^(SUBMINUTE(("&amp;$B$3&amp;"),1,FillGap),5,0)",  "Bar",, "Open", "5",Z60,,,,,"T")</f>
        <v>291</v>
      </c>
      <c r="AC60" s="22">
        <f xml:space="preserve"> RTD("cqg.rtd",,"StudyData","BAVolCr.AskVol^(SUBMINUTE(("&amp;$B$3&amp;"),1,FillGap),5,0)",  "Bar",, "Open", "5",Z60,,,,,"T")</f>
        <v>37</v>
      </c>
      <c r="AE60" s="28">
        <f>RTD("cqg.rtd",,"StudyData","SUBMINUTE(("&amp;$B$3&amp;"),5,Regular)","FG",,"Time","5",Z60,,,,,"T")</f>
        <v>43167.6320023148</v>
      </c>
      <c r="AF60" s="22">
        <f>IF(RTD("cqg.rtd",,"StudyData","SUBMINUTE(("&amp;$B$3&amp;"),5,FillGap)","Bar",,"Open","5",Z60,,,,,"T")="",NA(),_xlfn.NUMBERVALUE(TEXT(RTD("cqg.rtd",,"StudyData","SUBMINUTE(("&amp;$B$3&amp;"),5,FillGap)","Bar",,"Open","5",Z60,,,,,"T"),Sheet1!$D$8)))</f>
        <v>2738.75</v>
      </c>
      <c r="AG60" s="22">
        <f>IF(RTD("cqg.rtd",,"StudyData","SUBMINUTE(("&amp;$B$3&amp;"),5,FillGap)","Bar",,"High","5",Z60,,,,,"T")="",NA(),_xlfn.NUMBERVALUE(TEXT(RTD("cqg.rtd",,"StudyData","SUBMINUTE(("&amp;$B$3&amp;"),5,FillGap)","Bar",,"High","5",Z60,,,,,"T"),Sheet1!$D$8)))</f>
        <v>2738.75</v>
      </c>
      <c r="AH60" s="22">
        <f>IF(RTD("cqg.rtd",,"StudyData","SUBMINUTE(("&amp;$B$3&amp;"),5,FillGap)","Bar",,"Low","5",Z60,,,,,"T")="",NA(),_xlfn.NUMBERVALUE(TEXT(RTD("cqg.rtd",,"StudyData","SUBMINUTE(("&amp;$B$3&amp;"),5,FillGap)","Bar",,"Low","5",Z60,,,,,"T"),Sheet1!$D$8)))</f>
        <v>2738.5</v>
      </c>
      <c r="AI60" s="22">
        <f>IF(RTD("cqg.rtd",,"StudyData","SUBMINUTE(("&amp;$B$3&amp;"),5,FillGap)","Bar",,"Close","5",Z60,,,,,"T")="",NA(),_xlfn.NUMBERVALUE(TEXT(RTD("cqg.rtd",,"StudyData","SUBMINUTE(("&amp;$B$3&amp;"),5,FillGap)","Bar",,"Close","5",Z60,,,,,"T"),Sheet1!$D$8)))</f>
        <v>2738.5</v>
      </c>
      <c r="AJ60" s="22">
        <f xml:space="preserve"> RTD("cqg.rtd",,"StudyData","BAVolCr.BidVol^(SUBMINUTE(("&amp;$B$3&amp;"),5,FillGap),5,0)",  "Bar",, "Open", "5",Z60,,,,,"T")</f>
        <v>406</v>
      </c>
      <c r="AK60" s="22">
        <f xml:space="preserve"> RTD("cqg.rtd",,"StudyData","BAVolCr.AskVol^(SUBMINUTE(("&amp;$B$3&amp;"),5,FillGap),5,0)",  "Bar",, "Open", "5",Z60,,,,,"T")</f>
        <v>347</v>
      </c>
    </row>
    <row r="61" spans="12:37" ht="15.95" customHeight="1" x14ac:dyDescent="0.3">
      <c r="L61" s="23" t="str">
        <f t="shared" si="5"/>
        <v>2725.50</v>
      </c>
      <c r="M61" s="24" t="str">
        <f t="shared" si="0"/>
        <v/>
      </c>
      <c r="N61" s="25" t="str">
        <f t="shared" si="1"/>
        <v/>
      </c>
      <c r="O61" s="26">
        <f>RTD("cqg.rtd",,"StudyData","FPVol(FootprintOp ("&amp;$B$3&amp;", 0),"&amp;L61&amp;")", "Bar",, "Close","D","0","all",,,,"T")</f>
        <v>13215</v>
      </c>
      <c r="P61" s="27" t="str">
        <f t="shared" si="2"/>
        <v/>
      </c>
      <c r="Q61" s="22" t="str">
        <f t="shared" si="3"/>
        <v/>
      </c>
      <c r="R61" s="22">
        <f t="shared" si="4"/>
        <v>13215</v>
      </c>
      <c r="Y61" s="22">
        <f>IF(RTD("cqg.rtd",,"StudyData","SUBMINUTE(("&amp;$B$3&amp;"),1,FillGap)","Bar",,"Close","5",Z61,,,,,"T")="",NA(),_xlfn.NUMBERVALUE(TEXT(RTD("cqg.rtd",,"StudyData","SUBMINUTE(("&amp;$B$3&amp;"),1,FillGap)","Bar",,"Close","5",Z61,,,,,"T"),Sheet1!$D$8)))</f>
        <v>2739</v>
      </c>
      <c r="Z61" s="22">
        <f t="shared" si="6"/>
        <v>-60</v>
      </c>
      <c r="AA61" s="28">
        <f>RTD("cqg.rtd",,"StudyData","SUBMINUTE(("&amp;$B$3&amp;"),1,Regular)","FG",,"Time","5",Z61,,,,,"T")</f>
        <v>43167.634722222203</v>
      </c>
      <c r="AB61" s="22">
        <f xml:space="preserve"> RTD("cqg.rtd",,"StudyData","BAVolCr.BidVol^(SUBMINUTE(("&amp;$B$3&amp;"),1,FillGap),5,0)",  "Bar",, "Open", "5",Z61,,,,,"T")</f>
        <v>242</v>
      </c>
      <c r="AC61" s="22">
        <f xml:space="preserve"> RTD("cqg.rtd",,"StudyData","BAVolCr.AskVol^(SUBMINUTE(("&amp;$B$3&amp;"),1,FillGap),5,0)",  "Bar",, "Open", "5",Z61,,,,,"T")</f>
        <v>37</v>
      </c>
      <c r="AE61" s="28">
        <f>RTD("cqg.rtd",,"StudyData","SUBMINUTE(("&amp;$B$3&amp;"),5,Regular)","FG",,"Time","5",Z61,,,,,"T")</f>
        <v>43167.631944444402</v>
      </c>
      <c r="AF61" s="22">
        <f>IF(RTD("cqg.rtd",,"StudyData","SUBMINUTE(("&amp;$B$3&amp;"),5,FillGap)","Bar",,"Open","5",Z61,,,,,"T")="",NA(),_xlfn.NUMBERVALUE(TEXT(RTD("cqg.rtd",,"StudyData","SUBMINUTE(("&amp;$B$3&amp;"),5,FillGap)","Bar",,"Open","5",Z61,,,,,"T"),Sheet1!$D$8)))</f>
        <v>2739</v>
      </c>
      <c r="AG61" s="22">
        <f>IF(RTD("cqg.rtd",,"StudyData","SUBMINUTE(("&amp;$B$3&amp;"),5,FillGap)","Bar",,"High","5",Z61,,,,,"T")="",NA(),_xlfn.NUMBERVALUE(TEXT(RTD("cqg.rtd",,"StudyData","SUBMINUTE(("&amp;$B$3&amp;"),5,FillGap)","Bar",,"High","5",Z61,,,,,"T"),Sheet1!$D$8)))</f>
        <v>2739</v>
      </c>
      <c r="AH61" s="22">
        <f>IF(RTD("cqg.rtd",,"StudyData","SUBMINUTE(("&amp;$B$3&amp;"),5,FillGap)","Bar",,"Low","5",Z61,,,,,"T")="",NA(),_xlfn.NUMBERVALUE(TEXT(RTD("cqg.rtd",,"StudyData","SUBMINUTE(("&amp;$B$3&amp;"),5,FillGap)","Bar",,"Low","5",Z61,,,,,"T"),Sheet1!$D$8)))</f>
        <v>2738.75</v>
      </c>
      <c r="AI61" s="22">
        <f>IF(RTD("cqg.rtd",,"StudyData","SUBMINUTE(("&amp;$B$3&amp;"),5,FillGap)","Bar",,"Close","5",Z61,,,,,"T")="",NA(),_xlfn.NUMBERVALUE(TEXT(RTD("cqg.rtd",,"StudyData","SUBMINUTE(("&amp;$B$3&amp;"),5,FillGap)","Bar",,"Close","5",Z61,,,,,"T"),Sheet1!$D$8)))</f>
        <v>2738.75</v>
      </c>
      <c r="AJ61" s="22">
        <f xml:space="preserve"> RTD("cqg.rtd",,"StudyData","BAVolCr.BidVol^(SUBMINUTE(("&amp;$B$3&amp;"),5,FillGap),5,0)",  "Bar",, "Open", "5",Z61,,,,,"T")</f>
        <v>235</v>
      </c>
      <c r="AK61" s="22">
        <f xml:space="preserve"> RTD("cqg.rtd",,"StudyData","BAVolCr.AskVol^(SUBMINUTE(("&amp;$B$3&amp;"),5,FillGap),5,0)",  "Bar",, "Open", "5",Z61,,,,,"T")</f>
        <v>318</v>
      </c>
    </row>
    <row r="62" spans="12:37" ht="15.95" customHeight="1" x14ac:dyDescent="0.3">
      <c r="L62" s="23" t="str">
        <f t="shared" si="5"/>
        <v>2725.25</v>
      </c>
      <c r="M62" s="24" t="str">
        <f t="shared" si="0"/>
        <v/>
      </c>
      <c r="N62" s="25" t="str">
        <f t="shared" si="1"/>
        <v/>
      </c>
      <c r="O62" s="26">
        <f>RTD("cqg.rtd",,"StudyData","FPVol(FootprintOp ("&amp;$B$3&amp;", 0),"&amp;L62&amp;")", "Bar",, "Close","D","0","all",,,,"T")</f>
        <v>15522</v>
      </c>
      <c r="P62" s="27" t="str">
        <f t="shared" si="2"/>
        <v/>
      </c>
      <c r="Q62" s="22" t="str">
        <f t="shared" si="3"/>
        <v/>
      </c>
      <c r="R62" s="22">
        <f t="shared" si="4"/>
        <v>15522</v>
      </c>
    </row>
    <row r="63" spans="12:37" ht="15.95" customHeight="1" x14ac:dyDescent="0.3">
      <c r="L63" s="23" t="str">
        <f t="shared" si="5"/>
        <v>2725.00</v>
      </c>
      <c r="M63" s="24" t="str">
        <f t="shared" si="0"/>
        <v/>
      </c>
      <c r="N63" s="25" t="str">
        <f t="shared" si="1"/>
        <v/>
      </c>
      <c r="O63" s="26">
        <f>RTD("cqg.rtd",,"StudyData","FPVol(FootprintOp ("&amp;$B$3&amp;", 0),"&amp;L63&amp;")", "Bar",, "Close","D","0","all",,,,"T")</f>
        <v>15741</v>
      </c>
      <c r="P63" s="27" t="str">
        <f t="shared" si="2"/>
        <v/>
      </c>
      <c r="Q63" s="22" t="str">
        <f t="shared" si="3"/>
        <v/>
      </c>
      <c r="R63" s="22">
        <f t="shared" si="4"/>
        <v>15741</v>
      </c>
    </row>
    <row r="64" spans="12:37" ht="15.95" customHeight="1" x14ac:dyDescent="0.3">
      <c r="L64" s="23" t="str">
        <f t="shared" si="5"/>
        <v>2724.75</v>
      </c>
      <c r="M64" s="24" t="str">
        <f t="shared" si="0"/>
        <v/>
      </c>
      <c r="N64" s="25" t="str">
        <f t="shared" si="1"/>
        <v/>
      </c>
      <c r="O64" s="26">
        <f>RTD("cqg.rtd",,"StudyData","FPVol(FootprintOp ("&amp;$B$3&amp;", 0),"&amp;L64&amp;")", "Bar",, "Close","D","0","all",,,,"T")</f>
        <v>11805</v>
      </c>
      <c r="P64" s="27" t="str">
        <f t="shared" si="2"/>
        <v/>
      </c>
      <c r="Q64" s="22" t="str">
        <f t="shared" si="3"/>
        <v/>
      </c>
      <c r="R64" s="22">
        <f t="shared" si="4"/>
        <v>11805</v>
      </c>
    </row>
    <row r="65" spans="12:18" ht="15.95" customHeight="1" x14ac:dyDescent="0.3">
      <c r="L65" s="23" t="str">
        <f t="shared" si="5"/>
        <v>2724.50</v>
      </c>
      <c r="M65" s="24" t="str">
        <f t="shared" si="0"/>
        <v/>
      </c>
      <c r="N65" s="25" t="str">
        <f t="shared" si="1"/>
        <v/>
      </c>
      <c r="O65" s="26">
        <f>RTD("cqg.rtd",,"StudyData","FPVol(FootprintOp ("&amp;$B$3&amp;", 0),"&amp;L65&amp;")", "Bar",, "Close","D","0","all",,,,"T")</f>
        <v>12268</v>
      </c>
      <c r="P65" s="27" t="str">
        <f t="shared" si="2"/>
        <v/>
      </c>
      <c r="Q65" s="22" t="str">
        <f t="shared" si="3"/>
        <v/>
      </c>
      <c r="R65" s="22">
        <f t="shared" si="4"/>
        <v>12268</v>
      </c>
    </row>
    <row r="66" spans="12:18" ht="15.95" customHeight="1" x14ac:dyDescent="0.3">
      <c r="L66" s="23" t="str">
        <f t="shared" si="5"/>
        <v>2724.25</v>
      </c>
      <c r="M66" s="24" t="str">
        <f t="shared" ref="M66:M129" si="7">P66</f>
        <v/>
      </c>
      <c r="N66" s="25" t="str">
        <f t="shared" ref="N66:N129" si="8">Q66</f>
        <v/>
      </c>
      <c r="O66" s="26">
        <f>RTD("cqg.rtd",,"StudyData","FPVol(FootprintOp ("&amp;$B$3&amp;", 0),"&amp;L66&amp;")", "Bar",, "Close","D","0","all",,,,"T")</f>
        <v>12068</v>
      </c>
      <c r="P66" s="27" t="str">
        <f t="shared" ref="P66:P129" si="9">IF(L66=$B$4,$B$5,"")</f>
        <v/>
      </c>
      <c r="Q66" s="22" t="str">
        <f t="shared" ref="Q66:Q129" si="10">IF(L66=$C$4,$C$5,"")</f>
        <v/>
      </c>
      <c r="R66" s="22">
        <f t="shared" ref="R66:R129" si="11">O66</f>
        <v>12068</v>
      </c>
    </row>
    <row r="67" spans="12:18" ht="15.95" customHeight="1" x14ac:dyDescent="0.3">
      <c r="L67" s="23" t="str">
        <f t="shared" ref="L67:L130" si="12">TEXT(ROUND(L66,$C$8)-$C$3,$D$8)</f>
        <v>2724.00</v>
      </c>
      <c r="M67" s="24" t="str">
        <f t="shared" si="7"/>
        <v/>
      </c>
      <c r="N67" s="25" t="str">
        <f t="shared" si="8"/>
        <v/>
      </c>
      <c r="O67" s="26">
        <f>RTD("cqg.rtd",,"StudyData","FPVol(FootprintOp ("&amp;$B$3&amp;", 0),"&amp;L67&amp;")", "Bar",, "Close","D","0","all",,,,"T")</f>
        <v>11725</v>
      </c>
      <c r="P67" s="27" t="str">
        <f t="shared" si="9"/>
        <v/>
      </c>
      <c r="Q67" s="22" t="str">
        <f t="shared" si="10"/>
        <v/>
      </c>
      <c r="R67" s="22">
        <f t="shared" si="11"/>
        <v>11725</v>
      </c>
    </row>
    <row r="68" spans="12:18" ht="15.95" customHeight="1" x14ac:dyDescent="0.3">
      <c r="L68" s="23" t="str">
        <f t="shared" si="12"/>
        <v>2723.75</v>
      </c>
      <c r="M68" s="24" t="str">
        <f t="shared" si="7"/>
        <v/>
      </c>
      <c r="N68" s="25" t="str">
        <f t="shared" si="8"/>
        <v/>
      </c>
      <c r="O68" s="26">
        <f>RTD("cqg.rtd",,"StudyData","FPVol(FootprintOp ("&amp;$B$3&amp;", 0),"&amp;L68&amp;")", "Bar",, "Close","D","0","all",,,,"T")</f>
        <v>11123</v>
      </c>
      <c r="P68" s="27" t="str">
        <f t="shared" si="9"/>
        <v/>
      </c>
      <c r="Q68" s="22" t="str">
        <f t="shared" si="10"/>
        <v/>
      </c>
      <c r="R68" s="22">
        <f t="shared" si="11"/>
        <v>11123</v>
      </c>
    </row>
    <row r="69" spans="12:18" ht="15.95" customHeight="1" x14ac:dyDescent="0.3">
      <c r="L69" s="23" t="str">
        <f t="shared" si="12"/>
        <v>2723.50</v>
      </c>
      <c r="M69" s="24" t="str">
        <f t="shared" si="7"/>
        <v/>
      </c>
      <c r="N69" s="25" t="str">
        <f t="shared" si="8"/>
        <v/>
      </c>
      <c r="O69" s="26">
        <f>RTD("cqg.rtd",,"StudyData","FPVol(FootprintOp ("&amp;$B$3&amp;", 0),"&amp;L69&amp;")", "Bar",, "Close","D","0","all",,,,"T")</f>
        <v>6737</v>
      </c>
      <c r="P69" s="27" t="str">
        <f t="shared" si="9"/>
        <v/>
      </c>
      <c r="Q69" s="22" t="str">
        <f t="shared" si="10"/>
        <v/>
      </c>
      <c r="R69" s="22">
        <f t="shared" si="11"/>
        <v>6737</v>
      </c>
    </row>
    <row r="70" spans="12:18" ht="15.95" customHeight="1" x14ac:dyDescent="0.3">
      <c r="L70" s="23" t="str">
        <f t="shared" si="12"/>
        <v>2723.25</v>
      </c>
      <c r="M70" s="24" t="str">
        <f t="shared" si="7"/>
        <v/>
      </c>
      <c r="N70" s="25" t="str">
        <f t="shared" si="8"/>
        <v/>
      </c>
      <c r="O70" s="26">
        <f>RTD("cqg.rtd",,"StudyData","FPVol(FootprintOp ("&amp;$B$3&amp;", 0),"&amp;L70&amp;")", "Bar",, "Close","D","0","all",,,,"T")</f>
        <v>5313</v>
      </c>
      <c r="P70" s="27" t="str">
        <f t="shared" si="9"/>
        <v/>
      </c>
      <c r="Q70" s="22" t="str">
        <f t="shared" si="10"/>
        <v/>
      </c>
      <c r="R70" s="22">
        <f t="shared" si="11"/>
        <v>5313</v>
      </c>
    </row>
    <row r="71" spans="12:18" ht="15.95" customHeight="1" x14ac:dyDescent="0.3">
      <c r="L71" s="23" t="str">
        <f t="shared" si="12"/>
        <v>2723.00</v>
      </c>
      <c r="M71" s="24" t="str">
        <f t="shared" si="7"/>
        <v/>
      </c>
      <c r="N71" s="25" t="str">
        <f t="shared" si="8"/>
        <v/>
      </c>
      <c r="O71" s="26">
        <f>RTD("cqg.rtd",,"StudyData","FPVol(FootprintOp ("&amp;$B$3&amp;", 0),"&amp;L71&amp;")", "Bar",, "Close","D","0","all",,,,"T")</f>
        <v>6603</v>
      </c>
      <c r="P71" s="27" t="str">
        <f t="shared" si="9"/>
        <v/>
      </c>
      <c r="Q71" s="22" t="str">
        <f t="shared" si="10"/>
        <v/>
      </c>
      <c r="R71" s="22">
        <f t="shared" si="11"/>
        <v>6603</v>
      </c>
    </row>
    <row r="72" spans="12:18" ht="15.95" customHeight="1" x14ac:dyDescent="0.3">
      <c r="L72" s="23" t="str">
        <f t="shared" si="12"/>
        <v>2722.75</v>
      </c>
      <c r="M72" s="24" t="str">
        <f t="shared" si="7"/>
        <v/>
      </c>
      <c r="N72" s="25" t="str">
        <f t="shared" si="8"/>
        <v/>
      </c>
      <c r="O72" s="26">
        <f>RTD("cqg.rtd",,"StudyData","FPVol(FootprintOp ("&amp;$B$3&amp;", 0),"&amp;L72&amp;")", "Bar",, "Close","D","0","all",,,,"T")</f>
        <v>4366</v>
      </c>
      <c r="P72" s="27" t="str">
        <f t="shared" si="9"/>
        <v/>
      </c>
      <c r="Q72" s="22" t="str">
        <f t="shared" si="10"/>
        <v/>
      </c>
      <c r="R72" s="22">
        <f t="shared" si="11"/>
        <v>4366</v>
      </c>
    </row>
    <row r="73" spans="12:18" ht="15.95" customHeight="1" x14ac:dyDescent="0.3">
      <c r="L73" s="23" t="str">
        <f t="shared" si="12"/>
        <v>2722.50</v>
      </c>
      <c r="M73" s="24" t="str">
        <f t="shared" si="7"/>
        <v/>
      </c>
      <c r="N73" s="25" t="str">
        <f t="shared" si="8"/>
        <v/>
      </c>
      <c r="O73" s="26">
        <f>RTD("cqg.rtd",,"StudyData","FPVol(FootprintOp ("&amp;$B$3&amp;", 0),"&amp;L73&amp;")", "Bar",, "Close","D","0","all",,,,"T")</f>
        <v>4540</v>
      </c>
      <c r="P73" s="27" t="str">
        <f t="shared" si="9"/>
        <v/>
      </c>
      <c r="Q73" s="22" t="str">
        <f t="shared" si="10"/>
        <v/>
      </c>
      <c r="R73" s="22">
        <f t="shared" si="11"/>
        <v>4540</v>
      </c>
    </row>
    <row r="74" spans="12:18" ht="15.95" customHeight="1" x14ac:dyDescent="0.3">
      <c r="L74" s="23" t="str">
        <f t="shared" si="12"/>
        <v>2722.25</v>
      </c>
      <c r="M74" s="24" t="str">
        <f t="shared" si="7"/>
        <v/>
      </c>
      <c r="N74" s="25" t="str">
        <f t="shared" si="8"/>
        <v/>
      </c>
      <c r="O74" s="26">
        <f>RTD("cqg.rtd",,"StudyData","FPVol(FootprintOp ("&amp;$B$3&amp;", 0),"&amp;L74&amp;")", "Bar",, "Close","D","0","all",,,,"T")</f>
        <v>3514</v>
      </c>
      <c r="P74" s="27" t="str">
        <f t="shared" si="9"/>
        <v/>
      </c>
      <c r="Q74" s="22" t="str">
        <f t="shared" si="10"/>
        <v/>
      </c>
      <c r="R74" s="22">
        <f t="shared" si="11"/>
        <v>3514</v>
      </c>
    </row>
    <row r="75" spans="12:18" ht="15.95" customHeight="1" x14ac:dyDescent="0.3">
      <c r="L75" s="23" t="str">
        <f t="shared" si="12"/>
        <v>2722.00</v>
      </c>
      <c r="M75" s="24" t="str">
        <f t="shared" si="7"/>
        <v/>
      </c>
      <c r="N75" s="25" t="str">
        <f t="shared" si="8"/>
        <v/>
      </c>
      <c r="O75" s="26">
        <f>RTD("cqg.rtd",,"StudyData","FPVol(FootprintOp ("&amp;$B$3&amp;", 0),"&amp;L75&amp;")", "Bar",, "Close","D","0","all",,,,"T")</f>
        <v>3134</v>
      </c>
      <c r="P75" s="27" t="str">
        <f t="shared" si="9"/>
        <v/>
      </c>
      <c r="Q75" s="22" t="str">
        <f t="shared" si="10"/>
        <v/>
      </c>
      <c r="R75" s="22">
        <f t="shared" si="11"/>
        <v>3134</v>
      </c>
    </row>
    <row r="76" spans="12:18" ht="15.95" customHeight="1" x14ac:dyDescent="0.3">
      <c r="L76" s="23" t="str">
        <f t="shared" si="12"/>
        <v>2721.75</v>
      </c>
      <c r="M76" s="24" t="str">
        <f t="shared" si="7"/>
        <v/>
      </c>
      <c r="N76" s="25" t="str">
        <f t="shared" si="8"/>
        <v/>
      </c>
      <c r="O76" s="26">
        <f>RTD("cqg.rtd",,"StudyData","FPVol(FootprintOp ("&amp;$B$3&amp;", 0),"&amp;L76&amp;")", "Bar",, "Close","D","0","all",,,,"T")</f>
        <v>1755</v>
      </c>
      <c r="P76" s="27" t="str">
        <f t="shared" si="9"/>
        <v/>
      </c>
      <c r="Q76" s="22" t="str">
        <f t="shared" si="10"/>
        <v/>
      </c>
      <c r="R76" s="22">
        <f t="shared" si="11"/>
        <v>1755</v>
      </c>
    </row>
    <row r="77" spans="12:18" ht="15.95" customHeight="1" x14ac:dyDescent="0.3">
      <c r="L77" s="23" t="str">
        <f t="shared" si="12"/>
        <v>2721.50</v>
      </c>
      <c r="M77" s="24" t="str">
        <f t="shared" si="7"/>
        <v/>
      </c>
      <c r="N77" s="25" t="str">
        <f t="shared" si="8"/>
        <v/>
      </c>
      <c r="O77" s="26">
        <f>RTD("cqg.rtd",,"StudyData","FPVol(FootprintOp ("&amp;$B$3&amp;", 0),"&amp;L77&amp;")", "Bar",, "Close","D","0","all",,,,"T")</f>
        <v>1476</v>
      </c>
      <c r="P77" s="27" t="str">
        <f t="shared" si="9"/>
        <v/>
      </c>
      <c r="Q77" s="22" t="str">
        <f t="shared" si="10"/>
        <v/>
      </c>
      <c r="R77" s="22">
        <f t="shared" si="11"/>
        <v>1476</v>
      </c>
    </row>
    <row r="78" spans="12:18" ht="15.95" customHeight="1" x14ac:dyDescent="0.3">
      <c r="L78" s="23" t="str">
        <f t="shared" si="12"/>
        <v>2721.25</v>
      </c>
      <c r="M78" s="24" t="str">
        <f t="shared" si="7"/>
        <v/>
      </c>
      <c r="N78" s="25" t="str">
        <f t="shared" si="8"/>
        <v/>
      </c>
      <c r="O78" s="26">
        <f>RTD("cqg.rtd",,"StudyData","FPVol(FootprintOp ("&amp;$B$3&amp;", 0),"&amp;L78&amp;")", "Bar",, "Close","D","0","all",,,,"T")</f>
        <v>2018</v>
      </c>
      <c r="P78" s="27" t="str">
        <f t="shared" si="9"/>
        <v/>
      </c>
      <c r="Q78" s="22" t="str">
        <f t="shared" si="10"/>
        <v/>
      </c>
      <c r="R78" s="22">
        <f t="shared" si="11"/>
        <v>2018</v>
      </c>
    </row>
    <row r="79" spans="12:18" ht="15.95" customHeight="1" x14ac:dyDescent="0.3">
      <c r="L79" s="23" t="str">
        <f t="shared" si="12"/>
        <v>2721.00</v>
      </c>
      <c r="M79" s="24" t="str">
        <f t="shared" si="7"/>
        <v/>
      </c>
      <c r="N79" s="25" t="str">
        <f t="shared" si="8"/>
        <v/>
      </c>
      <c r="O79" s="26">
        <f>RTD("cqg.rtd",,"StudyData","FPVol(FootprintOp ("&amp;$B$3&amp;", 0),"&amp;L79&amp;")", "Bar",, "Close","D","0","all",,,,"T")</f>
        <v>1712</v>
      </c>
      <c r="P79" s="27" t="str">
        <f t="shared" si="9"/>
        <v/>
      </c>
      <c r="Q79" s="22" t="str">
        <f t="shared" si="10"/>
        <v/>
      </c>
      <c r="R79" s="22">
        <f t="shared" si="11"/>
        <v>1712</v>
      </c>
    </row>
    <row r="80" spans="12:18" ht="15.95" customHeight="1" x14ac:dyDescent="0.3">
      <c r="L80" s="23" t="str">
        <f t="shared" si="12"/>
        <v>2720.75</v>
      </c>
      <c r="M80" s="24" t="str">
        <f t="shared" si="7"/>
        <v/>
      </c>
      <c r="N80" s="25" t="str">
        <f t="shared" si="8"/>
        <v/>
      </c>
      <c r="O80" s="26">
        <f>RTD("cqg.rtd",,"StudyData","FPVol(FootprintOp ("&amp;$B$3&amp;", 0),"&amp;L80&amp;")", "Bar",, "Close","D","0","all",,,,"T")</f>
        <v>928</v>
      </c>
      <c r="P80" s="27" t="str">
        <f t="shared" si="9"/>
        <v/>
      </c>
      <c r="Q80" s="22" t="str">
        <f t="shared" si="10"/>
        <v/>
      </c>
      <c r="R80" s="22">
        <f t="shared" si="11"/>
        <v>928</v>
      </c>
    </row>
    <row r="81" spans="12:18" ht="15.95" customHeight="1" x14ac:dyDescent="0.3">
      <c r="L81" s="23" t="str">
        <f t="shared" si="12"/>
        <v>2720.50</v>
      </c>
      <c r="M81" s="24" t="str">
        <f t="shared" si="7"/>
        <v/>
      </c>
      <c r="N81" s="25" t="str">
        <f t="shared" si="8"/>
        <v/>
      </c>
      <c r="O81" s="26">
        <f>RTD("cqg.rtd",,"StudyData","FPVol(FootprintOp ("&amp;$B$3&amp;", 0),"&amp;L81&amp;")", "Bar",, "Close","D","0","all",,,,"T")</f>
        <v>998</v>
      </c>
      <c r="P81" s="27" t="str">
        <f t="shared" si="9"/>
        <v/>
      </c>
      <c r="Q81" s="22" t="str">
        <f t="shared" si="10"/>
        <v/>
      </c>
      <c r="R81" s="22">
        <f t="shared" si="11"/>
        <v>998</v>
      </c>
    </row>
    <row r="82" spans="12:18" ht="15.95" customHeight="1" x14ac:dyDescent="0.3">
      <c r="L82" s="23" t="str">
        <f t="shared" si="12"/>
        <v>2720.25</v>
      </c>
      <c r="M82" s="24" t="str">
        <f t="shared" si="7"/>
        <v/>
      </c>
      <c r="N82" s="25" t="str">
        <f t="shared" si="8"/>
        <v/>
      </c>
      <c r="O82" s="26">
        <f>RTD("cqg.rtd",,"StudyData","FPVol(FootprintOp ("&amp;$B$3&amp;", 0),"&amp;L82&amp;")", "Bar",, "Close","D","0","all",,,,"T")</f>
        <v>1244</v>
      </c>
      <c r="P82" s="27" t="str">
        <f t="shared" si="9"/>
        <v/>
      </c>
      <c r="Q82" s="22" t="str">
        <f t="shared" si="10"/>
        <v/>
      </c>
      <c r="R82" s="22">
        <f t="shared" si="11"/>
        <v>1244</v>
      </c>
    </row>
    <row r="83" spans="12:18" ht="15.95" customHeight="1" x14ac:dyDescent="0.3">
      <c r="L83" s="23" t="str">
        <f t="shared" si="12"/>
        <v>2720.00</v>
      </c>
      <c r="M83" s="24" t="str">
        <f t="shared" si="7"/>
        <v/>
      </c>
      <c r="N83" s="25" t="str">
        <f t="shared" si="8"/>
        <v/>
      </c>
      <c r="O83" s="26">
        <f>RTD("cqg.rtd",,"StudyData","FPVol(FootprintOp ("&amp;$B$3&amp;", 0),"&amp;L83&amp;")", "Bar",, "Close","D","0","all",,,,"T")</f>
        <v>861</v>
      </c>
      <c r="P83" s="27" t="str">
        <f t="shared" si="9"/>
        <v/>
      </c>
      <c r="Q83" s="22" t="str">
        <f t="shared" si="10"/>
        <v/>
      </c>
      <c r="R83" s="22">
        <f t="shared" si="11"/>
        <v>861</v>
      </c>
    </row>
    <row r="84" spans="12:18" ht="15.95" customHeight="1" x14ac:dyDescent="0.3">
      <c r="L84" s="23" t="str">
        <f t="shared" si="12"/>
        <v>2719.75</v>
      </c>
      <c r="M84" s="24" t="str">
        <f t="shared" si="7"/>
        <v/>
      </c>
      <c r="N84" s="25" t="str">
        <f t="shared" si="8"/>
        <v/>
      </c>
      <c r="O84" s="26" t="str">
        <f>RTD("cqg.rtd",,"StudyData","FPVol(FootprintOp ("&amp;$B$3&amp;", 0),"&amp;L84&amp;")", "Bar",, "Close","D","0","all",,,,"T")</f>
        <v/>
      </c>
      <c r="P84" s="27" t="str">
        <f t="shared" si="9"/>
        <v/>
      </c>
      <c r="Q84" s="22" t="str">
        <f t="shared" si="10"/>
        <v/>
      </c>
      <c r="R84" s="22" t="str">
        <f t="shared" si="11"/>
        <v/>
      </c>
    </row>
    <row r="85" spans="12:18" ht="15.95" customHeight="1" x14ac:dyDescent="0.3">
      <c r="L85" s="23" t="str">
        <f t="shared" si="12"/>
        <v>2719.50</v>
      </c>
      <c r="M85" s="24" t="str">
        <f t="shared" si="7"/>
        <v/>
      </c>
      <c r="N85" s="25" t="str">
        <f t="shared" si="8"/>
        <v/>
      </c>
      <c r="O85" s="26" t="str">
        <f>RTD("cqg.rtd",,"StudyData","FPVol(FootprintOp ("&amp;$B$3&amp;", 0),"&amp;L85&amp;")", "Bar",, "Close","D","0","all",,,,"T")</f>
        <v/>
      </c>
      <c r="P85" s="27" t="str">
        <f t="shared" si="9"/>
        <v/>
      </c>
      <c r="Q85" s="22" t="str">
        <f t="shared" si="10"/>
        <v/>
      </c>
      <c r="R85" s="22" t="str">
        <f t="shared" si="11"/>
        <v/>
      </c>
    </row>
    <row r="86" spans="12:18" ht="15.95" customHeight="1" x14ac:dyDescent="0.3">
      <c r="L86" s="23" t="str">
        <f t="shared" si="12"/>
        <v>2719.25</v>
      </c>
      <c r="M86" s="24" t="str">
        <f t="shared" si="7"/>
        <v/>
      </c>
      <c r="N86" s="25" t="str">
        <f t="shared" si="8"/>
        <v/>
      </c>
      <c r="O86" s="26" t="str">
        <f>RTD("cqg.rtd",,"StudyData","FPVol(FootprintOp ("&amp;$B$3&amp;", 0),"&amp;L86&amp;")", "Bar",, "Close","D","0","all",,,,"T")</f>
        <v/>
      </c>
      <c r="P86" s="27" t="str">
        <f t="shared" si="9"/>
        <v/>
      </c>
      <c r="Q86" s="22" t="str">
        <f t="shared" si="10"/>
        <v/>
      </c>
      <c r="R86" s="22" t="str">
        <f t="shared" si="11"/>
        <v/>
      </c>
    </row>
    <row r="87" spans="12:18" ht="15.95" customHeight="1" x14ac:dyDescent="0.3">
      <c r="L87" s="23" t="str">
        <f t="shared" si="12"/>
        <v>2719.00</v>
      </c>
      <c r="M87" s="24" t="str">
        <f t="shared" si="7"/>
        <v/>
      </c>
      <c r="N87" s="25" t="str">
        <f t="shared" si="8"/>
        <v/>
      </c>
      <c r="O87" s="26" t="str">
        <f>RTD("cqg.rtd",,"StudyData","FPVol(FootprintOp ("&amp;$B$3&amp;", 0),"&amp;L87&amp;")", "Bar",, "Close","D","0","all",,,,"T")</f>
        <v/>
      </c>
      <c r="P87" s="27" t="str">
        <f t="shared" si="9"/>
        <v/>
      </c>
      <c r="Q87" s="22" t="str">
        <f t="shared" si="10"/>
        <v/>
      </c>
      <c r="R87" s="22" t="str">
        <f t="shared" si="11"/>
        <v/>
      </c>
    </row>
    <row r="88" spans="12:18" ht="15.95" customHeight="1" x14ac:dyDescent="0.3">
      <c r="L88" s="23" t="str">
        <f t="shared" si="12"/>
        <v>2718.75</v>
      </c>
      <c r="M88" s="24" t="str">
        <f t="shared" si="7"/>
        <v/>
      </c>
      <c r="N88" s="25" t="str">
        <f t="shared" si="8"/>
        <v/>
      </c>
      <c r="O88" s="26" t="str">
        <f>RTD("cqg.rtd",,"StudyData","FPVol(FootprintOp ("&amp;$B$3&amp;", 0),"&amp;L88&amp;")", "Bar",, "Close","D","0","all",,,,"T")</f>
        <v/>
      </c>
      <c r="P88" s="27" t="str">
        <f t="shared" si="9"/>
        <v/>
      </c>
      <c r="Q88" s="22" t="str">
        <f t="shared" si="10"/>
        <v/>
      </c>
      <c r="R88" s="22" t="str">
        <f t="shared" si="11"/>
        <v/>
      </c>
    </row>
    <row r="89" spans="12:18" ht="15.95" customHeight="1" x14ac:dyDescent="0.3">
      <c r="L89" s="23" t="str">
        <f t="shared" si="12"/>
        <v>2718.50</v>
      </c>
      <c r="M89" s="24" t="str">
        <f t="shared" si="7"/>
        <v/>
      </c>
      <c r="N89" s="25" t="str">
        <f t="shared" si="8"/>
        <v/>
      </c>
      <c r="O89" s="26" t="str">
        <f>RTD("cqg.rtd",,"StudyData","FPVol(FootprintOp ("&amp;$B$3&amp;", 0),"&amp;L89&amp;")", "Bar",, "Close","D","0","all",,,,"T")</f>
        <v/>
      </c>
      <c r="P89" s="27" t="str">
        <f t="shared" si="9"/>
        <v/>
      </c>
      <c r="Q89" s="22" t="str">
        <f t="shared" si="10"/>
        <v/>
      </c>
      <c r="R89" s="22" t="str">
        <f t="shared" si="11"/>
        <v/>
      </c>
    </row>
    <row r="90" spans="12:18" ht="15.95" customHeight="1" x14ac:dyDescent="0.3">
      <c r="L90" s="23" t="str">
        <f t="shared" si="12"/>
        <v>2718.25</v>
      </c>
      <c r="M90" s="24" t="str">
        <f t="shared" si="7"/>
        <v/>
      </c>
      <c r="N90" s="25" t="str">
        <f t="shared" si="8"/>
        <v/>
      </c>
      <c r="O90" s="26" t="str">
        <f>RTD("cqg.rtd",,"StudyData","FPVol(FootprintOp ("&amp;$B$3&amp;", 0),"&amp;L90&amp;")", "Bar",, "Close","D","0","all",,,,"T")</f>
        <v/>
      </c>
      <c r="P90" s="27" t="str">
        <f t="shared" si="9"/>
        <v/>
      </c>
      <c r="Q90" s="22" t="str">
        <f t="shared" si="10"/>
        <v/>
      </c>
      <c r="R90" s="22" t="str">
        <f t="shared" si="11"/>
        <v/>
      </c>
    </row>
    <row r="91" spans="12:18" ht="15.95" customHeight="1" x14ac:dyDescent="0.3">
      <c r="L91" s="23" t="str">
        <f t="shared" si="12"/>
        <v>2718.00</v>
      </c>
      <c r="M91" s="24" t="str">
        <f t="shared" si="7"/>
        <v/>
      </c>
      <c r="N91" s="25" t="str">
        <f t="shared" si="8"/>
        <v/>
      </c>
      <c r="O91" s="26" t="str">
        <f>RTD("cqg.rtd",,"StudyData","FPVol(FootprintOp ("&amp;$B$3&amp;", 0),"&amp;L91&amp;")", "Bar",, "Close","D","0","all",,,,"T")</f>
        <v/>
      </c>
      <c r="P91" s="27" t="str">
        <f t="shared" si="9"/>
        <v/>
      </c>
      <c r="Q91" s="22" t="str">
        <f t="shared" si="10"/>
        <v/>
      </c>
      <c r="R91" s="22" t="str">
        <f t="shared" si="11"/>
        <v/>
      </c>
    </row>
    <row r="92" spans="12:18" ht="15.95" customHeight="1" x14ac:dyDescent="0.3">
      <c r="L92" s="23" t="str">
        <f t="shared" si="12"/>
        <v>2717.75</v>
      </c>
      <c r="M92" s="24" t="str">
        <f t="shared" si="7"/>
        <v/>
      </c>
      <c r="N92" s="25" t="str">
        <f t="shared" si="8"/>
        <v/>
      </c>
      <c r="O92" s="26" t="str">
        <f>RTD("cqg.rtd",,"StudyData","FPVol(FootprintOp ("&amp;$B$3&amp;", 0),"&amp;L92&amp;")", "Bar",, "Close","D","0","all",,,,"T")</f>
        <v/>
      </c>
      <c r="P92" s="27" t="str">
        <f t="shared" si="9"/>
        <v/>
      </c>
      <c r="Q92" s="22" t="str">
        <f t="shared" si="10"/>
        <v/>
      </c>
      <c r="R92" s="22" t="str">
        <f t="shared" si="11"/>
        <v/>
      </c>
    </row>
    <row r="93" spans="12:18" ht="15.95" customHeight="1" x14ac:dyDescent="0.3">
      <c r="L93" s="23" t="str">
        <f t="shared" si="12"/>
        <v>2717.50</v>
      </c>
      <c r="M93" s="24" t="str">
        <f t="shared" si="7"/>
        <v/>
      </c>
      <c r="N93" s="25" t="str">
        <f t="shared" si="8"/>
        <v/>
      </c>
      <c r="O93" s="26" t="str">
        <f>RTD("cqg.rtd",,"StudyData","FPVol(FootprintOp ("&amp;$B$3&amp;", 0),"&amp;L93&amp;")", "Bar",, "Close","D","0","all",,,,"T")</f>
        <v/>
      </c>
      <c r="P93" s="27" t="str">
        <f t="shared" si="9"/>
        <v/>
      </c>
      <c r="Q93" s="22" t="str">
        <f t="shared" si="10"/>
        <v/>
      </c>
      <c r="R93" s="22" t="str">
        <f t="shared" si="11"/>
        <v/>
      </c>
    </row>
    <row r="94" spans="12:18" ht="15.95" customHeight="1" x14ac:dyDescent="0.3">
      <c r="L94" s="23" t="str">
        <f t="shared" si="12"/>
        <v>2717.25</v>
      </c>
      <c r="M94" s="24" t="str">
        <f t="shared" si="7"/>
        <v/>
      </c>
      <c r="N94" s="25" t="str">
        <f t="shared" si="8"/>
        <v/>
      </c>
      <c r="O94" s="26" t="str">
        <f>RTD("cqg.rtd",,"StudyData","FPVol(FootprintOp ("&amp;$B$3&amp;", 0),"&amp;L94&amp;")", "Bar",, "Close","D","0","all",,,,"T")</f>
        <v/>
      </c>
      <c r="P94" s="27" t="str">
        <f t="shared" si="9"/>
        <v/>
      </c>
      <c r="Q94" s="22" t="str">
        <f t="shared" si="10"/>
        <v/>
      </c>
      <c r="R94" s="22" t="str">
        <f t="shared" si="11"/>
        <v/>
      </c>
    </row>
    <row r="95" spans="12:18" ht="15.95" customHeight="1" x14ac:dyDescent="0.3">
      <c r="L95" s="23" t="str">
        <f t="shared" si="12"/>
        <v>2717.00</v>
      </c>
      <c r="M95" s="24" t="str">
        <f t="shared" si="7"/>
        <v/>
      </c>
      <c r="N95" s="25" t="str">
        <f t="shared" si="8"/>
        <v/>
      </c>
      <c r="O95" s="26" t="str">
        <f>RTD("cqg.rtd",,"StudyData","FPVol(FootprintOp ("&amp;$B$3&amp;", 0),"&amp;L95&amp;")", "Bar",, "Close","D","0","all",,,,"T")</f>
        <v/>
      </c>
      <c r="P95" s="27" t="str">
        <f t="shared" si="9"/>
        <v/>
      </c>
      <c r="Q95" s="22" t="str">
        <f t="shared" si="10"/>
        <v/>
      </c>
      <c r="R95" s="22" t="str">
        <f t="shared" si="11"/>
        <v/>
      </c>
    </row>
    <row r="96" spans="12:18" ht="15.95" customHeight="1" x14ac:dyDescent="0.3">
      <c r="L96" s="23" t="str">
        <f t="shared" si="12"/>
        <v>2716.75</v>
      </c>
      <c r="M96" s="24" t="str">
        <f t="shared" si="7"/>
        <v/>
      </c>
      <c r="N96" s="25" t="str">
        <f t="shared" si="8"/>
        <v/>
      </c>
      <c r="O96" s="26" t="str">
        <f>RTD("cqg.rtd",,"StudyData","FPVol(FootprintOp ("&amp;$B$3&amp;", 0),"&amp;L96&amp;")", "Bar",, "Close","D","0","all",,,,"T")</f>
        <v/>
      </c>
      <c r="P96" s="27" t="str">
        <f t="shared" si="9"/>
        <v/>
      </c>
      <c r="Q96" s="22" t="str">
        <f t="shared" si="10"/>
        <v/>
      </c>
      <c r="R96" s="22" t="str">
        <f t="shared" si="11"/>
        <v/>
      </c>
    </row>
    <row r="97" spans="12:18" ht="15.95" customHeight="1" x14ac:dyDescent="0.3">
      <c r="L97" s="23" t="str">
        <f t="shared" si="12"/>
        <v>2716.50</v>
      </c>
      <c r="M97" s="24" t="str">
        <f t="shared" si="7"/>
        <v/>
      </c>
      <c r="N97" s="25" t="str">
        <f t="shared" si="8"/>
        <v/>
      </c>
      <c r="O97" s="26" t="str">
        <f>RTD("cqg.rtd",,"StudyData","FPVol(FootprintOp ("&amp;$B$3&amp;", 0),"&amp;L97&amp;")", "Bar",, "Close","D","0","all",,,,"T")</f>
        <v/>
      </c>
      <c r="P97" s="27" t="str">
        <f t="shared" si="9"/>
        <v/>
      </c>
      <c r="Q97" s="22" t="str">
        <f t="shared" si="10"/>
        <v/>
      </c>
      <c r="R97" s="22" t="str">
        <f t="shared" si="11"/>
        <v/>
      </c>
    </row>
    <row r="98" spans="12:18" ht="15.95" customHeight="1" x14ac:dyDescent="0.3">
      <c r="L98" s="23" t="str">
        <f t="shared" si="12"/>
        <v>2716.25</v>
      </c>
      <c r="M98" s="24" t="str">
        <f t="shared" si="7"/>
        <v/>
      </c>
      <c r="N98" s="25" t="str">
        <f t="shared" si="8"/>
        <v/>
      </c>
      <c r="O98" s="26" t="str">
        <f>RTD("cqg.rtd",,"StudyData","FPVol(FootprintOp ("&amp;$B$3&amp;", 0),"&amp;L98&amp;")", "Bar",, "Close","D","0","all",,,,"T")</f>
        <v/>
      </c>
      <c r="P98" s="27" t="str">
        <f t="shared" si="9"/>
        <v/>
      </c>
      <c r="Q98" s="22" t="str">
        <f t="shared" si="10"/>
        <v/>
      </c>
      <c r="R98" s="22" t="str">
        <f t="shared" si="11"/>
        <v/>
      </c>
    </row>
    <row r="99" spans="12:18" ht="15.95" customHeight="1" x14ac:dyDescent="0.3">
      <c r="L99" s="23" t="str">
        <f t="shared" si="12"/>
        <v>2716.00</v>
      </c>
      <c r="M99" s="24" t="str">
        <f t="shared" si="7"/>
        <v/>
      </c>
      <c r="N99" s="25" t="str">
        <f t="shared" si="8"/>
        <v/>
      </c>
      <c r="O99" s="26" t="str">
        <f>RTD("cqg.rtd",,"StudyData","FPVol(FootprintOp ("&amp;$B$3&amp;", 0),"&amp;L99&amp;")", "Bar",, "Close","D","0","all",,,,"T")</f>
        <v/>
      </c>
      <c r="P99" s="27" t="str">
        <f t="shared" si="9"/>
        <v/>
      </c>
      <c r="Q99" s="22" t="str">
        <f t="shared" si="10"/>
        <v/>
      </c>
      <c r="R99" s="22" t="str">
        <f t="shared" si="11"/>
        <v/>
      </c>
    </row>
    <row r="100" spans="12:18" ht="15.95" customHeight="1" x14ac:dyDescent="0.3">
      <c r="L100" s="23" t="str">
        <f t="shared" si="12"/>
        <v>2715.75</v>
      </c>
      <c r="M100" s="24" t="str">
        <f t="shared" si="7"/>
        <v/>
      </c>
      <c r="N100" s="25" t="str">
        <f t="shared" si="8"/>
        <v/>
      </c>
      <c r="O100" s="26" t="str">
        <f>RTD("cqg.rtd",,"StudyData","FPVol(FootprintOp ("&amp;$B$3&amp;", 0),"&amp;L100&amp;")", "Bar",, "Close","D","0","all",,,,"T")</f>
        <v/>
      </c>
      <c r="P100" s="27" t="str">
        <f t="shared" si="9"/>
        <v/>
      </c>
      <c r="Q100" s="22" t="str">
        <f t="shared" si="10"/>
        <v/>
      </c>
      <c r="R100" s="22" t="str">
        <f t="shared" si="11"/>
        <v/>
      </c>
    </row>
    <row r="101" spans="12:18" ht="15.95" customHeight="1" x14ac:dyDescent="0.3">
      <c r="L101" s="23" t="str">
        <f t="shared" si="12"/>
        <v>2715.50</v>
      </c>
      <c r="M101" s="24" t="str">
        <f t="shared" si="7"/>
        <v/>
      </c>
      <c r="N101" s="25" t="str">
        <f t="shared" si="8"/>
        <v/>
      </c>
      <c r="O101" s="26" t="str">
        <f>RTD("cqg.rtd",,"StudyData","FPVol(FootprintOp ("&amp;$B$3&amp;", 0),"&amp;L101&amp;")", "Bar",, "Close","D","0","all",,,,"T")</f>
        <v/>
      </c>
      <c r="P101" s="27" t="str">
        <f t="shared" si="9"/>
        <v/>
      </c>
      <c r="Q101" s="22" t="str">
        <f t="shared" si="10"/>
        <v/>
      </c>
      <c r="R101" s="22" t="str">
        <f t="shared" si="11"/>
        <v/>
      </c>
    </row>
    <row r="102" spans="12:18" ht="15.95" customHeight="1" x14ac:dyDescent="0.3">
      <c r="L102" s="23" t="str">
        <f t="shared" si="12"/>
        <v>2715.25</v>
      </c>
      <c r="M102" s="24" t="str">
        <f t="shared" si="7"/>
        <v/>
      </c>
      <c r="N102" s="25" t="str">
        <f t="shared" si="8"/>
        <v/>
      </c>
      <c r="O102" s="26" t="str">
        <f>RTD("cqg.rtd",,"StudyData","FPVol(FootprintOp ("&amp;$B$3&amp;", 0),"&amp;L102&amp;")", "Bar",, "Close","D","0","all",,,,"T")</f>
        <v/>
      </c>
      <c r="P102" s="27" t="str">
        <f t="shared" si="9"/>
        <v/>
      </c>
      <c r="Q102" s="22" t="str">
        <f t="shared" si="10"/>
        <v/>
      </c>
      <c r="R102" s="22" t="str">
        <f t="shared" si="11"/>
        <v/>
      </c>
    </row>
    <row r="103" spans="12:18" ht="15.95" customHeight="1" x14ac:dyDescent="0.3">
      <c r="L103" s="23" t="str">
        <f t="shared" si="12"/>
        <v>2715.00</v>
      </c>
      <c r="M103" s="24" t="str">
        <f t="shared" si="7"/>
        <v/>
      </c>
      <c r="N103" s="25" t="str">
        <f t="shared" si="8"/>
        <v/>
      </c>
      <c r="O103" s="26" t="str">
        <f>RTD("cqg.rtd",,"StudyData","FPVol(FootprintOp ("&amp;$B$3&amp;", 0),"&amp;L103&amp;")", "Bar",, "Close","D","0","all",,,,"T")</f>
        <v/>
      </c>
      <c r="P103" s="27" t="str">
        <f t="shared" si="9"/>
        <v/>
      </c>
      <c r="Q103" s="22" t="str">
        <f t="shared" si="10"/>
        <v/>
      </c>
      <c r="R103" s="22" t="str">
        <f t="shared" si="11"/>
        <v/>
      </c>
    </row>
    <row r="104" spans="12:18" ht="15.95" customHeight="1" x14ac:dyDescent="0.3">
      <c r="L104" s="23" t="str">
        <f t="shared" si="12"/>
        <v>2714.75</v>
      </c>
      <c r="M104" s="24" t="str">
        <f t="shared" si="7"/>
        <v/>
      </c>
      <c r="N104" s="25" t="str">
        <f t="shared" si="8"/>
        <v/>
      </c>
      <c r="O104" s="26" t="str">
        <f>RTD("cqg.rtd",,"StudyData","FPVol(FootprintOp ("&amp;$B$3&amp;", 0),"&amp;L104&amp;")", "Bar",, "Close","D","0","all",,,,"T")</f>
        <v/>
      </c>
      <c r="P104" s="27" t="str">
        <f t="shared" si="9"/>
        <v/>
      </c>
      <c r="Q104" s="22" t="str">
        <f t="shared" si="10"/>
        <v/>
      </c>
      <c r="R104" s="22" t="str">
        <f t="shared" si="11"/>
        <v/>
      </c>
    </row>
    <row r="105" spans="12:18" ht="15.95" customHeight="1" x14ac:dyDescent="0.3">
      <c r="L105" s="23" t="str">
        <f t="shared" si="12"/>
        <v>2714.50</v>
      </c>
      <c r="M105" s="24" t="str">
        <f t="shared" si="7"/>
        <v/>
      </c>
      <c r="N105" s="25" t="str">
        <f t="shared" si="8"/>
        <v/>
      </c>
      <c r="O105" s="26" t="str">
        <f>RTD("cqg.rtd",,"StudyData","FPVol(FootprintOp ("&amp;$B$3&amp;", 0),"&amp;L105&amp;")", "Bar",, "Close","D","0","all",,,,"T")</f>
        <v/>
      </c>
      <c r="P105" s="27" t="str">
        <f t="shared" si="9"/>
        <v/>
      </c>
      <c r="Q105" s="22" t="str">
        <f t="shared" si="10"/>
        <v/>
      </c>
      <c r="R105" s="22" t="str">
        <f t="shared" si="11"/>
        <v/>
      </c>
    </row>
    <row r="106" spans="12:18" ht="15.95" customHeight="1" x14ac:dyDescent="0.3">
      <c r="L106" s="23" t="str">
        <f t="shared" si="12"/>
        <v>2714.25</v>
      </c>
      <c r="M106" s="24" t="str">
        <f t="shared" si="7"/>
        <v/>
      </c>
      <c r="N106" s="25" t="str">
        <f t="shared" si="8"/>
        <v/>
      </c>
      <c r="O106" s="26" t="str">
        <f>RTD("cqg.rtd",,"StudyData","FPVol(FootprintOp ("&amp;$B$3&amp;", 0),"&amp;L106&amp;")", "Bar",, "Close","D","0","all",,,,"T")</f>
        <v/>
      </c>
      <c r="P106" s="27" t="str">
        <f t="shared" si="9"/>
        <v/>
      </c>
      <c r="Q106" s="22" t="str">
        <f t="shared" si="10"/>
        <v/>
      </c>
      <c r="R106" s="22" t="str">
        <f t="shared" si="11"/>
        <v/>
      </c>
    </row>
    <row r="107" spans="12:18" ht="15.95" customHeight="1" x14ac:dyDescent="0.3">
      <c r="L107" s="23" t="str">
        <f t="shared" si="12"/>
        <v>2714.00</v>
      </c>
      <c r="M107" s="24" t="str">
        <f t="shared" si="7"/>
        <v/>
      </c>
      <c r="N107" s="25" t="str">
        <f t="shared" si="8"/>
        <v/>
      </c>
      <c r="O107" s="26" t="str">
        <f>RTD("cqg.rtd",,"StudyData","FPVol(FootprintOp ("&amp;$B$3&amp;", 0),"&amp;L107&amp;")", "Bar",, "Close","D","0","all",,,,"T")</f>
        <v/>
      </c>
      <c r="P107" s="27" t="str">
        <f t="shared" si="9"/>
        <v/>
      </c>
      <c r="Q107" s="22" t="str">
        <f t="shared" si="10"/>
        <v/>
      </c>
      <c r="R107" s="22" t="str">
        <f t="shared" si="11"/>
        <v/>
      </c>
    </row>
    <row r="108" spans="12:18" ht="15.95" customHeight="1" x14ac:dyDescent="0.3">
      <c r="L108" s="23" t="str">
        <f t="shared" si="12"/>
        <v>2713.75</v>
      </c>
      <c r="M108" s="24" t="str">
        <f t="shared" si="7"/>
        <v/>
      </c>
      <c r="N108" s="25" t="str">
        <f t="shared" si="8"/>
        <v/>
      </c>
      <c r="O108" s="26" t="str">
        <f>RTD("cqg.rtd",,"StudyData","FPVol(FootprintOp ("&amp;$B$3&amp;", 0),"&amp;L108&amp;")", "Bar",, "Close","D","0","all",,,,"T")</f>
        <v/>
      </c>
      <c r="P108" s="27" t="str">
        <f t="shared" si="9"/>
        <v/>
      </c>
      <c r="Q108" s="22" t="str">
        <f t="shared" si="10"/>
        <v/>
      </c>
      <c r="R108" s="22" t="str">
        <f t="shared" si="11"/>
        <v/>
      </c>
    </row>
    <row r="109" spans="12:18" ht="15.95" customHeight="1" x14ac:dyDescent="0.3">
      <c r="L109" s="23" t="str">
        <f t="shared" si="12"/>
        <v>2713.50</v>
      </c>
      <c r="M109" s="24" t="str">
        <f t="shared" si="7"/>
        <v/>
      </c>
      <c r="N109" s="25" t="str">
        <f t="shared" si="8"/>
        <v/>
      </c>
      <c r="O109" s="26" t="str">
        <f>RTD("cqg.rtd",,"StudyData","FPVol(FootprintOp ("&amp;$B$3&amp;", 0),"&amp;L109&amp;")", "Bar",, "Close","D","0","all",,,,"T")</f>
        <v/>
      </c>
      <c r="P109" s="27" t="str">
        <f t="shared" si="9"/>
        <v/>
      </c>
      <c r="Q109" s="22" t="str">
        <f t="shared" si="10"/>
        <v/>
      </c>
      <c r="R109" s="22" t="str">
        <f t="shared" si="11"/>
        <v/>
      </c>
    </row>
    <row r="110" spans="12:18" ht="15.95" customHeight="1" x14ac:dyDescent="0.3">
      <c r="L110" s="23" t="str">
        <f t="shared" si="12"/>
        <v>2713.25</v>
      </c>
      <c r="M110" s="24" t="str">
        <f t="shared" si="7"/>
        <v/>
      </c>
      <c r="N110" s="25" t="str">
        <f t="shared" si="8"/>
        <v/>
      </c>
      <c r="O110" s="26" t="str">
        <f>RTD("cqg.rtd",,"StudyData","FPVol(FootprintOp ("&amp;$B$3&amp;", 0),"&amp;L110&amp;")", "Bar",, "Close","D","0","all",,,,"T")</f>
        <v/>
      </c>
      <c r="P110" s="27" t="str">
        <f t="shared" si="9"/>
        <v/>
      </c>
      <c r="Q110" s="22" t="str">
        <f t="shared" si="10"/>
        <v/>
      </c>
      <c r="R110" s="22" t="str">
        <f t="shared" si="11"/>
        <v/>
      </c>
    </row>
    <row r="111" spans="12:18" ht="15.95" customHeight="1" x14ac:dyDescent="0.3">
      <c r="L111" s="23" t="str">
        <f t="shared" si="12"/>
        <v>2713.00</v>
      </c>
      <c r="M111" s="24" t="str">
        <f t="shared" si="7"/>
        <v/>
      </c>
      <c r="N111" s="25" t="str">
        <f t="shared" si="8"/>
        <v/>
      </c>
      <c r="O111" s="26" t="str">
        <f>RTD("cqg.rtd",,"StudyData","FPVol(FootprintOp ("&amp;$B$3&amp;", 0),"&amp;L111&amp;")", "Bar",, "Close","D","0","all",,,,"T")</f>
        <v/>
      </c>
      <c r="P111" s="27" t="str">
        <f t="shared" si="9"/>
        <v/>
      </c>
      <c r="Q111" s="22" t="str">
        <f t="shared" si="10"/>
        <v/>
      </c>
      <c r="R111" s="22" t="str">
        <f t="shared" si="11"/>
        <v/>
      </c>
    </row>
    <row r="112" spans="12:18" ht="15.95" customHeight="1" x14ac:dyDescent="0.3">
      <c r="L112" s="23" t="str">
        <f t="shared" si="12"/>
        <v>2712.75</v>
      </c>
      <c r="M112" s="24" t="str">
        <f t="shared" si="7"/>
        <v/>
      </c>
      <c r="N112" s="25" t="str">
        <f t="shared" si="8"/>
        <v/>
      </c>
      <c r="O112" s="26" t="str">
        <f>RTD("cqg.rtd",,"StudyData","FPVol(FootprintOp ("&amp;$B$3&amp;", 0),"&amp;L112&amp;")", "Bar",, "Close","D","0","all",,,,"T")</f>
        <v/>
      </c>
      <c r="P112" s="27" t="str">
        <f t="shared" si="9"/>
        <v/>
      </c>
      <c r="Q112" s="22" t="str">
        <f t="shared" si="10"/>
        <v/>
      </c>
      <c r="R112" s="22" t="str">
        <f t="shared" si="11"/>
        <v/>
      </c>
    </row>
    <row r="113" spans="12:18" ht="15.95" customHeight="1" x14ac:dyDescent="0.3">
      <c r="L113" s="23" t="str">
        <f t="shared" si="12"/>
        <v>2712.50</v>
      </c>
      <c r="M113" s="24" t="str">
        <f t="shared" si="7"/>
        <v/>
      </c>
      <c r="N113" s="25" t="str">
        <f t="shared" si="8"/>
        <v/>
      </c>
      <c r="O113" s="26" t="str">
        <f>RTD("cqg.rtd",,"StudyData","FPVol(FootprintOp ("&amp;$B$3&amp;", 0),"&amp;L113&amp;")", "Bar",, "Close","D","0","all",,,,"T")</f>
        <v/>
      </c>
      <c r="P113" s="27" t="str">
        <f t="shared" si="9"/>
        <v/>
      </c>
      <c r="Q113" s="22" t="str">
        <f t="shared" si="10"/>
        <v/>
      </c>
      <c r="R113" s="22" t="str">
        <f t="shared" si="11"/>
        <v/>
      </c>
    </row>
    <row r="114" spans="12:18" ht="15.95" customHeight="1" x14ac:dyDescent="0.3">
      <c r="L114" s="23" t="str">
        <f t="shared" si="12"/>
        <v>2712.25</v>
      </c>
      <c r="M114" s="24" t="str">
        <f t="shared" si="7"/>
        <v/>
      </c>
      <c r="N114" s="25" t="str">
        <f t="shared" si="8"/>
        <v/>
      </c>
      <c r="O114" s="26" t="str">
        <f>RTD("cqg.rtd",,"StudyData","FPVol(FootprintOp ("&amp;$B$3&amp;", 0),"&amp;L114&amp;")", "Bar",, "Close","D","0","all",,,,"T")</f>
        <v/>
      </c>
      <c r="P114" s="27" t="str">
        <f t="shared" si="9"/>
        <v/>
      </c>
      <c r="Q114" s="22" t="str">
        <f t="shared" si="10"/>
        <v/>
      </c>
      <c r="R114" s="22" t="str">
        <f t="shared" si="11"/>
        <v/>
      </c>
    </row>
    <row r="115" spans="12:18" ht="15.95" customHeight="1" x14ac:dyDescent="0.3">
      <c r="L115" s="23" t="str">
        <f t="shared" si="12"/>
        <v>2712.00</v>
      </c>
      <c r="M115" s="24" t="str">
        <f t="shared" si="7"/>
        <v/>
      </c>
      <c r="N115" s="25" t="str">
        <f t="shared" si="8"/>
        <v/>
      </c>
      <c r="O115" s="26" t="str">
        <f>RTD("cqg.rtd",,"StudyData","FPVol(FootprintOp ("&amp;$B$3&amp;", 0),"&amp;L115&amp;")", "Bar",, "Close","D","0","all",,,,"T")</f>
        <v/>
      </c>
      <c r="P115" s="27" t="str">
        <f t="shared" si="9"/>
        <v/>
      </c>
      <c r="Q115" s="22" t="str">
        <f t="shared" si="10"/>
        <v/>
      </c>
      <c r="R115" s="22" t="str">
        <f t="shared" si="11"/>
        <v/>
      </c>
    </row>
    <row r="116" spans="12:18" ht="15.95" customHeight="1" x14ac:dyDescent="0.3">
      <c r="L116" s="23" t="str">
        <f t="shared" si="12"/>
        <v>2711.75</v>
      </c>
      <c r="M116" s="24" t="str">
        <f t="shared" si="7"/>
        <v/>
      </c>
      <c r="N116" s="25" t="str">
        <f t="shared" si="8"/>
        <v/>
      </c>
      <c r="O116" s="26" t="str">
        <f>RTD("cqg.rtd",,"StudyData","FPVol(FootprintOp ("&amp;$B$3&amp;", 0),"&amp;L116&amp;")", "Bar",, "Close","D","0","all",,,,"T")</f>
        <v/>
      </c>
      <c r="P116" s="27" t="str">
        <f t="shared" si="9"/>
        <v/>
      </c>
      <c r="Q116" s="22" t="str">
        <f t="shared" si="10"/>
        <v/>
      </c>
      <c r="R116" s="22" t="str">
        <f t="shared" si="11"/>
        <v/>
      </c>
    </row>
    <row r="117" spans="12:18" ht="15.95" customHeight="1" x14ac:dyDescent="0.3">
      <c r="L117" s="23" t="str">
        <f t="shared" si="12"/>
        <v>2711.50</v>
      </c>
      <c r="M117" s="24" t="str">
        <f t="shared" si="7"/>
        <v/>
      </c>
      <c r="N117" s="25" t="str">
        <f t="shared" si="8"/>
        <v/>
      </c>
      <c r="O117" s="26" t="str">
        <f>RTD("cqg.rtd",,"StudyData","FPVol(FootprintOp ("&amp;$B$3&amp;", 0),"&amp;L117&amp;")", "Bar",, "Close","D","0","all",,,,"T")</f>
        <v/>
      </c>
      <c r="P117" s="27" t="str">
        <f t="shared" si="9"/>
        <v/>
      </c>
      <c r="Q117" s="22" t="str">
        <f t="shared" si="10"/>
        <v/>
      </c>
      <c r="R117" s="22" t="str">
        <f t="shared" si="11"/>
        <v/>
      </c>
    </row>
    <row r="118" spans="12:18" ht="15.95" customHeight="1" x14ac:dyDescent="0.3">
      <c r="L118" s="23" t="str">
        <f t="shared" si="12"/>
        <v>2711.25</v>
      </c>
      <c r="M118" s="24" t="str">
        <f t="shared" si="7"/>
        <v/>
      </c>
      <c r="N118" s="25" t="str">
        <f t="shared" si="8"/>
        <v/>
      </c>
      <c r="O118" s="26" t="str">
        <f>RTD("cqg.rtd",,"StudyData","FPVol(FootprintOp ("&amp;$B$3&amp;", 0),"&amp;L118&amp;")", "Bar",, "Close","D","0","all",,,,"T")</f>
        <v/>
      </c>
      <c r="P118" s="27" t="str">
        <f t="shared" si="9"/>
        <v/>
      </c>
      <c r="Q118" s="22" t="str">
        <f t="shared" si="10"/>
        <v/>
      </c>
      <c r="R118" s="22" t="str">
        <f t="shared" si="11"/>
        <v/>
      </c>
    </row>
    <row r="119" spans="12:18" ht="15.95" customHeight="1" x14ac:dyDescent="0.3">
      <c r="L119" s="23" t="str">
        <f t="shared" si="12"/>
        <v>2711.00</v>
      </c>
      <c r="M119" s="24" t="str">
        <f t="shared" si="7"/>
        <v/>
      </c>
      <c r="N119" s="25" t="str">
        <f t="shared" si="8"/>
        <v/>
      </c>
      <c r="O119" s="26" t="str">
        <f>RTD("cqg.rtd",,"StudyData","FPVol(FootprintOp ("&amp;$B$3&amp;", 0),"&amp;L119&amp;")", "Bar",, "Close","D","0","all",,,,"T")</f>
        <v/>
      </c>
      <c r="P119" s="27" t="str">
        <f t="shared" si="9"/>
        <v/>
      </c>
      <c r="Q119" s="22" t="str">
        <f t="shared" si="10"/>
        <v/>
      </c>
      <c r="R119" s="22" t="str">
        <f t="shared" si="11"/>
        <v/>
      </c>
    </row>
    <row r="120" spans="12:18" ht="15.95" customHeight="1" x14ac:dyDescent="0.3">
      <c r="L120" s="23" t="str">
        <f t="shared" si="12"/>
        <v>2710.75</v>
      </c>
      <c r="M120" s="24" t="str">
        <f t="shared" si="7"/>
        <v/>
      </c>
      <c r="N120" s="25" t="str">
        <f t="shared" si="8"/>
        <v/>
      </c>
      <c r="O120" s="26" t="str">
        <f>RTD("cqg.rtd",,"StudyData","FPVol(FootprintOp ("&amp;$B$3&amp;", 0),"&amp;L120&amp;")", "Bar",, "Close","D","0","all",,,,"T")</f>
        <v/>
      </c>
      <c r="P120" s="27" t="str">
        <f t="shared" si="9"/>
        <v/>
      </c>
      <c r="Q120" s="22" t="str">
        <f t="shared" si="10"/>
        <v/>
      </c>
      <c r="R120" s="22" t="str">
        <f t="shared" si="11"/>
        <v/>
      </c>
    </row>
    <row r="121" spans="12:18" ht="15.95" customHeight="1" x14ac:dyDescent="0.3">
      <c r="L121" s="23" t="str">
        <f t="shared" si="12"/>
        <v>2710.50</v>
      </c>
      <c r="M121" s="24" t="str">
        <f t="shared" si="7"/>
        <v/>
      </c>
      <c r="N121" s="25" t="str">
        <f t="shared" si="8"/>
        <v/>
      </c>
      <c r="O121" s="26" t="str">
        <f>RTD("cqg.rtd",,"StudyData","FPVol(FootprintOp ("&amp;$B$3&amp;", 0),"&amp;L121&amp;")", "Bar",, "Close","D","0","all",,,,"T")</f>
        <v/>
      </c>
      <c r="P121" s="27" t="str">
        <f t="shared" si="9"/>
        <v/>
      </c>
      <c r="Q121" s="22" t="str">
        <f t="shared" si="10"/>
        <v/>
      </c>
      <c r="R121" s="22" t="str">
        <f t="shared" si="11"/>
        <v/>
      </c>
    </row>
    <row r="122" spans="12:18" ht="15.95" customHeight="1" x14ac:dyDescent="0.3">
      <c r="L122" s="23" t="str">
        <f t="shared" si="12"/>
        <v>2710.25</v>
      </c>
      <c r="M122" s="24" t="str">
        <f t="shared" si="7"/>
        <v/>
      </c>
      <c r="N122" s="25" t="str">
        <f t="shared" si="8"/>
        <v/>
      </c>
      <c r="O122" s="26" t="str">
        <f>RTD("cqg.rtd",,"StudyData","FPVol(FootprintOp ("&amp;$B$3&amp;", 0),"&amp;L122&amp;")", "Bar",, "Close","D","0","all",,,,"T")</f>
        <v/>
      </c>
      <c r="P122" s="27" t="str">
        <f t="shared" si="9"/>
        <v/>
      </c>
      <c r="Q122" s="22" t="str">
        <f t="shared" si="10"/>
        <v/>
      </c>
      <c r="R122" s="22" t="str">
        <f t="shared" si="11"/>
        <v/>
      </c>
    </row>
    <row r="123" spans="12:18" ht="15.95" customHeight="1" x14ac:dyDescent="0.3">
      <c r="L123" s="23" t="str">
        <f t="shared" si="12"/>
        <v>2710.00</v>
      </c>
      <c r="M123" s="24" t="str">
        <f t="shared" si="7"/>
        <v/>
      </c>
      <c r="N123" s="25" t="str">
        <f t="shared" si="8"/>
        <v/>
      </c>
      <c r="O123" s="26" t="str">
        <f>RTD("cqg.rtd",,"StudyData","FPVol(FootprintOp ("&amp;$B$3&amp;", 0),"&amp;L123&amp;")", "Bar",, "Close","D","0","all",,,,"T")</f>
        <v/>
      </c>
      <c r="P123" s="27" t="str">
        <f t="shared" si="9"/>
        <v/>
      </c>
      <c r="Q123" s="22" t="str">
        <f t="shared" si="10"/>
        <v/>
      </c>
      <c r="R123" s="22" t="str">
        <f t="shared" si="11"/>
        <v/>
      </c>
    </row>
    <row r="124" spans="12:18" ht="15.95" customHeight="1" x14ac:dyDescent="0.3">
      <c r="L124" s="23" t="str">
        <f t="shared" si="12"/>
        <v>2709.75</v>
      </c>
      <c r="M124" s="24" t="str">
        <f t="shared" si="7"/>
        <v/>
      </c>
      <c r="N124" s="25" t="str">
        <f t="shared" si="8"/>
        <v/>
      </c>
      <c r="O124" s="26" t="str">
        <f>RTD("cqg.rtd",,"StudyData","FPVol(FootprintOp ("&amp;$B$3&amp;", 0),"&amp;L124&amp;")", "Bar",, "Close","D","0","all",,,,"T")</f>
        <v/>
      </c>
      <c r="P124" s="27" t="str">
        <f t="shared" si="9"/>
        <v/>
      </c>
      <c r="Q124" s="22" t="str">
        <f t="shared" si="10"/>
        <v/>
      </c>
      <c r="R124" s="22" t="str">
        <f t="shared" si="11"/>
        <v/>
      </c>
    </row>
    <row r="125" spans="12:18" ht="15.95" customHeight="1" x14ac:dyDescent="0.3">
      <c r="L125" s="23" t="str">
        <f t="shared" si="12"/>
        <v>2709.50</v>
      </c>
      <c r="M125" s="24" t="str">
        <f t="shared" si="7"/>
        <v/>
      </c>
      <c r="N125" s="25" t="str">
        <f t="shared" si="8"/>
        <v/>
      </c>
      <c r="O125" s="26" t="str">
        <f>RTD("cqg.rtd",,"StudyData","FPVol(FootprintOp ("&amp;$B$3&amp;", 0),"&amp;L125&amp;")", "Bar",, "Close","D","0","all",,,,"T")</f>
        <v/>
      </c>
      <c r="P125" s="27" t="str">
        <f t="shared" si="9"/>
        <v/>
      </c>
      <c r="Q125" s="22" t="str">
        <f t="shared" si="10"/>
        <v/>
      </c>
      <c r="R125" s="22" t="str">
        <f t="shared" si="11"/>
        <v/>
      </c>
    </row>
    <row r="126" spans="12:18" ht="15.95" customHeight="1" x14ac:dyDescent="0.3">
      <c r="L126" s="23" t="str">
        <f t="shared" si="12"/>
        <v>2709.25</v>
      </c>
      <c r="M126" s="24" t="str">
        <f t="shared" si="7"/>
        <v/>
      </c>
      <c r="N126" s="25" t="str">
        <f t="shared" si="8"/>
        <v/>
      </c>
      <c r="O126" s="26" t="str">
        <f>RTD("cqg.rtd",,"StudyData","FPVol(FootprintOp ("&amp;$B$3&amp;", 0),"&amp;L126&amp;")", "Bar",, "Close","D","0","all",,,,"T")</f>
        <v/>
      </c>
      <c r="P126" s="27" t="str">
        <f t="shared" si="9"/>
        <v/>
      </c>
      <c r="Q126" s="22" t="str">
        <f t="shared" si="10"/>
        <v/>
      </c>
      <c r="R126" s="22" t="str">
        <f t="shared" si="11"/>
        <v/>
      </c>
    </row>
    <row r="127" spans="12:18" ht="15.95" customHeight="1" x14ac:dyDescent="0.3">
      <c r="L127" s="23" t="str">
        <f t="shared" si="12"/>
        <v>2709.00</v>
      </c>
      <c r="M127" s="24" t="str">
        <f t="shared" si="7"/>
        <v/>
      </c>
      <c r="N127" s="25" t="str">
        <f t="shared" si="8"/>
        <v/>
      </c>
      <c r="O127" s="26" t="str">
        <f>RTD("cqg.rtd",,"StudyData","FPVol(FootprintOp ("&amp;$B$3&amp;", 0),"&amp;L127&amp;")", "Bar",, "Close","D","0","all",,,,"T")</f>
        <v/>
      </c>
      <c r="P127" s="27" t="str">
        <f t="shared" si="9"/>
        <v/>
      </c>
      <c r="Q127" s="22" t="str">
        <f t="shared" si="10"/>
        <v/>
      </c>
      <c r="R127" s="22" t="str">
        <f t="shared" si="11"/>
        <v/>
      </c>
    </row>
    <row r="128" spans="12:18" ht="15.95" customHeight="1" x14ac:dyDescent="0.3">
      <c r="L128" s="23" t="str">
        <f t="shared" si="12"/>
        <v>2708.75</v>
      </c>
      <c r="M128" s="24" t="str">
        <f t="shared" si="7"/>
        <v/>
      </c>
      <c r="N128" s="25" t="str">
        <f t="shared" si="8"/>
        <v/>
      </c>
      <c r="O128" s="26" t="str">
        <f>RTD("cqg.rtd",,"StudyData","FPVol(FootprintOp ("&amp;$B$3&amp;", 0),"&amp;L128&amp;")", "Bar",, "Close","D","0","all",,,,"T")</f>
        <v/>
      </c>
      <c r="P128" s="27" t="str">
        <f t="shared" si="9"/>
        <v/>
      </c>
      <c r="Q128" s="22" t="str">
        <f t="shared" si="10"/>
        <v/>
      </c>
      <c r="R128" s="22" t="str">
        <f t="shared" si="11"/>
        <v/>
      </c>
    </row>
    <row r="129" spans="12:18" ht="15.95" customHeight="1" x14ac:dyDescent="0.3">
      <c r="L129" s="23" t="str">
        <f t="shared" si="12"/>
        <v>2708.50</v>
      </c>
      <c r="M129" s="24" t="str">
        <f t="shared" si="7"/>
        <v/>
      </c>
      <c r="N129" s="25" t="str">
        <f t="shared" si="8"/>
        <v/>
      </c>
      <c r="O129" s="26" t="str">
        <f>RTD("cqg.rtd",,"StudyData","FPVol(FootprintOp ("&amp;$B$3&amp;", 0),"&amp;L129&amp;")", "Bar",, "Close","D","0","all",,,,"T")</f>
        <v/>
      </c>
      <c r="P129" s="27" t="str">
        <f t="shared" si="9"/>
        <v/>
      </c>
      <c r="Q129" s="22" t="str">
        <f t="shared" si="10"/>
        <v/>
      </c>
      <c r="R129" s="22" t="str">
        <f t="shared" si="11"/>
        <v/>
      </c>
    </row>
    <row r="130" spans="12:18" ht="15.95" customHeight="1" x14ac:dyDescent="0.3">
      <c r="L130" s="23" t="str">
        <f t="shared" si="12"/>
        <v>2708.25</v>
      </c>
      <c r="M130" s="24" t="str">
        <f t="shared" ref="M130:M193" si="13">P130</f>
        <v/>
      </c>
      <c r="N130" s="25" t="str">
        <f t="shared" ref="N130:N193" si="14">Q130</f>
        <v/>
      </c>
      <c r="O130" s="26" t="str">
        <f>RTD("cqg.rtd",,"StudyData","FPVol(FootprintOp ("&amp;$B$3&amp;", 0),"&amp;L130&amp;")", "Bar",, "Close","D","0","all",,,,"T")</f>
        <v/>
      </c>
      <c r="P130" s="27" t="str">
        <f t="shared" ref="P130:P161" si="15">IF(L130=$B$4,$B$5,"")</f>
        <v/>
      </c>
      <c r="Q130" s="22" t="str">
        <f t="shared" ref="Q130:Q193" si="16">IF(L130=$C$4,$C$5,"")</f>
        <v/>
      </c>
      <c r="R130" s="22" t="str">
        <f t="shared" ref="R130:R193" si="17">O130</f>
        <v/>
      </c>
    </row>
    <row r="131" spans="12:18" ht="15.95" customHeight="1" x14ac:dyDescent="0.3">
      <c r="L131" s="23" t="str">
        <f t="shared" ref="L131:L194" si="18">TEXT(ROUND(L130,$C$8)-$C$3,$D$8)</f>
        <v>2708.00</v>
      </c>
      <c r="M131" s="24" t="str">
        <f t="shared" si="13"/>
        <v/>
      </c>
      <c r="N131" s="25" t="str">
        <f t="shared" si="14"/>
        <v/>
      </c>
      <c r="O131" s="26" t="str">
        <f>RTD("cqg.rtd",,"StudyData","FPVol(FootprintOp ("&amp;$B$3&amp;", 0),"&amp;L131&amp;")", "Bar",, "Close","D","0","all",,,,"T")</f>
        <v/>
      </c>
      <c r="P131" s="27" t="str">
        <f t="shared" si="15"/>
        <v/>
      </c>
      <c r="Q131" s="22" t="str">
        <f t="shared" si="16"/>
        <v/>
      </c>
      <c r="R131" s="22" t="str">
        <f t="shared" si="17"/>
        <v/>
      </c>
    </row>
    <row r="132" spans="12:18" ht="15.95" customHeight="1" x14ac:dyDescent="0.3">
      <c r="L132" s="23" t="str">
        <f t="shared" si="18"/>
        <v>2707.75</v>
      </c>
      <c r="M132" s="24" t="str">
        <f t="shared" si="13"/>
        <v/>
      </c>
      <c r="N132" s="25" t="str">
        <f t="shared" si="14"/>
        <v/>
      </c>
      <c r="O132" s="26" t="str">
        <f>RTD("cqg.rtd",,"StudyData","FPVol(FootprintOp ("&amp;$B$3&amp;", 0),"&amp;L132&amp;")", "Bar",, "Close","D","0","all",,,,"T")</f>
        <v/>
      </c>
      <c r="P132" s="27" t="str">
        <f t="shared" si="15"/>
        <v/>
      </c>
      <c r="Q132" s="22" t="str">
        <f t="shared" si="16"/>
        <v/>
      </c>
      <c r="R132" s="22" t="str">
        <f t="shared" si="17"/>
        <v/>
      </c>
    </row>
    <row r="133" spans="12:18" ht="15.95" customHeight="1" x14ac:dyDescent="0.3">
      <c r="L133" s="23" t="str">
        <f t="shared" si="18"/>
        <v>2707.50</v>
      </c>
      <c r="M133" s="24" t="str">
        <f t="shared" si="13"/>
        <v/>
      </c>
      <c r="N133" s="25" t="str">
        <f t="shared" si="14"/>
        <v/>
      </c>
      <c r="O133" s="26" t="str">
        <f>RTD("cqg.rtd",,"StudyData","FPVol(FootprintOp ("&amp;$B$3&amp;", 0),"&amp;L133&amp;")", "Bar",, "Close","D","0","all",,,,"T")</f>
        <v/>
      </c>
      <c r="P133" s="27" t="str">
        <f t="shared" si="15"/>
        <v/>
      </c>
      <c r="Q133" s="22" t="str">
        <f t="shared" si="16"/>
        <v/>
      </c>
      <c r="R133" s="22" t="str">
        <f t="shared" si="17"/>
        <v/>
      </c>
    </row>
    <row r="134" spans="12:18" ht="15.95" customHeight="1" x14ac:dyDescent="0.3">
      <c r="L134" s="23" t="str">
        <f t="shared" si="18"/>
        <v>2707.25</v>
      </c>
      <c r="M134" s="24" t="str">
        <f t="shared" si="13"/>
        <v/>
      </c>
      <c r="N134" s="25" t="str">
        <f t="shared" si="14"/>
        <v/>
      </c>
      <c r="O134" s="26" t="str">
        <f>RTD("cqg.rtd",,"StudyData","FPVol(FootprintOp ("&amp;$B$3&amp;", 0),"&amp;L134&amp;")", "Bar",, "Close","D","0","all",,,,"T")</f>
        <v/>
      </c>
      <c r="P134" s="27" t="str">
        <f t="shared" si="15"/>
        <v/>
      </c>
      <c r="Q134" s="22" t="str">
        <f t="shared" si="16"/>
        <v/>
      </c>
      <c r="R134" s="22" t="str">
        <f t="shared" si="17"/>
        <v/>
      </c>
    </row>
    <row r="135" spans="12:18" ht="15.95" customHeight="1" x14ac:dyDescent="0.3">
      <c r="L135" s="23" t="str">
        <f t="shared" si="18"/>
        <v>2707.00</v>
      </c>
      <c r="M135" s="24" t="str">
        <f t="shared" si="13"/>
        <v/>
      </c>
      <c r="N135" s="25" t="str">
        <f t="shared" si="14"/>
        <v/>
      </c>
      <c r="O135" s="26" t="str">
        <f>RTD("cqg.rtd",,"StudyData","FPVol(FootprintOp ("&amp;$B$3&amp;", 0),"&amp;L135&amp;")", "Bar",, "Close","D","0","all",,,,"T")</f>
        <v/>
      </c>
      <c r="P135" s="27" t="str">
        <f t="shared" si="15"/>
        <v/>
      </c>
      <c r="Q135" s="22" t="str">
        <f t="shared" si="16"/>
        <v/>
      </c>
      <c r="R135" s="22" t="str">
        <f t="shared" si="17"/>
        <v/>
      </c>
    </row>
    <row r="136" spans="12:18" ht="15.95" customHeight="1" x14ac:dyDescent="0.3">
      <c r="L136" s="23" t="str">
        <f t="shared" si="18"/>
        <v>2706.75</v>
      </c>
      <c r="M136" s="24" t="str">
        <f t="shared" si="13"/>
        <v/>
      </c>
      <c r="N136" s="25" t="str">
        <f t="shared" si="14"/>
        <v/>
      </c>
      <c r="O136" s="26" t="str">
        <f>RTD("cqg.rtd",,"StudyData","FPVol(FootprintOp ("&amp;$B$3&amp;", 0),"&amp;L136&amp;")", "Bar",, "Close","D","0","all",,,,"T")</f>
        <v/>
      </c>
      <c r="P136" s="27" t="str">
        <f t="shared" si="15"/>
        <v/>
      </c>
      <c r="Q136" s="22" t="str">
        <f t="shared" si="16"/>
        <v/>
      </c>
      <c r="R136" s="22" t="str">
        <f t="shared" si="17"/>
        <v/>
      </c>
    </row>
    <row r="137" spans="12:18" ht="15.95" customHeight="1" x14ac:dyDescent="0.3">
      <c r="L137" s="23" t="str">
        <f t="shared" si="18"/>
        <v>2706.50</v>
      </c>
      <c r="M137" s="24" t="str">
        <f t="shared" si="13"/>
        <v/>
      </c>
      <c r="N137" s="25" t="str">
        <f t="shared" si="14"/>
        <v/>
      </c>
      <c r="O137" s="26" t="str">
        <f>RTD("cqg.rtd",,"StudyData","FPVol(FootprintOp ("&amp;$B$3&amp;", 0),"&amp;L137&amp;")", "Bar",, "Close","D","0","all",,,,"T")</f>
        <v/>
      </c>
      <c r="P137" s="27" t="str">
        <f t="shared" si="15"/>
        <v/>
      </c>
      <c r="Q137" s="22" t="str">
        <f t="shared" si="16"/>
        <v/>
      </c>
      <c r="R137" s="22" t="str">
        <f t="shared" si="17"/>
        <v/>
      </c>
    </row>
    <row r="138" spans="12:18" ht="15.95" customHeight="1" x14ac:dyDescent="0.3">
      <c r="L138" s="23" t="str">
        <f t="shared" si="18"/>
        <v>2706.25</v>
      </c>
      <c r="M138" s="24" t="str">
        <f t="shared" si="13"/>
        <v/>
      </c>
      <c r="N138" s="25" t="str">
        <f t="shared" si="14"/>
        <v/>
      </c>
      <c r="O138" s="26" t="str">
        <f>RTD("cqg.rtd",,"StudyData","FPVol(FootprintOp ("&amp;$B$3&amp;", 0),"&amp;L138&amp;")", "Bar",, "Close","D","0","all",,,,"T")</f>
        <v/>
      </c>
      <c r="P138" s="27" t="str">
        <f t="shared" si="15"/>
        <v/>
      </c>
      <c r="Q138" s="22" t="str">
        <f t="shared" si="16"/>
        <v/>
      </c>
      <c r="R138" s="22" t="str">
        <f t="shared" si="17"/>
        <v/>
      </c>
    </row>
    <row r="139" spans="12:18" ht="15.95" customHeight="1" x14ac:dyDescent="0.3">
      <c r="L139" s="23" t="str">
        <f t="shared" si="18"/>
        <v>2706.00</v>
      </c>
      <c r="M139" s="24" t="str">
        <f t="shared" si="13"/>
        <v/>
      </c>
      <c r="N139" s="25" t="str">
        <f t="shared" si="14"/>
        <v/>
      </c>
      <c r="O139" s="26" t="str">
        <f>RTD("cqg.rtd",,"StudyData","FPVol(FootprintOp ("&amp;$B$3&amp;", 0),"&amp;L139&amp;")", "Bar",, "Close","D","0","all",,,,"T")</f>
        <v/>
      </c>
      <c r="P139" s="27" t="str">
        <f t="shared" si="15"/>
        <v/>
      </c>
      <c r="Q139" s="22" t="str">
        <f t="shared" si="16"/>
        <v/>
      </c>
      <c r="R139" s="22" t="str">
        <f t="shared" si="17"/>
        <v/>
      </c>
    </row>
    <row r="140" spans="12:18" ht="15.95" customHeight="1" x14ac:dyDescent="0.3">
      <c r="L140" s="23" t="str">
        <f t="shared" si="18"/>
        <v>2705.75</v>
      </c>
      <c r="M140" s="24" t="str">
        <f t="shared" si="13"/>
        <v/>
      </c>
      <c r="N140" s="25" t="str">
        <f t="shared" si="14"/>
        <v/>
      </c>
      <c r="O140" s="26" t="str">
        <f>RTD("cqg.rtd",,"StudyData","FPVol(FootprintOp ("&amp;$B$3&amp;", 0),"&amp;L140&amp;")", "Bar",, "Close","D","0","all",,,,"T")</f>
        <v/>
      </c>
      <c r="P140" s="27" t="str">
        <f t="shared" si="15"/>
        <v/>
      </c>
      <c r="Q140" s="22" t="str">
        <f t="shared" si="16"/>
        <v/>
      </c>
      <c r="R140" s="22" t="str">
        <f t="shared" si="17"/>
        <v/>
      </c>
    </row>
    <row r="141" spans="12:18" ht="15.95" customHeight="1" x14ac:dyDescent="0.3">
      <c r="L141" s="23" t="str">
        <f t="shared" si="18"/>
        <v>2705.50</v>
      </c>
      <c r="M141" s="24" t="str">
        <f t="shared" si="13"/>
        <v/>
      </c>
      <c r="N141" s="25" t="str">
        <f t="shared" si="14"/>
        <v/>
      </c>
      <c r="O141" s="26" t="str">
        <f>RTD("cqg.rtd",,"StudyData","FPVol(FootprintOp ("&amp;$B$3&amp;", 0),"&amp;L141&amp;")", "Bar",, "Close","D","0","all",,,,"T")</f>
        <v/>
      </c>
      <c r="P141" s="27" t="str">
        <f t="shared" si="15"/>
        <v/>
      </c>
      <c r="Q141" s="22" t="str">
        <f t="shared" si="16"/>
        <v/>
      </c>
      <c r="R141" s="22" t="str">
        <f t="shared" si="17"/>
        <v/>
      </c>
    </row>
    <row r="142" spans="12:18" ht="15.95" customHeight="1" x14ac:dyDescent="0.3">
      <c r="L142" s="23" t="str">
        <f t="shared" si="18"/>
        <v>2705.25</v>
      </c>
      <c r="M142" s="24" t="str">
        <f t="shared" si="13"/>
        <v/>
      </c>
      <c r="N142" s="25" t="str">
        <f t="shared" si="14"/>
        <v/>
      </c>
      <c r="O142" s="26" t="str">
        <f>RTD("cqg.rtd",,"StudyData","FPVol(FootprintOp ("&amp;$B$3&amp;", 0),"&amp;L142&amp;")", "Bar",, "Close","D","0","all",,,,"T")</f>
        <v/>
      </c>
      <c r="P142" s="27" t="str">
        <f t="shared" si="15"/>
        <v/>
      </c>
      <c r="Q142" s="22" t="str">
        <f t="shared" si="16"/>
        <v/>
      </c>
      <c r="R142" s="22" t="str">
        <f t="shared" si="17"/>
        <v/>
      </c>
    </row>
    <row r="143" spans="12:18" ht="15.95" customHeight="1" x14ac:dyDescent="0.3">
      <c r="L143" s="23" t="str">
        <f t="shared" si="18"/>
        <v>2705.00</v>
      </c>
      <c r="M143" s="24" t="str">
        <f t="shared" si="13"/>
        <v/>
      </c>
      <c r="N143" s="25" t="str">
        <f t="shared" si="14"/>
        <v/>
      </c>
      <c r="O143" s="26" t="str">
        <f>RTD("cqg.rtd",,"StudyData","FPVol(FootprintOp ("&amp;$B$3&amp;", 0),"&amp;L143&amp;")", "Bar",, "Close","D","0","all",,,,"T")</f>
        <v/>
      </c>
      <c r="P143" s="27" t="str">
        <f t="shared" si="15"/>
        <v/>
      </c>
      <c r="Q143" s="22" t="str">
        <f t="shared" si="16"/>
        <v/>
      </c>
      <c r="R143" s="22" t="str">
        <f t="shared" si="17"/>
        <v/>
      </c>
    </row>
    <row r="144" spans="12:18" ht="15.95" customHeight="1" x14ac:dyDescent="0.3">
      <c r="L144" s="23" t="str">
        <f t="shared" si="18"/>
        <v>2704.75</v>
      </c>
      <c r="M144" s="24" t="str">
        <f t="shared" si="13"/>
        <v/>
      </c>
      <c r="N144" s="25" t="str">
        <f t="shared" si="14"/>
        <v/>
      </c>
      <c r="O144" s="26" t="str">
        <f>RTD("cqg.rtd",,"StudyData","FPVol(FootprintOp ("&amp;$B$3&amp;", 0),"&amp;L144&amp;")", "Bar",, "Close","D","0","all",,,,"T")</f>
        <v/>
      </c>
      <c r="P144" s="27" t="str">
        <f t="shared" si="15"/>
        <v/>
      </c>
      <c r="Q144" s="22" t="str">
        <f t="shared" si="16"/>
        <v/>
      </c>
      <c r="R144" s="22" t="str">
        <f t="shared" si="17"/>
        <v/>
      </c>
    </row>
    <row r="145" spans="12:18" ht="15.95" customHeight="1" x14ac:dyDescent="0.3">
      <c r="L145" s="23" t="str">
        <f t="shared" si="18"/>
        <v>2704.50</v>
      </c>
      <c r="M145" s="24" t="str">
        <f t="shared" si="13"/>
        <v/>
      </c>
      <c r="N145" s="25" t="str">
        <f t="shared" si="14"/>
        <v/>
      </c>
      <c r="O145" s="26" t="str">
        <f>RTD("cqg.rtd",,"StudyData","FPVol(FootprintOp ("&amp;$B$3&amp;", 0),"&amp;L145&amp;")", "Bar",, "Close","D","0","all",,,,"T")</f>
        <v/>
      </c>
      <c r="P145" s="27" t="str">
        <f t="shared" si="15"/>
        <v/>
      </c>
      <c r="Q145" s="22" t="str">
        <f t="shared" si="16"/>
        <v/>
      </c>
      <c r="R145" s="22" t="str">
        <f t="shared" si="17"/>
        <v/>
      </c>
    </row>
    <row r="146" spans="12:18" ht="15.95" customHeight="1" x14ac:dyDescent="0.3">
      <c r="L146" s="23" t="str">
        <f t="shared" si="18"/>
        <v>2704.25</v>
      </c>
      <c r="M146" s="24" t="str">
        <f t="shared" si="13"/>
        <v/>
      </c>
      <c r="N146" s="25" t="str">
        <f t="shared" si="14"/>
        <v/>
      </c>
      <c r="O146" s="26" t="str">
        <f>RTD("cqg.rtd",,"StudyData","FPVol(FootprintOp ("&amp;$B$3&amp;", 0),"&amp;L146&amp;")", "Bar",, "Close","D","0","all",,,,"T")</f>
        <v/>
      </c>
      <c r="P146" s="27" t="str">
        <f t="shared" si="15"/>
        <v/>
      </c>
      <c r="Q146" s="22" t="str">
        <f t="shared" si="16"/>
        <v/>
      </c>
      <c r="R146" s="22" t="str">
        <f t="shared" si="17"/>
        <v/>
      </c>
    </row>
    <row r="147" spans="12:18" ht="15.95" customHeight="1" x14ac:dyDescent="0.3">
      <c r="L147" s="23" t="str">
        <f t="shared" si="18"/>
        <v>2704.00</v>
      </c>
      <c r="M147" s="24" t="str">
        <f t="shared" si="13"/>
        <v/>
      </c>
      <c r="N147" s="25" t="str">
        <f t="shared" si="14"/>
        <v/>
      </c>
      <c r="O147" s="26" t="str">
        <f>RTD("cqg.rtd",,"StudyData","FPVol(FootprintOp ("&amp;$B$3&amp;", 0),"&amp;L147&amp;")", "Bar",, "Close","D","0","all",,,,"T")</f>
        <v/>
      </c>
      <c r="P147" s="27" t="str">
        <f t="shared" si="15"/>
        <v/>
      </c>
      <c r="Q147" s="22" t="str">
        <f t="shared" si="16"/>
        <v/>
      </c>
      <c r="R147" s="22" t="str">
        <f t="shared" si="17"/>
        <v/>
      </c>
    </row>
    <row r="148" spans="12:18" ht="15.95" customHeight="1" x14ac:dyDescent="0.3">
      <c r="L148" s="23" t="str">
        <f t="shared" si="18"/>
        <v>2703.75</v>
      </c>
      <c r="M148" s="24" t="str">
        <f t="shared" si="13"/>
        <v/>
      </c>
      <c r="N148" s="25" t="str">
        <f t="shared" si="14"/>
        <v/>
      </c>
      <c r="O148" s="26" t="str">
        <f>RTD("cqg.rtd",,"StudyData","FPVol(FootprintOp ("&amp;$B$3&amp;", 0),"&amp;L148&amp;")", "Bar",, "Close","D","0","all",,,,"T")</f>
        <v/>
      </c>
      <c r="P148" s="27" t="str">
        <f t="shared" si="15"/>
        <v/>
      </c>
      <c r="Q148" s="22" t="str">
        <f t="shared" si="16"/>
        <v/>
      </c>
      <c r="R148" s="22" t="str">
        <f t="shared" si="17"/>
        <v/>
      </c>
    </row>
    <row r="149" spans="12:18" ht="15.95" customHeight="1" x14ac:dyDescent="0.3">
      <c r="L149" s="23" t="str">
        <f t="shared" si="18"/>
        <v>2703.50</v>
      </c>
      <c r="M149" s="24" t="str">
        <f t="shared" si="13"/>
        <v/>
      </c>
      <c r="N149" s="25" t="str">
        <f t="shared" si="14"/>
        <v/>
      </c>
      <c r="O149" s="26" t="str">
        <f>RTD("cqg.rtd",,"StudyData","FPVol(FootprintOp ("&amp;$B$3&amp;", 0),"&amp;L149&amp;")", "Bar",, "Close","D","0","all",,,,"T")</f>
        <v/>
      </c>
      <c r="P149" s="27" t="str">
        <f t="shared" si="15"/>
        <v/>
      </c>
      <c r="Q149" s="22" t="str">
        <f t="shared" si="16"/>
        <v/>
      </c>
      <c r="R149" s="22" t="str">
        <f t="shared" si="17"/>
        <v/>
      </c>
    </row>
    <row r="150" spans="12:18" ht="15.95" customHeight="1" x14ac:dyDescent="0.3">
      <c r="L150" s="23" t="str">
        <f t="shared" si="18"/>
        <v>2703.25</v>
      </c>
      <c r="M150" s="24" t="str">
        <f t="shared" si="13"/>
        <v/>
      </c>
      <c r="N150" s="25" t="str">
        <f t="shared" si="14"/>
        <v/>
      </c>
      <c r="O150" s="26" t="str">
        <f>RTD("cqg.rtd",,"StudyData","FPVol(FootprintOp ("&amp;$B$3&amp;", 0),"&amp;L150&amp;")", "Bar",, "Close","D","0","all",,,,"T")</f>
        <v/>
      </c>
      <c r="P150" s="27" t="str">
        <f t="shared" si="15"/>
        <v/>
      </c>
      <c r="Q150" s="22" t="str">
        <f t="shared" si="16"/>
        <v/>
      </c>
      <c r="R150" s="22" t="str">
        <f t="shared" si="17"/>
        <v/>
      </c>
    </row>
    <row r="151" spans="12:18" ht="15.95" customHeight="1" x14ac:dyDescent="0.3">
      <c r="L151" s="23" t="str">
        <f t="shared" si="18"/>
        <v>2703.00</v>
      </c>
      <c r="M151" s="24" t="str">
        <f t="shared" si="13"/>
        <v/>
      </c>
      <c r="N151" s="25" t="str">
        <f t="shared" si="14"/>
        <v/>
      </c>
      <c r="O151" s="26" t="str">
        <f>RTD("cqg.rtd",,"StudyData","FPVol(FootprintOp ("&amp;$B$3&amp;", 0),"&amp;L151&amp;")", "Bar",, "Close","D","0","all",,,,"T")</f>
        <v/>
      </c>
      <c r="P151" s="27" t="str">
        <f t="shared" si="15"/>
        <v/>
      </c>
      <c r="Q151" s="22" t="str">
        <f t="shared" si="16"/>
        <v/>
      </c>
      <c r="R151" s="22" t="str">
        <f t="shared" si="17"/>
        <v/>
      </c>
    </row>
    <row r="152" spans="12:18" ht="15.95" customHeight="1" x14ac:dyDescent="0.3">
      <c r="L152" s="23" t="str">
        <f t="shared" si="18"/>
        <v>2702.75</v>
      </c>
      <c r="M152" s="24" t="str">
        <f t="shared" si="13"/>
        <v/>
      </c>
      <c r="N152" s="25" t="str">
        <f t="shared" si="14"/>
        <v/>
      </c>
      <c r="O152" s="26" t="str">
        <f>RTD("cqg.rtd",,"StudyData","FPVol(FootprintOp ("&amp;$B$3&amp;", 0),"&amp;L152&amp;")", "Bar",, "Close","D","0","all",,,,"T")</f>
        <v/>
      </c>
      <c r="P152" s="27" t="str">
        <f t="shared" si="15"/>
        <v/>
      </c>
      <c r="Q152" s="22" t="str">
        <f t="shared" si="16"/>
        <v/>
      </c>
      <c r="R152" s="22" t="str">
        <f t="shared" si="17"/>
        <v/>
      </c>
    </row>
    <row r="153" spans="12:18" ht="15.95" customHeight="1" x14ac:dyDescent="0.3">
      <c r="L153" s="23" t="str">
        <f t="shared" si="18"/>
        <v>2702.50</v>
      </c>
      <c r="M153" s="24" t="str">
        <f t="shared" si="13"/>
        <v/>
      </c>
      <c r="N153" s="25" t="str">
        <f t="shared" si="14"/>
        <v/>
      </c>
      <c r="O153" s="26" t="str">
        <f>RTD("cqg.rtd",,"StudyData","FPVol(FootprintOp ("&amp;$B$3&amp;", 0),"&amp;L153&amp;")", "Bar",, "Close","D","0","all",,,,"T")</f>
        <v/>
      </c>
      <c r="P153" s="27" t="str">
        <f t="shared" si="15"/>
        <v/>
      </c>
      <c r="Q153" s="22" t="str">
        <f t="shared" si="16"/>
        <v/>
      </c>
      <c r="R153" s="22" t="str">
        <f t="shared" si="17"/>
        <v/>
      </c>
    </row>
    <row r="154" spans="12:18" ht="15.95" customHeight="1" x14ac:dyDescent="0.3">
      <c r="L154" s="23" t="str">
        <f t="shared" si="18"/>
        <v>2702.25</v>
      </c>
      <c r="M154" s="24" t="str">
        <f t="shared" si="13"/>
        <v/>
      </c>
      <c r="N154" s="25" t="str">
        <f t="shared" si="14"/>
        <v/>
      </c>
      <c r="O154" s="26" t="str">
        <f>RTD("cqg.rtd",,"StudyData","FPVol(FootprintOp ("&amp;$B$3&amp;", 0),"&amp;L154&amp;")", "Bar",, "Close","D","0","all",,,,"T")</f>
        <v/>
      </c>
      <c r="P154" s="27" t="str">
        <f t="shared" si="15"/>
        <v/>
      </c>
      <c r="Q154" s="22" t="str">
        <f t="shared" si="16"/>
        <v/>
      </c>
      <c r="R154" s="22" t="str">
        <f t="shared" si="17"/>
        <v/>
      </c>
    </row>
    <row r="155" spans="12:18" ht="15.95" customHeight="1" x14ac:dyDescent="0.3">
      <c r="L155" s="23" t="str">
        <f t="shared" si="18"/>
        <v>2702.00</v>
      </c>
      <c r="M155" s="24" t="str">
        <f t="shared" si="13"/>
        <v/>
      </c>
      <c r="N155" s="25" t="str">
        <f t="shared" si="14"/>
        <v/>
      </c>
      <c r="O155" s="26" t="str">
        <f>RTD("cqg.rtd",,"StudyData","FPVol(FootprintOp ("&amp;$B$3&amp;", 0),"&amp;L155&amp;")", "Bar",, "Close","D","0","all",,,,"T")</f>
        <v/>
      </c>
      <c r="P155" s="27" t="str">
        <f t="shared" si="15"/>
        <v/>
      </c>
      <c r="Q155" s="22" t="str">
        <f t="shared" si="16"/>
        <v/>
      </c>
      <c r="R155" s="22" t="str">
        <f t="shared" si="17"/>
        <v/>
      </c>
    </row>
    <row r="156" spans="12:18" ht="15.95" customHeight="1" x14ac:dyDescent="0.3">
      <c r="L156" s="23" t="str">
        <f t="shared" si="18"/>
        <v>2701.75</v>
      </c>
      <c r="M156" s="24" t="str">
        <f t="shared" si="13"/>
        <v/>
      </c>
      <c r="N156" s="25" t="str">
        <f t="shared" si="14"/>
        <v/>
      </c>
      <c r="O156" s="26" t="str">
        <f>RTD("cqg.rtd",,"StudyData","FPVol(FootprintOp ("&amp;$B$3&amp;", 0),"&amp;L156&amp;")", "Bar",, "Close","D","0","all",,,,"T")</f>
        <v/>
      </c>
      <c r="P156" s="27" t="str">
        <f t="shared" si="15"/>
        <v/>
      </c>
      <c r="Q156" s="22" t="str">
        <f t="shared" si="16"/>
        <v/>
      </c>
      <c r="R156" s="22" t="str">
        <f t="shared" si="17"/>
        <v/>
      </c>
    </row>
    <row r="157" spans="12:18" ht="15.95" customHeight="1" x14ac:dyDescent="0.3">
      <c r="L157" s="23" t="str">
        <f t="shared" si="18"/>
        <v>2701.50</v>
      </c>
      <c r="M157" s="24" t="str">
        <f t="shared" si="13"/>
        <v/>
      </c>
      <c r="N157" s="25" t="str">
        <f t="shared" si="14"/>
        <v/>
      </c>
      <c r="O157" s="26" t="str">
        <f>RTD("cqg.rtd",,"StudyData","FPVol(FootprintOp ("&amp;$B$3&amp;", 0),"&amp;L157&amp;")", "Bar",, "Close","D","0","all",,,,"T")</f>
        <v/>
      </c>
      <c r="P157" s="27" t="str">
        <f t="shared" si="15"/>
        <v/>
      </c>
      <c r="Q157" s="22" t="str">
        <f t="shared" si="16"/>
        <v/>
      </c>
      <c r="R157" s="22" t="str">
        <f t="shared" si="17"/>
        <v/>
      </c>
    </row>
    <row r="158" spans="12:18" ht="15.95" customHeight="1" x14ac:dyDescent="0.3">
      <c r="L158" s="23" t="str">
        <f t="shared" si="18"/>
        <v>2701.25</v>
      </c>
      <c r="M158" s="24" t="str">
        <f t="shared" si="13"/>
        <v/>
      </c>
      <c r="N158" s="25" t="str">
        <f t="shared" si="14"/>
        <v/>
      </c>
      <c r="O158" s="26" t="str">
        <f>RTD("cqg.rtd",,"StudyData","FPVol(FootprintOp ("&amp;$B$3&amp;", 0),"&amp;L158&amp;")", "Bar",, "Close","D","0","all",,,,"T")</f>
        <v/>
      </c>
      <c r="P158" s="27" t="str">
        <f t="shared" si="15"/>
        <v/>
      </c>
      <c r="Q158" s="22" t="str">
        <f t="shared" si="16"/>
        <v/>
      </c>
      <c r="R158" s="22" t="str">
        <f t="shared" si="17"/>
        <v/>
      </c>
    </row>
    <row r="159" spans="12:18" ht="15.95" customHeight="1" x14ac:dyDescent="0.3">
      <c r="L159" s="23" t="str">
        <f t="shared" si="18"/>
        <v>2701.00</v>
      </c>
      <c r="M159" s="24" t="str">
        <f t="shared" si="13"/>
        <v/>
      </c>
      <c r="N159" s="25" t="str">
        <f t="shared" si="14"/>
        <v/>
      </c>
      <c r="O159" s="26" t="str">
        <f>RTD("cqg.rtd",,"StudyData","FPVol(FootprintOp ("&amp;$B$3&amp;", 0),"&amp;L159&amp;")", "Bar",, "Close","D","0","all",,,,"T")</f>
        <v/>
      </c>
      <c r="P159" s="27" t="str">
        <f t="shared" si="15"/>
        <v/>
      </c>
      <c r="Q159" s="22" t="str">
        <f t="shared" si="16"/>
        <v/>
      </c>
      <c r="R159" s="22" t="str">
        <f t="shared" si="17"/>
        <v/>
      </c>
    </row>
    <row r="160" spans="12:18" ht="15.95" customHeight="1" x14ac:dyDescent="0.3">
      <c r="L160" s="23" t="str">
        <f t="shared" si="18"/>
        <v>2700.75</v>
      </c>
      <c r="M160" s="24" t="str">
        <f t="shared" si="13"/>
        <v/>
      </c>
      <c r="N160" s="25" t="str">
        <f t="shared" si="14"/>
        <v/>
      </c>
      <c r="O160" s="26" t="str">
        <f>RTD("cqg.rtd",,"StudyData","FPVol(FootprintOp ("&amp;$B$3&amp;", 0),"&amp;L160&amp;")", "Bar",, "Close","D","0","all",,,,"T")</f>
        <v/>
      </c>
      <c r="P160" s="27" t="str">
        <f t="shared" si="15"/>
        <v/>
      </c>
      <c r="Q160" s="22" t="str">
        <f t="shared" si="16"/>
        <v/>
      </c>
      <c r="R160" s="22" t="str">
        <f t="shared" si="17"/>
        <v/>
      </c>
    </row>
    <row r="161" spans="12:18" ht="15.95" customHeight="1" x14ac:dyDescent="0.3">
      <c r="L161" s="23" t="str">
        <f t="shared" si="18"/>
        <v>2700.50</v>
      </c>
      <c r="M161" s="24" t="str">
        <f t="shared" si="13"/>
        <v/>
      </c>
      <c r="N161" s="25" t="str">
        <f t="shared" si="14"/>
        <v/>
      </c>
      <c r="O161" s="26" t="str">
        <f>RTD("cqg.rtd",,"StudyData","FPVol(FootprintOp ("&amp;$B$3&amp;", 0),"&amp;L161&amp;")", "Bar",, "Close","D","0","all",,,,"T")</f>
        <v/>
      </c>
      <c r="P161" s="27" t="str">
        <f t="shared" si="15"/>
        <v/>
      </c>
      <c r="Q161" s="22" t="str">
        <f t="shared" si="16"/>
        <v/>
      </c>
      <c r="R161" s="22" t="str">
        <f t="shared" si="17"/>
        <v/>
      </c>
    </row>
    <row r="162" spans="12:18" ht="15.95" customHeight="1" x14ac:dyDescent="0.3">
      <c r="L162" s="23" t="str">
        <f t="shared" si="18"/>
        <v>2700.25</v>
      </c>
      <c r="M162" s="24" t="str">
        <f t="shared" si="13"/>
        <v/>
      </c>
      <c r="N162" s="25" t="str">
        <f t="shared" si="14"/>
        <v/>
      </c>
      <c r="O162" s="26" t="str">
        <f>RTD("cqg.rtd",,"StudyData","FPVol(FootprintOp ("&amp;$B$3&amp;", 0),"&amp;L162&amp;")", "Bar",, "Close","D","0","all",,,,"T")</f>
        <v/>
      </c>
      <c r="P162" s="27" t="str">
        <f t="shared" ref="P162:P193" si="19">IF(L162=$B$4,$B$5,"")</f>
        <v/>
      </c>
      <c r="Q162" s="22" t="str">
        <f t="shared" si="16"/>
        <v/>
      </c>
      <c r="R162" s="22" t="str">
        <f t="shared" si="17"/>
        <v/>
      </c>
    </row>
    <row r="163" spans="12:18" ht="15.95" customHeight="1" x14ac:dyDescent="0.3">
      <c r="L163" s="23" t="str">
        <f t="shared" si="18"/>
        <v>2700.00</v>
      </c>
      <c r="M163" s="24" t="str">
        <f t="shared" si="13"/>
        <v/>
      </c>
      <c r="N163" s="25" t="str">
        <f t="shared" si="14"/>
        <v/>
      </c>
      <c r="O163" s="26" t="str">
        <f>RTD("cqg.rtd",,"StudyData","FPVol(FootprintOp ("&amp;$B$3&amp;", 0),"&amp;L163&amp;")", "Bar",, "Close","D","0","all",,,,"T")</f>
        <v/>
      </c>
      <c r="P163" s="27" t="str">
        <f t="shared" si="19"/>
        <v/>
      </c>
      <c r="Q163" s="22" t="str">
        <f t="shared" si="16"/>
        <v/>
      </c>
      <c r="R163" s="22" t="str">
        <f t="shared" si="17"/>
        <v/>
      </c>
    </row>
    <row r="164" spans="12:18" ht="15.95" customHeight="1" x14ac:dyDescent="0.3">
      <c r="L164" s="23" t="str">
        <f t="shared" si="18"/>
        <v>2699.75</v>
      </c>
      <c r="M164" s="24" t="str">
        <f t="shared" si="13"/>
        <v/>
      </c>
      <c r="N164" s="25" t="str">
        <f t="shared" si="14"/>
        <v/>
      </c>
      <c r="O164" s="26" t="str">
        <f>RTD("cqg.rtd",,"StudyData","FPVol(FootprintOp ("&amp;$B$3&amp;", 0),"&amp;L164&amp;")", "Bar",, "Close","D","0","all",,,,"T")</f>
        <v/>
      </c>
      <c r="P164" s="27" t="str">
        <f t="shared" si="19"/>
        <v/>
      </c>
      <c r="Q164" s="22" t="str">
        <f t="shared" si="16"/>
        <v/>
      </c>
      <c r="R164" s="22" t="str">
        <f t="shared" si="17"/>
        <v/>
      </c>
    </row>
    <row r="165" spans="12:18" ht="15.95" customHeight="1" x14ac:dyDescent="0.3">
      <c r="L165" s="23" t="str">
        <f t="shared" si="18"/>
        <v>2699.50</v>
      </c>
      <c r="M165" s="24" t="str">
        <f t="shared" si="13"/>
        <v/>
      </c>
      <c r="N165" s="25" t="str">
        <f t="shared" si="14"/>
        <v/>
      </c>
      <c r="O165" s="26" t="str">
        <f>RTD("cqg.rtd",,"StudyData","FPVol(FootprintOp ("&amp;$B$3&amp;", 0),"&amp;L165&amp;")", "Bar",, "Close","D","0","all",,,,"T")</f>
        <v/>
      </c>
      <c r="P165" s="27" t="str">
        <f t="shared" si="19"/>
        <v/>
      </c>
      <c r="Q165" s="22" t="str">
        <f t="shared" si="16"/>
        <v/>
      </c>
      <c r="R165" s="22" t="str">
        <f t="shared" si="17"/>
        <v/>
      </c>
    </row>
    <row r="166" spans="12:18" ht="15.95" customHeight="1" x14ac:dyDescent="0.3">
      <c r="L166" s="23" t="str">
        <f t="shared" si="18"/>
        <v>2699.25</v>
      </c>
      <c r="M166" s="24" t="str">
        <f t="shared" si="13"/>
        <v/>
      </c>
      <c r="N166" s="25" t="str">
        <f t="shared" si="14"/>
        <v/>
      </c>
      <c r="O166" s="26" t="str">
        <f>RTD("cqg.rtd",,"StudyData","FPVol(FootprintOp ("&amp;$B$3&amp;", 0),"&amp;L166&amp;")", "Bar",, "Close","D","0","all",,,,"T")</f>
        <v/>
      </c>
      <c r="P166" s="27" t="str">
        <f t="shared" si="19"/>
        <v/>
      </c>
      <c r="Q166" s="22" t="str">
        <f t="shared" si="16"/>
        <v/>
      </c>
      <c r="R166" s="22" t="str">
        <f t="shared" si="17"/>
        <v/>
      </c>
    </row>
    <row r="167" spans="12:18" ht="15.95" customHeight="1" x14ac:dyDescent="0.3">
      <c r="L167" s="23" t="str">
        <f t="shared" si="18"/>
        <v>2699.00</v>
      </c>
      <c r="M167" s="24" t="str">
        <f t="shared" si="13"/>
        <v/>
      </c>
      <c r="N167" s="25" t="str">
        <f t="shared" si="14"/>
        <v/>
      </c>
      <c r="O167" s="26" t="str">
        <f>RTD("cqg.rtd",,"StudyData","FPVol(FootprintOp ("&amp;$B$3&amp;", 0),"&amp;L167&amp;")", "Bar",, "Close","D","0","all",,,,"T")</f>
        <v/>
      </c>
      <c r="P167" s="27" t="str">
        <f t="shared" si="19"/>
        <v/>
      </c>
      <c r="Q167" s="22" t="str">
        <f t="shared" si="16"/>
        <v/>
      </c>
      <c r="R167" s="22" t="str">
        <f t="shared" si="17"/>
        <v/>
      </c>
    </row>
    <row r="168" spans="12:18" ht="15.95" customHeight="1" x14ac:dyDescent="0.3">
      <c r="L168" s="23" t="str">
        <f t="shared" si="18"/>
        <v>2698.75</v>
      </c>
      <c r="M168" s="24" t="str">
        <f t="shared" si="13"/>
        <v/>
      </c>
      <c r="N168" s="25" t="str">
        <f t="shared" si="14"/>
        <v/>
      </c>
      <c r="O168" s="26" t="str">
        <f>RTD("cqg.rtd",,"StudyData","FPVol(FootprintOp ("&amp;$B$3&amp;", 0),"&amp;L168&amp;")", "Bar",, "Close","D","0","all",,,,"T")</f>
        <v/>
      </c>
      <c r="P168" s="27" t="str">
        <f t="shared" si="19"/>
        <v/>
      </c>
      <c r="Q168" s="22" t="str">
        <f t="shared" si="16"/>
        <v/>
      </c>
      <c r="R168" s="22" t="str">
        <f t="shared" si="17"/>
        <v/>
      </c>
    </row>
    <row r="169" spans="12:18" ht="15.95" customHeight="1" x14ac:dyDescent="0.3">
      <c r="L169" s="23" t="str">
        <f t="shared" si="18"/>
        <v>2698.50</v>
      </c>
      <c r="M169" s="24" t="str">
        <f t="shared" si="13"/>
        <v/>
      </c>
      <c r="N169" s="25" t="str">
        <f t="shared" si="14"/>
        <v/>
      </c>
      <c r="O169" s="26" t="str">
        <f>RTD("cqg.rtd",,"StudyData","FPVol(FootprintOp ("&amp;$B$3&amp;", 0),"&amp;L169&amp;")", "Bar",, "Close","D","0","all",,,,"T")</f>
        <v/>
      </c>
      <c r="P169" s="27" t="str">
        <f t="shared" si="19"/>
        <v/>
      </c>
      <c r="Q169" s="22" t="str">
        <f t="shared" si="16"/>
        <v/>
      </c>
      <c r="R169" s="22" t="str">
        <f t="shared" si="17"/>
        <v/>
      </c>
    </row>
    <row r="170" spans="12:18" ht="15.95" customHeight="1" x14ac:dyDescent="0.3">
      <c r="L170" s="23" t="str">
        <f t="shared" si="18"/>
        <v>2698.25</v>
      </c>
      <c r="M170" s="24" t="str">
        <f t="shared" si="13"/>
        <v/>
      </c>
      <c r="N170" s="25" t="str">
        <f t="shared" si="14"/>
        <v/>
      </c>
      <c r="O170" s="26" t="str">
        <f>RTD("cqg.rtd",,"StudyData","FPVol(FootprintOp ("&amp;$B$3&amp;", 0),"&amp;L170&amp;")", "Bar",, "Close","D","0","all",,,,"T")</f>
        <v/>
      </c>
      <c r="P170" s="27" t="str">
        <f t="shared" si="19"/>
        <v/>
      </c>
      <c r="Q170" s="22" t="str">
        <f t="shared" si="16"/>
        <v/>
      </c>
      <c r="R170" s="22" t="str">
        <f t="shared" si="17"/>
        <v/>
      </c>
    </row>
    <row r="171" spans="12:18" ht="15.95" customHeight="1" x14ac:dyDescent="0.3">
      <c r="L171" s="23" t="str">
        <f t="shared" si="18"/>
        <v>2698.00</v>
      </c>
      <c r="M171" s="24" t="str">
        <f t="shared" si="13"/>
        <v/>
      </c>
      <c r="N171" s="25" t="str">
        <f t="shared" si="14"/>
        <v/>
      </c>
      <c r="O171" s="26" t="str">
        <f>RTD("cqg.rtd",,"StudyData","FPVol(FootprintOp ("&amp;$B$3&amp;", 0),"&amp;L171&amp;")", "Bar",, "Close","D","0","all",,,,"T")</f>
        <v/>
      </c>
      <c r="P171" s="27" t="str">
        <f t="shared" si="19"/>
        <v/>
      </c>
      <c r="Q171" s="22" t="str">
        <f t="shared" si="16"/>
        <v/>
      </c>
      <c r="R171" s="22" t="str">
        <f t="shared" si="17"/>
        <v/>
      </c>
    </row>
    <row r="172" spans="12:18" ht="15.95" customHeight="1" x14ac:dyDescent="0.3">
      <c r="L172" s="23" t="str">
        <f t="shared" si="18"/>
        <v>2697.75</v>
      </c>
      <c r="M172" s="24" t="str">
        <f t="shared" si="13"/>
        <v/>
      </c>
      <c r="N172" s="25" t="str">
        <f t="shared" si="14"/>
        <v/>
      </c>
      <c r="O172" s="26" t="str">
        <f>RTD("cqg.rtd",,"StudyData","FPVol(FootprintOp ("&amp;$B$3&amp;", 0),"&amp;L172&amp;")", "Bar",, "Close","D","0","all",,,,"T")</f>
        <v/>
      </c>
      <c r="P172" s="27" t="str">
        <f t="shared" si="19"/>
        <v/>
      </c>
      <c r="Q172" s="22" t="str">
        <f t="shared" si="16"/>
        <v/>
      </c>
      <c r="R172" s="22" t="str">
        <f t="shared" si="17"/>
        <v/>
      </c>
    </row>
    <row r="173" spans="12:18" ht="15.95" customHeight="1" x14ac:dyDescent="0.3">
      <c r="L173" s="23" t="str">
        <f t="shared" si="18"/>
        <v>2697.50</v>
      </c>
      <c r="M173" s="24" t="str">
        <f t="shared" si="13"/>
        <v/>
      </c>
      <c r="N173" s="25" t="str">
        <f t="shared" si="14"/>
        <v/>
      </c>
      <c r="O173" s="26" t="str">
        <f>RTD("cqg.rtd",,"StudyData","FPVol(FootprintOp ("&amp;$B$3&amp;", 0),"&amp;L173&amp;")", "Bar",, "Close","D","0","all",,,,"T")</f>
        <v/>
      </c>
      <c r="P173" s="27" t="str">
        <f t="shared" si="19"/>
        <v/>
      </c>
      <c r="Q173" s="22" t="str">
        <f t="shared" si="16"/>
        <v/>
      </c>
      <c r="R173" s="22" t="str">
        <f t="shared" si="17"/>
        <v/>
      </c>
    </row>
    <row r="174" spans="12:18" ht="15.95" customHeight="1" x14ac:dyDescent="0.3">
      <c r="L174" s="23" t="str">
        <f t="shared" si="18"/>
        <v>2697.25</v>
      </c>
      <c r="M174" s="24" t="str">
        <f t="shared" si="13"/>
        <v/>
      </c>
      <c r="N174" s="25" t="str">
        <f t="shared" si="14"/>
        <v/>
      </c>
      <c r="O174" s="26" t="str">
        <f>RTD("cqg.rtd",,"StudyData","FPVol(FootprintOp ("&amp;$B$3&amp;", 0),"&amp;L174&amp;")", "Bar",, "Close","D","0","all",,,,"T")</f>
        <v/>
      </c>
      <c r="P174" s="27" t="str">
        <f t="shared" si="19"/>
        <v/>
      </c>
      <c r="Q174" s="22" t="str">
        <f t="shared" si="16"/>
        <v/>
      </c>
      <c r="R174" s="22" t="str">
        <f t="shared" si="17"/>
        <v/>
      </c>
    </row>
    <row r="175" spans="12:18" ht="15.95" customHeight="1" x14ac:dyDescent="0.3">
      <c r="L175" s="23" t="str">
        <f t="shared" si="18"/>
        <v>2697.00</v>
      </c>
      <c r="M175" s="24" t="str">
        <f t="shared" si="13"/>
        <v/>
      </c>
      <c r="N175" s="25" t="str">
        <f t="shared" si="14"/>
        <v/>
      </c>
      <c r="O175" s="26" t="str">
        <f>RTD("cqg.rtd",,"StudyData","FPVol(FootprintOp ("&amp;$B$3&amp;", 0),"&amp;L175&amp;")", "Bar",, "Close","D","0","all",,,,"T")</f>
        <v/>
      </c>
      <c r="P175" s="27" t="str">
        <f t="shared" si="19"/>
        <v/>
      </c>
      <c r="Q175" s="22" t="str">
        <f t="shared" si="16"/>
        <v/>
      </c>
      <c r="R175" s="22" t="str">
        <f t="shared" si="17"/>
        <v/>
      </c>
    </row>
    <row r="176" spans="12:18" ht="15.95" customHeight="1" x14ac:dyDescent="0.3">
      <c r="L176" s="23" t="str">
        <f t="shared" si="18"/>
        <v>2696.75</v>
      </c>
      <c r="M176" s="24" t="str">
        <f t="shared" si="13"/>
        <v/>
      </c>
      <c r="N176" s="25" t="str">
        <f t="shared" si="14"/>
        <v/>
      </c>
      <c r="O176" s="26" t="str">
        <f>RTD("cqg.rtd",,"StudyData","FPVol(FootprintOp ("&amp;$B$3&amp;", 0),"&amp;L176&amp;")", "Bar",, "Close","D","0","all",,,,"T")</f>
        <v/>
      </c>
      <c r="P176" s="27" t="str">
        <f t="shared" si="19"/>
        <v/>
      </c>
      <c r="Q176" s="22" t="str">
        <f t="shared" si="16"/>
        <v/>
      </c>
      <c r="R176" s="22" t="str">
        <f t="shared" si="17"/>
        <v/>
      </c>
    </row>
    <row r="177" spans="12:18" ht="15.95" customHeight="1" x14ac:dyDescent="0.3">
      <c r="L177" s="23" t="str">
        <f t="shared" si="18"/>
        <v>2696.50</v>
      </c>
      <c r="M177" s="24" t="str">
        <f t="shared" si="13"/>
        <v/>
      </c>
      <c r="N177" s="25" t="str">
        <f t="shared" si="14"/>
        <v/>
      </c>
      <c r="O177" s="26" t="str">
        <f>RTD("cqg.rtd",,"StudyData","FPVol(FootprintOp ("&amp;$B$3&amp;", 0),"&amp;L177&amp;")", "Bar",, "Close","D","0","all",,,,"T")</f>
        <v/>
      </c>
      <c r="P177" s="27" t="str">
        <f t="shared" si="19"/>
        <v/>
      </c>
      <c r="Q177" s="22" t="str">
        <f t="shared" si="16"/>
        <v/>
      </c>
      <c r="R177" s="22" t="str">
        <f t="shared" si="17"/>
        <v/>
      </c>
    </row>
    <row r="178" spans="12:18" ht="15.95" customHeight="1" x14ac:dyDescent="0.3">
      <c r="L178" s="23" t="str">
        <f t="shared" si="18"/>
        <v>2696.25</v>
      </c>
      <c r="M178" s="24" t="str">
        <f t="shared" si="13"/>
        <v/>
      </c>
      <c r="N178" s="25" t="str">
        <f t="shared" si="14"/>
        <v/>
      </c>
      <c r="O178" s="26" t="str">
        <f>RTD("cqg.rtd",,"StudyData","FPVol(FootprintOp ("&amp;$B$3&amp;", 0),"&amp;L178&amp;")", "Bar",, "Close","D","0","all",,,,"T")</f>
        <v/>
      </c>
      <c r="P178" s="27" t="str">
        <f t="shared" si="19"/>
        <v/>
      </c>
      <c r="Q178" s="22" t="str">
        <f t="shared" si="16"/>
        <v/>
      </c>
      <c r="R178" s="22" t="str">
        <f t="shared" si="17"/>
        <v/>
      </c>
    </row>
    <row r="179" spans="12:18" ht="15.95" customHeight="1" x14ac:dyDescent="0.3">
      <c r="L179" s="23" t="str">
        <f t="shared" si="18"/>
        <v>2696.00</v>
      </c>
      <c r="M179" s="24" t="str">
        <f t="shared" si="13"/>
        <v/>
      </c>
      <c r="N179" s="25" t="str">
        <f t="shared" si="14"/>
        <v/>
      </c>
      <c r="O179" s="26" t="str">
        <f>RTD("cqg.rtd",,"StudyData","FPVol(FootprintOp ("&amp;$B$3&amp;", 0),"&amp;L179&amp;")", "Bar",, "Close","D","0","all",,,,"T")</f>
        <v/>
      </c>
      <c r="P179" s="27" t="str">
        <f t="shared" si="19"/>
        <v/>
      </c>
      <c r="Q179" s="22" t="str">
        <f t="shared" si="16"/>
        <v/>
      </c>
      <c r="R179" s="22" t="str">
        <f t="shared" si="17"/>
        <v/>
      </c>
    </row>
    <row r="180" spans="12:18" ht="15.95" customHeight="1" x14ac:dyDescent="0.3">
      <c r="L180" s="23" t="str">
        <f t="shared" si="18"/>
        <v>2695.75</v>
      </c>
      <c r="M180" s="24" t="str">
        <f t="shared" si="13"/>
        <v/>
      </c>
      <c r="N180" s="25" t="str">
        <f t="shared" si="14"/>
        <v/>
      </c>
      <c r="O180" s="26" t="str">
        <f>RTD("cqg.rtd",,"StudyData","FPVol(FootprintOp ("&amp;$B$3&amp;", 0),"&amp;L180&amp;")", "Bar",, "Close","D","0","all",,,,"T")</f>
        <v/>
      </c>
      <c r="P180" s="27" t="str">
        <f t="shared" si="19"/>
        <v/>
      </c>
      <c r="Q180" s="22" t="str">
        <f t="shared" si="16"/>
        <v/>
      </c>
      <c r="R180" s="22" t="str">
        <f t="shared" si="17"/>
        <v/>
      </c>
    </row>
    <row r="181" spans="12:18" ht="15.95" customHeight="1" x14ac:dyDescent="0.3">
      <c r="L181" s="23" t="str">
        <f t="shared" si="18"/>
        <v>2695.50</v>
      </c>
      <c r="M181" s="24" t="str">
        <f t="shared" si="13"/>
        <v/>
      </c>
      <c r="N181" s="25" t="str">
        <f t="shared" si="14"/>
        <v/>
      </c>
      <c r="O181" s="26" t="str">
        <f>RTD("cqg.rtd",,"StudyData","FPVol(FootprintOp ("&amp;$B$3&amp;", 0),"&amp;L181&amp;")", "Bar",, "Close","D","0","all",,,,"T")</f>
        <v/>
      </c>
      <c r="P181" s="27" t="str">
        <f t="shared" si="19"/>
        <v/>
      </c>
      <c r="Q181" s="22" t="str">
        <f t="shared" si="16"/>
        <v/>
      </c>
      <c r="R181" s="22" t="str">
        <f t="shared" si="17"/>
        <v/>
      </c>
    </row>
    <row r="182" spans="12:18" ht="15.95" customHeight="1" x14ac:dyDescent="0.3">
      <c r="L182" s="23" t="str">
        <f t="shared" si="18"/>
        <v>2695.25</v>
      </c>
      <c r="M182" s="24" t="str">
        <f t="shared" si="13"/>
        <v/>
      </c>
      <c r="N182" s="25" t="str">
        <f t="shared" si="14"/>
        <v/>
      </c>
      <c r="O182" s="26" t="str">
        <f>RTD("cqg.rtd",,"StudyData","FPVol(FootprintOp ("&amp;$B$3&amp;", 0),"&amp;L182&amp;")", "Bar",, "Close","D","0","all",,,,"T")</f>
        <v/>
      </c>
      <c r="P182" s="27" t="str">
        <f t="shared" si="19"/>
        <v/>
      </c>
      <c r="Q182" s="22" t="str">
        <f t="shared" si="16"/>
        <v/>
      </c>
      <c r="R182" s="22" t="str">
        <f t="shared" si="17"/>
        <v/>
      </c>
    </row>
    <row r="183" spans="12:18" ht="15.95" customHeight="1" x14ac:dyDescent="0.3">
      <c r="L183" s="23" t="str">
        <f t="shared" si="18"/>
        <v>2695.00</v>
      </c>
      <c r="M183" s="24" t="str">
        <f t="shared" si="13"/>
        <v/>
      </c>
      <c r="N183" s="25" t="str">
        <f t="shared" si="14"/>
        <v/>
      </c>
      <c r="O183" s="26" t="str">
        <f>RTD("cqg.rtd",,"StudyData","FPVol(FootprintOp ("&amp;$B$3&amp;", 0),"&amp;L183&amp;")", "Bar",, "Close","D","0","all",,,,"T")</f>
        <v/>
      </c>
      <c r="P183" s="27" t="str">
        <f t="shared" si="19"/>
        <v/>
      </c>
      <c r="Q183" s="22" t="str">
        <f t="shared" si="16"/>
        <v/>
      </c>
      <c r="R183" s="22" t="str">
        <f t="shared" si="17"/>
        <v/>
      </c>
    </row>
    <row r="184" spans="12:18" ht="15.95" customHeight="1" x14ac:dyDescent="0.3">
      <c r="L184" s="23" t="str">
        <f t="shared" si="18"/>
        <v>2694.75</v>
      </c>
      <c r="M184" s="24" t="str">
        <f t="shared" si="13"/>
        <v/>
      </c>
      <c r="N184" s="25" t="str">
        <f t="shared" si="14"/>
        <v/>
      </c>
      <c r="O184" s="26" t="str">
        <f>RTD("cqg.rtd",,"StudyData","FPVol(FootprintOp ("&amp;$B$3&amp;", 0),"&amp;L184&amp;")", "Bar",, "Close","D","0","all",,,,"T")</f>
        <v/>
      </c>
      <c r="P184" s="27" t="str">
        <f t="shared" si="19"/>
        <v/>
      </c>
      <c r="Q184" s="22" t="str">
        <f t="shared" si="16"/>
        <v/>
      </c>
      <c r="R184" s="22" t="str">
        <f t="shared" si="17"/>
        <v/>
      </c>
    </row>
    <row r="185" spans="12:18" ht="15.95" customHeight="1" x14ac:dyDescent="0.3">
      <c r="L185" s="23" t="str">
        <f t="shared" si="18"/>
        <v>2694.50</v>
      </c>
      <c r="M185" s="24" t="str">
        <f t="shared" si="13"/>
        <v/>
      </c>
      <c r="N185" s="25" t="str">
        <f t="shared" si="14"/>
        <v/>
      </c>
      <c r="O185" s="26" t="str">
        <f>RTD("cqg.rtd",,"StudyData","FPVol(FootprintOp ("&amp;$B$3&amp;", 0),"&amp;L185&amp;")", "Bar",, "Close","D","0","all",,,,"T")</f>
        <v/>
      </c>
      <c r="P185" s="27" t="str">
        <f t="shared" si="19"/>
        <v/>
      </c>
      <c r="Q185" s="22" t="str">
        <f t="shared" si="16"/>
        <v/>
      </c>
      <c r="R185" s="22" t="str">
        <f t="shared" si="17"/>
        <v/>
      </c>
    </row>
    <row r="186" spans="12:18" ht="15.95" customHeight="1" x14ac:dyDescent="0.3">
      <c r="L186" s="23" t="str">
        <f t="shared" si="18"/>
        <v>2694.25</v>
      </c>
      <c r="M186" s="24" t="str">
        <f t="shared" si="13"/>
        <v/>
      </c>
      <c r="N186" s="25" t="str">
        <f t="shared" si="14"/>
        <v/>
      </c>
      <c r="O186" s="26" t="str">
        <f>RTD("cqg.rtd",,"StudyData","FPVol(FootprintOp ("&amp;$B$3&amp;", 0),"&amp;L186&amp;")", "Bar",, "Close","D","0","all",,,,"T")</f>
        <v/>
      </c>
      <c r="P186" s="27" t="str">
        <f t="shared" si="19"/>
        <v/>
      </c>
      <c r="Q186" s="22" t="str">
        <f t="shared" si="16"/>
        <v/>
      </c>
      <c r="R186" s="22" t="str">
        <f t="shared" si="17"/>
        <v/>
      </c>
    </row>
    <row r="187" spans="12:18" ht="15.95" customHeight="1" x14ac:dyDescent="0.3">
      <c r="L187" s="23" t="str">
        <f t="shared" si="18"/>
        <v>2694.00</v>
      </c>
      <c r="M187" s="24" t="str">
        <f t="shared" si="13"/>
        <v/>
      </c>
      <c r="N187" s="25" t="str">
        <f t="shared" si="14"/>
        <v/>
      </c>
      <c r="O187" s="26" t="str">
        <f>RTD("cqg.rtd",,"StudyData","FPVol(FootprintOp ("&amp;$B$3&amp;", 0),"&amp;L187&amp;")", "Bar",, "Close","D","0","all",,,,"T")</f>
        <v/>
      </c>
      <c r="P187" s="27" t="str">
        <f t="shared" si="19"/>
        <v/>
      </c>
      <c r="Q187" s="22" t="str">
        <f t="shared" si="16"/>
        <v/>
      </c>
      <c r="R187" s="22" t="str">
        <f t="shared" si="17"/>
        <v/>
      </c>
    </row>
    <row r="188" spans="12:18" ht="15.95" customHeight="1" x14ac:dyDescent="0.3">
      <c r="L188" s="23" t="str">
        <f t="shared" si="18"/>
        <v>2693.75</v>
      </c>
      <c r="M188" s="24" t="str">
        <f t="shared" si="13"/>
        <v/>
      </c>
      <c r="N188" s="25" t="str">
        <f t="shared" si="14"/>
        <v/>
      </c>
      <c r="O188" s="26" t="str">
        <f>RTD("cqg.rtd",,"StudyData","FPVol(FootprintOp ("&amp;$B$3&amp;", 0),"&amp;L188&amp;")", "Bar",, "Close","D","0","all",,,,"T")</f>
        <v/>
      </c>
      <c r="P188" s="27" t="str">
        <f t="shared" si="19"/>
        <v/>
      </c>
      <c r="Q188" s="22" t="str">
        <f t="shared" si="16"/>
        <v/>
      </c>
      <c r="R188" s="22" t="str">
        <f t="shared" si="17"/>
        <v/>
      </c>
    </row>
    <row r="189" spans="12:18" ht="15.95" customHeight="1" x14ac:dyDescent="0.3">
      <c r="L189" s="23" t="str">
        <f t="shared" si="18"/>
        <v>2693.50</v>
      </c>
      <c r="M189" s="24" t="str">
        <f t="shared" si="13"/>
        <v/>
      </c>
      <c r="N189" s="25" t="str">
        <f t="shared" si="14"/>
        <v/>
      </c>
      <c r="O189" s="26" t="str">
        <f>RTD("cqg.rtd",,"StudyData","FPVol(FootprintOp ("&amp;$B$3&amp;", 0),"&amp;L189&amp;")", "Bar",, "Close","D","0","all",,,,"T")</f>
        <v/>
      </c>
      <c r="P189" s="27" t="str">
        <f t="shared" si="19"/>
        <v/>
      </c>
      <c r="Q189" s="22" t="str">
        <f t="shared" si="16"/>
        <v/>
      </c>
      <c r="R189" s="22" t="str">
        <f t="shared" si="17"/>
        <v/>
      </c>
    </row>
    <row r="190" spans="12:18" ht="15.95" customHeight="1" x14ac:dyDescent="0.3">
      <c r="L190" s="23" t="str">
        <f t="shared" si="18"/>
        <v>2693.25</v>
      </c>
      <c r="M190" s="24" t="str">
        <f t="shared" si="13"/>
        <v/>
      </c>
      <c r="N190" s="25" t="str">
        <f t="shared" si="14"/>
        <v/>
      </c>
      <c r="O190" s="26" t="str">
        <f>RTD("cqg.rtd",,"StudyData","FPVol(FootprintOp ("&amp;$B$3&amp;", 0),"&amp;L190&amp;")", "Bar",, "Close","D","0","all",,,,"T")</f>
        <v/>
      </c>
      <c r="P190" s="27" t="str">
        <f t="shared" si="19"/>
        <v/>
      </c>
      <c r="Q190" s="22" t="str">
        <f t="shared" si="16"/>
        <v/>
      </c>
      <c r="R190" s="22" t="str">
        <f t="shared" si="17"/>
        <v/>
      </c>
    </row>
    <row r="191" spans="12:18" ht="15.95" customHeight="1" x14ac:dyDescent="0.3">
      <c r="L191" s="23" t="str">
        <f t="shared" si="18"/>
        <v>2693.00</v>
      </c>
      <c r="M191" s="24" t="str">
        <f t="shared" si="13"/>
        <v/>
      </c>
      <c r="N191" s="25" t="str">
        <f t="shared" si="14"/>
        <v/>
      </c>
      <c r="O191" s="26" t="str">
        <f>RTD("cqg.rtd",,"StudyData","FPVol(FootprintOp ("&amp;$B$3&amp;", 0),"&amp;L191&amp;")", "Bar",, "Close","D","0","all",,,,"T")</f>
        <v/>
      </c>
      <c r="P191" s="27" t="str">
        <f t="shared" si="19"/>
        <v/>
      </c>
      <c r="Q191" s="22" t="str">
        <f t="shared" si="16"/>
        <v/>
      </c>
      <c r="R191" s="22" t="str">
        <f t="shared" si="17"/>
        <v/>
      </c>
    </row>
    <row r="192" spans="12:18" ht="15.95" customHeight="1" x14ac:dyDescent="0.3">
      <c r="L192" s="23" t="str">
        <f t="shared" si="18"/>
        <v>2692.75</v>
      </c>
      <c r="M192" s="24" t="str">
        <f t="shared" si="13"/>
        <v/>
      </c>
      <c r="N192" s="25" t="str">
        <f t="shared" si="14"/>
        <v/>
      </c>
      <c r="O192" s="26" t="str">
        <f>RTD("cqg.rtd",,"StudyData","FPVol(FootprintOp ("&amp;$B$3&amp;", 0),"&amp;L192&amp;")", "Bar",, "Close","D","0","all",,,,"T")</f>
        <v/>
      </c>
      <c r="P192" s="27" t="str">
        <f t="shared" si="19"/>
        <v/>
      </c>
      <c r="Q192" s="22" t="str">
        <f t="shared" si="16"/>
        <v/>
      </c>
      <c r="R192" s="22" t="str">
        <f t="shared" si="17"/>
        <v/>
      </c>
    </row>
    <row r="193" spans="12:18" ht="15.95" customHeight="1" x14ac:dyDescent="0.3">
      <c r="L193" s="23" t="str">
        <f t="shared" si="18"/>
        <v>2692.50</v>
      </c>
      <c r="M193" s="24" t="str">
        <f t="shared" si="13"/>
        <v/>
      </c>
      <c r="N193" s="25" t="str">
        <f t="shared" si="14"/>
        <v/>
      </c>
      <c r="O193" s="26" t="str">
        <f>RTD("cqg.rtd",,"StudyData","FPVol(FootprintOp ("&amp;$B$3&amp;", 0),"&amp;L193&amp;")", "Bar",, "Close","D","0","all",,,,"T")</f>
        <v/>
      </c>
      <c r="P193" s="27" t="str">
        <f t="shared" si="19"/>
        <v/>
      </c>
      <c r="Q193" s="22" t="str">
        <f t="shared" si="16"/>
        <v/>
      </c>
      <c r="R193" s="22" t="str">
        <f t="shared" si="17"/>
        <v/>
      </c>
    </row>
    <row r="194" spans="12:18" ht="15.95" customHeight="1" x14ac:dyDescent="0.3">
      <c r="L194" s="23" t="str">
        <f t="shared" si="18"/>
        <v>2692.25</v>
      </c>
      <c r="M194" s="24" t="str">
        <f t="shared" ref="M194:M213" si="20">P194</f>
        <v/>
      </c>
      <c r="N194" s="25" t="str">
        <f t="shared" ref="N194:N213" si="21">Q194</f>
        <v/>
      </c>
      <c r="O194" s="26" t="str">
        <f>RTD("cqg.rtd",,"StudyData","FPVol(FootprintOp ("&amp;$B$3&amp;", 0),"&amp;L194&amp;")", "Bar",, "Close","D","0","all",,,,"T")</f>
        <v/>
      </c>
      <c r="P194" s="27" t="str">
        <f t="shared" ref="P194:P203" si="22">IF(L194=$B$4,$B$5,"")</f>
        <v/>
      </c>
      <c r="Q194" s="22" t="str">
        <f t="shared" ref="Q194:Q203" si="23">IF(L194=$C$4,$C$5,"")</f>
        <v/>
      </c>
      <c r="R194" s="22" t="str">
        <f t="shared" ref="R194:R213" si="24">O194</f>
        <v/>
      </c>
    </row>
    <row r="195" spans="12:18" ht="15.95" customHeight="1" x14ac:dyDescent="0.3">
      <c r="L195" s="23" t="str">
        <f t="shared" ref="L195:L258" si="25">TEXT(ROUND(L194,$C$8)-$C$3,$D$8)</f>
        <v>2692.00</v>
      </c>
      <c r="M195" s="24" t="str">
        <f t="shared" si="20"/>
        <v/>
      </c>
      <c r="N195" s="25" t="str">
        <f t="shared" si="21"/>
        <v/>
      </c>
      <c r="O195" s="26" t="str">
        <f>RTD("cqg.rtd",,"StudyData","FPVol(FootprintOp ("&amp;$B$3&amp;", 0),"&amp;L195&amp;")", "Bar",, "Close","D","0","all",,,,"T")</f>
        <v/>
      </c>
      <c r="P195" s="27" t="str">
        <f t="shared" si="22"/>
        <v/>
      </c>
      <c r="Q195" s="22" t="str">
        <f t="shared" si="23"/>
        <v/>
      </c>
      <c r="R195" s="22" t="str">
        <f t="shared" si="24"/>
        <v/>
      </c>
    </row>
    <row r="196" spans="12:18" ht="15.95" customHeight="1" x14ac:dyDescent="0.3">
      <c r="L196" s="23" t="str">
        <f t="shared" si="25"/>
        <v>2691.75</v>
      </c>
      <c r="M196" s="24" t="str">
        <f t="shared" si="20"/>
        <v/>
      </c>
      <c r="N196" s="25" t="str">
        <f t="shared" si="21"/>
        <v/>
      </c>
      <c r="O196" s="26" t="str">
        <f>RTD("cqg.rtd",,"StudyData","FPVol(FootprintOp ("&amp;$B$3&amp;", 0),"&amp;L196&amp;")", "Bar",, "Close","D","0","all",,,,"T")</f>
        <v/>
      </c>
      <c r="P196" s="27" t="str">
        <f t="shared" si="22"/>
        <v/>
      </c>
      <c r="Q196" s="22" t="str">
        <f t="shared" si="23"/>
        <v/>
      </c>
      <c r="R196" s="22" t="str">
        <f t="shared" si="24"/>
        <v/>
      </c>
    </row>
    <row r="197" spans="12:18" ht="15.95" customHeight="1" x14ac:dyDescent="0.3">
      <c r="L197" s="23" t="str">
        <f t="shared" si="25"/>
        <v>2691.50</v>
      </c>
      <c r="M197" s="24" t="str">
        <f t="shared" si="20"/>
        <v/>
      </c>
      <c r="N197" s="25" t="str">
        <f t="shared" si="21"/>
        <v/>
      </c>
      <c r="O197" s="26" t="str">
        <f>RTD("cqg.rtd",,"StudyData","FPVol(FootprintOp ("&amp;$B$3&amp;", 0),"&amp;L197&amp;")", "Bar",, "Close","D","0","all",,,,"T")</f>
        <v/>
      </c>
      <c r="P197" s="27" t="str">
        <f t="shared" si="22"/>
        <v/>
      </c>
      <c r="Q197" s="22" t="str">
        <f t="shared" si="23"/>
        <v/>
      </c>
      <c r="R197" s="22" t="str">
        <f t="shared" si="24"/>
        <v/>
      </c>
    </row>
    <row r="198" spans="12:18" ht="15.95" customHeight="1" x14ac:dyDescent="0.3">
      <c r="L198" s="23" t="str">
        <f t="shared" si="25"/>
        <v>2691.25</v>
      </c>
      <c r="M198" s="24" t="str">
        <f t="shared" si="20"/>
        <v/>
      </c>
      <c r="N198" s="25" t="str">
        <f t="shared" si="21"/>
        <v/>
      </c>
      <c r="O198" s="26" t="str">
        <f>RTD("cqg.rtd",,"StudyData","FPVol(FootprintOp ("&amp;$B$3&amp;", 0),"&amp;L198&amp;")", "Bar",, "Close","D","0","all",,,,"T")</f>
        <v/>
      </c>
      <c r="P198" s="27" t="str">
        <f t="shared" si="22"/>
        <v/>
      </c>
      <c r="Q198" s="22" t="str">
        <f t="shared" si="23"/>
        <v/>
      </c>
      <c r="R198" s="22" t="str">
        <f t="shared" si="24"/>
        <v/>
      </c>
    </row>
    <row r="199" spans="12:18" ht="15.95" customHeight="1" x14ac:dyDescent="0.3">
      <c r="L199" s="23" t="str">
        <f t="shared" si="25"/>
        <v>2691.00</v>
      </c>
      <c r="M199" s="24" t="str">
        <f t="shared" si="20"/>
        <v/>
      </c>
      <c r="N199" s="25" t="str">
        <f t="shared" si="21"/>
        <v/>
      </c>
      <c r="O199" s="26" t="str">
        <f>RTD("cqg.rtd",,"StudyData","FPVol(FootprintOp ("&amp;$B$3&amp;", 0),"&amp;L199&amp;")", "Bar",, "Close","D","0","all",,,,"T")</f>
        <v/>
      </c>
      <c r="P199" s="27" t="str">
        <f t="shared" si="22"/>
        <v/>
      </c>
      <c r="Q199" s="22" t="str">
        <f t="shared" si="23"/>
        <v/>
      </c>
      <c r="R199" s="22" t="str">
        <f t="shared" si="24"/>
        <v/>
      </c>
    </row>
    <row r="200" spans="12:18" ht="15.95" customHeight="1" x14ac:dyDescent="0.3">
      <c r="L200" s="23" t="str">
        <f t="shared" si="25"/>
        <v>2690.75</v>
      </c>
      <c r="M200" s="24" t="str">
        <f t="shared" si="20"/>
        <v/>
      </c>
      <c r="N200" s="25" t="str">
        <f t="shared" si="21"/>
        <v/>
      </c>
      <c r="O200" s="26" t="str">
        <f>RTD("cqg.rtd",,"StudyData","FPVol(FootprintOp ("&amp;$B$3&amp;", 0),"&amp;L200&amp;")", "Bar",, "Close","D","0","all",,,,"T")</f>
        <v/>
      </c>
      <c r="P200" s="27" t="str">
        <f t="shared" si="22"/>
        <v/>
      </c>
      <c r="Q200" s="22" t="str">
        <f t="shared" si="23"/>
        <v/>
      </c>
      <c r="R200" s="22" t="str">
        <f t="shared" si="24"/>
        <v/>
      </c>
    </row>
    <row r="201" spans="12:18" ht="15.95" customHeight="1" x14ac:dyDescent="0.3">
      <c r="L201" s="23" t="str">
        <f t="shared" si="25"/>
        <v>2690.50</v>
      </c>
      <c r="M201" s="24" t="str">
        <f t="shared" si="20"/>
        <v/>
      </c>
      <c r="N201" s="25" t="str">
        <f t="shared" si="21"/>
        <v/>
      </c>
      <c r="O201" s="26" t="str">
        <f>RTD("cqg.rtd",,"StudyData","FPVol(FootprintOp ("&amp;$B$3&amp;", 0),"&amp;L201&amp;")", "Bar",, "Close","D","0","all",,,,"T")</f>
        <v/>
      </c>
      <c r="P201" s="27" t="str">
        <f t="shared" si="22"/>
        <v/>
      </c>
      <c r="Q201" s="22" t="str">
        <f t="shared" si="23"/>
        <v/>
      </c>
      <c r="R201" s="22" t="str">
        <f t="shared" si="24"/>
        <v/>
      </c>
    </row>
    <row r="202" spans="12:18" ht="15.95" customHeight="1" x14ac:dyDescent="0.3">
      <c r="L202" s="23" t="str">
        <f t="shared" si="25"/>
        <v>2690.25</v>
      </c>
      <c r="M202" s="24" t="str">
        <f t="shared" si="20"/>
        <v/>
      </c>
      <c r="N202" s="25" t="str">
        <f t="shared" si="21"/>
        <v/>
      </c>
      <c r="O202" s="26" t="str">
        <f>RTD("cqg.rtd",,"StudyData","FPVol(FootprintOp ("&amp;$B$3&amp;", 0),"&amp;L202&amp;")", "Bar",, "Close","D","0","all",,,,"T")</f>
        <v/>
      </c>
      <c r="P202" s="27" t="str">
        <f t="shared" si="22"/>
        <v/>
      </c>
      <c r="Q202" s="22" t="str">
        <f t="shared" si="23"/>
        <v/>
      </c>
      <c r="R202" s="22" t="str">
        <f t="shared" si="24"/>
        <v/>
      </c>
    </row>
    <row r="203" spans="12:18" ht="15.95" customHeight="1" x14ac:dyDescent="0.3">
      <c r="L203" s="23" t="str">
        <f t="shared" si="25"/>
        <v>2690.00</v>
      </c>
      <c r="M203" s="24" t="str">
        <f t="shared" si="20"/>
        <v/>
      </c>
      <c r="N203" s="25" t="str">
        <f t="shared" si="21"/>
        <v/>
      </c>
      <c r="O203" s="26" t="str">
        <f>RTD("cqg.rtd",,"StudyData","FPVol(FootprintOp ("&amp;$B$3&amp;", 0),"&amp;L203&amp;")", "Bar",, "Close","D","0","all",,,,"T")</f>
        <v/>
      </c>
      <c r="P203" s="27" t="str">
        <f t="shared" si="22"/>
        <v/>
      </c>
      <c r="Q203" s="22" t="str">
        <f t="shared" si="23"/>
        <v/>
      </c>
      <c r="R203" s="22" t="str">
        <f t="shared" si="24"/>
        <v/>
      </c>
    </row>
    <row r="204" spans="12:18" ht="15.95" customHeight="1" x14ac:dyDescent="0.3">
      <c r="L204" s="23" t="str">
        <f t="shared" si="25"/>
        <v>2689.75</v>
      </c>
      <c r="M204" s="24" t="str">
        <f t="shared" si="20"/>
        <v/>
      </c>
      <c r="N204" s="25" t="str">
        <f t="shared" si="21"/>
        <v/>
      </c>
      <c r="O204" s="26" t="str">
        <f>RTD("cqg.rtd",,"StudyData","FPVol(FootprintOp ("&amp;$B$3&amp;", 0),"&amp;L204&amp;")", "Bar",, "Close","D","0","all",,,,"T")</f>
        <v/>
      </c>
      <c r="P204" s="27" t="str">
        <f t="shared" ref="P204:P213" si="26">IF(L204=$B$4,$B$5,"")</f>
        <v/>
      </c>
      <c r="Q204" s="22" t="str">
        <f t="shared" ref="Q204:Q213" si="27">IF(L204=$C$4,$C$5,"")</f>
        <v/>
      </c>
      <c r="R204" s="22" t="str">
        <f t="shared" si="24"/>
        <v/>
      </c>
    </row>
    <row r="205" spans="12:18" ht="15.95" customHeight="1" x14ac:dyDescent="0.3">
      <c r="L205" s="23" t="str">
        <f t="shared" si="25"/>
        <v>2689.50</v>
      </c>
      <c r="M205" s="24" t="str">
        <f t="shared" si="20"/>
        <v/>
      </c>
      <c r="N205" s="25" t="str">
        <f t="shared" si="21"/>
        <v/>
      </c>
      <c r="O205" s="26" t="str">
        <f>RTD("cqg.rtd",,"StudyData","FPVol(FootprintOp ("&amp;$B$3&amp;", 0),"&amp;L205&amp;")", "Bar",, "Close","D","0","all",,,,"T")</f>
        <v/>
      </c>
      <c r="P205" s="27" t="str">
        <f t="shared" si="26"/>
        <v/>
      </c>
      <c r="Q205" s="22" t="str">
        <f t="shared" si="27"/>
        <v/>
      </c>
      <c r="R205" s="22" t="str">
        <f t="shared" si="24"/>
        <v/>
      </c>
    </row>
    <row r="206" spans="12:18" ht="15.95" customHeight="1" x14ac:dyDescent="0.3">
      <c r="L206" s="23" t="str">
        <f t="shared" si="25"/>
        <v>2689.25</v>
      </c>
      <c r="M206" s="24" t="str">
        <f t="shared" si="20"/>
        <v/>
      </c>
      <c r="N206" s="25" t="str">
        <f t="shared" si="21"/>
        <v/>
      </c>
      <c r="O206" s="26" t="str">
        <f>RTD("cqg.rtd",,"StudyData","FPVol(FootprintOp ("&amp;$B$3&amp;", 0),"&amp;L206&amp;")", "Bar",, "Close","D","0","all",,,,"T")</f>
        <v/>
      </c>
      <c r="P206" s="27" t="str">
        <f t="shared" si="26"/>
        <v/>
      </c>
      <c r="Q206" s="22" t="str">
        <f t="shared" si="27"/>
        <v/>
      </c>
      <c r="R206" s="22" t="str">
        <f t="shared" si="24"/>
        <v/>
      </c>
    </row>
    <row r="207" spans="12:18" ht="15.95" customHeight="1" x14ac:dyDescent="0.3">
      <c r="L207" s="23" t="str">
        <f t="shared" si="25"/>
        <v>2689.00</v>
      </c>
      <c r="M207" s="24" t="str">
        <f t="shared" si="20"/>
        <v/>
      </c>
      <c r="N207" s="25" t="str">
        <f t="shared" si="21"/>
        <v/>
      </c>
      <c r="O207" s="26" t="str">
        <f>RTD("cqg.rtd",,"StudyData","FPVol(FootprintOp ("&amp;$B$3&amp;", 0),"&amp;L207&amp;")", "Bar",, "Close","D","0","all",,,,"T")</f>
        <v/>
      </c>
      <c r="P207" s="27" t="str">
        <f t="shared" si="26"/>
        <v/>
      </c>
      <c r="Q207" s="22" t="str">
        <f t="shared" si="27"/>
        <v/>
      </c>
      <c r="R207" s="22" t="str">
        <f t="shared" si="24"/>
        <v/>
      </c>
    </row>
    <row r="208" spans="12:18" ht="15.95" customHeight="1" x14ac:dyDescent="0.3">
      <c r="L208" s="23" t="str">
        <f t="shared" si="25"/>
        <v>2688.75</v>
      </c>
      <c r="M208" s="24" t="str">
        <f t="shared" si="20"/>
        <v/>
      </c>
      <c r="N208" s="25" t="str">
        <f t="shared" si="21"/>
        <v/>
      </c>
      <c r="O208" s="26" t="str">
        <f>RTD("cqg.rtd",,"StudyData","FPVol(FootprintOp ("&amp;$B$3&amp;", 0),"&amp;L208&amp;")", "Bar",, "Close","D","0","all",,,,"T")</f>
        <v/>
      </c>
      <c r="P208" s="27" t="str">
        <f t="shared" si="26"/>
        <v/>
      </c>
      <c r="Q208" s="22" t="str">
        <f t="shared" si="27"/>
        <v/>
      </c>
      <c r="R208" s="22" t="str">
        <f t="shared" si="24"/>
        <v/>
      </c>
    </row>
    <row r="209" spans="12:18" ht="15.95" customHeight="1" x14ac:dyDescent="0.3">
      <c r="L209" s="23" t="str">
        <f t="shared" si="25"/>
        <v>2688.50</v>
      </c>
      <c r="M209" s="24" t="str">
        <f t="shared" si="20"/>
        <v/>
      </c>
      <c r="N209" s="25" t="str">
        <f t="shared" si="21"/>
        <v/>
      </c>
      <c r="O209" s="26" t="str">
        <f>RTD("cqg.rtd",,"StudyData","FPVol(FootprintOp ("&amp;$B$3&amp;", 0),"&amp;L209&amp;")", "Bar",, "Close","D","0","all",,,,"T")</f>
        <v/>
      </c>
      <c r="P209" s="27" t="str">
        <f t="shared" si="26"/>
        <v/>
      </c>
      <c r="Q209" s="22" t="str">
        <f t="shared" si="27"/>
        <v/>
      </c>
      <c r="R209" s="22" t="str">
        <f t="shared" si="24"/>
        <v/>
      </c>
    </row>
    <row r="210" spans="12:18" ht="15.95" customHeight="1" x14ac:dyDescent="0.3">
      <c r="L210" s="23" t="str">
        <f t="shared" si="25"/>
        <v>2688.25</v>
      </c>
      <c r="M210" s="24" t="str">
        <f t="shared" si="20"/>
        <v/>
      </c>
      <c r="N210" s="25" t="str">
        <f t="shared" si="21"/>
        <v/>
      </c>
      <c r="O210" s="26" t="str">
        <f>RTD("cqg.rtd",,"StudyData","FPVol(FootprintOp ("&amp;$B$3&amp;", 0),"&amp;L210&amp;")", "Bar",, "Close","D","0","all",,,,"T")</f>
        <v/>
      </c>
      <c r="P210" s="27" t="str">
        <f t="shared" si="26"/>
        <v/>
      </c>
      <c r="Q210" s="22" t="str">
        <f t="shared" si="27"/>
        <v/>
      </c>
      <c r="R210" s="22" t="str">
        <f t="shared" si="24"/>
        <v/>
      </c>
    </row>
    <row r="211" spans="12:18" ht="15.95" customHeight="1" x14ac:dyDescent="0.3">
      <c r="L211" s="23" t="str">
        <f t="shared" si="25"/>
        <v>2688.00</v>
      </c>
      <c r="M211" s="24" t="str">
        <f t="shared" si="20"/>
        <v/>
      </c>
      <c r="N211" s="25" t="str">
        <f t="shared" si="21"/>
        <v/>
      </c>
      <c r="O211" s="26" t="str">
        <f>RTD("cqg.rtd",,"StudyData","FPVol(FootprintOp ("&amp;$B$3&amp;", 0),"&amp;L211&amp;")", "Bar",, "Close","D","0","all",,,,"T")</f>
        <v/>
      </c>
      <c r="P211" s="27" t="str">
        <f t="shared" si="26"/>
        <v/>
      </c>
      <c r="Q211" s="22" t="str">
        <f t="shared" si="27"/>
        <v/>
      </c>
      <c r="R211" s="22" t="str">
        <f t="shared" si="24"/>
        <v/>
      </c>
    </row>
    <row r="212" spans="12:18" ht="15.95" customHeight="1" x14ac:dyDescent="0.3">
      <c r="L212" s="23" t="str">
        <f t="shared" si="25"/>
        <v>2687.75</v>
      </c>
      <c r="M212" s="24" t="str">
        <f t="shared" si="20"/>
        <v/>
      </c>
      <c r="N212" s="25" t="str">
        <f t="shared" si="21"/>
        <v/>
      </c>
      <c r="O212" s="26" t="str">
        <f>RTD("cqg.rtd",,"StudyData","FPVol(FootprintOp ("&amp;$B$3&amp;", 0),"&amp;L212&amp;")", "Bar",, "Close","D","0","all",,,,"T")</f>
        <v/>
      </c>
      <c r="P212" s="27" t="str">
        <f t="shared" si="26"/>
        <v/>
      </c>
      <c r="Q212" s="22" t="str">
        <f t="shared" si="27"/>
        <v/>
      </c>
      <c r="R212" s="22" t="str">
        <f t="shared" si="24"/>
        <v/>
      </c>
    </row>
    <row r="213" spans="12:18" x14ac:dyDescent="0.3">
      <c r="L213" s="23" t="str">
        <f t="shared" si="25"/>
        <v>2687.50</v>
      </c>
      <c r="M213" s="24" t="str">
        <f t="shared" si="20"/>
        <v/>
      </c>
      <c r="N213" s="25" t="str">
        <f t="shared" si="21"/>
        <v/>
      </c>
      <c r="O213" s="26" t="str">
        <f>RTD("cqg.rtd",,"StudyData","FPVol(FootprintOp ("&amp;$B$3&amp;", 0),"&amp;L213&amp;")", "Bar",, "Close","D","0","all",,,,"T")</f>
        <v/>
      </c>
      <c r="P213" s="27" t="str">
        <f t="shared" si="26"/>
        <v/>
      </c>
      <c r="Q213" s="22" t="str">
        <f t="shared" si="27"/>
        <v/>
      </c>
      <c r="R213" s="22" t="str">
        <f t="shared" si="24"/>
        <v/>
      </c>
    </row>
    <row r="214" spans="12:18" x14ac:dyDescent="0.3">
      <c r="L214" s="23" t="str">
        <f t="shared" si="25"/>
        <v>2687.25</v>
      </c>
      <c r="M214" s="24" t="str">
        <f t="shared" ref="M214:M253" si="28">P214</f>
        <v/>
      </c>
      <c r="N214" s="25" t="str">
        <f t="shared" ref="N214:N253" si="29">Q214</f>
        <v/>
      </c>
      <c r="O214" s="26" t="str">
        <f>RTD("cqg.rtd",,"StudyData","FPVol(FootprintOp ("&amp;$B$3&amp;", 0),"&amp;L214&amp;")", "Bar",, "Close","D","0","all",,,,"T")</f>
        <v/>
      </c>
      <c r="P214" s="27" t="str">
        <f t="shared" ref="P214:P253" si="30">IF(L214=$B$4,$B$5,"")</f>
        <v/>
      </c>
      <c r="Q214" s="22" t="str">
        <f t="shared" ref="Q214:Q253" si="31">IF(L214=$C$4,$C$5,"")</f>
        <v/>
      </c>
      <c r="R214" s="22" t="str">
        <f t="shared" ref="R214:R253" si="32">O214</f>
        <v/>
      </c>
    </row>
    <row r="215" spans="12:18" x14ac:dyDescent="0.3">
      <c r="L215" s="23" t="str">
        <f t="shared" si="25"/>
        <v>2687.00</v>
      </c>
      <c r="M215" s="24" t="str">
        <f t="shared" si="28"/>
        <v/>
      </c>
      <c r="N215" s="25" t="str">
        <f t="shared" si="29"/>
        <v/>
      </c>
      <c r="O215" s="26" t="str">
        <f>RTD("cqg.rtd",,"StudyData","FPVol(FootprintOp ("&amp;$B$3&amp;", 0),"&amp;L215&amp;")", "Bar",, "Close","D","0","all",,,,"T")</f>
        <v/>
      </c>
      <c r="P215" s="27" t="str">
        <f t="shared" si="30"/>
        <v/>
      </c>
      <c r="Q215" s="22" t="str">
        <f t="shared" si="31"/>
        <v/>
      </c>
      <c r="R215" s="22" t="str">
        <f t="shared" si="32"/>
        <v/>
      </c>
    </row>
    <row r="216" spans="12:18" x14ac:dyDescent="0.3">
      <c r="L216" s="23" t="str">
        <f t="shared" si="25"/>
        <v>2686.75</v>
      </c>
      <c r="M216" s="24" t="str">
        <f t="shared" si="28"/>
        <v/>
      </c>
      <c r="N216" s="25" t="str">
        <f t="shared" si="29"/>
        <v/>
      </c>
      <c r="O216" s="26" t="str">
        <f>RTD("cqg.rtd",,"StudyData","FPVol(FootprintOp ("&amp;$B$3&amp;", 0),"&amp;L216&amp;")", "Bar",, "Close","D","0","all",,,,"T")</f>
        <v/>
      </c>
      <c r="P216" s="27" t="str">
        <f t="shared" si="30"/>
        <v/>
      </c>
      <c r="Q216" s="22" t="str">
        <f t="shared" si="31"/>
        <v/>
      </c>
      <c r="R216" s="22" t="str">
        <f t="shared" si="32"/>
        <v/>
      </c>
    </row>
    <row r="217" spans="12:18" x14ac:dyDescent="0.3">
      <c r="L217" s="23" t="str">
        <f t="shared" si="25"/>
        <v>2686.50</v>
      </c>
      <c r="M217" s="24" t="str">
        <f t="shared" si="28"/>
        <v/>
      </c>
      <c r="N217" s="25" t="str">
        <f t="shared" si="29"/>
        <v/>
      </c>
      <c r="O217" s="26" t="str">
        <f>RTD("cqg.rtd",,"StudyData","FPVol(FootprintOp ("&amp;$B$3&amp;", 0),"&amp;L217&amp;")", "Bar",, "Close","D","0","all",,,,"T")</f>
        <v/>
      </c>
      <c r="P217" s="27" t="str">
        <f t="shared" si="30"/>
        <v/>
      </c>
      <c r="Q217" s="22" t="str">
        <f t="shared" si="31"/>
        <v/>
      </c>
      <c r="R217" s="22" t="str">
        <f t="shared" si="32"/>
        <v/>
      </c>
    </row>
    <row r="218" spans="12:18" x14ac:dyDescent="0.3">
      <c r="L218" s="23" t="str">
        <f t="shared" si="25"/>
        <v>2686.25</v>
      </c>
      <c r="M218" s="24" t="str">
        <f t="shared" si="28"/>
        <v/>
      </c>
      <c r="N218" s="25" t="str">
        <f t="shared" si="29"/>
        <v/>
      </c>
      <c r="O218" s="26" t="str">
        <f>RTD("cqg.rtd",,"StudyData","FPVol(FootprintOp ("&amp;$B$3&amp;", 0),"&amp;L218&amp;")", "Bar",, "Close","D","0","all",,,,"T")</f>
        <v/>
      </c>
      <c r="P218" s="27" t="str">
        <f t="shared" si="30"/>
        <v/>
      </c>
      <c r="Q218" s="22" t="str">
        <f t="shared" si="31"/>
        <v/>
      </c>
      <c r="R218" s="22" t="str">
        <f t="shared" si="32"/>
        <v/>
      </c>
    </row>
    <row r="219" spans="12:18" x14ac:dyDescent="0.3">
      <c r="L219" s="23" t="str">
        <f t="shared" si="25"/>
        <v>2686.00</v>
      </c>
      <c r="M219" s="24" t="str">
        <f t="shared" si="28"/>
        <v/>
      </c>
      <c r="N219" s="25" t="str">
        <f t="shared" si="29"/>
        <v/>
      </c>
      <c r="O219" s="26" t="str">
        <f>RTD("cqg.rtd",,"StudyData","FPVol(FootprintOp ("&amp;$B$3&amp;", 0),"&amp;L219&amp;")", "Bar",, "Close","D","0","all",,,,"T")</f>
        <v/>
      </c>
      <c r="P219" s="27" t="str">
        <f t="shared" si="30"/>
        <v/>
      </c>
      <c r="Q219" s="22" t="str">
        <f t="shared" si="31"/>
        <v/>
      </c>
      <c r="R219" s="22" t="str">
        <f t="shared" si="32"/>
        <v/>
      </c>
    </row>
    <row r="220" spans="12:18" x14ac:dyDescent="0.3">
      <c r="L220" s="23" t="str">
        <f t="shared" si="25"/>
        <v>2685.75</v>
      </c>
      <c r="M220" s="24" t="str">
        <f t="shared" si="28"/>
        <v/>
      </c>
      <c r="N220" s="25" t="str">
        <f t="shared" si="29"/>
        <v/>
      </c>
      <c r="O220" s="26" t="str">
        <f>RTD("cqg.rtd",,"StudyData","FPVol(FootprintOp ("&amp;$B$3&amp;", 0),"&amp;L220&amp;")", "Bar",, "Close","D","0","all",,,,"T")</f>
        <v/>
      </c>
      <c r="P220" s="27" t="str">
        <f t="shared" si="30"/>
        <v/>
      </c>
      <c r="Q220" s="22" t="str">
        <f t="shared" si="31"/>
        <v/>
      </c>
      <c r="R220" s="22" t="str">
        <f t="shared" si="32"/>
        <v/>
      </c>
    </row>
    <row r="221" spans="12:18" x14ac:dyDescent="0.3">
      <c r="L221" s="23" t="str">
        <f t="shared" si="25"/>
        <v>2685.50</v>
      </c>
      <c r="M221" s="24" t="str">
        <f t="shared" si="28"/>
        <v/>
      </c>
      <c r="N221" s="25" t="str">
        <f t="shared" si="29"/>
        <v/>
      </c>
      <c r="O221" s="26" t="str">
        <f>RTD("cqg.rtd",,"StudyData","FPVol(FootprintOp ("&amp;$B$3&amp;", 0),"&amp;L221&amp;")", "Bar",, "Close","D","0","all",,,,"T")</f>
        <v/>
      </c>
      <c r="P221" s="27" t="str">
        <f t="shared" si="30"/>
        <v/>
      </c>
      <c r="Q221" s="22" t="str">
        <f t="shared" si="31"/>
        <v/>
      </c>
      <c r="R221" s="22" t="str">
        <f t="shared" si="32"/>
        <v/>
      </c>
    </row>
    <row r="222" spans="12:18" x14ac:dyDescent="0.3">
      <c r="L222" s="23" t="str">
        <f t="shared" si="25"/>
        <v>2685.25</v>
      </c>
      <c r="M222" s="24" t="str">
        <f t="shared" si="28"/>
        <v/>
      </c>
      <c r="N222" s="25" t="str">
        <f t="shared" si="29"/>
        <v/>
      </c>
      <c r="O222" s="26" t="str">
        <f>RTD("cqg.rtd",,"StudyData","FPVol(FootprintOp ("&amp;$B$3&amp;", 0),"&amp;L222&amp;")", "Bar",, "Close","D","0","all",,,,"T")</f>
        <v/>
      </c>
      <c r="P222" s="27" t="str">
        <f t="shared" si="30"/>
        <v/>
      </c>
      <c r="Q222" s="22" t="str">
        <f t="shared" si="31"/>
        <v/>
      </c>
      <c r="R222" s="22" t="str">
        <f t="shared" si="32"/>
        <v/>
      </c>
    </row>
    <row r="223" spans="12:18" x14ac:dyDescent="0.3">
      <c r="L223" s="23" t="str">
        <f t="shared" si="25"/>
        <v>2685.00</v>
      </c>
      <c r="M223" s="24" t="str">
        <f t="shared" si="28"/>
        <v/>
      </c>
      <c r="N223" s="25" t="str">
        <f t="shared" si="29"/>
        <v/>
      </c>
      <c r="O223" s="26" t="str">
        <f>RTD("cqg.rtd",,"StudyData","FPVol(FootprintOp ("&amp;$B$3&amp;", 0),"&amp;L223&amp;")", "Bar",, "Close","D","0","all",,,,"T")</f>
        <v/>
      </c>
      <c r="P223" s="27" t="str">
        <f t="shared" si="30"/>
        <v/>
      </c>
      <c r="Q223" s="22" t="str">
        <f t="shared" si="31"/>
        <v/>
      </c>
      <c r="R223" s="22" t="str">
        <f t="shared" si="32"/>
        <v/>
      </c>
    </row>
    <row r="224" spans="12:18" x14ac:dyDescent="0.3">
      <c r="L224" s="23" t="str">
        <f t="shared" si="25"/>
        <v>2684.75</v>
      </c>
      <c r="M224" s="24" t="str">
        <f t="shared" si="28"/>
        <v/>
      </c>
      <c r="N224" s="25" t="str">
        <f t="shared" si="29"/>
        <v/>
      </c>
      <c r="O224" s="26" t="str">
        <f>RTD("cqg.rtd",,"StudyData","FPVol(FootprintOp ("&amp;$B$3&amp;", 0),"&amp;L224&amp;")", "Bar",, "Close","D","0","all",,,,"T")</f>
        <v/>
      </c>
      <c r="P224" s="27" t="str">
        <f t="shared" si="30"/>
        <v/>
      </c>
      <c r="Q224" s="22" t="str">
        <f t="shared" si="31"/>
        <v/>
      </c>
      <c r="R224" s="22" t="str">
        <f t="shared" si="32"/>
        <v/>
      </c>
    </row>
    <row r="225" spans="12:18" x14ac:dyDescent="0.3">
      <c r="L225" s="23" t="str">
        <f t="shared" si="25"/>
        <v>2684.50</v>
      </c>
      <c r="M225" s="24" t="str">
        <f t="shared" si="28"/>
        <v/>
      </c>
      <c r="N225" s="25" t="str">
        <f t="shared" si="29"/>
        <v/>
      </c>
      <c r="O225" s="26" t="str">
        <f>RTD("cqg.rtd",,"StudyData","FPVol(FootprintOp ("&amp;$B$3&amp;", 0),"&amp;L225&amp;")", "Bar",, "Close","D","0","all",,,,"T")</f>
        <v/>
      </c>
      <c r="P225" s="27" t="str">
        <f t="shared" si="30"/>
        <v/>
      </c>
      <c r="Q225" s="22" t="str">
        <f t="shared" si="31"/>
        <v/>
      </c>
      <c r="R225" s="22" t="str">
        <f t="shared" si="32"/>
        <v/>
      </c>
    </row>
    <row r="226" spans="12:18" x14ac:dyDescent="0.3">
      <c r="L226" s="23" t="str">
        <f t="shared" si="25"/>
        <v>2684.25</v>
      </c>
      <c r="M226" s="24" t="str">
        <f t="shared" si="28"/>
        <v/>
      </c>
      <c r="N226" s="25" t="str">
        <f t="shared" si="29"/>
        <v/>
      </c>
      <c r="O226" s="26" t="str">
        <f>RTD("cqg.rtd",,"StudyData","FPVol(FootprintOp ("&amp;$B$3&amp;", 0),"&amp;L226&amp;")", "Bar",, "Close","D","0","all",,,,"T")</f>
        <v/>
      </c>
      <c r="P226" s="27" t="str">
        <f t="shared" si="30"/>
        <v/>
      </c>
      <c r="Q226" s="22" t="str">
        <f t="shared" si="31"/>
        <v/>
      </c>
      <c r="R226" s="22" t="str">
        <f t="shared" si="32"/>
        <v/>
      </c>
    </row>
    <row r="227" spans="12:18" x14ac:dyDescent="0.3">
      <c r="L227" s="23" t="str">
        <f t="shared" si="25"/>
        <v>2684.00</v>
      </c>
      <c r="M227" s="24" t="str">
        <f t="shared" si="28"/>
        <v/>
      </c>
      <c r="N227" s="25" t="str">
        <f t="shared" si="29"/>
        <v/>
      </c>
      <c r="O227" s="26" t="str">
        <f>RTD("cqg.rtd",,"StudyData","FPVol(FootprintOp ("&amp;$B$3&amp;", 0),"&amp;L227&amp;")", "Bar",, "Close","D","0","all",,,,"T")</f>
        <v/>
      </c>
      <c r="P227" s="27" t="str">
        <f t="shared" si="30"/>
        <v/>
      </c>
      <c r="Q227" s="22" t="str">
        <f t="shared" si="31"/>
        <v/>
      </c>
      <c r="R227" s="22" t="str">
        <f t="shared" si="32"/>
        <v/>
      </c>
    </row>
    <row r="228" spans="12:18" x14ac:dyDescent="0.3">
      <c r="L228" s="23" t="str">
        <f t="shared" si="25"/>
        <v>2683.75</v>
      </c>
      <c r="M228" s="24" t="str">
        <f t="shared" si="28"/>
        <v/>
      </c>
      <c r="N228" s="25" t="str">
        <f t="shared" si="29"/>
        <v/>
      </c>
      <c r="O228" s="26" t="str">
        <f>RTD("cqg.rtd",,"StudyData","FPVol(FootprintOp ("&amp;$B$3&amp;", 0),"&amp;L228&amp;")", "Bar",, "Close","D","0","all",,,,"T")</f>
        <v/>
      </c>
      <c r="P228" s="27" t="str">
        <f t="shared" si="30"/>
        <v/>
      </c>
      <c r="Q228" s="22" t="str">
        <f t="shared" si="31"/>
        <v/>
      </c>
      <c r="R228" s="22" t="str">
        <f t="shared" si="32"/>
        <v/>
      </c>
    </row>
    <row r="229" spans="12:18" x14ac:dyDescent="0.3">
      <c r="L229" s="23" t="str">
        <f t="shared" si="25"/>
        <v>2683.50</v>
      </c>
      <c r="M229" s="24" t="str">
        <f t="shared" si="28"/>
        <v/>
      </c>
      <c r="N229" s="25" t="str">
        <f t="shared" si="29"/>
        <v/>
      </c>
      <c r="O229" s="26" t="str">
        <f>RTD("cqg.rtd",,"StudyData","FPVol(FootprintOp ("&amp;$B$3&amp;", 0),"&amp;L229&amp;")", "Bar",, "Close","D","0","all",,,,"T")</f>
        <v/>
      </c>
      <c r="P229" s="27" t="str">
        <f t="shared" si="30"/>
        <v/>
      </c>
      <c r="Q229" s="22" t="str">
        <f t="shared" si="31"/>
        <v/>
      </c>
      <c r="R229" s="22" t="str">
        <f t="shared" si="32"/>
        <v/>
      </c>
    </row>
    <row r="230" spans="12:18" x14ac:dyDescent="0.3">
      <c r="L230" s="23" t="str">
        <f t="shared" si="25"/>
        <v>2683.25</v>
      </c>
      <c r="M230" s="24" t="str">
        <f t="shared" si="28"/>
        <v/>
      </c>
      <c r="N230" s="25" t="str">
        <f t="shared" si="29"/>
        <v/>
      </c>
      <c r="O230" s="26" t="str">
        <f>RTD("cqg.rtd",,"StudyData","FPVol(FootprintOp ("&amp;$B$3&amp;", 0),"&amp;L230&amp;")", "Bar",, "Close","D","0","all",,,,"T")</f>
        <v/>
      </c>
      <c r="P230" s="27" t="str">
        <f t="shared" si="30"/>
        <v/>
      </c>
      <c r="Q230" s="22" t="str">
        <f t="shared" si="31"/>
        <v/>
      </c>
      <c r="R230" s="22" t="str">
        <f t="shared" si="32"/>
        <v/>
      </c>
    </row>
    <row r="231" spans="12:18" x14ac:dyDescent="0.3">
      <c r="L231" s="23" t="str">
        <f t="shared" si="25"/>
        <v>2683.00</v>
      </c>
      <c r="M231" s="24" t="str">
        <f t="shared" si="28"/>
        <v/>
      </c>
      <c r="N231" s="25" t="str">
        <f t="shared" si="29"/>
        <v/>
      </c>
      <c r="O231" s="26" t="str">
        <f>RTD("cqg.rtd",,"StudyData","FPVol(FootprintOp ("&amp;$B$3&amp;", 0),"&amp;L231&amp;")", "Bar",, "Close","D","0","all",,,,"T")</f>
        <v/>
      </c>
      <c r="P231" s="27" t="str">
        <f t="shared" si="30"/>
        <v/>
      </c>
      <c r="Q231" s="22" t="str">
        <f t="shared" si="31"/>
        <v/>
      </c>
      <c r="R231" s="22" t="str">
        <f t="shared" si="32"/>
        <v/>
      </c>
    </row>
    <row r="232" spans="12:18" x14ac:dyDescent="0.3">
      <c r="L232" s="23" t="str">
        <f t="shared" si="25"/>
        <v>2682.75</v>
      </c>
      <c r="M232" s="24" t="str">
        <f t="shared" si="28"/>
        <v/>
      </c>
      <c r="N232" s="25" t="str">
        <f t="shared" si="29"/>
        <v/>
      </c>
      <c r="O232" s="26" t="str">
        <f>RTD("cqg.rtd",,"StudyData","FPVol(FootprintOp ("&amp;$B$3&amp;", 0),"&amp;L232&amp;")", "Bar",, "Close","D","0","all",,,,"T")</f>
        <v/>
      </c>
      <c r="P232" s="27" t="str">
        <f t="shared" si="30"/>
        <v/>
      </c>
      <c r="Q232" s="22" t="str">
        <f t="shared" si="31"/>
        <v/>
      </c>
      <c r="R232" s="22" t="str">
        <f t="shared" si="32"/>
        <v/>
      </c>
    </row>
    <row r="233" spans="12:18" x14ac:dyDescent="0.3">
      <c r="L233" s="23" t="str">
        <f t="shared" si="25"/>
        <v>2682.50</v>
      </c>
      <c r="M233" s="24" t="str">
        <f t="shared" si="28"/>
        <v/>
      </c>
      <c r="N233" s="25" t="str">
        <f t="shared" si="29"/>
        <v/>
      </c>
      <c r="O233" s="26" t="str">
        <f>RTD("cqg.rtd",,"StudyData","FPVol(FootprintOp ("&amp;$B$3&amp;", 0),"&amp;L233&amp;")", "Bar",, "Close","D","0","all",,,,"T")</f>
        <v/>
      </c>
      <c r="P233" s="27" t="str">
        <f t="shared" si="30"/>
        <v/>
      </c>
      <c r="Q233" s="22" t="str">
        <f t="shared" si="31"/>
        <v/>
      </c>
      <c r="R233" s="22" t="str">
        <f t="shared" si="32"/>
        <v/>
      </c>
    </row>
    <row r="234" spans="12:18" x14ac:dyDescent="0.3">
      <c r="L234" s="23" t="str">
        <f t="shared" si="25"/>
        <v>2682.25</v>
      </c>
      <c r="M234" s="24" t="str">
        <f t="shared" si="28"/>
        <v/>
      </c>
      <c r="N234" s="25" t="str">
        <f t="shared" si="29"/>
        <v/>
      </c>
      <c r="O234" s="26" t="str">
        <f>RTD("cqg.rtd",,"StudyData","FPVol(FootprintOp ("&amp;$B$3&amp;", 0),"&amp;L234&amp;")", "Bar",, "Close","D","0","all",,,,"T")</f>
        <v/>
      </c>
      <c r="P234" s="27" t="str">
        <f t="shared" si="30"/>
        <v/>
      </c>
      <c r="Q234" s="22" t="str">
        <f t="shared" si="31"/>
        <v/>
      </c>
      <c r="R234" s="22" t="str">
        <f t="shared" si="32"/>
        <v/>
      </c>
    </row>
    <row r="235" spans="12:18" x14ac:dyDescent="0.3">
      <c r="L235" s="23" t="str">
        <f t="shared" si="25"/>
        <v>2682.00</v>
      </c>
      <c r="M235" s="24" t="str">
        <f t="shared" si="28"/>
        <v/>
      </c>
      <c r="N235" s="25" t="str">
        <f t="shared" si="29"/>
        <v/>
      </c>
      <c r="O235" s="26" t="str">
        <f>RTD("cqg.rtd",,"StudyData","FPVol(FootprintOp ("&amp;$B$3&amp;", 0),"&amp;L235&amp;")", "Bar",, "Close","D","0","all",,,,"T")</f>
        <v/>
      </c>
      <c r="P235" s="27" t="str">
        <f t="shared" si="30"/>
        <v/>
      </c>
      <c r="Q235" s="22" t="str">
        <f t="shared" si="31"/>
        <v/>
      </c>
      <c r="R235" s="22" t="str">
        <f t="shared" si="32"/>
        <v/>
      </c>
    </row>
    <row r="236" spans="12:18" x14ac:dyDescent="0.3">
      <c r="L236" s="23" t="str">
        <f t="shared" si="25"/>
        <v>2681.75</v>
      </c>
      <c r="M236" s="24" t="str">
        <f t="shared" si="28"/>
        <v/>
      </c>
      <c r="N236" s="25" t="str">
        <f t="shared" si="29"/>
        <v/>
      </c>
      <c r="O236" s="26" t="str">
        <f>RTD("cqg.rtd",,"StudyData","FPVol(FootprintOp ("&amp;$B$3&amp;", 0),"&amp;L236&amp;")", "Bar",, "Close","D","0","all",,,,"T")</f>
        <v/>
      </c>
      <c r="P236" s="27" t="str">
        <f t="shared" si="30"/>
        <v/>
      </c>
      <c r="Q236" s="22" t="str">
        <f t="shared" si="31"/>
        <v/>
      </c>
      <c r="R236" s="22" t="str">
        <f t="shared" si="32"/>
        <v/>
      </c>
    </row>
    <row r="237" spans="12:18" x14ac:dyDescent="0.3">
      <c r="L237" s="23" t="str">
        <f t="shared" si="25"/>
        <v>2681.50</v>
      </c>
      <c r="M237" s="24" t="str">
        <f t="shared" si="28"/>
        <v/>
      </c>
      <c r="N237" s="25" t="str">
        <f t="shared" si="29"/>
        <v/>
      </c>
      <c r="O237" s="26" t="str">
        <f>RTD("cqg.rtd",,"StudyData","FPVol(FootprintOp ("&amp;$B$3&amp;", 0),"&amp;L237&amp;")", "Bar",, "Close","D","0","all",,,,"T")</f>
        <v/>
      </c>
      <c r="P237" s="27" t="str">
        <f t="shared" si="30"/>
        <v/>
      </c>
      <c r="Q237" s="22" t="str">
        <f t="shared" si="31"/>
        <v/>
      </c>
      <c r="R237" s="22" t="str">
        <f t="shared" si="32"/>
        <v/>
      </c>
    </row>
    <row r="238" spans="12:18" x14ac:dyDescent="0.3">
      <c r="L238" s="23" t="str">
        <f t="shared" si="25"/>
        <v>2681.25</v>
      </c>
      <c r="M238" s="24" t="str">
        <f t="shared" si="28"/>
        <v/>
      </c>
      <c r="N238" s="25" t="str">
        <f t="shared" si="29"/>
        <v/>
      </c>
      <c r="O238" s="26" t="str">
        <f>RTD("cqg.rtd",,"StudyData","FPVol(FootprintOp ("&amp;$B$3&amp;", 0),"&amp;L238&amp;")", "Bar",, "Close","D","0","all",,,,"T")</f>
        <v/>
      </c>
      <c r="P238" s="27" t="str">
        <f t="shared" si="30"/>
        <v/>
      </c>
      <c r="Q238" s="22" t="str">
        <f t="shared" si="31"/>
        <v/>
      </c>
      <c r="R238" s="22" t="str">
        <f t="shared" si="32"/>
        <v/>
      </c>
    </row>
    <row r="239" spans="12:18" x14ac:dyDescent="0.3">
      <c r="L239" s="23" t="str">
        <f t="shared" si="25"/>
        <v>2681.00</v>
      </c>
      <c r="M239" s="24" t="str">
        <f t="shared" si="28"/>
        <v/>
      </c>
      <c r="N239" s="25" t="str">
        <f t="shared" si="29"/>
        <v/>
      </c>
      <c r="O239" s="26" t="str">
        <f>RTD("cqg.rtd",,"StudyData","FPVol(FootprintOp ("&amp;$B$3&amp;", 0),"&amp;L239&amp;")", "Bar",, "Close","D","0","all",,,,"T")</f>
        <v/>
      </c>
      <c r="P239" s="27" t="str">
        <f t="shared" si="30"/>
        <v/>
      </c>
      <c r="Q239" s="22" t="str">
        <f t="shared" si="31"/>
        <v/>
      </c>
      <c r="R239" s="22" t="str">
        <f t="shared" si="32"/>
        <v/>
      </c>
    </row>
    <row r="240" spans="12:18" x14ac:dyDescent="0.3">
      <c r="L240" s="23" t="str">
        <f t="shared" si="25"/>
        <v>2680.75</v>
      </c>
      <c r="M240" s="24" t="str">
        <f t="shared" si="28"/>
        <v/>
      </c>
      <c r="N240" s="25" t="str">
        <f t="shared" si="29"/>
        <v/>
      </c>
      <c r="O240" s="26" t="str">
        <f>RTD("cqg.rtd",,"StudyData","FPVol(FootprintOp ("&amp;$B$3&amp;", 0),"&amp;L240&amp;")", "Bar",, "Close","D","0","all",,,,"T")</f>
        <v/>
      </c>
      <c r="P240" s="27" t="str">
        <f t="shared" si="30"/>
        <v/>
      </c>
      <c r="Q240" s="22" t="str">
        <f t="shared" si="31"/>
        <v/>
      </c>
      <c r="R240" s="22" t="str">
        <f t="shared" si="32"/>
        <v/>
      </c>
    </row>
    <row r="241" spans="12:18" x14ac:dyDescent="0.3">
      <c r="L241" s="23" t="str">
        <f t="shared" si="25"/>
        <v>2680.50</v>
      </c>
      <c r="M241" s="24" t="str">
        <f t="shared" si="28"/>
        <v/>
      </c>
      <c r="N241" s="25" t="str">
        <f t="shared" si="29"/>
        <v/>
      </c>
      <c r="O241" s="26" t="str">
        <f>RTD("cqg.rtd",,"StudyData","FPVol(FootprintOp ("&amp;$B$3&amp;", 0),"&amp;L241&amp;")", "Bar",, "Close","D","0","all",,,,"T")</f>
        <v/>
      </c>
      <c r="P241" s="27" t="str">
        <f t="shared" si="30"/>
        <v/>
      </c>
      <c r="Q241" s="22" t="str">
        <f t="shared" si="31"/>
        <v/>
      </c>
      <c r="R241" s="22" t="str">
        <f t="shared" si="32"/>
        <v/>
      </c>
    </row>
    <row r="242" spans="12:18" x14ac:dyDescent="0.3">
      <c r="L242" s="23" t="str">
        <f t="shared" si="25"/>
        <v>2680.25</v>
      </c>
      <c r="M242" s="24" t="str">
        <f t="shared" si="28"/>
        <v/>
      </c>
      <c r="N242" s="25" t="str">
        <f t="shared" si="29"/>
        <v/>
      </c>
      <c r="O242" s="26" t="str">
        <f>RTD("cqg.rtd",,"StudyData","FPVol(FootprintOp ("&amp;$B$3&amp;", 0),"&amp;L242&amp;")", "Bar",, "Close","D","0","all",,,,"T")</f>
        <v/>
      </c>
      <c r="P242" s="27" t="str">
        <f t="shared" si="30"/>
        <v/>
      </c>
      <c r="Q242" s="22" t="str">
        <f t="shared" si="31"/>
        <v/>
      </c>
      <c r="R242" s="22" t="str">
        <f t="shared" si="32"/>
        <v/>
      </c>
    </row>
    <row r="243" spans="12:18" x14ac:dyDescent="0.3">
      <c r="L243" s="23" t="str">
        <f t="shared" si="25"/>
        <v>2680.00</v>
      </c>
      <c r="M243" s="24" t="str">
        <f t="shared" si="28"/>
        <v/>
      </c>
      <c r="N243" s="25" t="str">
        <f t="shared" si="29"/>
        <v/>
      </c>
      <c r="O243" s="26" t="str">
        <f>RTD("cqg.rtd",,"StudyData","FPVol(FootprintOp ("&amp;$B$3&amp;", 0),"&amp;L243&amp;")", "Bar",, "Close","D","0","all",,,,"T")</f>
        <v/>
      </c>
      <c r="P243" s="27" t="str">
        <f t="shared" si="30"/>
        <v/>
      </c>
      <c r="Q243" s="22" t="str">
        <f t="shared" si="31"/>
        <v/>
      </c>
      <c r="R243" s="22" t="str">
        <f t="shared" si="32"/>
        <v/>
      </c>
    </row>
    <row r="244" spans="12:18" x14ac:dyDescent="0.3">
      <c r="L244" s="23" t="str">
        <f t="shared" si="25"/>
        <v>2679.75</v>
      </c>
      <c r="M244" s="24" t="str">
        <f t="shared" si="28"/>
        <v/>
      </c>
      <c r="N244" s="25" t="str">
        <f t="shared" si="29"/>
        <v/>
      </c>
      <c r="O244" s="26" t="str">
        <f>RTD("cqg.rtd",,"StudyData","FPVol(FootprintOp ("&amp;$B$3&amp;", 0),"&amp;L244&amp;")", "Bar",, "Close","D","0","all",,,,"T")</f>
        <v/>
      </c>
      <c r="P244" s="27" t="str">
        <f t="shared" si="30"/>
        <v/>
      </c>
      <c r="Q244" s="22" t="str">
        <f t="shared" si="31"/>
        <v/>
      </c>
      <c r="R244" s="22" t="str">
        <f t="shared" si="32"/>
        <v/>
      </c>
    </row>
    <row r="245" spans="12:18" x14ac:dyDescent="0.3">
      <c r="L245" s="23" t="str">
        <f t="shared" si="25"/>
        <v>2679.50</v>
      </c>
      <c r="M245" s="24" t="str">
        <f t="shared" si="28"/>
        <v/>
      </c>
      <c r="N245" s="25" t="str">
        <f t="shared" si="29"/>
        <v/>
      </c>
      <c r="O245" s="26" t="str">
        <f>RTD("cqg.rtd",,"StudyData","FPVol(FootprintOp ("&amp;$B$3&amp;", 0),"&amp;L245&amp;")", "Bar",, "Close","D","0","all",,,,"T")</f>
        <v/>
      </c>
      <c r="P245" s="27" t="str">
        <f t="shared" si="30"/>
        <v/>
      </c>
      <c r="Q245" s="22" t="str">
        <f t="shared" si="31"/>
        <v/>
      </c>
      <c r="R245" s="22" t="str">
        <f t="shared" si="32"/>
        <v/>
      </c>
    </row>
    <row r="246" spans="12:18" x14ac:dyDescent="0.3">
      <c r="L246" s="23" t="str">
        <f t="shared" si="25"/>
        <v>2679.25</v>
      </c>
      <c r="M246" s="24" t="str">
        <f t="shared" si="28"/>
        <v/>
      </c>
      <c r="N246" s="25" t="str">
        <f t="shared" si="29"/>
        <v/>
      </c>
      <c r="O246" s="26" t="str">
        <f>RTD("cqg.rtd",,"StudyData","FPVol(FootprintOp ("&amp;$B$3&amp;", 0),"&amp;L246&amp;")", "Bar",, "Close","D","0","all",,,,"T")</f>
        <v/>
      </c>
      <c r="P246" s="27" t="str">
        <f t="shared" si="30"/>
        <v/>
      </c>
      <c r="Q246" s="22" t="str">
        <f t="shared" si="31"/>
        <v/>
      </c>
      <c r="R246" s="22" t="str">
        <f t="shared" si="32"/>
        <v/>
      </c>
    </row>
    <row r="247" spans="12:18" x14ac:dyDescent="0.3">
      <c r="L247" s="23" t="str">
        <f t="shared" si="25"/>
        <v>2679.00</v>
      </c>
      <c r="M247" s="24" t="str">
        <f t="shared" si="28"/>
        <v/>
      </c>
      <c r="N247" s="25" t="str">
        <f t="shared" si="29"/>
        <v/>
      </c>
      <c r="O247" s="26" t="str">
        <f>RTD("cqg.rtd",,"StudyData","FPVol(FootprintOp ("&amp;$B$3&amp;", 0),"&amp;L247&amp;")", "Bar",, "Close","D","0","all",,,,"T")</f>
        <v/>
      </c>
      <c r="P247" s="27" t="str">
        <f t="shared" si="30"/>
        <v/>
      </c>
      <c r="Q247" s="22" t="str">
        <f t="shared" si="31"/>
        <v/>
      </c>
      <c r="R247" s="22" t="str">
        <f t="shared" si="32"/>
        <v/>
      </c>
    </row>
    <row r="248" spans="12:18" x14ac:dyDescent="0.3">
      <c r="L248" s="23" t="str">
        <f t="shared" si="25"/>
        <v>2678.75</v>
      </c>
      <c r="M248" s="24" t="str">
        <f t="shared" si="28"/>
        <v/>
      </c>
      <c r="N248" s="25" t="str">
        <f t="shared" si="29"/>
        <v/>
      </c>
      <c r="O248" s="26" t="str">
        <f>RTD("cqg.rtd",,"StudyData","FPVol(FootprintOp ("&amp;$B$3&amp;", 0),"&amp;L248&amp;")", "Bar",, "Close","D","0","all",,,,"T")</f>
        <v/>
      </c>
      <c r="P248" s="27" t="str">
        <f t="shared" si="30"/>
        <v/>
      </c>
      <c r="Q248" s="22" t="str">
        <f t="shared" si="31"/>
        <v/>
      </c>
      <c r="R248" s="22" t="str">
        <f t="shared" si="32"/>
        <v/>
      </c>
    </row>
    <row r="249" spans="12:18" x14ac:dyDescent="0.3">
      <c r="L249" s="23" t="str">
        <f t="shared" si="25"/>
        <v>2678.50</v>
      </c>
      <c r="M249" s="24" t="str">
        <f t="shared" si="28"/>
        <v/>
      </c>
      <c r="N249" s="25" t="str">
        <f t="shared" si="29"/>
        <v/>
      </c>
      <c r="O249" s="26" t="str">
        <f>RTD("cqg.rtd",,"StudyData","FPVol(FootprintOp ("&amp;$B$3&amp;", 0),"&amp;L249&amp;")", "Bar",, "Close","D","0","all",,,,"T")</f>
        <v/>
      </c>
      <c r="P249" s="27" t="str">
        <f t="shared" si="30"/>
        <v/>
      </c>
      <c r="Q249" s="22" t="str">
        <f t="shared" si="31"/>
        <v/>
      </c>
      <c r="R249" s="22" t="str">
        <f t="shared" si="32"/>
        <v/>
      </c>
    </row>
    <row r="250" spans="12:18" x14ac:dyDescent="0.3">
      <c r="L250" s="23" t="str">
        <f t="shared" si="25"/>
        <v>2678.25</v>
      </c>
      <c r="M250" s="24" t="str">
        <f t="shared" si="28"/>
        <v/>
      </c>
      <c r="N250" s="25" t="str">
        <f t="shared" si="29"/>
        <v/>
      </c>
      <c r="O250" s="26" t="str">
        <f>RTD("cqg.rtd",,"StudyData","FPVol(FootprintOp ("&amp;$B$3&amp;", 0),"&amp;L250&amp;")", "Bar",, "Close","D","0","all",,,,"T")</f>
        <v/>
      </c>
      <c r="P250" s="27" t="str">
        <f t="shared" si="30"/>
        <v/>
      </c>
      <c r="Q250" s="22" t="str">
        <f t="shared" si="31"/>
        <v/>
      </c>
      <c r="R250" s="22" t="str">
        <f t="shared" si="32"/>
        <v/>
      </c>
    </row>
    <row r="251" spans="12:18" x14ac:dyDescent="0.3">
      <c r="L251" s="23" t="str">
        <f t="shared" si="25"/>
        <v>2678.00</v>
      </c>
      <c r="M251" s="24" t="str">
        <f t="shared" si="28"/>
        <v/>
      </c>
      <c r="N251" s="25" t="str">
        <f t="shared" si="29"/>
        <v/>
      </c>
      <c r="O251" s="26" t="str">
        <f>RTD("cqg.rtd",,"StudyData","FPVol(FootprintOp ("&amp;$B$3&amp;", 0),"&amp;L251&amp;")", "Bar",, "Close","D","0","all",,,,"T")</f>
        <v/>
      </c>
      <c r="P251" s="27" t="str">
        <f t="shared" si="30"/>
        <v/>
      </c>
      <c r="Q251" s="22" t="str">
        <f t="shared" si="31"/>
        <v/>
      </c>
      <c r="R251" s="22" t="str">
        <f t="shared" si="32"/>
        <v/>
      </c>
    </row>
    <row r="252" spans="12:18" x14ac:dyDescent="0.3">
      <c r="L252" s="23" t="str">
        <f t="shared" si="25"/>
        <v>2677.75</v>
      </c>
      <c r="M252" s="24" t="str">
        <f t="shared" si="28"/>
        <v/>
      </c>
      <c r="N252" s="25" t="str">
        <f t="shared" si="29"/>
        <v/>
      </c>
      <c r="O252" s="26" t="str">
        <f>RTD("cqg.rtd",,"StudyData","FPVol(FootprintOp ("&amp;$B$3&amp;", 0),"&amp;L252&amp;")", "Bar",, "Close","D","0","all",,,,"T")</f>
        <v/>
      </c>
      <c r="P252" s="27" t="str">
        <f t="shared" si="30"/>
        <v/>
      </c>
      <c r="Q252" s="22" t="str">
        <f t="shared" si="31"/>
        <v/>
      </c>
      <c r="R252" s="22" t="str">
        <f t="shared" si="32"/>
        <v/>
      </c>
    </row>
    <row r="253" spans="12:18" x14ac:dyDescent="0.3">
      <c r="L253" s="23" t="str">
        <f t="shared" si="25"/>
        <v>2677.50</v>
      </c>
      <c r="M253" s="24" t="str">
        <f t="shared" si="28"/>
        <v/>
      </c>
      <c r="N253" s="25" t="str">
        <f t="shared" si="29"/>
        <v/>
      </c>
      <c r="O253" s="26" t="str">
        <f>RTD("cqg.rtd",,"StudyData","FPVol(FootprintOp ("&amp;$B$3&amp;", 0),"&amp;L253&amp;")", "Bar",, "Close","D","0","all",,,,"T")</f>
        <v/>
      </c>
      <c r="P253" s="27" t="str">
        <f t="shared" si="30"/>
        <v/>
      </c>
      <c r="Q253" s="22" t="str">
        <f t="shared" si="31"/>
        <v/>
      </c>
      <c r="R253" s="22" t="str">
        <f t="shared" si="32"/>
        <v/>
      </c>
    </row>
    <row r="254" spans="12:18" x14ac:dyDescent="0.3">
      <c r="L254" s="23" t="str">
        <f t="shared" si="25"/>
        <v>2677.25</v>
      </c>
      <c r="M254" s="24" t="str">
        <f t="shared" ref="M254:M292" si="33">P254</f>
        <v/>
      </c>
      <c r="N254" s="25" t="str">
        <f t="shared" ref="N254:N292" si="34">Q254</f>
        <v/>
      </c>
      <c r="O254" s="26" t="str">
        <f>RTD("cqg.rtd",,"StudyData","FPVol(FootprintOp ("&amp;$B$3&amp;", 0),"&amp;L254&amp;")", "Bar",, "Close","D","0","all",,,,"T")</f>
        <v/>
      </c>
      <c r="P254" s="27" t="str">
        <f t="shared" ref="P254:P292" si="35">IF(L254=$B$4,$B$5,"")</f>
        <v/>
      </c>
      <c r="Q254" s="22" t="str">
        <f t="shared" ref="Q254:Q292" si="36">IF(L254=$C$4,$C$5,"")</f>
        <v/>
      </c>
      <c r="R254" s="22" t="str">
        <f t="shared" ref="R254:R292" si="37">O254</f>
        <v/>
      </c>
    </row>
    <row r="255" spans="12:18" x14ac:dyDescent="0.3">
      <c r="L255" s="23" t="str">
        <f t="shared" si="25"/>
        <v>2677.00</v>
      </c>
      <c r="M255" s="24" t="str">
        <f t="shared" si="33"/>
        <v/>
      </c>
      <c r="N255" s="25" t="str">
        <f t="shared" si="34"/>
        <v/>
      </c>
      <c r="O255" s="26" t="str">
        <f>RTD("cqg.rtd",,"StudyData","FPVol(FootprintOp ("&amp;$B$3&amp;", 0),"&amp;L255&amp;")", "Bar",, "Close","D","0","all",,,,"T")</f>
        <v/>
      </c>
      <c r="P255" s="27" t="str">
        <f t="shared" si="35"/>
        <v/>
      </c>
      <c r="Q255" s="22" t="str">
        <f t="shared" si="36"/>
        <v/>
      </c>
      <c r="R255" s="22" t="str">
        <f t="shared" si="37"/>
        <v/>
      </c>
    </row>
    <row r="256" spans="12:18" x14ac:dyDescent="0.3">
      <c r="L256" s="23" t="str">
        <f t="shared" si="25"/>
        <v>2676.75</v>
      </c>
      <c r="M256" s="24" t="str">
        <f t="shared" si="33"/>
        <v/>
      </c>
      <c r="N256" s="25" t="str">
        <f t="shared" si="34"/>
        <v/>
      </c>
      <c r="O256" s="26" t="str">
        <f>RTD("cqg.rtd",,"StudyData","FPVol(FootprintOp ("&amp;$B$3&amp;", 0),"&amp;L256&amp;")", "Bar",, "Close","D","0","all",,,,"T")</f>
        <v/>
      </c>
      <c r="P256" s="27" t="str">
        <f t="shared" si="35"/>
        <v/>
      </c>
      <c r="Q256" s="22" t="str">
        <f t="shared" si="36"/>
        <v/>
      </c>
      <c r="R256" s="22" t="str">
        <f t="shared" si="37"/>
        <v/>
      </c>
    </row>
    <row r="257" spans="12:18" x14ac:dyDescent="0.3">
      <c r="L257" s="23" t="str">
        <f t="shared" si="25"/>
        <v>2676.50</v>
      </c>
      <c r="M257" s="24" t="str">
        <f t="shared" si="33"/>
        <v/>
      </c>
      <c r="N257" s="25" t="str">
        <f t="shared" si="34"/>
        <v/>
      </c>
      <c r="O257" s="26" t="str">
        <f>RTD("cqg.rtd",,"StudyData","FPVol(FootprintOp ("&amp;$B$3&amp;", 0),"&amp;L257&amp;")", "Bar",, "Close","D","0","all",,,,"T")</f>
        <v/>
      </c>
      <c r="P257" s="27" t="str">
        <f t="shared" si="35"/>
        <v/>
      </c>
      <c r="Q257" s="22" t="str">
        <f t="shared" si="36"/>
        <v/>
      </c>
      <c r="R257" s="22" t="str">
        <f t="shared" si="37"/>
        <v/>
      </c>
    </row>
    <row r="258" spans="12:18" x14ac:dyDescent="0.3">
      <c r="L258" s="23" t="str">
        <f t="shared" si="25"/>
        <v>2676.25</v>
      </c>
      <c r="M258" s="24" t="str">
        <f t="shared" si="33"/>
        <v/>
      </c>
      <c r="N258" s="25" t="str">
        <f t="shared" si="34"/>
        <v/>
      </c>
      <c r="O258" s="26" t="str">
        <f>RTD("cqg.rtd",,"StudyData","FPVol(FootprintOp ("&amp;$B$3&amp;", 0),"&amp;L258&amp;")", "Bar",, "Close","D","0","all",,,,"T")</f>
        <v/>
      </c>
      <c r="P258" s="27" t="str">
        <f t="shared" si="35"/>
        <v/>
      </c>
      <c r="Q258" s="22" t="str">
        <f t="shared" si="36"/>
        <v/>
      </c>
      <c r="R258" s="22" t="str">
        <f t="shared" si="37"/>
        <v/>
      </c>
    </row>
    <row r="259" spans="12:18" x14ac:dyDescent="0.3">
      <c r="L259" s="23" t="str">
        <f t="shared" ref="L259:L322" si="38">TEXT(ROUND(L258,$C$8)-$C$3,$D$8)</f>
        <v>2676.00</v>
      </c>
      <c r="M259" s="24" t="str">
        <f t="shared" si="33"/>
        <v/>
      </c>
      <c r="N259" s="25" t="str">
        <f t="shared" si="34"/>
        <v/>
      </c>
      <c r="O259" s="26" t="str">
        <f>RTD("cqg.rtd",,"StudyData","FPVol(FootprintOp ("&amp;$B$3&amp;", 0),"&amp;L259&amp;")", "Bar",, "Close","D","0","all",,,,"T")</f>
        <v/>
      </c>
      <c r="P259" s="27" t="str">
        <f t="shared" si="35"/>
        <v/>
      </c>
      <c r="Q259" s="22" t="str">
        <f t="shared" si="36"/>
        <v/>
      </c>
      <c r="R259" s="22" t="str">
        <f t="shared" si="37"/>
        <v/>
      </c>
    </row>
    <row r="260" spans="12:18" x14ac:dyDescent="0.3">
      <c r="L260" s="23" t="str">
        <f t="shared" si="38"/>
        <v>2675.75</v>
      </c>
      <c r="M260" s="24" t="str">
        <f t="shared" si="33"/>
        <v/>
      </c>
      <c r="N260" s="25" t="str">
        <f t="shared" si="34"/>
        <v/>
      </c>
      <c r="O260" s="26" t="str">
        <f>RTD("cqg.rtd",,"StudyData","FPVol(FootprintOp ("&amp;$B$3&amp;", 0),"&amp;L260&amp;")", "Bar",, "Close","D","0","all",,,,"T")</f>
        <v/>
      </c>
      <c r="P260" s="27" t="str">
        <f t="shared" si="35"/>
        <v/>
      </c>
      <c r="Q260" s="22" t="str">
        <f t="shared" si="36"/>
        <v/>
      </c>
      <c r="R260" s="22" t="str">
        <f t="shared" si="37"/>
        <v/>
      </c>
    </row>
    <row r="261" spans="12:18" x14ac:dyDescent="0.3">
      <c r="L261" s="23" t="str">
        <f t="shared" si="38"/>
        <v>2675.50</v>
      </c>
      <c r="M261" s="24" t="str">
        <f t="shared" si="33"/>
        <v/>
      </c>
      <c r="N261" s="25" t="str">
        <f t="shared" si="34"/>
        <v/>
      </c>
      <c r="O261" s="26" t="str">
        <f>RTD("cqg.rtd",,"StudyData","FPVol(FootprintOp ("&amp;$B$3&amp;", 0),"&amp;L261&amp;")", "Bar",, "Close","D","0","all",,,,"T")</f>
        <v/>
      </c>
      <c r="P261" s="27" t="str">
        <f t="shared" si="35"/>
        <v/>
      </c>
      <c r="Q261" s="22" t="str">
        <f t="shared" si="36"/>
        <v/>
      </c>
      <c r="R261" s="22" t="str">
        <f t="shared" si="37"/>
        <v/>
      </c>
    </row>
    <row r="262" spans="12:18" x14ac:dyDescent="0.3">
      <c r="L262" s="23" t="str">
        <f t="shared" si="38"/>
        <v>2675.25</v>
      </c>
      <c r="M262" s="24" t="str">
        <f t="shared" si="33"/>
        <v/>
      </c>
      <c r="N262" s="25" t="str">
        <f t="shared" si="34"/>
        <v/>
      </c>
      <c r="O262" s="26" t="str">
        <f>RTD("cqg.rtd",,"StudyData","FPVol(FootprintOp ("&amp;$B$3&amp;", 0),"&amp;L262&amp;")", "Bar",, "Close","D","0","all",,,,"T")</f>
        <v/>
      </c>
      <c r="P262" s="27" t="str">
        <f t="shared" si="35"/>
        <v/>
      </c>
      <c r="Q262" s="22" t="str">
        <f t="shared" si="36"/>
        <v/>
      </c>
      <c r="R262" s="22" t="str">
        <f t="shared" si="37"/>
        <v/>
      </c>
    </row>
    <row r="263" spans="12:18" x14ac:dyDescent="0.3">
      <c r="L263" s="23" t="str">
        <f t="shared" si="38"/>
        <v>2675.00</v>
      </c>
      <c r="M263" s="24" t="str">
        <f t="shared" si="33"/>
        <v/>
      </c>
      <c r="N263" s="25" t="str">
        <f t="shared" si="34"/>
        <v/>
      </c>
      <c r="O263" s="26" t="str">
        <f>RTD("cqg.rtd",,"StudyData","FPVol(FootprintOp ("&amp;$B$3&amp;", 0),"&amp;L263&amp;")", "Bar",, "Close","D","0","all",,,,"T")</f>
        <v/>
      </c>
      <c r="P263" s="27" t="str">
        <f t="shared" si="35"/>
        <v/>
      </c>
      <c r="Q263" s="22" t="str">
        <f t="shared" si="36"/>
        <v/>
      </c>
      <c r="R263" s="22" t="str">
        <f t="shared" si="37"/>
        <v/>
      </c>
    </row>
    <row r="264" spans="12:18" x14ac:dyDescent="0.3">
      <c r="L264" s="23" t="str">
        <f t="shared" si="38"/>
        <v>2674.75</v>
      </c>
      <c r="M264" s="24" t="str">
        <f t="shared" si="33"/>
        <v/>
      </c>
      <c r="N264" s="25" t="str">
        <f t="shared" si="34"/>
        <v/>
      </c>
      <c r="O264" s="26" t="str">
        <f>RTD("cqg.rtd",,"StudyData","FPVol(FootprintOp ("&amp;$B$3&amp;", 0),"&amp;L264&amp;")", "Bar",, "Close","D","0","all",,,,"T")</f>
        <v/>
      </c>
      <c r="P264" s="27" t="str">
        <f t="shared" si="35"/>
        <v/>
      </c>
      <c r="Q264" s="22" t="str">
        <f t="shared" si="36"/>
        <v/>
      </c>
      <c r="R264" s="22" t="str">
        <f t="shared" si="37"/>
        <v/>
      </c>
    </row>
    <row r="265" spans="12:18" x14ac:dyDescent="0.3">
      <c r="L265" s="23" t="str">
        <f t="shared" si="38"/>
        <v>2674.50</v>
      </c>
      <c r="M265" s="24" t="str">
        <f t="shared" si="33"/>
        <v/>
      </c>
      <c r="N265" s="25" t="str">
        <f t="shared" si="34"/>
        <v/>
      </c>
      <c r="O265" s="26" t="str">
        <f>RTD("cqg.rtd",,"StudyData","FPVol(FootprintOp ("&amp;$B$3&amp;", 0),"&amp;L265&amp;")", "Bar",, "Close","D","0","all",,,,"T")</f>
        <v/>
      </c>
      <c r="P265" s="27" t="str">
        <f t="shared" si="35"/>
        <v/>
      </c>
      <c r="Q265" s="22" t="str">
        <f t="shared" si="36"/>
        <v/>
      </c>
      <c r="R265" s="22" t="str">
        <f t="shared" si="37"/>
        <v/>
      </c>
    </row>
    <row r="266" spans="12:18" x14ac:dyDescent="0.3">
      <c r="L266" s="23" t="str">
        <f t="shared" si="38"/>
        <v>2674.25</v>
      </c>
      <c r="M266" s="24" t="str">
        <f t="shared" si="33"/>
        <v/>
      </c>
      <c r="N266" s="25" t="str">
        <f t="shared" si="34"/>
        <v/>
      </c>
      <c r="O266" s="26" t="str">
        <f>RTD("cqg.rtd",,"StudyData","FPVol(FootprintOp ("&amp;$B$3&amp;", 0),"&amp;L266&amp;")", "Bar",, "Close","D","0","all",,,,"T")</f>
        <v/>
      </c>
      <c r="P266" s="27" t="str">
        <f t="shared" si="35"/>
        <v/>
      </c>
      <c r="Q266" s="22" t="str">
        <f t="shared" si="36"/>
        <v/>
      </c>
      <c r="R266" s="22" t="str">
        <f t="shared" si="37"/>
        <v/>
      </c>
    </row>
    <row r="267" spans="12:18" x14ac:dyDescent="0.3">
      <c r="L267" s="23" t="str">
        <f t="shared" si="38"/>
        <v>2674.00</v>
      </c>
      <c r="M267" s="24" t="str">
        <f t="shared" si="33"/>
        <v/>
      </c>
      <c r="N267" s="25" t="str">
        <f t="shared" si="34"/>
        <v/>
      </c>
      <c r="O267" s="26" t="str">
        <f>RTD("cqg.rtd",,"StudyData","FPVol(FootprintOp ("&amp;$B$3&amp;", 0),"&amp;L267&amp;")", "Bar",, "Close","D","0","all",,,,"T")</f>
        <v/>
      </c>
      <c r="P267" s="27" t="str">
        <f t="shared" si="35"/>
        <v/>
      </c>
      <c r="Q267" s="22" t="str">
        <f t="shared" si="36"/>
        <v/>
      </c>
      <c r="R267" s="22" t="str">
        <f t="shared" si="37"/>
        <v/>
      </c>
    </row>
    <row r="268" spans="12:18" x14ac:dyDescent="0.3">
      <c r="L268" s="23" t="str">
        <f t="shared" si="38"/>
        <v>2673.75</v>
      </c>
      <c r="M268" s="24" t="str">
        <f t="shared" si="33"/>
        <v/>
      </c>
      <c r="N268" s="25" t="str">
        <f t="shared" si="34"/>
        <v/>
      </c>
      <c r="O268" s="26" t="str">
        <f>RTD("cqg.rtd",,"StudyData","FPVol(FootprintOp ("&amp;$B$3&amp;", 0),"&amp;L268&amp;")", "Bar",, "Close","D","0","all",,,,"T")</f>
        <v/>
      </c>
      <c r="P268" s="27" t="str">
        <f t="shared" si="35"/>
        <v/>
      </c>
      <c r="Q268" s="22" t="str">
        <f t="shared" si="36"/>
        <v/>
      </c>
      <c r="R268" s="22" t="str">
        <f t="shared" si="37"/>
        <v/>
      </c>
    </row>
    <row r="269" spans="12:18" x14ac:dyDescent="0.3">
      <c r="L269" s="23" t="str">
        <f t="shared" si="38"/>
        <v>2673.50</v>
      </c>
      <c r="M269" s="24" t="str">
        <f t="shared" si="33"/>
        <v/>
      </c>
      <c r="N269" s="25" t="str">
        <f t="shared" si="34"/>
        <v/>
      </c>
      <c r="O269" s="26" t="str">
        <f>RTD("cqg.rtd",,"StudyData","FPVol(FootprintOp ("&amp;$B$3&amp;", 0),"&amp;L269&amp;")", "Bar",, "Close","D","0","all",,,,"T")</f>
        <v/>
      </c>
      <c r="P269" s="27" t="str">
        <f t="shared" si="35"/>
        <v/>
      </c>
      <c r="Q269" s="22" t="str">
        <f t="shared" si="36"/>
        <v/>
      </c>
      <c r="R269" s="22" t="str">
        <f t="shared" si="37"/>
        <v/>
      </c>
    </row>
    <row r="270" spans="12:18" x14ac:dyDescent="0.3">
      <c r="L270" s="23" t="str">
        <f t="shared" si="38"/>
        <v>2673.25</v>
      </c>
      <c r="M270" s="24" t="str">
        <f t="shared" si="33"/>
        <v/>
      </c>
      <c r="N270" s="25" t="str">
        <f t="shared" si="34"/>
        <v/>
      </c>
      <c r="O270" s="26" t="str">
        <f>RTD("cqg.rtd",,"StudyData","FPVol(FootprintOp ("&amp;$B$3&amp;", 0),"&amp;L270&amp;")", "Bar",, "Close","D","0","all",,,,"T")</f>
        <v/>
      </c>
      <c r="P270" s="27" t="str">
        <f t="shared" si="35"/>
        <v/>
      </c>
      <c r="Q270" s="22" t="str">
        <f t="shared" si="36"/>
        <v/>
      </c>
      <c r="R270" s="22" t="str">
        <f t="shared" si="37"/>
        <v/>
      </c>
    </row>
    <row r="271" spans="12:18" x14ac:dyDescent="0.3">
      <c r="L271" s="23" t="str">
        <f t="shared" si="38"/>
        <v>2673.00</v>
      </c>
      <c r="M271" s="24" t="str">
        <f t="shared" si="33"/>
        <v/>
      </c>
      <c r="N271" s="25" t="str">
        <f t="shared" si="34"/>
        <v/>
      </c>
      <c r="O271" s="26" t="str">
        <f>RTD("cqg.rtd",,"StudyData","FPVol(FootprintOp ("&amp;$B$3&amp;", 0),"&amp;L271&amp;")", "Bar",, "Close","D","0","all",,,,"T")</f>
        <v/>
      </c>
      <c r="P271" s="27" t="str">
        <f t="shared" si="35"/>
        <v/>
      </c>
      <c r="Q271" s="22" t="str">
        <f t="shared" si="36"/>
        <v/>
      </c>
      <c r="R271" s="22" t="str">
        <f t="shared" si="37"/>
        <v/>
      </c>
    </row>
    <row r="272" spans="12:18" x14ac:dyDescent="0.3">
      <c r="L272" s="23" t="str">
        <f t="shared" si="38"/>
        <v>2672.75</v>
      </c>
      <c r="M272" s="24" t="str">
        <f t="shared" si="33"/>
        <v/>
      </c>
      <c r="N272" s="25" t="str">
        <f t="shared" si="34"/>
        <v/>
      </c>
      <c r="O272" s="26" t="str">
        <f>RTD("cqg.rtd",,"StudyData","FPVol(FootprintOp ("&amp;$B$3&amp;", 0),"&amp;L272&amp;")", "Bar",, "Close","D","0","all",,,,"T")</f>
        <v/>
      </c>
      <c r="P272" s="27" t="str">
        <f t="shared" si="35"/>
        <v/>
      </c>
      <c r="Q272" s="22" t="str">
        <f t="shared" si="36"/>
        <v/>
      </c>
      <c r="R272" s="22" t="str">
        <f t="shared" si="37"/>
        <v/>
      </c>
    </row>
    <row r="273" spans="12:18" x14ac:dyDescent="0.3">
      <c r="L273" s="23" t="str">
        <f t="shared" si="38"/>
        <v>2672.50</v>
      </c>
      <c r="M273" s="24" t="str">
        <f t="shared" si="33"/>
        <v/>
      </c>
      <c r="N273" s="25" t="str">
        <f t="shared" si="34"/>
        <v/>
      </c>
      <c r="O273" s="26" t="str">
        <f>RTD("cqg.rtd",,"StudyData","FPVol(FootprintOp ("&amp;$B$3&amp;", 0),"&amp;L273&amp;")", "Bar",, "Close","D","0","all",,,,"T")</f>
        <v/>
      </c>
      <c r="P273" s="27" t="str">
        <f t="shared" si="35"/>
        <v/>
      </c>
      <c r="Q273" s="22" t="str">
        <f t="shared" si="36"/>
        <v/>
      </c>
      <c r="R273" s="22" t="str">
        <f t="shared" si="37"/>
        <v/>
      </c>
    </row>
    <row r="274" spans="12:18" x14ac:dyDescent="0.3">
      <c r="L274" s="23" t="str">
        <f t="shared" si="38"/>
        <v>2672.25</v>
      </c>
      <c r="M274" s="24" t="str">
        <f t="shared" si="33"/>
        <v/>
      </c>
      <c r="N274" s="25" t="str">
        <f t="shared" si="34"/>
        <v/>
      </c>
      <c r="O274" s="26" t="str">
        <f>RTD("cqg.rtd",,"StudyData","FPVol(FootprintOp ("&amp;$B$3&amp;", 0),"&amp;L274&amp;")", "Bar",, "Close","D","0","all",,,,"T")</f>
        <v/>
      </c>
      <c r="P274" s="27" t="str">
        <f t="shared" si="35"/>
        <v/>
      </c>
      <c r="Q274" s="22" t="str">
        <f t="shared" si="36"/>
        <v/>
      </c>
      <c r="R274" s="22" t="str">
        <f t="shared" si="37"/>
        <v/>
      </c>
    </row>
    <row r="275" spans="12:18" x14ac:dyDescent="0.3">
      <c r="L275" s="23" t="str">
        <f t="shared" si="38"/>
        <v>2672.00</v>
      </c>
      <c r="M275" s="24" t="str">
        <f t="shared" si="33"/>
        <v/>
      </c>
      <c r="N275" s="25" t="str">
        <f t="shared" si="34"/>
        <v/>
      </c>
      <c r="O275" s="26" t="str">
        <f>RTD("cqg.rtd",,"StudyData","FPVol(FootprintOp ("&amp;$B$3&amp;", 0),"&amp;L275&amp;")", "Bar",, "Close","D","0","all",,,,"T")</f>
        <v/>
      </c>
      <c r="P275" s="27" t="str">
        <f t="shared" si="35"/>
        <v/>
      </c>
      <c r="Q275" s="22" t="str">
        <f t="shared" si="36"/>
        <v/>
      </c>
      <c r="R275" s="22" t="str">
        <f t="shared" si="37"/>
        <v/>
      </c>
    </row>
    <row r="276" spans="12:18" x14ac:dyDescent="0.3">
      <c r="L276" s="23" t="str">
        <f t="shared" si="38"/>
        <v>2671.75</v>
      </c>
      <c r="M276" s="24" t="str">
        <f t="shared" si="33"/>
        <v/>
      </c>
      <c r="N276" s="25" t="str">
        <f t="shared" si="34"/>
        <v/>
      </c>
      <c r="O276" s="26" t="str">
        <f>RTD("cqg.rtd",,"StudyData","FPVol(FootprintOp ("&amp;$B$3&amp;", 0),"&amp;L276&amp;")", "Bar",, "Close","D","0","all",,,,"T")</f>
        <v/>
      </c>
      <c r="P276" s="27" t="str">
        <f t="shared" si="35"/>
        <v/>
      </c>
      <c r="Q276" s="22" t="str">
        <f t="shared" si="36"/>
        <v/>
      </c>
      <c r="R276" s="22" t="str">
        <f t="shared" si="37"/>
        <v/>
      </c>
    </row>
    <row r="277" spans="12:18" x14ac:dyDescent="0.3">
      <c r="L277" s="23" t="str">
        <f t="shared" si="38"/>
        <v>2671.50</v>
      </c>
      <c r="M277" s="24" t="str">
        <f t="shared" si="33"/>
        <v/>
      </c>
      <c r="N277" s="25" t="str">
        <f t="shared" si="34"/>
        <v/>
      </c>
      <c r="O277" s="26" t="str">
        <f>RTD("cqg.rtd",,"StudyData","FPVol(FootprintOp ("&amp;$B$3&amp;", 0),"&amp;L277&amp;")", "Bar",, "Close","D","0","all",,,,"T")</f>
        <v/>
      </c>
      <c r="P277" s="27" t="str">
        <f t="shared" si="35"/>
        <v/>
      </c>
      <c r="Q277" s="22" t="str">
        <f t="shared" si="36"/>
        <v/>
      </c>
      <c r="R277" s="22" t="str">
        <f t="shared" si="37"/>
        <v/>
      </c>
    </row>
    <row r="278" spans="12:18" x14ac:dyDescent="0.3">
      <c r="L278" s="23" t="str">
        <f t="shared" si="38"/>
        <v>2671.25</v>
      </c>
      <c r="M278" s="24" t="str">
        <f t="shared" si="33"/>
        <v/>
      </c>
      <c r="N278" s="25" t="str">
        <f t="shared" si="34"/>
        <v/>
      </c>
      <c r="O278" s="26" t="str">
        <f>RTD("cqg.rtd",,"StudyData","FPVol(FootprintOp ("&amp;$B$3&amp;", 0),"&amp;L278&amp;")", "Bar",, "Close","D","0","all",,,,"T")</f>
        <v/>
      </c>
      <c r="P278" s="27" t="str">
        <f t="shared" si="35"/>
        <v/>
      </c>
      <c r="Q278" s="22" t="str">
        <f t="shared" si="36"/>
        <v/>
      </c>
      <c r="R278" s="22" t="str">
        <f t="shared" si="37"/>
        <v/>
      </c>
    </row>
    <row r="279" spans="12:18" x14ac:dyDescent="0.3">
      <c r="L279" s="23" t="str">
        <f t="shared" si="38"/>
        <v>2671.00</v>
      </c>
      <c r="M279" s="24" t="str">
        <f t="shared" si="33"/>
        <v/>
      </c>
      <c r="N279" s="25" t="str">
        <f t="shared" si="34"/>
        <v/>
      </c>
      <c r="O279" s="26" t="str">
        <f>RTD("cqg.rtd",,"StudyData","FPVol(FootprintOp ("&amp;$B$3&amp;", 0),"&amp;L279&amp;")", "Bar",, "Close","D","0","all",,,,"T")</f>
        <v/>
      </c>
      <c r="P279" s="27" t="str">
        <f t="shared" si="35"/>
        <v/>
      </c>
      <c r="Q279" s="22" t="str">
        <f t="shared" si="36"/>
        <v/>
      </c>
      <c r="R279" s="22" t="str">
        <f t="shared" si="37"/>
        <v/>
      </c>
    </row>
    <row r="280" spans="12:18" x14ac:dyDescent="0.3">
      <c r="L280" s="23" t="str">
        <f t="shared" si="38"/>
        <v>2670.75</v>
      </c>
      <c r="M280" s="24" t="str">
        <f t="shared" si="33"/>
        <v/>
      </c>
      <c r="N280" s="25" t="str">
        <f t="shared" si="34"/>
        <v/>
      </c>
      <c r="O280" s="26" t="str">
        <f>RTD("cqg.rtd",,"StudyData","FPVol(FootprintOp ("&amp;$B$3&amp;", 0),"&amp;L280&amp;")", "Bar",, "Close","D","0","all",,,,"T")</f>
        <v/>
      </c>
      <c r="P280" s="27" t="str">
        <f t="shared" si="35"/>
        <v/>
      </c>
      <c r="Q280" s="22" t="str">
        <f t="shared" si="36"/>
        <v/>
      </c>
      <c r="R280" s="22" t="str">
        <f t="shared" si="37"/>
        <v/>
      </c>
    </row>
    <row r="281" spans="12:18" x14ac:dyDescent="0.3">
      <c r="L281" s="23" t="str">
        <f t="shared" si="38"/>
        <v>2670.50</v>
      </c>
      <c r="M281" s="24" t="str">
        <f t="shared" si="33"/>
        <v/>
      </c>
      <c r="N281" s="25" t="str">
        <f t="shared" si="34"/>
        <v/>
      </c>
      <c r="O281" s="26" t="str">
        <f>RTD("cqg.rtd",,"StudyData","FPVol(FootprintOp ("&amp;$B$3&amp;", 0),"&amp;L281&amp;")", "Bar",, "Close","D","0","all",,,,"T")</f>
        <v/>
      </c>
      <c r="P281" s="27" t="str">
        <f t="shared" si="35"/>
        <v/>
      </c>
      <c r="Q281" s="22" t="str">
        <f t="shared" si="36"/>
        <v/>
      </c>
      <c r="R281" s="22" t="str">
        <f t="shared" si="37"/>
        <v/>
      </c>
    </row>
    <row r="282" spans="12:18" x14ac:dyDescent="0.3">
      <c r="L282" s="23" t="str">
        <f t="shared" si="38"/>
        <v>2670.25</v>
      </c>
      <c r="M282" s="24" t="str">
        <f t="shared" si="33"/>
        <v/>
      </c>
      <c r="N282" s="25" t="str">
        <f t="shared" si="34"/>
        <v/>
      </c>
      <c r="O282" s="26" t="str">
        <f>RTD("cqg.rtd",,"StudyData","FPVol(FootprintOp ("&amp;$B$3&amp;", 0),"&amp;L282&amp;")", "Bar",, "Close","D","0","all",,,,"T")</f>
        <v/>
      </c>
      <c r="P282" s="27" t="str">
        <f t="shared" si="35"/>
        <v/>
      </c>
      <c r="Q282" s="22" t="str">
        <f t="shared" si="36"/>
        <v/>
      </c>
      <c r="R282" s="22" t="str">
        <f t="shared" si="37"/>
        <v/>
      </c>
    </row>
    <row r="283" spans="12:18" x14ac:dyDescent="0.3">
      <c r="L283" s="23" t="str">
        <f t="shared" si="38"/>
        <v>2670.00</v>
      </c>
      <c r="M283" s="24" t="str">
        <f t="shared" si="33"/>
        <v/>
      </c>
      <c r="N283" s="25" t="str">
        <f t="shared" si="34"/>
        <v/>
      </c>
      <c r="O283" s="26" t="str">
        <f>RTD("cqg.rtd",,"StudyData","FPVol(FootprintOp ("&amp;$B$3&amp;", 0),"&amp;L283&amp;")", "Bar",, "Close","D","0","all",,,,"T")</f>
        <v/>
      </c>
      <c r="P283" s="27" t="str">
        <f t="shared" si="35"/>
        <v/>
      </c>
      <c r="Q283" s="22" t="str">
        <f t="shared" si="36"/>
        <v/>
      </c>
      <c r="R283" s="22" t="str">
        <f t="shared" si="37"/>
        <v/>
      </c>
    </row>
    <row r="284" spans="12:18" x14ac:dyDescent="0.3">
      <c r="L284" s="23" t="str">
        <f t="shared" si="38"/>
        <v>2669.75</v>
      </c>
      <c r="M284" s="24" t="str">
        <f t="shared" si="33"/>
        <v/>
      </c>
      <c r="N284" s="25" t="str">
        <f t="shared" si="34"/>
        <v/>
      </c>
      <c r="O284" s="26" t="str">
        <f>RTD("cqg.rtd",,"StudyData","FPVol(FootprintOp ("&amp;$B$3&amp;", 0),"&amp;L284&amp;")", "Bar",, "Close","D","0","all",,,,"T")</f>
        <v/>
      </c>
      <c r="P284" s="27" t="str">
        <f t="shared" si="35"/>
        <v/>
      </c>
      <c r="Q284" s="22" t="str">
        <f t="shared" si="36"/>
        <v/>
      </c>
      <c r="R284" s="22" t="str">
        <f t="shared" si="37"/>
        <v/>
      </c>
    </row>
    <row r="285" spans="12:18" x14ac:dyDescent="0.3">
      <c r="L285" s="23" t="str">
        <f t="shared" si="38"/>
        <v>2669.50</v>
      </c>
      <c r="M285" s="24" t="str">
        <f t="shared" si="33"/>
        <v/>
      </c>
      <c r="N285" s="25" t="str">
        <f t="shared" si="34"/>
        <v/>
      </c>
      <c r="O285" s="26" t="str">
        <f>RTD("cqg.rtd",,"StudyData","FPVol(FootprintOp ("&amp;$B$3&amp;", 0),"&amp;L285&amp;")", "Bar",, "Close","D","0","all",,,,"T")</f>
        <v/>
      </c>
      <c r="P285" s="27" t="str">
        <f t="shared" si="35"/>
        <v/>
      </c>
      <c r="Q285" s="22" t="str">
        <f t="shared" si="36"/>
        <v/>
      </c>
      <c r="R285" s="22" t="str">
        <f t="shared" si="37"/>
        <v/>
      </c>
    </row>
    <row r="286" spans="12:18" x14ac:dyDescent="0.3">
      <c r="L286" s="23" t="str">
        <f t="shared" si="38"/>
        <v>2669.25</v>
      </c>
      <c r="M286" s="24" t="str">
        <f t="shared" si="33"/>
        <v/>
      </c>
      <c r="N286" s="25" t="str">
        <f t="shared" si="34"/>
        <v/>
      </c>
      <c r="O286" s="26" t="str">
        <f>RTD("cqg.rtd",,"StudyData","FPVol(FootprintOp ("&amp;$B$3&amp;", 0),"&amp;L286&amp;")", "Bar",, "Close","D","0","all",,,,"T")</f>
        <v/>
      </c>
      <c r="P286" s="27" t="str">
        <f t="shared" si="35"/>
        <v/>
      </c>
      <c r="Q286" s="22" t="str">
        <f t="shared" si="36"/>
        <v/>
      </c>
      <c r="R286" s="22" t="str">
        <f t="shared" si="37"/>
        <v/>
      </c>
    </row>
    <row r="287" spans="12:18" x14ac:dyDescent="0.3">
      <c r="L287" s="23" t="str">
        <f t="shared" si="38"/>
        <v>2669.00</v>
      </c>
      <c r="M287" s="24" t="str">
        <f t="shared" si="33"/>
        <v/>
      </c>
      <c r="N287" s="25" t="str">
        <f t="shared" si="34"/>
        <v/>
      </c>
      <c r="O287" s="26" t="str">
        <f>RTD("cqg.rtd",,"StudyData","FPVol(FootprintOp ("&amp;$B$3&amp;", 0),"&amp;L287&amp;")", "Bar",, "Close","D","0","all",,,,"T")</f>
        <v/>
      </c>
      <c r="P287" s="27" t="str">
        <f t="shared" si="35"/>
        <v/>
      </c>
      <c r="Q287" s="22" t="str">
        <f t="shared" si="36"/>
        <v/>
      </c>
      <c r="R287" s="22" t="str">
        <f t="shared" si="37"/>
        <v/>
      </c>
    </row>
    <row r="288" spans="12:18" x14ac:dyDescent="0.3">
      <c r="L288" s="23" t="str">
        <f t="shared" si="38"/>
        <v>2668.75</v>
      </c>
      <c r="M288" s="24" t="str">
        <f t="shared" si="33"/>
        <v/>
      </c>
      <c r="N288" s="25" t="str">
        <f t="shared" si="34"/>
        <v/>
      </c>
      <c r="O288" s="26" t="str">
        <f>RTD("cqg.rtd",,"StudyData","FPVol(FootprintOp ("&amp;$B$3&amp;", 0),"&amp;L288&amp;")", "Bar",, "Close","D","0","all",,,,"T")</f>
        <v/>
      </c>
      <c r="P288" s="27" t="str">
        <f t="shared" si="35"/>
        <v/>
      </c>
      <c r="Q288" s="22" t="str">
        <f t="shared" si="36"/>
        <v/>
      </c>
      <c r="R288" s="22" t="str">
        <f t="shared" si="37"/>
        <v/>
      </c>
    </row>
    <row r="289" spans="12:18" x14ac:dyDescent="0.3">
      <c r="L289" s="23" t="str">
        <f t="shared" si="38"/>
        <v>2668.50</v>
      </c>
      <c r="M289" s="24" t="str">
        <f t="shared" si="33"/>
        <v/>
      </c>
      <c r="N289" s="25" t="str">
        <f t="shared" si="34"/>
        <v/>
      </c>
      <c r="O289" s="26" t="str">
        <f>RTD("cqg.rtd",,"StudyData","FPVol(FootprintOp ("&amp;$B$3&amp;", 0),"&amp;L289&amp;")", "Bar",, "Close","D","0","all",,,,"T")</f>
        <v/>
      </c>
      <c r="P289" s="27" t="str">
        <f t="shared" si="35"/>
        <v/>
      </c>
      <c r="Q289" s="22" t="str">
        <f t="shared" si="36"/>
        <v/>
      </c>
      <c r="R289" s="22" t="str">
        <f t="shared" si="37"/>
        <v/>
      </c>
    </row>
    <row r="290" spans="12:18" x14ac:dyDescent="0.3">
      <c r="L290" s="23" t="str">
        <f t="shared" si="38"/>
        <v>2668.25</v>
      </c>
      <c r="M290" s="24" t="str">
        <f t="shared" si="33"/>
        <v/>
      </c>
      <c r="N290" s="25" t="str">
        <f t="shared" si="34"/>
        <v/>
      </c>
      <c r="O290" s="26" t="str">
        <f>RTD("cqg.rtd",,"StudyData","FPVol(FootprintOp ("&amp;$B$3&amp;", 0),"&amp;L290&amp;")", "Bar",, "Close","D","0","all",,,,"T")</f>
        <v/>
      </c>
      <c r="P290" s="27" t="str">
        <f t="shared" si="35"/>
        <v/>
      </c>
      <c r="Q290" s="22" t="str">
        <f t="shared" si="36"/>
        <v/>
      </c>
      <c r="R290" s="22" t="str">
        <f t="shared" si="37"/>
        <v/>
      </c>
    </row>
    <row r="291" spans="12:18" x14ac:dyDescent="0.3">
      <c r="L291" s="23" t="str">
        <f t="shared" si="38"/>
        <v>2668.00</v>
      </c>
      <c r="M291" s="24" t="str">
        <f t="shared" si="33"/>
        <v/>
      </c>
      <c r="N291" s="25" t="str">
        <f t="shared" si="34"/>
        <v/>
      </c>
      <c r="O291" s="26" t="str">
        <f>RTD("cqg.rtd",,"StudyData","FPVol(FootprintOp ("&amp;$B$3&amp;", 0),"&amp;L291&amp;")", "Bar",, "Close","D","0","all",,,,"T")</f>
        <v/>
      </c>
      <c r="P291" s="27" t="str">
        <f t="shared" si="35"/>
        <v/>
      </c>
      <c r="Q291" s="22" t="str">
        <f t="shared" si="36"/>
        <v/>
      </c>
      <c r="R291" s="22" t="str">
        <f t="shared" si="37"/>
        <v/>
      </c>
    </row>
    <row r="292" spans="12:18" x14ac:dyDescent="0.3">
      <c r="L292" s="23" t="str">
        <f t="shared" si="38"/>
        <v>2667.75</v>
      </c>
      <c r="M292" s="24" t="str">
        <f t="shared" si="33"/>
        <v/>
      </c>
      <c r="N292" s="25" t="str">
        <f t="shared" si="34"/>
        <v/>
      </c>
      <c r="O292" s="26" t="str">
        <f>RTD("cqg.rtd",,"StudyData","FPVol(FootprintOp ("&amp;$B$3&amp;", 0),"&amp;L292&amp;")", "Bar",, "Close","D","0","all",,,,"T")</f>
        <v/>
      </c>
      <c r="P292" s="27" t="str">
        <f t="shared" si="35"/>
        <v/>
      </c>
      <c r="Q292" s="22" t="str">
        <f t="shared" si="36"/>
        <v/>
      </c>
      <c r="R292" s="22" t="str">
        <f t="shared" si="37"/>
        <v/>
      </c>
    </row>
    <row r="293" spans="12:18" x14ac:dyDescent="0.3">
      <c r="L293" s="23" t="str">
        <f t="shared" si="38"/>
        <v>2667.50</v>
      </c>
      <c r="M293" s="24" t="str">
        <f t="shared" ref="M293:M326" si="39">P293</f>
        <v/>
      </c>
      <c r="N293" s="25" t="str">
        <f t="shared" ref="N293:N326" si="40">Q293</f>
        <v/>
      </c>
      <c r="O293" s="26" t="str">
        <f>RTD("cqg.rtd",,"StudyData","FPVol(FootprintOp ("&amp;$B$3&amp;", 0),"&amp;L293&amp;")", "Bar",, "Close","D","0","all",,,,"T")</f>
        <v/>
      </c>
      <c r="P293" s="27" t="str">
        <f t="shared" ref="P293:P326" si="41">IF(L293=$B$4,$B$5,"")</f>
        <v/>
      </c>
      <c r="Q293" s="22" t="str">
        <f t="shared" ref="Q293:Q326" si="42">IF(L293=$C$4,$C$5,"")</f>
        <v/>
      </c>
      <c r="R293" s="22" t="str">
        <f t="shared" ref="R293:R326" si="43">O293</f>
        <v/>
      </c>
    </row>
    <row r="294" spans="12:18" x14ac:dyDescent="0.3">
      <c r="L294" s="23" t="str">
        <f t="shared" si="38"/>
        <v>2667.25</v>
      </c>
      <c r="M294" s="24" t="str">
        <f t="shared" si="39"/>
        <v/>
      </c>
      <c r="N294" s="25" t="str">
        <f t="shared" si="40"/>
        <v/>
      </c>
      <c r="O294" s="26" t="str">
        <f>RTD("cqg.rtd",,"StudyData","FPVol(FootprintOp ("&amp;$B$3&amp;", 0),"&amp;L294&amp;")", "Bar",, "Close","D","0","all",,,,"T")</f>
        <v/>
      </c>
      <c r="P294" s="27" t="str">
        <f t="shared" si="41"/>
        <v/>
      </c>
      <c r="Q294" s="22" t="str">
        <f t="shared" si="42"/>
        <v/>
      </c>
      <c r="R294" s="22" t="str">
        <f t="shared" si="43"/>
        <v/>
      </c>
    </row>
    <row r="295" spans="12:18" x14ac:dyDescent="0.3">
      <c r="L295" s="23" t="str">
        <f t="shared" si="38"/>
        <v>2667.00</v>
      </c>
      <c r="M295" s="24" t="str">
        <f t="shared" si="39"/>
        <v/>
      </c>
      <c r="N295" s="25" t="str">
        <f t="shared" si="40"/>
        <v/>
      </c>
      <c r="O295" s="26" t="str">
        <f>RTD("cqg.rtd",,"StudyData","FPVol(FootprintOp ("&amp;$B$3&amp;", 0),"&amp;L295&amp;")", "Bar",, "Close","D","0","all",,,,"T")</f>
        <v/>
      </c>
      <c r="P295" s="27" t="str">
        <f t="shared" si="41"/>
        <v/>
      </c>
      <c r="Q295" s="22" t="str">
        <f t="shared" si="42"/>
        <v/>
      </c>
      <c r="R295" s="22" t="str">
        <f t="shared" si="43"/>
        <v/>
      </c>
    </row>
    <row r="296" spans="12:18" x14ac:dyDescent="0.3">
      <c r="L296" s="23" t="str">
        <f t="shared" si="38"/>
        <v>2666.75</v>
      </c>
      <c r="M296" s="24" t="str">
        <f t="shared" si="39"/>
        <v/>
      </c>
      <c r="N296" s="25" t="str">
        <f t="shared" si="40"/>
        <v/>
      </c>
      <c r="O296" s="26" t="str">
        <f>RTD("cqg.rtd",,"StudyData","FPVol(FootprintOp ("&amp;$B$3&amp;", 0),"&amp;L296&amp;")", "Bar",, "Close","D","0","all",,,,"T")</f>
        <v/>
      </c>
      <c r="P296" s="27" t="str">
        <f t="shared" si="41"/>
        <v/>
      </c>
      <c r="Q296" s="22" t="str">
        <f t="shared" si="42"/>
        <v/>
      </c>
      <c r="R296" s="22" t="str">
        <f t="shared" si="43"/>
        <v/>
      </c>
    </row>
    <row r="297" spans="12:18" x14ac:dyDescent="0.3">
      <c r="L297" s="23" t="str">
        <f t="shared" si="38"/>
        <v>2666.50</v>
      </c>
      <c r="M297" s="24" t="str">
        <f t="shared" si="39"/>
        <v/>
      </c>
      <c r="N297" s="25" t="str">
        <f t="shared" si="40"/>
        <v/>
      </c>
      <c r="O297" s="26" t="str">
        <f>RTD("cqg.rtd",,"StudyData","FPVol(FootprintOp ("&amp;$B$3&amp;", 0),"&amp;L297&amp;")", "Bar",, "Close","D","0","all",,,,"T")</f>
        <v/>
      </c>
      <c r="P297" s="27" t="str">
        <f t="shared" si="41"/>
        <v/>
      </c>
      <c r="Q297" s="22" t="str">
        <f t="shared" si="42"/>
        <v/>
      </c>
      <c r="R297" s="22" t="str">
        <f t="shared" si="43"/>
        <v/>
      </c>
    </row>
    <row r="298" spans="12:18" x14ac:dyDescent="0.3">
      <c r="L298" s="23" t="str">
        <f t="shared" si="38"/>
        <v>2666.25</v>
      </c>
      <c r="M298" s="24" t="str">
        <f t="shared" si="39"/>
        <v/>
      </c>
      <c r="N298" s="25" t="str">
        <f t="shared" si="40"/>
        <v/>
      </c>
      <c r="O298" s="26" t="str">
        <f>RTD("cqg.rtd",,"StudyData","FPVol(FootprintOp ("&amp;$B$3&amp;", 0),"&amp;L298&amp;")", "Bar",, "Close","D","0","all",,,,"T")</f>
        <v/>
      </c>
      <c r="P298" s="27" t="str">
        <f t="shared" si="41"/>
        <v/>
      </c>
      <c r="Q298" s="22" t="str">
        <f t="shared" si="42"/>
        <v/>
      </c>
      <c r="R298" s="22" t="str">
        <f t="shared" si="43"/>
        <v/>
      </c>
    </row>
    <row r="299" spans="12:18" x14ac:dyDescent="0.3">
      <c r="L299" s="23" t="str">
        <f t="shared" si="38"/>
        <v>2666.00</v>
      </c>
      <c r="M299" s="24" t="str">
        <f t="shared" si="39"/>
        <v/>
      </c>
      <c r="N299" s="25" t="str">
        <f t="shared" si="40"/>
        <v/>
      </c>
      <c r="O299" s="26" t="str">
        <f>RTD("cqg.rtd",,"StudyData","FPVol(FootprintOp ("&amp;$B$3&amp;", 0),"&amp;L299&amp;")", "Bar",, "Close","D","0","all",,,,"T")</f>
        <v/>
      </c>
      <c r="P299" s="27" t="str">
        <f t="shared" si="41"/>
        <v/>
      </c>
      <c r="Q299" s="22" t="str">
        <f t="shared" si="42"/>
        <v/>
      </c>
      <c r="R299" s="22" t="str">
        <f t="shared" si="43"/>
        <v/>
      </c>
    </row>
    <row r="300" spans="12:18" x14ac:dyDescent="0.3">
      <c r="L300" s="23" t="str">
        <f t="shared" si="38"/>
        <v>2665.75</v>
      </c>
      <c r="M300" s="24" t="str">
        <f t="shared" si="39"/>
        <v/>
      </c>
      <c r="N300" s="25" t="str">
        <f t="shared" si="40"/>
        <v/>
      </c>
      <c r="O300" s="26" t="str">
        <f>RTD("cqg.rtd",,"StudyData","FPVol(FootprintOp ("&amp;$B$3&amp;", 0),"&amp;L300&amp;")", "Bar",, "Close","D","0","all",,,,"T")</f>
        <v/>
      </c>
      <c r="P300" s="27" t="str">
        <f t="shared" si="41"/>
        <v/>
      </c>
      <c r="Q300" s="22" t="str">
        <f t="shared" si="42"/>
        <v/>
      </c>
      <c r="R300" s="22" t="str">
        <f t="shared" si="43"/>
        <v/>
      </c>
    </row>
    <row r="301" spans="12:18" x14ac:dyDescent="0.3">
      <c r="L301" s="23" t="str">
        <f t="shared" si="38"/>
        <v>2665.50</v>
      </c>
      <c r="M301" s="24" t="str">
        <f t="shared" si="39"/>
        <v/>
      </c>
      <c r="N301" s="25" t="str">
        <f t="shared" si="40"/>
        <v/>
      </c>
      <c r="O301" s="26" t="str">
        <f>RTD("cqg.rtd",,"StudyData","FPVol(FootprintOp ("&amp;$B$3&amp;", 0),"&amp;L301&amp;")", "Bar",, "Close","D","0","all",,,,"T")</f>
        <v/>
      </c>
      <c r="P301" s="27" t="str">
        <f t="shared" si="41"/>
        <v/>
      </c>
      <c r="Q301" s="22" t="str">
        <f t="shared" si="42"/>
        <v/>
      </c>
      <c r="R301" s="22" t="str">
        <f t="shared" si="43"/>
        <v/>
      </c>
    </row>
    <row r="302" spans="12:18" x14ac:dyDescent="0.3">
      <c r="L302" s="23" t="str">
        <f t="shared" si="38"/>
        <v>2665.25</v>
      </c>
      <c r="M302" s="24" t="str">
        <f t="shared" si="39"/>
        <v/>
      </c>
      <c r="N302" s="25" t="str">
        <f t="shared" si="40"/>
        <v/>
      </c>
      <c r="O302" s="26" t="str">
        <f>RTD("cqg.rtd",,"StudyData","FPVol(FootprintOp ("&amp;$B$3&amp;", 0),"&amp;L302&amp;")", "Bar",, "Close","D","0","all",,,,"T")</f>
        <v/>
      </c>
      <c r="P302" s="27" t="str">
        <f t="shared" si="41"/>
        <v/>
      </c>
      <c r="Q302" s="22" t="str">
        <f t="shared" si="42"/>
        <v/>
      </c>
      <c r="R302" s="22" t="str">
        <f t="shared" si="43"/>
        <v/>
      </c>
    </row>
    <row r="303" spans="12:18" x14ac:dyDescent="0.3">
      <c r="L303" s="23" t="str">
        <f t="shared" si="38"/>
        <v>2665.00</v>
      </c>
      <c r="M303" s="24" t="str">
        <f t="shared" si="39"/>
        <v/>
      </c>
      <c r="N303" s="25" t="str">
        <f t="shared" si="40"/>
        <v/>
      </c>
      <c r="O303" s="26" t="str">
        <f>RTD("cqg.rtd",,"StudyData","FPVol(FootprintOp ("&amp;$B$3&amp;", 0),"&amp;L303&amp;")", "Bar",, "Close","D","0","all",,,,"T")</f>
        <v/>
      </c>
      <c r="P303" s="27" t="str">
        <f t="shared" si="41"/>
        <v/>
      </c>
      <c r="Q303" s="22" t="str">
        <f t="shared" si="42"/>
        <v/>
      </c>
      <c r="R303" s="22" t="str">
        <f t="shared" si="43"/>
        <v/>
      </c>
    </row>
    <row r="304" spans="12:18" x14ac:dyDescent="0.3">
      <c r="L304" s="23" t="str">
        <f t="shared" si="38"/>
        <v>2664.75</v>
      </c>
      <c r="M304" s="24" t="str">
        <f t="shared" si="39"/>
        <v/>
      </c>
      <c r="N304" s="25" t="str">
        <f t="shared" si="40"/>
        <v/>
      </c>
      <c r="O304" s="26" t="str">
        <f>RTD("cqg.rtd",,"StudyData","FPVol(FootprintOp ("&amp;$B$3&amp;", 0),"&amp;L304&amp;")", "Bar",, "Close","D","0","all",,,,"T")</f>
        <v/>
      </c>
      <c r="P304" s="27" t="str">
        <f t="shared" si="41"/>
        <v/>
      </c>
      <c r="Q304" s="22" t="str">
        <f t="shared" si="42"/>
        <v/>
      </c>
      <c r="R304" s="22" t="str">
        <f t="shared" si="43"/>
        <v/>
      </c>
    </row>
    <row r="305" spans="12:18" x14ac:dyDescent="0.3">
      <c r="L305" s="23" t="str">
        <f t="shared" si="38"/>
        <v>2664.50</v>
      </c>
      <c r="M305" s="24" t="str">
        <f t="shared" si="39"/>
        <v/>
      </c>
      <c r="N305" s="25" t="str">
        <f t="shared" si="40"/>
        <v/>
      </c>
      <c r="O305" s="26" t="str">
        <f>RTD("cqg.rtd",,"StudyData","FPVol(FootprintOp ("&amp;$B$3&amp;", 0),"&amp;L305&amp;")", "Bar",, "Close","D","0","all",,,,"T")</f>
        <v/>
      </c>
      <c r="P305" s="27" t="str">
        <f t="shared" si="41"/>
        <v/>
      </c>
      <c r="Q305" s="22" t="str">
        <f t="shared" si="42"/>
        <v/>
      </c>
      <c r="R305" s="22" t="str">
        <f t="shared" si="43"/>
        <v/>
      </c>
    </row>
    <row r="306" spans="12:18" x14ac:dyDescent="0.3">
      <c r="L306" s="23" t="str">
        <f t="shared" si="38"/>
        <v>2664.25</v>
      </c>
      <c r="M306" s="24" t="str">
        <f t="shared" si="39"/>
        <v/>
      </c>
      <c r="N306" s="25" t="str">
        <f t="shared" si="40"/>
        <v/>
      </c>
      <c r="O306" s="26" t="str">
        <f>RTD("cqg.rtd",,"StudyData","FPVol(FootprintOp ("&amp;$B$3&amp;", 0),"&amp;L306&amp;")", "Bar",, "Close","D","0","all",,,,"T")</f>
        <v/>
      </c>
      <c r="P306" s="27" t="str">
        <f t="shared" si="41"/>
        <v/>
      </c>
      <c r="Q306" s="22" t="str">
        <f t="shared" si="42"/>
        <v/>
      </c>
      <c r="R306" s="22" t="str">
        <f t="shared" si="43"/>
        <v/>
      </c>
    </row>
    <row r="307" spans="12:18" x14ac:dyDescent="0.3">
      <c r="L307" s="23" t="str">
        <f t="shared" si="38"/>
        <v>2664.00</v>
      </c>
      <c r="M307" s="24" t="str">
        <f t="shared" si="39"/>
        <v/>
      </c>
      <c r="N307" s="25" t="str">
        <f t="shared" si="40"/>
        <v/>
      </c>
      <c r="O307" s="26" t="str">
        <f>RTD("cqg.rtd",,"StudyData","FPVol(FootprintOp ("&amp;$B$3&amp;", 0),"&amp;L307&amp;")", "Bar",, "Close","D","0","all",,,,"T")</f>
        <v/>
      </c>
      <c r="P307" s="27" t="str">
        <f t="shared" si="41"/>
        <v/>
      </c>
      <c r="Q307" s="22" t="str">
        <f t="shared" si="42"/>
        <v/>
      </c>
      <c r="R307" s="22" t="str">
        <f t="shared" si="43"/>
        <v/>
      </c>
    </row>
    <row r="308" spans="12:18" x14ac:dyDescent="0.3">
      <c r="L308" s="23" t="str">
        <f t="shared" si="38"/>
        <v>2663.75</v>
      </c>
      <c r="M308" s="24" t="str">
        <f t="shared" si="39"/>
        <v/>
      </c>
      <c r="N308" s="25" t="str">
        <f t="shared" si="40"/>
        <v/>
      </c>
      <c r="O308" s="26" t="str">
        <f>RTD("cqg.rtd",,"StudyData","FPVol(FootprintOp ("&amp;$B$3&amp;", 0),"&amp;L308&amp;")", "Bar",, "Close","D","0","all",,,,"T")</f>
        <v/>
      </c>
      <c r="P308" s="27" t="str">
        <f t="shared" si="41"/>
        <v/>
      </c>
      <c r="Q308" s="22" t="str">
        <f t="shared" si="42"/>
        <v/>
      </c>
      <c r="R308" s="22" t="str">
        <f t="shared" si="43"/>
        <v/>
      </c>
    </row>
    <row r="309" spans="12:18" x14ac:dyDescent="0.3">
      <c r="L309" s="23" t="str">
        <f t="shared" si="38"/>
        <v>2663.50</v>
      </c>
      <c r="M309" s="24" t="str">
        <f t="shared" si="39"/>
        <v/>
      </c>
      <c r="N309" s="25" t="str">
        <f t="shared" si="40"/>
        <v/>
      </c>
      <c r="O309" s="26" t="str">
        <f>RTD("cqg.rtd",,"StudyData","FPVol(FootprintOp ("&amp;$B$3&amp;", 0),"&amp;L309&amp;")", "Bar",, "Close","D","0","all",,,,"T")</f>
        <v/>
      </c>
      <c r="P309" s="27" t="str">
        <f t="shared" si="41"/>
        <v/>
      </c>
      <c r="Q309" s="22" t="str">
        <f t="shared" si="42"/>
        <v/>
      </c>
      <c r="R309" s="22" t="str">
        <f t="shared" si="43"/>
        <v/>
      </c>
    </row>
    <row r="310" spans="12:18" x14ac:dyDescent="0.3">
      <c r="L310" s="23" t="str">
        <f t="shared" si="38"/>
        <v>2663.25</v>
      </c>
      <c r="M310" s="24" t="str">
        <f t="shared" si="39"/>
        <v/>
      </c>
      <c r="N310" s="25" t="str">
        <f t="shared" si="40"/>
        <v/>
      </c>
      <c r="O310" s="26" t="str">
        <f>RTD("cqg.rtd",,"StudyData","FPVol(FootprintOp ("&amp;$B$3&amp;", 0),"&amp;L310&amp;")", "Bar",, "Close","D","0","all",,,,"T")</f>
        <v/>
      </c>
      <c r="P310" s="27" t="str">
        <f t="shared" si="41"/>
        <v/>
      </c>
      <c r="Q310" s="22" t="str">
        <f t="shared" si="42"/>
        <v/>
      </c>
      <c r="R310" s="22" t="str">
        <f t="shared" si="43"/>
        <v/>
      </c>
    </row>
    <row r="311" spans="12:18" x14ac:dyDescent="0.3">
      <c r="L311" s="23" t="str">
        <f t="shared" si="38"/>
        <v>2663.00</v>
      </c>
      <c r="M311" s="24" t="str">
        <f t="shared" si="39"/>
        <v/>
      </c>
      <c r="N311" s="25" t="str">
        <f t="shared" si="40"/>
        <v/>
      </c>
      <c r="O311" s="26" t="str">
        <f>RTD("cqg.rtd",,"StudyData","FPVol(FootprintOp ("&amp;$B$3&amp;", 0),"&amp;L311&amp;")", "Bar",, "Close","D","0","all",,,,"T")</f>
        <v/>
      </c>
      <c r="P311" s="27" t="str">
        <f t="shared" si="41"/>
        <v/>
      </c>
      <c r="Q311" s="22" t="str">
        <f t="shared" si="42"/>
        <v/>
      </c>
      <c r="R311" s="22" t="str">
        <f t="shared" si="43"/>
        <v/>
      </c>
    </row>
    <row r="312" spans="12:18" x14ac:dyDescent="0.3">
      <c r="L312" s="23" t="str">
        <f t="shared" si="38"/>
        <v>2662.75</v>
      </c>
      <c r="M312" s="24" t="str">
        <f t="shared" si="39"/>
        <v/>
      </c>
      <c r="N312" s="25" t="str">
        <f t="shared" si="40"/>
        <v/>
      </c>
      <c r="O312" s="26" t="str">
        <f>RTD("cqg.rtd",,"StudyData","FPVol(FootprintOp ("&amp;$B$3&amp;", 0),"&amp;L312&amp;")", "Bar",, "Close","D","0","all",,,,"T")</f>
        <v/>
      </c>
      <c r="P312" s="27" t="str">
        <f t="shared" si="41"/>
        <v/>
      </c>
      <c r="Q312" s="22" t="str">
        <f t="shared" si="42"/>
        <v/>
      </c>
      <c r="R312" s="22" t="str">
        <f t="shared" si="43"/>
        <v/>
      </c>
    </row>
    <row r="313" spans="12:18" x14ac:dyDescent="0.3">
      <c r="L313" s="23" t="str">
        <f t="shared" si="38"/>
        <v>2662.50</v>
      </c>
      <c r="M313" s="24" t="str">
        <f t="shared" si="39"/>
        <v/>
      </c>
      <c r="N313" s="25" t="str">
        <f t="shared" si="40"/>
        <v/>
      </c>
      <c r="O313" s="26" t="str">
        <f>RTD("cqg.rtd",,"StudyData","FPVol(FootprintOp ("&amp;$B$3&amp;", 0),"&amp;L313&amp;")", "Bar",, "Close","D","0","all",,,,"T")</f>
        <v/>
      </c>
      <c r="P313" s="27" t="str">
        <f t="shared" si="41"/>
        <v/>
      </c>
      <c r="Q313" s="22" t="str">
        <f t="shared" si="42"/>
        <v/>
      </c>
      <c r="R313" s="22" t="str">
        <f t="shared" si="43"/>
        <v/>
      </c>
    </row>
    <row r="314" spans="12:18" x14ac:dyDescent="0.3">
      <c r="L314" s="23" t="str">
        <f t="shared" si="38"/>
        <v>2662.25</v>
      </c>
      <c r="M314" s="24" t="str">
        <f t="shared" si="39"/>
        <v/>
      </c>
      <c r="N314" s="25" t="str">
        <f t="shared" si="40"/>
        <v/>
      </c>
      <c r="O314" s="26" t="str">
        <f>RTD("cqg.rtd",,"StudyData","FPVol(FootprintOp ("&amp;$B$3&amp;", 0),"&amp;L314&amp;")", "Bar",, "Close","D","0","all",,,,"T")</f>
        <v/>
      </c>
      <c r="P314" s="27" t="str">
        <f t="shared" si="41"/>
        <v/>
      </c>
      <c r="Q314" s="22" t="str">
        <f t="shared" si="42"/>
        <v/>
      </c>
      <c r="R314" s="22" t="str">
        <f t="shared" si="43"/>
        <v/>
      </c>
    </row>
    <row r="315" spans="12:18" x14ac:dyDescent="0.3">
      <c r="L315" s="23" t="str">
        <f t="shared" si="38"/>
        <v>2662.00</v>
      </c>
      <c r="M315" s="24" t="str">
        <f t="shared" si="39"/>
        <v/>
      </c>
      <c r="N315" s="25" t="str">
        <f t="shared" si="40"/>
        <v/>
      </c>
      <c r="O315" s="26" t="str">
        <f>RTD("cqg.rtd",,"StudyData","FPVol(FootprintOp ("&amp;$B$3&amp;", 0),"&amp;L315&amp;")", "Bar",, "Close","D","0","all",,,,"T")</f>
        <v/>
      </c>
      <c r="P315" s="27" t="str">
        <f t="shared" si="41"/>
        <v/>
      </c>
      <c r="Q315" s="22" t="str">
        <f t="shared" si="42"/>
        <v/>
      </c>
      <c r="R315" s="22" t="str">
        <f t="shared" si="43"/>
        <v/>
      </c>
    </row>
    <row r="316" spans="12:18" x14ac:dyDescent="0.3">
      <c r="L316" s="23" t="str">
        <f t="shared" si="38"/>
        <v>2661.75</v>
      </c>
      <c r="M316" s="24" t="str">
        <f t="shared" si="39"/>
        <v/>
      </c>
      <c r="N316" s="25" t="str">
        <f t="shared" si="40"/>
        <v/>
      </c>
      <c r="O316" s="26" t="str">
        <f>RTD("cqg.rtd",,"StudyData","FPVol(FootprintOp ("&amp;$B$3&amp;", 0),"&amp;L316&amp;")", "Bar",, "Close","D","0","all",,,,"T")</f>
        <v/>
      </c>
      <c r="P316" s="27" t="str">
        <f t="shared" si="41"/>
        <v/>
      </c>
      <c r="Q316" s="22" t="str">
        <f t="shared" si="42"/>
        <v/>
      </c>
      <c r="R316" s="22" t="str">
        <f t="shared" si="43"/>
        <v/>
      </c>
    </row>
    <row r="317" spans="12:18" x14ac:dyDescent="0.3">
      <c r="L317" s="23" t="str">
        <f t="shared" si="38"/>
        <v>2661.50</v>
      </c>
      <c r="M317" s="24" t="str">
        <f t="shared" si="39"/>
        <v/>
      </c>
      <c r="N317" s="25" t="str">
        <f t="shared" si="40"/>
        <v/>
      </c>
      <c r="O317" s="26" t="str">
        <f>RTD("cqg.rtd",,"StudyData","FPVol(FootprintOp ("&amp;$B$3&amp;", 0),"&amp;L317&amp;")", "Bar",, "Close","D","0","all",,,,"T")</f>
        <v/>
      </c>
      <c r="P317" s="27" t="str">
        <f t="shared" si="41"/>
        <v/>
      </c>
      <c r="Q317" s="22" t="str">
        <f t="shared" si="42"/>
        <v/>
      </c>
      <c r="R317" s="22" t="str">
        <f t="shared" si="43"/>
        <v/>
      </c>
    </row>
    <row r="318" spans="12:18" x14ac:dyDescent="0.3">
      <c r="L318" s="23" t="str">
        <f t="shared" si="38"/>
        <v>2661.25</v>
      </c>
      <c r="M318" s="24" t="str">
        <f t="shared" si="39"/>
        <v/>
      </c>
      <c r="N318" s="25" t="str">
        <f t="shared" si="40"/>
        <v/>
      </c>
      <c r="O318" s="26" t="str">
        <f>RTD("cqg.rtd",,"StudyData","FPVol(FootprintOp ("&amp;$B$3&amp;", 0),"&amp;L318&amp;")", "Bar",, "Close","D","0","all",,,,"T")</f>
        <v/>
      </c>
      <c r="P318" s="27" t="str">
        <f t="shared" si="41"/>
        <v/>
      </c>
      <c r="Q318" s="22" t="str">
        <f t="shared" si="42"/>
        <v/>
      </c>
      <c r="R318" s="22" t="str">
        <f t="shared" si="43"/>
        <v/>
      </c>
    </row>
    <row r="319" spans="12:18" x14ac:dyDescent="0.3">
      <c r="L319" s="23" t="str">
        <f t="shared" si="38"/>
        <v>2661.00</v>
      </c>
      <c r="M319" s="24" t="str">
        <f t="shared" si="39"/>
        <v/>
      </c>
      <c r="N319" s="25" t="str">
        <f t="shared" si="40"/>
        <v/>
      </c>
      <c r="O319" s="26" t="str">
        <f>RTD("cqg.rtd",,"StudyData","FPVol(FootprintOp ("&amp;$B$3&amp;", 0),"&amp;L319&amp;")", "Bar",, "Close","D","0","all",,,,"T")</f>
        <v/>
      </c>
      <c r="P319" s="27" t="str">
        <f t="shared" si="41"/>
        <v/>
      </c>
      <c r="Q319" s="22" t="str">
        <f t="shared" si="42"/>
        <v/>
      </c>
      <c r="R319" s="22" t="str">
        <f t="shared" si="43"/>
        <v/>
      </c>
    </row>
    <row r="320" spans="12:18" x14ac:dyDescent="0.3">
      <c r="L320" s="23" t="str">
        <f t="shared" si="38"/>
        <v>2660.75</v>
      </c>
      <c r="M320" s="24" t="str">
        <f t="shared" si="39"/>
        <v/>
      </c>
      <c r="N320" s="25" t="str">
        <f t="shared" si="40"/>
        <v/>
      </c>
      <c r="O320" s="26" t="str">
        <f>RTD("cqg.rtd",,"StudyData","FPVol(FootprintOp ("&amp;$B$3&amp;", 0),"&amp;L320&amp;")", "Bar",, "Close","D","0","all",,,,"T")</f>
        <v/>
      </c>
      <c r="P320" s="27" t="str">
        <f t="shared" si="41"/>
        <v/>
      </c>
      <c r="Q320" s="22" t="str">
        <f t="shared" si="42"/>
        <v/>
      </c>
      <c r="R320" s="22" t="str">
        <f t="shared" si="43"/>
        <v/>
      </c>
    </row>
    <row r="321" spans="7:18" x14ac:dyDescent="0.3">
      <c r="L321" s="23" t="str">
        <f t="shared" si="38"/>
        <v>2660.50</v>
      </c>
      <c r="M321" s="24" t="str">
        <f t="shared" si="39"/>
        <v/>
      </c>
      <c r="N321" s="25" t="str">
        <f t="shared" si="40"/>
        <v/>
      </c>
      <c r="O321" s="26" t="str">
        <f>RTD("cqg.rtd",,"StudyData","FPVol(FootprintOp ("&amp;$B$3&amp;", 0),"&amp;L321&amp;")", "Bar",, "Close","D","0","all",,,,"T")</f>
        <v/>
      </c>
      <c r="P321" s="27" t="str">
        <f t="shared" si="41"/>
        <v/>
      </c>
      <c r="Q321" s="22" t="str">
        <f t="shared" si="42"/>
        <v/>
      </c>
      <c r="R321" s="22" t="str">
        <f t="shared" si="43"/>
        <v/>
      </c>
    </row>
    <row r="322" spans="7:18" x14ac:dyDescent="0.3">
      <c r="L322" s="23" t="str">
        <f t="shared" si="38"/>
        <v>2660.25</v>
      </c>
      <c r="M322" s="24" t="str">
        <f t="shared" si="39"/>
        <v/>
      </c>
      <c r="N322" s="25" t="str">
        <f t="shared" si="40"/>
        <v/>
      </c>
      <c r="O322" s="26" t="str">
        <f>RTD("cqg.rtd",,"StudyData","FPVol(FootprintOp ("&amp;$B$3&amp;", 0),"&amp;L322&amp;")", "Bar",, "Close","D","0","all",,,,"T")</f>
        <v/>
      </c>
      <c r="P322" s="27" t="str">
        <f t="shared" si="41"/>
        <v/>
      </c>
      <c r="Q322" s="22" t="str">
        <f t="shared" si="42"/>
        <v/>
      </c>
      <c r="R322" s="22" t="str">
        <f t="shared" si="43"/>
        <v/>
      </c>
    </row>
    <row r="323" spans="7:18" x14ac:dyDescent="0.3">
      <c r="L323" s="23" t="str">
        <f t="shared" ref="L323:L386" si="44">TEXT(ROUND(L322,$C$8)-$C$3,$D$8)</f>
        <v>2660.00</v>
      </c>
      <c r="M323" s="24" t="str">
        <f t="shared" si="39"/>
        <v/>
      </c>
      <c r="N323" s="25" t="str">
        <f t="shared" si="40"/>
        <v/>
      </c>
      <c r="O323" s="26" t="str">
        <f>RTD("cqg.rtd",,"StudyData","FPVol(FootprintOp ("&amp;$B$3&amp;", 0),"&amp;L323&amp;")", "Bar",, "Close","D","0","all",,,,"T")</f>
        <v/>
      </c>
      <c r="P323" s="27" t="str">
        <f t="shared" si="41"/>
        <v/>
      </c>
      <c r="Q323" s="22" t="str">
        <f t="shared" si="42"/>
        <v/>
      </c>
      <c r="R323" s="22" t="str">
        <f t="shared" si="43"/>
        <v/>
      </c>
    </row>
    <row r="324" spans="7:18" x14ac:dyDescent="0.3">
      <c r="L324" s="23" t="str">
        <f t="shared" si="44"/>
        <v>2659.75</v>
      </c>
      <c r="M324" s="24" t="str">
        <f t="shared" si="39"/>
        <v/>
      </c>
      <c r="N324" s="25" t="str">
        <f t="shared" si="40"/>
        <v/>
      </c>
      <c r="O324" s="26" t="str">
        <f>RTD("cqg.rtd",,"StudyData","FPVol(FootprintOp ("&amp;$B$3&amp;", 0),"&amp;L324&amp;")", "Bar",, "Close","D","0","all",,,,"T")</f>
        <v/>
      </c>
      <c r="P324" s="27" t="str">
        <f t="shared" si="41"/>
        <v/>
      </c>
      <c r="Q324" s="22" t="str">
        <f t="shared" si="42"/>
        <v/>
      </c>
      <c r="R324" s="22" t="str">
        <f t="shared" si="43"/>
        <v/>
      </c>
    </row>
    <row r="325" spans="7:18" x14ac:dyDescent="0.3">
      <c r="L325" s="23" t="str">
        <f t="shared" si="44"/>
        <v>2659.50</v>
      </c>
      <c r="M325" s="24" t="str">
        <f t="shared" si="39"/>
        <v/>
      </c>
      <c r="N325" s="25" t="str">
        <f t="shared" si="40"/>
        <v/>
      </c>
      <c r="O325" s="26" t="str">
        <f>RTD("cqg.rtd",,"StudyData","FPVol(FootprintOp ("&amp;$B$3&amp;", 0),"&amp;L325&amp;")", "Bar",, "Close","D","0","all",,,,"T")</f>
        <v/>
      </c>
      <c r="P325" s="27" t="str">
        <f t="shared" si="41"/>
        <v/>
      </c>
      <c r="Q325" s="22" t="str">
        <f t="shared" si="42"/>
        <v/>
      </c>
      <c r="R325" s="22" t="str">
        <f t="shared" si="43"/>
        <v/>
      </c>
    </row>
    <row r="326" spans="7:18" x14ac:dyDescent="0.3">
      <c r="L326" s="23" t="str">
        <f t="shared" si="44"/>
        <v>2659.25</v>
      </c>
      <c r="M326" s="24" t="str">
        <f t="shared" si="39"/>
        <v/>
      </c>
      <c r="N326" s="25" t="str">
        <f t="shared" si="40"/>
        <v/>
      </c>
      <c r="O326" s="26" t="str">
        <f>RTD("cqg.rtd",,"StudyData","FPVol(FootprintOp ("&amp;$B$3&amp;", 0),"&amp;L326&amp;")", "Bar",, "Close","D","0","all",,,,"T")</f>
        <v/>
      </c>
      <c r="P326" s="27" t="str">
        <f t="shared" si="41"/>
        <v/>
      </c>
      <c r="Q326" s="22" t="str">
        <f t="shared" si="42"/>
        <v/>
      </c>
      <c r="R326" s="22" t="str">
        <f t="shared" si="43"/>
        <v/>
      </c>
    </row>
    <row r="327" spans="7:18" x14ac:dyDescent="0.3">
      <c r="L327" s="23" t="str">
        <f t="shared" si="44"/>
        <v>2659.00</v>
      </c>
      <c r="M327" s="24" t="str">
        <f t="shared" ref="M327:M390" si="45">P327</f>
        <v/>
      </c>
      <c r="N327" s="25" t="str">
        <f t="shared" ref="N327:N390" si="46">Q327</f>
        <v/>
      </c>
      <c r="O327" s="26" t="str">
        <f>RTD("cqg.rtd",,"StudyData","FPVol(FootprintOp ("&amp;$B$3&amp;", 0),"&amp;L327&amp;")", "Bar",, "Close","D","0","all",,,,"T")</f>
        <v/>
      </c>
      <c r="P327" s="27" t="str">
        <f t="shared" ref="P327:P390" si="47">IF(L327=$B$4,$B$5,"")</f>
        <v/>
      </c>
      <c r="Q327" s="22" t="str">
        <f t="shared" ref="Q327:Q390" si="48">IF(L327=$C$4,$C$5,"")</f>
        <v/>
      </c>
      <c r="R327" s="22" t="str">
        <f t="shared" ref="R327:R390" si="49">O327</f>
        <v/>
      </c>
    </row>
    <row r="328" spans="7:18" x14ac:dyDescent="0.3">
      <c r="G328" s="32"/>
      <c r="L328" s="23" t="str">
        <f t="shared" si="44"/>
        <v>2658.75</v>
      </c>
      <c r="M328" s="24" t="str">
        <f t="shared" si="45"/>
        <v/>
      </c>
      <c r="N328" s="25" t="str">
        <f t="shared" si="46"/>
        <v/>
      </c>
      <c r="O328" s="26" t="str">
        <f>RTD("cqg.rtd",,"StudyData","FPVol(FootprintOp ("&amp;$B$3&amp;", 0),"&amp;L328&amp;")", "Bar",, "Close","D","0","all",,,,"T")</f>
        <v/>
      </c>
      <c r="P328" s="27" t="str">
        <f t="shared" si="47"/>
        <v/>
      </c>
      <c r="Q328" s="22" t="str">
        <f t="shared" si="48"/>
        <v/>
      </c>
      <c r="R328" s="22" t="str">
        <f t="shared" si="49"/>
        <v/>
      </c>
    </row>
    <row r="329" spans="7:18" x14ac:dyDescent="0.3">
      <c r="L329" s="23" t="str">
        <f t="shared" si="44"/>
        <v>2658.50</v>
      </c>
      <c r="M329" s="24" t="str">
        <f t="shared" si="45"/>
        <v/>
      </c>
      <c r="N329" s="25" t="str">
        <f t="shared" si="46"/>
        <v/>
      </c>
      <c r="O329" s="26" t="str">
        <f>RTD("cqg.rtd",,"StudyData","FPVol(FootprintOp ("&amp;$B$3&amp;", 0),"&amp;L329&amp;")", "Bar",, "Close","D","0","all",,,,"T")</f>
        <v/>
      </c>
      <c r="P329" s="27" t="str">
        <f t="shared" si="47"/>
        <v/>
      </c>
      <c r="Q329" s="22" t="str">
        <f t="shared" si="48"/>
        <v/>
      </c>
      <c r="R329" s="22" t="str">
        <f t="shared" si="49"/>
        <v/>
      </c>
    </row>
    <row r="330" spans="7:18" x14ac:dyDescent="0.3">
      <c r="L330" s="23" t="str">
        <f t="shared" si="44"/>
        <v>2658.25</v>
      </c>
      <c r="M330" s="24" t="str">
        <f t="shared" si="45"/>
        <v/>
      </c>
      <c r="N330" s="25" t="str">
        <f t="shared" si="46"/>
        <v/>
      </c>
      <c r="O330" s="26" t="str">
        <f>RTD("cqg.rtd",,"StudyData","FPVol(FootprintOp ("&amp;$B$3&amp;", 0),"&amp;L330&amp;")", "Bar",, "Close","D","0","all",,,,"T")</f>
        <v/>
      </c>
      <c r="P330" s="27" t="str">
        <f t="shared" si="47"/>
        <v/>
      </c>
      <c r="Q330" s="22" t="str">
        <f t="shared" si="48"/>
        <v/>
      </c>
      <c r="R330" s="22" t="str">
        <f t="shared" si="49"/>
        <v/>
      </c>
    </row>
    <row r="331" spans="7:18" x14ac:dyDescent="0.3">
      <c r="L331" s="23" t="str">
        <f t="shared" si="44"/>
        <v>2658.00</v>
      </c>
      <c r="M331" s="24" t="str">
        <f t="shared" si="45"/>
        <v/>
      </c>
      <c r="N331" s="25" t="str">
        <f t="shared" si="46"/>
        <v/>
      </c>
      <c r="O331" s="26" t="str">
        <f>RTD("cqg.rtd",,"StudyData","FPVol(FootprintOp ("&amp;$B$3&amp;", 0),"&amp;L331&amp;")", "Bar",, "Close","D","0","all",,,,"T")</f>
        <v/>
      </c>
      <c r="P331" s="27" t="str">
        <f t="shared" si="47"/>
        <v/>
      </c>
      <c r="Q331" s="22" t="str">
        <f t="shared" si="48"/>
        <v/>
      </c>
      <c r="R331" s="22" t="str">
        <f t="shared" si="49"/>
        <v/>
      </c>
    </row>
    <row r="332" spans="7:18" x14ac:dyDescent="0.3">
      <c r="L332" s="23" t="str">
        <f t="shared" si="44"/>
        <v>2657.75</v>
      </c>
      <c r="M332" s="24" t="str">
        <f t="shared" si="45"/>
        <v/>
      </c>
      <c r="N332" s="25" t="str">
        <f t="shared" si="46"/>
        <v/>
      </c>
      <c r="O332" s="26" t="str">
        <f>RTD("cqg.rtd",,"StudyData","FPVol(FootprintOp ("&amp;$B$3&amp;", 0),"&amp;L332&amp;")", "Bar",, "Close","D","0","all",,,,"T")</f>
        <v/>
      </c>
      <c r="P332" s="27" t="str">
        <f t="shared" si="47"/>
        <v/>
      </c>
      <c r="Q332" s="22" t="str">
        <f t="shared" si="48"/>
        <v/>
      </c>
      <c r="R332" s="22" t="str">
        <f t="shared" si="49"/>
        <v/>
      </c>
    </row>
    <row r="333" spans="7:18" x14ac:dyDescent="0.3">
      <c r="L333" s="23" t="str">
        <f t="shared" si="44"/>
        <v>2657.50</v>
      </c>
      <c r="M333" s="24" t="str">
        <f t="shared" si="45"/>
        <v/>
      </c>
      <c r="N333" s="25" t="str">
        <f t="shared" si="46"/>
        <v/>
      </c>
      <c r="O333" s="26" t="str">
        <f>RTD("cqg.rtd",,"StudyData","FPVol(FootprintOp ("&amp;$B$3&amp;", 0),"&amp;L333&amp;")", "Bar",, "Close","D","0","all",,,,"T")</f>
        <v/>
      </c>
      <c r="P333" s="27" t="str">
        <f t="shared" si="47"/>
        <v/>
      </c>
      <c r="Q333" s="22" t="str">
        <f t="shared" si="48"/>
        <v/>
      </c>
      <c r="R333" s="22" t="str">
        <f t="shared" si="49"/>
        <v/>
      </c>
    </row>
    <row r="334" spans="7:18" x14ac:dyDescent="0.3">
      <c r="L334" s="23" t="str">
        <f t="shared" si="44"/>
        <v>2657.25</v>
      </c>
      <c r="M334" s="24" t="str">
        <f t="shared" si="45"/>
        <v/>
      </c>
      <c r="N334" s="25" t="str">
        <f t="shared" si="46"/>
        <v/>
      </c>
      <c r="O334" s="26" t="str">
        <f>RTD("cqg.rtd",,"StudyData","FPVol(FootprintOp ("&amp;$B$3&amp;", 0),"&amp;L334&amp;")", "Bar",, "Close","D","0","all",,,,"T")</f>
        <v/>
      </c>
      <c r="P334" s="27" t="str">
        <f t="shared" si="47"/>
        <v/>
      </c>
      <c r="Q334" s="22" t="str">
        <f t="shared" si="48"/>
        <v/>
      </c>
      <c r="R334" s="22" t="str">
        <f t="shared" si="49"/>
        <v/>
      </c>
    </row>
    <row r="335" spans="7:18" x14ac:dyDescent="0.3">
      <c r="L335" s="23" t="str">
        <f t="shared" si="44"/>
        <v>2657.00</v>
      </c>
      <c r="M335" s="24" t="str">
        <f t="shared" si="45"/>
        <v/>
      </c>
      <c r="N335" s="25" t="str">
        <f t="shared" si="46"/>
        <v/>
      </c>
      <c r="O335" s="26" t="str">
        <f>RTD("cqg.rtd",,"StudyData","FPVol(FootprintOp ("&amp;$B$3&amp;", 0),"&amp;L335&amp;")", "Bar",, "Close","D","0","all",,,,"T")</f>
        <v/>
      </c>
      <c r="P335" s="27" t="str">
        <f t="shared" si="47"/>
        <v/>
      </c>
      <c r="Q335" s="22" t="str">
        <f t="shared" si="48"/>
        <v/>
      </c>
      <c r="R335" s="22" t="str">
        <f t="shared" si="49"/>
        <v/>
      </c>
    </row>
    <row r="336" spans="7:18" x14ac:dyDescent="0.3">
      <c r="L336" s="23" t="str">
        <f t="shared" si="44"/>
        <v>2656.75</v>
      </c>
      <c r="M336" s="24" t="str">
        <f t="shared" si="45"/>
        <v/>
      </c>
      <c r="N336" s="25" t="str">
        <f t="shared" si="46"/>
        <v/>
      </c>
      <c r="O336" s="26" t="str">
        <f>RTD("cqg.rtd",,"StudyData","FPVol(FootprintOp ("&amp;$B$3&amp;", 0),"&amp;L336&amp;")", "Bar",, "Close","D","0","all",,,,"T")</f>
        <v/>
      </c>
      <c r="P336" s="27" t="str">
        <f t="shared" si="47"/>
        <v/>
      </c>
      <c r="Q336" s="22" t="str">
        <f t="shared" si="48"/>
        <v/>
      </c>
      <c r="R336" s="22" t="str">
        <f t="shared" si="49"/>
        <v/>
      </c>
    </row>
    <row r="337" spans="12:18" x14ac:dyDescent="0.3">
      <c r="L337" s="23" t="str">
        <f t="shared" si="44"/>
        <v>2656.50</v>
      </c>
      <c r="M337" s="24" t="str">
        <f t="shared" si="45"/>
        <v/>
      </c>
      <c r="N337" s="25" t="str">
        <f t="shared" si="46"/>
        <v/>
      </c>
      <c r="O337" s="26" t="str">
        <f>RTD("cqg.rtd",,"StudyData","FPVol(FootprintOp ("&amp;$B$3&amp;", 0),"&amp;L337&amp;")", "Bar",, "Close","D","0","all",,,,"T")</f>
        <v/>
      </c>
      <c r="P337" s="27" t="str">
        <f t="shared" si="47"/>
        <v/>
      </c>
      <c r="Q337" s="22" t="str">
        <f t="shared" si="48"/>
        <v/>
      </c>
      <c r="R337" s="22" t="str">
        <f t="shared" si="49"/>
        <v/>
      </c>
    </row>
    <row r="338" spans="12:18" x14ac:dyDescent="0.3">
      <c r="L338" s="23" t="str">
        <f t="shared" si="44"/>
        <v>2656.25</v>
      </c>
      <c r="M338" s="24" t="str">
        <f t="shared" si="45"/>
        <v/>
      </c>
      <c r="N338" s="25" t="str">
        <f t="shared" si="46"/>
        <v/>
      </c>
      <c r="O338" s="26" t="str">
        <f>RTD("cqg.rtd",,"StudyData","FPVol(FootprintOp ("&amp;$B$3&amp;", 0),"&amp;L338&amp;")", "Bar",, "Close","D","0","all",,,,"T")</f>
        <v/>
      </c>
      <c r="P338" s="27" t="str">
        <f t="shared" si="47"/>
        <v/>
      </c>
      <c r="Q338" s="22" t="str">
        <f t="shared" si="48"/>
        <v/>
      </c>
      <c r="R338" s="22" t="str">
        <f t="shared" si="49"/>
        <v/>
      </c>
    </row>
    <row r="339" spans="12:18" x14ac:dyDescent="0.3">
      <c r="L339" s="23" t="str">
        <f t="shared" si="44"/>
        <v>2656.00</v>
      </c>
      <c r="M339" s="24" t="str">
        <f t="shared" si="45"/>
        <v/>
      </c>
      <c r="N339" s="25" t="str">
        <f t="shared" si="46"/>
        <v/>
      </c>
      <c r="O339" s="26" t="str">
        <f>RTD("cqg.rtd",,"StudyData","FPVol(FootprintOp ("&amp;$B$3&amp;", 0),"&amp;L339&amp;")", "Bar",, "Close","D","0","all",,,,"T")</f>
        <v/>
      </c>
      <c r="P339" s="27" t="str">
        <f t="shared" si="47"/>
        <v/>
      </c>
      <c r="Q339" s="22" t="str">
        <f t="shared" si="48"/>
        <v/>
      </c>
      <c r="R339" s="22" t="str">
        <f t="shared" si="49"/>
        <v/>
      </c>
    </row>
    <row r="340" spans="12:18" x14ac:dyDescent="0.3">
      <c r="L340" s="23" t="str">
        <f t="shared" si="44"/>
        <v>2655.75</v>
      </c>
      <c r="M340" s="24" t="str">
        <f t="shared" si="45"/>
        <v/>
      </c>
      <c r="N340" s="25" t="str">
        <f t="shared" si="46"/>
        <v/>
      </c>
      <c r="O340" s="26" t="str">
        <f>RTD("cqg.rtd",,"StudyData","FPVol(FootprintOp ("&amp;$B$3&amp;", 0),"&amp;L340&amp;")", "Bar",, "Close","D","0","all",,,,"T")</f>
        <v/>
      </c>
      <c r="P340" s="27" t="str">
        <f t="shared" si="47"/>
        <v/>
      </c>
      <c r="Q340" s="22" t="str">
        <f t="shared" si="48"/>
        <v/>
      </c>
      <c r="R340" s="22" t="str">
        <f t="shared" si="49"/>
        <v/>
      </c>
    </row>
    <row r="341" spans="12:18" x14ac:dyDescent="0.3">
      <c r="L341" s="23" t="str">
        <f t="shared" si="44"/>
        <v>2655.50</v>
      </c>
      <c r="M341" s="24" t="str">
        <f t="shared" si="45"/>
        <v/>
      </c>
      <c r="N341" s="25" t="str">
        <f t="shared" si="46"/>
        <v/>
      </c>
      <c r="O341" s="26" t="str">
        <f>RTD("cqg.rtd",,"StudyData","FPVol(FootprintOp ("&amp;$B$3&amp;", 0),"&amp;L341&amp;")", "Bar",, "Close","D","0","all",,,,"T")</f>
        <v/>
      </c>
      <c r="P341" s="27" t="str">
        <f t="shared" si="47"/>
        <v/>
      </c>
      <c r="Q341" s="22" t="str">
        <f t="shared" si="48"/>
        <v/>
      </c>
      <c r="R341" s="22" t="str">
        <f t="shared" si="49"/>
        <v/>
      </c>
    </row>
    <row r="342" spans="12:18" x14ac:dyDescent="0.3">
      <c r="L342" s="23" t="str">
        <f t="shared" si="44"/>
        <v>2655.25</v>
      </c>
      <c r="M342" s="24" t="str">
        <f t="shared" si="45"/>
        <v/>
      </c>
      <c r="N342" s="25" t="str">
        <f t="shared" si="46"/>
        <v/>
      </c>
      <c r="O342" s="26" t="str">
        <f>RTD("cqg.rtd",,"StudyData","FPVol(FootprintOp ("&amp;$B$3&amp;", 0),"&amp;L342&amp;")", "Bar",, "Close","D","0","all",,,,"T")</f>
        <v/>
      </c>
      <c r="P342" s="27" t="str">
        <f t="shared" si="47"/>
        <v/>
      </c>
      <c r="Q342" s="22" t="str">
        <f t="shared" si="48"/>
        <v/>
      </c>
      <c r="R342" s="22" t="str">
        <f t="shared" si="49"/>
        <v/>
      </c>
    </row>
    <row r="343" spans="12:18" x14ac:dyDescent="0.3">
      <c r="L343" s="23" t="str">
        <f t="shared" si="44"/>
        <v>2655.00</v>
      </c>
      <c r="M343" s="24" t="str">
        <f t="shared" si="45"/>
        <v/>
      </c>
      <c r="N343" s="25" t="str">
        <f t="shared" si="46"/>
        <v/>
      </c>
      <c r="O343" s="26" t="str">
        <f>RTD("cqg.rtd",,"StudyData","FPVol(FootprintOp ("&amp;$B$3&amp;", 0),"&amp;L343&amp;")", "Bar",, "Close","D","0","all",,,,"T")</f>
        <v/>
      </c>
      <c r="P343" s="27" t="str">
        <f t="shared" si="47"/>
        <v/>
      </c>
      <c r="Q343" s="22" t="str">
        <f t="shared" si="48"/>
        <v/>
      </c>
      <c r="R343" s="22" t="str">
        <f t="shared" si="49"/>
        <v/>
      </c>
    </row>
    <row r="344" spans="12:18" x14ac:dyDescent="0.3">
      <c r="L344" s="23" t="str">
        <f t="shared" si="44"/>
        <v>2654.75</v>
      </c>
      <c r="M344" s="24" t="str">
        <f t="shared" si="45"/>
        <v/>
      </c>
      <c r="N344" s="25" t="str">
        <f t="shared" si="46"/>
        <v/>
      </c>
      <c r="O344" s="26" t="str">
        <f>RTD("cqg.rtd",,"StudyData","FPVol(FootprintOp ("&amp;$B$3&amp;", 0),"&amp;L344&amp;")", "Bar",, "Close","D","0","all",,,,"T")</f>
        <v/>
      </c>
      <c r="P344" s="27" t="str">
        <f t="shared" si="47"/>
        <v/>
      </c>
      <c r="Q344" s="22" t="str">
        <f t="shared" si="48"/>
        <v/>
      </c>
      <c r="R344" s="22" t="str">
        <f t="shared" si="49"/>
        <v/>
      </c>
    </row>
    <row r="345" spans="12:18" x14ac:dyDescent="0.3">
      <c r="L345" s="23" t="str">
        <f t="shared" si="44"/>
        <v>2654.50</v>
      </c>
      <c r="M345" s="24" t="str">
        <f t="shared" si="45"/>
        <v/>
      </c>
      <c r="N345" s="25" t="str">
        <f t="shared" si="46"/>
        <v/>
      </c>
      <c r="O345" s="26" t="str">
        <f>RTD("cqg.rtd",,"StudyData","FPVol(FootprintOp ("&amp;$B$3&amp;", 0),"&amp;L345&amp;")", "Bar",, "Close","D","0","all",,,,"T")</f>
        <v/>
      </c>
      <c r="P345" s="27" t="str">
        <f t="shared" si="47"/>
        <v/>
      </c>
      <c r="Q345" s="22" t="str">
        <f t="shared" si="48"/>
        <v/>
      </c>
      <c r="R345" s="22" t="str">
        <f t="shared" si="49"/>
        <v/>
      </c>
    </row>
    <row r="346" spans="12:18" x14ac:dyDescent="0.3">
      <c r="L346" s="23" t="str">
        <f t="shared" si="44"/>
        <v>2654.25</v>
      </c>
      <c r="M346" s="24" t="str">
        <f t="shared" si="45"/>
        <v/>
      </c>
      <c r="N346" s="25" t="str">
        <f t="shared" si="46"/>
        <v/>
      </c>
      <c r="O346" s="26" t="str">
        <f>RTD("cqg.rtd",,"StudyData","FPVol(FootprintOp ("&amp;$B$3&amp;", 0),"&amp;L346&amp;")", "Bar",, "Close","D","0","all",,,,"T")</f>
        <v/>
      </c>
      <c r="P346" s="27" t="str">
        <f t="shared" si="47"/>
        <v/>
      </c>
      <c r="Q346" s="22" t="str">
        <f t="shared" si="48"/>
        <v/>
      </c>
      <c r="R346" s="22" t="str">
        <f t="shared" si="49"/>
        <v/>
      </c>
    </row>
    <row r="347" spans="12:18" x14ac:dyDescent="0.3">
      <c r="L347" s="23" t="str">
        <f t="shared" si="44"/>
        <v>2654.00</v>
      </c>
      <c r="M347" s="24" t="str">
        <f t="shared" si="45"/>
        <v/>
      </c>
      <c r="N347" s="25" t="str">
        <f t="shared" si="46"/>
        <v/>
      </c>
      <c r="O347" s="26" t="str">
        <f>RTD("cqg.rtd",,"StudyData","FPVol(FootprintOp ("&amp;$B$3&amp;", 0),"&amp;L347&amp;")", "Bar",, "Close","D","0","all",,,,"T")</f>
        <v/>
      </c>
      <c r="P347" s="27" t="str">
        <f t="shared" si="47"/>
        <v/>
      </c>
      <c r="Q347" s="22" t="str">
        <f t="shared" si="48"/>
        <v/>
      </c>
      <c r="R347" s="22" t="str">
        <f t="shared" si="49"/>
        <v/>
      </c>
    </row>
    <row r="348" spans="12:18" x14ac:dyDescent="0.3">
      <c r="L348" s="23" t="str">
        <f t="shared" si="44"/>
        <v>2653.75</v>
      </c>
      <c r="M348" s="24" t="str">
        <f t="shared" si="45"/>
        <v/>
      </c>
      <c r="N348" s="25" t="str">
        <f t="shared" si="46"/>
        <v/>
      </c>
      <c r="O348" s="26" t="str">
        <f>RTD("cqg.rtd",,"StudyData","FPVol(FootprintOp ("&amp;$B$3&amp;", 0),"&amp;L348&amp;")", "Bar",, "Close","D","0","all",,,,"T")</f>
        <v/>
      </c>
      <c r="P348" s="27" t="str">
        <f t="shared" si="47"/>
        <v/>
      </c>
      <c r="Q348" s="22" t="str">
        <f t="shared" si="48"/>
        <v/>
      </c>
      <c r="R348" s="22" t="str">
        <f t="shared" si="49"/>
        <v/>
      </c>
    </row>
    <row r="349" spans="12:18" x14ac:dyDescent="0.3">
      <c r="L349" s="23" t="str">
        <f t="shared" si="44"/>
        <v>2653.50</v>
      </c>
      <c r="M349" s="24" t="str">
        <f t="shared" si="45"/>
        <v/>
      </c>
      <c r="N349" s="25" t="str">
        <f t="shared" si="46"/>
        <v/>
      </c>
      <c r="O349" s="26" t="str">
        <f>RTD("cqg.rtd",,"StudyData","FPVol(FootprintOp ("&amp;$B$3&amp;", 0),"&amp;L349&amp;")", "Bar",, "Close","D","0","all",,,,"T")</f>
        <v/>
      </c>
      <c r="P349" s="27" t="str">
        <f t="shared" si="47"/>
        <v/>
      </c>
      <c r="Q349" s="22" t="str">
        <f t="shared" si="48"/>
        <v/>
      </c>
      <c r="R349" s="22" t="str">
        <f t="shared" si="49"/>
        <v/>
      </c>
    </row>
    <row r="350" spans="12:18" x14ac:dyDescent="0.3">
      <c r="L350" s="23" t="str">
        <f t="shared" si="44"/>
        <v>2653.25</v>
      </c>
      <c r="M350" s="24" t="str">
        <f t="shared" si="45"/>
        <v/>
      </c>
      <c r="N350" s="25" t="str">
        <f t="shared" si="46"/>
        <v/>
      </c>
      <c r="O350" s="26" t="str">
        <f>RTD("cqg.rtd",,"StudyData","FPVol(FootprintOp ("&amp;$B$3&amp;", 0),"&amp;L350&amp;")", "Bar",, "Close","D","0","all",,,,"T")</f>
        <v/>
      </c>
      <c r="P350" s="27" t="str">
        <f t="shared" si="47"/>
        <v/>
      </c>
      <c r="Q350" s="22" t="str">
        <f t="shared" si="48"/>
        <v/>
      </c>
      <c r="R350" s="22" t="str">
        <f t="shared" si="49"/>
        <v/>
      </c>
    </row>
    <row r="351" spans="12:18" x14ac:dyDescent="0.3">
      <c r="L351" s="23" t="str">
        <f t="shared" si="44"/>
        <v>2653.00</v>
      </c>
      <c r="M351" s="24" t="str">
        <f t="shared" si="45"/>
        <v/>
      </c>
      <c r="N351" s="25" t="str">
        <f t="shared" si="46"/>
        <v/>
      </c>
      <c r="O351" s="26" t="str">
        <f>RTD("cqg.rtd",,"StudyData","FPVol(FootprintOp ("&amp;$B$3&amp;", 0),"&amp;L351&amp;")", "Bar",, "Close","D","0","all",,,,"T")</f>
        <v/>
      </c>
      <c r="P351" s="27" t="str">
        <f t="shared" si="47"/>
        <v/>
      </c>
      <c r="Q351" s="22" t="str">
        <f t="shared" si="48"/>
        <v/>
      </c>
      <c r="R351" s="22" t="str">
        <f t="shared" si="49"/>
        <v/>
      </c>
    </row>
    <row r="352" spans="12:18" x14ac:dyDescent="0.3">
      <c r="L352" s="23" t="str">
        <f t="shared" si="44"/>
        <v>2652.75</v>
      </c>
      <c r="M352" s="24" t="str">
        <f t="shared" si="45"/>
        <v/>
      </c>
      <c r="N352" s="25" t="str">
        <f t="shared" si="46"/>
        <v/>
      </c>
      <c r="O352" s="26" t="str">
        <f>RTD("cqg.rtd",,"StudyData","FPVol(FootprintOp ("&amp;$B$3&amp;", 0),"&amp;L352&amp;")", "Bar",, "Close","D","0","all",,,,"T")</f>
        <v/>
      </c>
      <c r="P352" s="27" t="str">
        <f t="shared" si="47"/>
        <v/>
      </c>
      <c r="Q352" s="22" t="str">
        <f t="shared" si="48"/>
        <v/>
      </c>
      <c r="R352" s="22" t="str">
        <f t="shared" si="49"/>
        <v/>
      </c>
    </row>
    <row r="353" spans="12:18" x14ac:dyDescent="0.3">
      <c r="L353" s="23" t="str">
        <f t="shared" si="44"/>
        <v>2652.50</v>
      </c>
      <c r="M353" s="24" t="str">
        <f t="shared" si="45"/>
        <v/>
      </c>
      <c r="N353" s="25" t="str">
        <f t="shared" si="46"/>
        <v/>
      </c>
      <c r="O353" s="26" t="str">
        <f>RTD("cqg.rtd",,"StudyData","FPVol(FootprintOp ("&amp;$B$3&amp;", 0),"&amp;L353&amp;")", "Bar",, "Close","D","0","all",,,,"T")</f>
        <v/>
      </c>
      <c r="P353" s="27" t="str">
        <f t="shared" si="47"/>
        <v/>
      </c>
      <c r="Q353" s="22" t="str">
        <f t="shared" si="48"/>
        <v/>
      </c>
      <c r="R353" s="22" t="str">
        <f t="shared" si="49"/>
        <v/>
      </c>
    </row>
    <row r="354" spans="12:18" x14ac:dyDescent="0.3">
      <c r="L354" s="23" t="str">
        <f t="shared" si="44"/>
        <v>2652.25</v>
      </c>
      <c r="M354" s="24" t="str">
        <f t="shared" si="45"/>
        <v/>
      </c>
      <c r="N354" s="25" t="str">
        <f t="shared" si="46"/>
        <v/>
      </c>
      <c r="O354" s="26" t="str">
        <f>RTD("cqg.rtd",,"StudyData","FPVol(FootprintOp ("&amp;$B$3&amp;", 0),"&amp;L354&amp;")", "Bar",, "Close","D","0","all",,,,"T")</f>
        <v/>
      </c>
      <c r="P354" s="27" t="str">
        <f t="shared" si="47"/>
        <v/>
      </c>
      <c r="Q354" s="22" t="str">
        <f t="shared" si="48"/>
        <v/>
      </c>
      <c r="R354" s="22" t="str">
        <f t="shared" si="49"/>
        <v/>
      </c>
    </row>
    <row r="355" spans="12:18" x14ac:dyDescent="0.3">
      <c r="L355" s="23" t="str">
        <f t="shared" si="44"/>
        <v>2652.00</v>
      </c>
      <c r="M355" s="24" t="str">
        <f t="shared" si="45"/>
        <v/>
      </c>
      <c r="N355" s="25" t="str">
        <f t="shared" si="46"/>
        <v/>
      </c>
      <c r="O355" s="26" t="str">
        <f>RTD("cqg.rtd",,"StudyData","FPVol(FootprintOp ("&amp;$B$3&amp;", 0),"&amp;L355&amp;")", "Bar",, "Close","D","0","all",,,,"T")</f>
        <v/>
      </c>
      <c r="P355" s="27" t="str">
        <f t="shared" si="47"/>
        <v/>
      </c>
      <c r="Q355" s="22" t="str">
        <f t="shared" si="48"/>
        <v/>
      </c>
      <c r="R355" s="22" t="str">
        <f t="shared" si="49"/>
        <v/>
      </c>
    </row>
    <row r="356" spans="12:18" x14ac:dyDescent="0.3">
      <c r="L356" s="23" t="str">
        <f t="shared" si="44"/>
        <v>2651.75</v>
      </c>
      <c r="M356" s="24" t="str">
        <f t="shared" si="45"/>
        <v/>
      </c>
      <c r="N356" s="25" t="str">
        <f t="shared" si="46"/>
        <v/>
      </c>
      <c r="O356" s="26" t="str">
        <f>RTD("cqg.rtd",,"StudyData","FPVol(FootprintOp ("&amp;$B$3&amp;", 0),"&amp;L356&amp;")", "Bar",, "Close","D","0","all",,,,"T")</f>
        <v/>
      </c>
      <c r="P356" s="27" t="str">
        <f t="shared" si="47"/>
        <v/>
      </c>
      <c r="Q356" s="22" t="str">
        <f t="shared" si="48"/>
        <v/>
      </c>
      <c r="R356" s="22" t="str">
        <f t="shared" si="49"/>
        <v/>
      </c>
    </row>
    <row r="357" spans="12:18" x14ac:dyDescent="0.3">
      <c r="L357" s="23" t="str">
        <f t="shared" si="44"/>
        <v>2651.50</v>
      </c>
      <c r="M357" s="24" t="str">
        <f t="shared" si="45"/>
        <v/>
      </c>
      <c r="N357" s="25" t="str">
        <f t="shared" si="46"/>
        <v/>
      </c>
      <c r="O357" s="26" t="str">
        <f>RTD("cqg.rtd",,"StudyData","FPVol(FootprintOp ("&amp;$B$3&amp;", 0),"&amp;L357&amp;")", "Bar",, "Close","D","0","all",,,,"T")</f>
        <v/>
      </c>
      <c r="P357" s="27" t="str">
        <f t="shared" si="47"/>
        <v/>
      </c>
      <c r="Q357" s="22" t="str">
        <f t="shared" si="48"/>
        <v/>
      </c>
      <c r="R357" s="22" t="str">
        <f t="shared" si="49"/>
        <v/>
      </c>
    </row>
    <row r="358" spans="12:18" x14ac:dyDescent="0.3">
      <c r="L358" s="23" t="str">
        <f t="shared" si="44"/>
        <v>2651.25</v>
      </c>
      <c r="M358" s="24" t="str">
        <f t="shared" si="45"/>
        <v/>
      </c>
      <c r="N358" s="25" t="str">
        <f t="shared" si="46"/>
        <v/>
      </c>
      <c r="O358" s="26" t="str">
        <f>RTD("cqg.rtd",,"StudyData","FPVol(FootprintOp ("&amp;$B$3&amp;", 0),"&amp;L358&amp;")", "Bar",, "Close","D","0","all",,,,"T")</f>
        <v/>
      </c>
      <c r="P358" s="27" t="str">
        <f t="shared" si="47"/>
        <v/>
      </c>
      <c r="Q358" s="22" t="str">
        <f t="shared" si="48"/>
        <v/>
      </c>
      <c r="R358" s="22" t="str">
        <f t="shared" si="49"/>
        <v/>
      </c>
    </row>
    <row r="359" spans="12:18" x14ac:dyDescent="0.3">
      <c r="L359" s="23" t="str">
        <f t="shared" si="44"/>
        <v>2651.00</v>
      </c>
      <c r="M359" s="24" t="str">
        <f t="shared" si="45"/>
        <v/>
      </c>
      <c r="N359" s="25" t="str">
        <f t="shared" si="46"/>
        <v/>
      </c>
      <c r="O359" s="26" t="str">
        <f>RTD("cqg.rtd",,"StudyData","FPVol(FootprintOp ("&amp;$B$3&amp;", 0),"&amp;L359&amp;")", "Bar",, "Close","D","0","all",,,,"T")</f>
        <v/>
      </c>
      <c r="P359" s="27" t="str">
        <f t="shared" si="47"/>
        <v/>
      </c>
      <c r="Q359" s="22" t="str">
        <f t="shared" si="48"/>
        <v/>
      </c>
      <c r="R359" s="22" t="str">
        <f t="shared" si="49"/>
        <v/>
      </c>
    </row>
    <row r="360" spans="12:18" x14ac:dyDescent="0.3">
      <c r="L360" s="23" t="str">
        <f t="shared" si="44"/>
        <v>2650.75</v>
      </c>
      <c r="M360" s="24" t="str">
        <f t="shared" si="45"/>
        <v/>
      </c>
      <c r="N360" s="25" t="str">
        <f t="shared" si="46"/>
        <v/>
      </c>
      <c r="O360" s="26" t="str">
        <f>RTD("cqg.rtd",,"StudyData","FPVol(FootprintOp ("&amp;$B$3&amp;", 0),"&amp;L360&amp;")", "Bar",, "Close","D","0","all",,,,"T")</f>
        <v/>
      </c>
      <c r="P360" s="27" t="str">
        <f t="shared" si="47"/>
        <v/>
      </c>
      <c r="Q360" s="22" t="str">
        <f t="shared" si="48"/>
        <v/>
      </c>
      <c r="R360" s="22" t="str">
        <f t="shared" si="49"/>
        <v/>
      </c>
    </row>
    <row r="361" spans="12:18" x14ac:dyDescent="0.3">
      <c r="L361" s="23" t="str">
        <f t="shared" si="44"/>
        <v>2650.50</v>
      </c>
      <c r="M361" s="24" t="str">
        <f t="shared" si="45"/>
        <v/>
      </c>
      <c r="N361" s="25" t="str">
        <f t="shared" si="46"/>
        <v/>
      </c>
      <c r="O361" s="26" t="str">
        <f>RTD("cqg.rtd",,"StudyData","FPVol(FootprintOp ("&amp;$B$3&amp;", 0),"&amp;L361&amp;")", "Bar",, "Close","D","0","all",,,,"T")</f>
        <v/>
      </c>
      <c r="P361" s="27" t="str">
        <f t="shared" si="47"/>
        <v/>
      </c>
      <c r="Q361" s="22" t="str">
        <f t="shared" si="48"/>
        <v/>
      </c>
      <c r="R361" s="22" t="str">
        <f t="shared" si="49"/>
        <v/>
      </c>
    </row>
    <row r="362" spans="12:18" x14ac:dyDescent="0.3">
      <c r="L362" s="23" t="str">
        <f t="shared" si="44"/>
        <v>2650.25</v>
      </c>
      <c r="M362" s="24" t="str">
        <f t="shared" si="45"/>
        <v/>
      </c>
      <c r="N362" s="25" t="str">
        <f t="shared" si="46"/>
        <v/>
      </c>
      <c r="O362" s="26" t="str">
        <f>RTD("cqg.rtd",,"StudyData","FPVol(FootprintOp ("&amp;$B$3&amp;", 0),"&amp;L362&amp;")", "Bar",, "Close","D","0","all",,,,"T")</f>
        <v/>
      </c>
      <c r="P362" s="27" t="str">
        <f t="shared" si="47"/>
        <v/>
      </c>
      <c r="Q362" s="22" t="str">
        <f t="shared" si="48"/>
        <v/>
      </c>
      <c r="R362" s="22" t="str">
        <f t="shared" si="49"/>
        <v/>
      </c>
    </row>
    <row r="363" spans="12:18" x14ac:dyDescent="0.3">
      <c r="L363" s="23" t="str">
        <f t="shared" si="44"/>
        <v>2650.00</v>
      </c>
      <c r="M363" s="24" t="str">
        <f t="shared" si="45"/>
        <v/>
      </c>
      <c r="N363" s="25" t="str">
        <f t="shared" si="46"/>
        <v/>
      </c>
      <c r="O363" s="26" t="str">
        <f>RTD("cqg.rtd",,"StudyData","FPVol(FootprintOp ("&amp;$B$3&amp;", 0),"&amp;L363&amp;")", "Bar",, "Close","D","0","all",,,,"T")</f>
        <v/>
      </c>
      <c r="P363" s="27" t="str">
        <f t="shared" si="47"/>
        <v/>
      </c>
      <c r="Q363" s="22" t="str">
        <f t="shared" si="48"/>
        <v/>
      </c>
      <c r="R363" s="22" t="str">
        <f t="shared" si="49"/>
        <v/>
      </c>
    </row>
    <row r="364" spans="12:18" x14ac:dyDescent="0.3">
      <c r="L364" s="23" t="str">
        <f t="shared" si="44"/>
        <v>2649.75</v>
      </c>
      <c r="M364" s="24" t="str">
        <f t="shared" si="45"/>
        <v/>
      </c>
      <c r="N364" s="25" t="str">
        <f t="shared" si="46"/>
        <v/>
      </c>
      <c r="O364" s="26" t="str">
        <f>RTD("cqg.rtd",,"StudyData","FPVol(FootprintOp ("&amp;$B$3&amp;", 0),"&amp;L364&amp;")", "Bar",, "Close","D","0","all",,,,"T")</f>
        <v/>
      </c>
      <c r="P364" s="27" t="str">
        <f t="shared" si="47"/>
        <v/>
      </c>
      <c r="Q364" s="22" t="str">
        <f t="shared" si="48"/>
        <v/>
      </c>
      <c r="R364" s="22" t="str">
        <f t="shared" si="49"/>
        <v/>
      </c>
    </row>
    <row r="365" spans="12:18" x14ac:dyDescent="0.3">
      <c r="L365" s="23" t="str">
        <f t="shared" si="44"/>
        <v>2649.50</v>
      </c>
      <c r="M365" s="24" t="str">
        <f t="shared" si="45"/>
        <v/>
      </c>
      <c r="N365" s="25" t="str">
        <f t="shared" si="46"/>
        <v/>
      </c>
      <c r="O365" s="26" t="str">
        <f>RTD("cqg.rtd",,"StudyData","FPVol(FootprintOp ("&amp;$B$3&amp;", 0),"&amp;L365&amp;")", "Bar",, "Close","D","0","all",,,,"T")</f>
        <v/>
      </c>
      <c r="P365" s="27" t="str">
        <f t="shared" si="47"/>
        <v/>
      </c>
      <c r="Q365" s="22" t="str">
        <f t="shared" si="48"/>
        <v/>
      </c>
      <c r="R365" s="22" t="str">
        <f t="shared" si="49"/>
        <v/>
      </c>
    </row>
    <row r="366" spans="12:18" x14ac:dyDescent="0.3">
      <c r="L366" s="23" t="str">
        <f t="shared" si="44"/>
        <v>2649.25</v>
      </c>
      <c r="M366" s="24" t="str">
        <f t="shared" si="45"/>
        <v/>
      </c>
      <c r="N366" s="25" t="str">
        <f t="shared" si="46"/>
        <v/>
      </c>
      <c r="O366" s="26" t="str">
        <f>RTD("cqg.rtd",,"StudyData","FPVol(FootprintOp ("&amp;$B$3&amp;", 0),"&amp;L366&amp;")", "Bar",, "Close","D","0","all",,,,"T")</f>
        <v/>
      </c>
      <c r="P366" s="27" t="str">
        <f t="shared" si="47"/>
        <v/>
      </c>
      <c r="Q366" s="22" t="str">
        <f t="shared" si="48"/>
        <v/>
      </c>
      <c r="R366" s="22" t="str">
        <f t="shared" si="49"/>
        <v/>
      </c>
    </row>
    <row r="367" spans="12:18" x14ac:dyDescent="0.3">
      <c r="L367" s="23" t="str">
        <f t="shared" si="44"/>
        <v>2649.00</v>
      </c>
      <c r="M367" s="24" t="str">
        <f t="shared" si="45"/>
        <v/>
      </c>
      <c r="N367" s="25" t="str">
        <f t="shared" si="46"/>
        <v/>
      </c>
      <c r="O367" s="26" t="str">
        <f>RTD("cqg.rtd",,"StudyData","FPVol(FootprintOp ("&amp;$B$3&amp;", 0),"&amp;L367&amp;")", "Bar",, "Close","D","0","all",,,,"T")</f>
        <v/>
      </c>
      <c r="P367" s="27" t="str">
        <f t="shared" si="47"/>
        <v/>
      </c>
      <c r="Q367" s="22" t="str">
        <f t="shared" si="48"/>
        <v/>
      </c>
      <c r="R367" s="22" t="str">
        <f t="shared" si="49"/>
        <v/>
      </c>
    </row>
    <row r="368" spans="12:18" x14ac:dyDescent="0.3">
      <c r="L368" s="23" t="str">
        <f t="shared" si="44"/>
        <v>2648.75</v>
      </c>
      <c r="M368" s="24" t="str">
        <f t="shared" si="45"/>
        <v/>
      </c>
      <c r="N368" s="25" t="str">
        <f t="shared" si="46"/>
        <v/>
      </c>
      <c r="O368" s="26" t="str">
        <f>RTD("cqg.rtd",,"StudyData","FPVol(FootprintOp ("&amp;$B$3&amp;", 0),"&amp;L368&amp;")", "Bar",, "Close","D","0","all",,,,"T")</f>
        <v/>
      </c>
      <c r="P368" s="27" t="str">
        <f t="shared" si="47"/>
        <v/>
      </c>
      <c r="Q368" s="22" t="str">
        <f t="shared" si="48"/>
        <v/>
      </c>
      <c r="R368" s="22" t="str">
        <f t="shared" si="49"/>
        <v/>
      </c>
    </row>
    <row r="369" spans="12:18" x14ac:dyDescent="0.3">
      <c r="L369" s="23" t="str">
        <f t="shared" si="44"/>
        <v>2648.50</v>
      </c>
      <c r="M369" s="24" t="str">
        <f t="shared" si="45"/>
        <v/>
      </c>
      <c r="N369" s="25" t="str">
        <f t="shared" si="46"/>
        <v/>
      </c>
      <c r="O369" s="26" t="str">
        <f>RTD("cqg.rtd",,"StudyData","FPVol(FootprintOp ("&amp;$B$3&amp;", 0),"&amp;L369&amp;")", "Bar",, "Close","D","0","all",,,,"T")</f>
        <v/>
      </c>
      <c r="P369" s="27" t="str">
        <f t="shared" si="47"/>
        <v/>
      </c>
      <c r="Q369" s="22" t="str">
        <f t="shared" si="48"/>
        <v/>
      </c>
      <c r="R369" s="22" t="str">
        <f t="shared" si="49"/>
        <v/>
      </c>
    </row>
    <row r="370" spans="12:18" x14ac:dyDescent="0.3">
      <c r="L370" s="23" t="str">
        <f t="shared" si="44"/>
        <v>2648.25</v>
      </c>
      <c r="M370" s="24" t="str">
        <f t="shared" si="45"/>
        <v/>
      </c>
      <c r="N370" s="25" t="str">
        <f t="shared" si="46"/>
        <v/>
      </c>
      <c r="O370" s="26" t="str">
        <f>RTD("cqg.rtd",,"StudyData","FPVol(FootprintOp ("&amp;$B$3&amp;", 0),"&amp;L370&amp;")", "Bar",, "Close","D","0","all",,,,"T")</f>
        <v/>
      </c>
      <c r="P370" s="27" t="str">
        <f t="shared" si="47"/>
        <v/>
      </c>
      <c r="Q370" s="22" t="str">
        <f t="shared" si="48"/>
        <v/>
      </c>
      <c r="R370" s="22" t="str">
        <f t="shared" si="49"/>
        <v/>
      </c>
    </row>
    <row r="371" spans="12:18" x14ac:dyDescent="0.3">
      <c r="L371" s="23" t="str">
        <f t="shared" si="44"/>
        <v>2648.00</v>
      </c>
      <c r="M371" s="24" t="str">
        <f t="shared" si="45"/>
        <v/>
      </c>
      <c r="N371" s="25" t="str">
        <f t="shared" si="46"/>
        <v/>
      </c>
      <c r="O371" s="26" t="str">
        <f>RTD("cqg.rtd",,"StudyData","FPVol(FootprintOp ("&amp;$B$3&amp;", 0),"&amp;L371&amp;")", "Bar",, "Close","D","0","all",,,,"T")</f>
        <v/>
      </c>
      <c r="P371" s="27" t="str">
        <f t="shared" si="47"/>
        <v/>
      </c>
      <c r="Q371" s="22" t="str">
        <f t="shared" si="48"/>
        <v/>
      </c>
      <c r="R371" s="22" t="str">
        <f t="shared" si="49"/>
        <v/>
      </c>
    </row>
    <row r="372" spans="12:18" x14ac:dyDescent="0.3">
      <c r="L372" s="23" t="str">
        <f t="shared" si="44"/>
        <v>2647.75</v>
      </c>
      <c r="M372" s="24" t="str">
        <f t="shared" si="45"/>
        <v/>
      </c>
      <c r="N372" s="25" t="str">
        <f t="shared" si="46"/>
        <v/>
      </c>
      <c r="O372" s="26" t="str">
        <f>RTD("cqg.rtd",,"StudyData","FPVol(FootprintOp ("&amp;$B$3&amp;", 0),"&amp;L372&amp;")", "Bar",, "Close","D","0","all",,,,"T")</f>
        <v/>
      </c>
      <c r="P372" s="27" t="str">
        <f t="shared" si="47"/>
        <v/>
      </c>
      <c r="Q372" s="22" t="str">
        <f t="shared" si="48"/>
        <v/>
      </c>
      <c r="R372" s="22" t="str">
        <f t="shared" si="49"/>
        <v/>
      </c>
    </row>
    <row r="373" spans="12:18" x14ac:dyDescent="0.3">
      <c r="L373" s="23" t="str">
        <f t="shared" si="44"/>
        <v>2647.50</v>
      </c>
      <c r="M373" s="24" t="str">
        <f t="shared" si="45"/>
        <v/>
      </c>
      <c r="N373" s="25" t="str">
        <f t="shared" si="46"/>
        <v/>
      </c>
      <c r="O373" s="26" t="str">
        <f>RTD("cqg.rtd",,"StudyData","FPVol(FootprintOp ("&amp;$B$3&amp;", 0),"&amp;L373&amp;")", "Bar",, "Close","D","0","all",,,,"T")</f>
        <v/>
      </c>
      <c r="P373" s="27" t="str">
        <f t="shared" si="47"/>
        <v/>
      </c>
      <c r="Q373" s="22" t="str">
        <f t="shared" si="48"/>
        <v/>
      </c>
      <c r="R373" s="22" t="str">
        <f t="shared" si="49"/>
        <v/>
      </c>
    </row>
    <row r="374" spans="12:18" x14ac:dyDescent="0.3">
      <c r="L374" s="23" t="str">
        <f t="shared" si="44"/>
        <v>2647.25</v>
      </c>
      <c r="M374" s="24" t="str">
        <f t="shared" si="45"/>
        <v/>
      </c>
      <c r="N374" s="25" t="str">
        <f t="shared" si="46"/>
        <v/>
      </c>
      <c r="O374" s="26" t="str">
        <f>RTD("cqg.rtd",,"StudyData","FPVol(FootprintOp ("&amp;$B$3&amp;", 0),"&amp;L374&amp;")", "Bar",, "Close","D","0","all",,,,"T")</f>
        <v/>
      </c>
      <c r="P374" s="27" t="str">
        <f t="shared" si="47"/>
        <v/>
      </c>
      <c r="Q374" s="22" t="str">
        <f t="shared" si="48"/>
        <v/>
      </c>
      <c r="R374" s="22" t="str">
        <f t="shared" si="49"/>
        <v/>
      </c>
    </row>
    <row r="375" spans="12:18" x14ac:dyDescent="0.3">
      <c r="L375" s="23" t="str">
        <f t="shared" si="44"/>
        <v>2647.00</v>
      </c>
      <c r="M375" s="24" t="str">
        <f t="shared" si="45"/>
        <v/>
      </c>
      <c r="N375" s="25" t="str">
        <f t="shared" si="46"/>
        <v/>
      </c>
      <c r="O375" s="26" t="str">
        <f>RTD("cqg.rtd",,"StudyData","FPVol(FootprintOp ("&amp;$B$3&amp;", 0),"&amp;L375&amp;")", "Bar",, "Close","D","0","all",,,,"T")</f>
        <v/>
      </c>
      <c r="P375" s="27" t="str">
        <f t="shared" si="47"/>
        <v/>
      </c>
      <c r="Q375" s="22" t="str">
        <f t="shared" si="48"/>
        <v/>
      </c>
      <c r="R375" s="22" t="str">
        <f t="shared" si="49"/>
        <v/>
      </c>
    </row>
    <row r="376" spans="12:18" x14ac:dyDescent="0.3">
      <c r="L376" s="23" t="str">
        <f t="shared" si="44"/>
        <v>2646.75</v>
      </c>
      <c r="M376" s="24" t="str">
        <f t="shared" si="45"/>
        <v/>
      </c>
      <c r="N376" s="25" t="str">
        <f t="shared" si="46"/>
        <v/>
      </c>
      <c r="O376" s="26" t="str">
        <f>RTD("cqg.rtd",,"StudyData","FPVol(FootprintOp ("&amp;$B$3&amp;", 0),"&amp;L376&amp;")", "Bar",, "Close","D","0","all",,,,"T")</f>
        <v/>
      </c>
      <c r="P376" s="27" t="str">
        <f t="shared" si="47"/>
        <v/>
      </c>
      <c r="Q376" s="22" t="str">
        <f t="shared" si="48"/>
        <v/>
      </c>
      <c r="R376" s="22" t="str">
        <f t="shared" si="49"/>
        <v/>
      </c>
    </row>
    <row r="377" spans="12:18" x14ac:dyDescent="0.3">
      <c r="L377" s="23" t="str">
        <f t="shared" si="44"/>
        <v>2646.50</v>
      </c>
      <c r="M377" s="24" t="str">
        <f t="shared" si="45"/>
        <v/>
      </c>
      <c r="N377" s="25" t="str">
        <f t="shared" si="46"/>
        <v/>
      </c>
      <c r="O377" s="26" t="str">
        <f>RTD("cqg.rtd",,"StudyData","FPVol(FootprintOp ("&amp;$B$3&amp;", 0),"&amp;L377&amp;")", "Bar",, "Close","D","0","all",,,,"T")</f>
        <v/>
      </c>
      <c r="P377" s="27" t="str">
        <f t="shared" si="47"/>
        <v/>
      </c>
      <c r="Q377" s="22" t="str">
        <f t="shared" si="48"/>
        <v/>
      </c>
      <c r="R377" s="22" t="str">
        <f t="shared" si="49"/>
        <v/>
      </c>
    </row>
    <row r="378" spans="12:18" x14ac:dyDescent="0.3">
      <c r="L378" s="23" t="str">
        <f t="shared" si="44"/>
        <v>2646.25</v>
      </c>
      <c r="M378" s="24" t="str">
        <f t="shared" si="45"/>
        <v/>
      </c>
      <c r="N378" s="25" t="str">
        <f t="shared" si="46"/>
        <v/>
      </c>
      <c r="O378" s="26" t="str">
        <f>RTD("cqg.rtd",,"StudyData","FPVol(FootprintOp ("&amp;$B$3&amp;", 0),"&amp;L378&amp;")", "Bar",, "Close","D","0","all",,,,"T")</f>
        <v/>
      </c>
      <c r="P378" s="27" t="str">
        <f t="shared" si="47"/>
        <v/>
      </c>
      <c r="Q378" s="22" t="str">
        <f t="shared" si="48"/>
        <v/>
      </c>
      <c r="R378" s="22" t="str">
        <f t="shared" si="49"/>
        <v/>
      </c>
    </row>
    <row r="379" spans="12:18" x14ac:dyDescent="0.3">
      <c r="L379" s="23" t="str">
        <f t="shared" si="44"/>
        <v>2646.00</v>
      </c>
      <c r="M379" s="24" t="str">
        <f t="shared" si="45"/>
        <v/>
      </c>
      <c r="N379" s="25" t="str">
        <f t="shared" si="46"/>
        <v/>
      </c>
      <c r="O379" s="26" t="str">
        <f>RTD("cqg.rtd",,"StudyData","FPVol(FootprintOp ("&amp;$B$3&amp;", 0),"&amp;L379&amp;")", "Bar",, "Close","D","0","all",,,,"T")</f>
        <v/>
      </c>
      <c r="P379" s="27" t="str">
        <f t="shared" si="47"/>
        <v/>
      </c>
      <c r="Q379" s="22" t="str">
        <f t="shared" si="48"/>
        <v/>
      </c>
      <c r="R379" s="22" t="str">
        <f t="shared" si="49"/>
        <v/>
      </c>
    </row>
    <row r="380" spans="12:18" x14ac:dyDescent="0.3">
      <c r="L380" s="23" t="str">
        <f t="shared" si="44"/>
        <v>2645.75</v>
      </c>
      <c r="M380" s="24" t="str">
        <f t="shared" si="45"/>
        <v/>
      </c>
      <c r="N380" s="25" t="str">
        <f t="shared" si="46"/>
        <v/>
      </c>
      <c r="O380" s="26" t="str">
        <f>RTD("cqg.rtd",,"StudyData","FPVol(FootprintOp ("&amp;$B$3&amp;", 0),"&amp;L380&amp;")", "Bar",, "Close","D","0","all",,,,"T")</f>
        <v/>
      </c>
      <c r="P380" s="27" t="str">
        <f t="shared" si="47"/>
        <v/>
      </c>
      <c r="Q380" s="22" t="str">
        <f t="shared" si="48"/>
        <v/>
      </c>
      <c r="R380" s="22" t="str">
        <f t="shared" si="49"/>
        <v/>
      </c>
    </row>
    <row r="381" spans="12:18" x14ac:dyDescent="0.3">
      <c r="L381" s="23" t="str">
        <f t="shared" si="44"/>
        <v>2645.50</v>
      </c>
      <c r="M381" s="24" t="str">
        <f t="shared" si="45"/>
        <v/>
      </c>
      <c r="N381" s="25" t="str">
        <f t="shared" si="46"/>
        <v/>
      </c>
      <c r="O381" s="26" t="str">
        <f>RTD("cqg.rtd",,"StudyData","FPVol(FootprintOp ("&amp;$B$3&amp;", 0),"&amp;L381&amp;")", "Bar",, "Close","D","0","all",,,,"T")</f>
        <v/>
      </c>
      <c r="P381" s="27" t="str">
        <f t="shared" si="47"/>
        <v/>
      </c>
      <c r="Q381" s="22" t="str">
        <f t="shared" si="48"/>
        <v/>
      </c>
      <c r="R381" s="22" t="str">
        <f t="shared" si="49"/>
        <v/>
      </c>
    </row>
    <row r="382" spans="12:18" x14ac:dyDescent="0.3">
      <c r="L382" s="23" t="str">
        <f t="shared" si="44"/>
        <v>2645.25</v>
      </c>
      <c r="M382" s="24" t="str">
        <f t="shared" si="45"/>
        <v/>
      </c>
      <c r="N382" s="25" t="str">
        <f t="shared" si="46"/>
        <v/>
      </c>
      <c r="O382" s="26" t="str">
        <f>RTD("cqg.rtd",,"StudyData","FPVol(FootprintOp ("&amp;$B$3&amp;", 0),"&amp;L382&amp;")", "Bar",, "Close","D","0","all",,,,"T")</f>
        <v/>
      </c>
      <c r="P382" s="27" t="str">
        <f t="shared" si="47"/>
        <v/>
      </c>
      <c r="Q382" s="22" t="str">
        <f t="shared" si="48"/>
        <v/>
      </c>
      <c r="R382" s="22" t="str">
        <f t="shared" si="49"/>
        <v/>
      </c>
    </row>
    <row r="383" spans="12:18" x14ac:dyDescent="0.3">
      <c r="L383" s="23" t="str">
        <f t="shared" si="44"/>
        <v>2645.00</v>
      </c>
      <c r="M383" s="24" t="str">
        <f t="shared" si="45"/>
        <v/>
      </c>
      <c r="N383" s="25" t="str">
        <f t="shared" si="46"/>
        <v/>
      </c>
      <c r="O383" s="26" t="str">
        <f>RTD("cqg.rtd",,"StudyData","FPVol(FootprintOp ("&amp;$B$3&amp;", 0),"&amp;L383&amp;")", "Bar",, "Close","D","0","all",,,,"T")</f>
        <v/>
      </c>
      <c r="P383" s="27" t="str">
        <f t="shared" si="47"/>
        <v/>
      </c>
      <c r="Q383" s="22" t="str">
        <f t="shared" si="48"/>
        <v/>
      </c>
      <c r="R383" s="22" t="str">
        <f t="shared" si="49"/>
        <v/>
      </c>
    </row>
    <row r="384" spans="12:18" x14ac:dyDescent="0.3">
      <c r="L384" s="23" t="str">
        <f t="shared" si="44"/>
        <v>2644.75</v>
      </c>
      <c r="M384" s="24" t="str">
        <f t="shared" si="45"/>
        <v/>
      </c>
      <c r="N384" s="25" t="str">
        <f t="shared" si="46"/>
        <v/>
      </c>
      <c r="O384" s="26" t="str">
        <f>RTD("cqg.rtd",,"StudyData","FPVol(FootprintOp ("&amp;$B$3&amp;", 0),"&amp;L384&amp;")", "Bar",, "Close","D","0","all",,,,"T")</f>
        <v/>
      </c>
      <c r="P384" s="27" t="str">
        <f t="shared" si="47"/>
        <v/>
      </c>
      <c r="Q384" s="22" t="str">
        <f t="shared" si="48"/>
        <v/>
      </c>
      <c r="R384" s="22" t="str">
        <f t="shared" si="49"/>
        <v/>
      </c>
    </row>
    <row r="385" spans="12:18" x14ac:dyDescent="0.3">
      <c r="L385" s="23" t="str">
        <f t="shared" si="44"/>
        <v>2644.50</v>
      </c>
      <c r="M385" s="24" t="str">
        <f t="shared" si="45"/>
        <v/>
      </c>
      <c r="N385" s="25" t="str">
        <f t="shared" si="46"/>
        <v/>
      </c>
      <c r="O385" s="26" t="str">
        <f>RTD("cqg.rtd",,"StudyData","FPVol(FootprintOp ("&amp;$B$3&amp;", 0),"&amp;L385&amp;")", "Bar",, "Close","D","0","all",,,,"T")</f>
        <v/>
      </c>
      <c r="P385" s="27" t="str">
        <f t="shared" si="47"/>
        <v/>
      </c>
      <c r="Q385" s="22" t="str">
        <f t="shared" si="48"/>
        <v/>
      </c>
      <c r="R385" s="22" t="str">
        <f t="shared" si="49"/>
        <v/>
      </c>
    </row>
    <row r="386" spans="12:18" x14ac:dyDescent="0.3">
      <c r="L386" s="23" t="str">
        <f t="shared" si="44"/>
        <v>2644.25</v>
      </c>
      <c r="M386" s="24" t="str">
        <f t="shared" si="45"/>
        <v/>
      </c>
      <c r="N386" s="25" t="str">
        <f t="shared" si="46"/>
        <v/>
      </c>
      <c r="O386" s="26" t="str">
        <f>RTD("cqg.rtd",,"StudyData","FPVol(FootprintOp ("&amp;$B$3&amp;", 0),"&amp;L386&amp;")", "Bar",, "Close","D","0","all",,,,"T")</f>
        <v/>
      </c>
      <c r="P386" s="27" t="str">
        <f t="shared" si="47"/>
        <v/>
      </c>
      <c r="Q386" s="22" t="str">
        <f t="shared" si="48"/>
        <v/>
      </c>
      <c r="R386" s="22" t="str">
        <f t="shared" si="49"/>
        <v/>
      </c>
    </row>
    <row r="387" spans="12:18" x14ac:dyDescent="0.3">
      <c r="L387" s="23" t="str">
        <f t="shared" ref="L387:L412" si="50">TEXT(ROUND(L386,$C$8)-$C$3,$D$8)</f>
        <v>2644.00</v>
      </c>
      <c r="M387" s="24" t="str">
        <f t="shared" si="45"/>
        <v/>
      </c>
      <c r="N387" s="25" t="str">
        <f t="shared" si="46"/>
        <v/>
      </c>
      <c r="O387" s="26" t="str">
        <f>RTD("cqg.rtd",,"StudyData","FPVol(FootprintOp ("&amp;$B$3&amp;", 0),"&amp;L387&amp;")", "Bar",, "Close","D","0","all",,,,"T")</f>
        <v/>
      </c>
      <c r="P387" s="27" t="str">
        <f t="shared" si="47"/>
        <v/>
      </c>
      <c r="Q387" s="22" t="str">
        <f t="shared" si="48"/>
        <v/>
      </c>
      <c r="R387" s="22" t="str">
        <f t="shared" si="49"/>
        <v/>
      </c>
    </row>
    <row r="388" spans="12:18" x14ac:dyDescent="0.3">
      <c r="L388" s="23" t="str">
        <f t="shared" si="50"/>
        <v>2643.75</v>
      </c>
      <c r="M388" s="24" t="str">
        <f t="shared" si="45"/>
        <v/>
      </c>
      <c r="N388" s="25" t="str">
        <f t="shared" si="46"/>
        <v/>
      </c>
      <c r="O388" s="26" t="str">
        <f>RTD("cqg.rtd",,"StudyData","FPVol(FootprintOp ("&amp;$B$3&amp;", 0),"&amp;L388&amp;")", "Bar",, "Close","D","0","all",,,,"T")</f>
        <v/>
      </c>
      <c r="P388" s="27" t="str">
        <f t="shared" si="47"/>
        <v/>
      </c>
      <c r="Q388" s="22" t="str">
        <f t="shared" si="48"/>
        <v/>
      </c>
      <c r="R388" s="22" t="str">
        <f t="shared" si="49"/>
        <v/>
      </c>
    </row>
    <row r="389" spans="12:18" x14ac:dyDescent="0.3">
      <c r="L389" s="23" t="str">
        <f t="shared" si="50"/>
        <v>2643.50</v>
      </c>
      <c r="M389" s="24" t="str">
        <f t="shared" si="45"/>
        <v/>
      </c>
      <c r="N389" s="25" t="str">
        <f t="shared" si="46"/>
        <v/>
      </c>
      <c r="O389" s="26" t="str">
        <f>RTD("cqg.rtd",,"StudyData","FPVol(FootprintOp ("&amp;$B$3&amp;", 0),"&amp;L389&amp;")", "Bar",, "Close","D","0","all",,,,"T")</f>
        <v/>
      </c>
      <c r="P389" s="27" t="str">
        <f t="shared" si="47"/>
        <v/>
      </c>
      <c r="Q389" s="22" t="str">
        <f t="shared" si="48"/>
        <v/>
      </c>
      <c r="R389" s="22" t="str">
        <f t="shared" si="49"/>
        <v/>
      </c>
    </row>
    <row r="390" spans="12:18" x14ac:dyDescent="0.3">
      <c r="L390" s="23" t="str">
        <f t="shared" si="50"/>
        <v>2643.25</v>
      </c>
      <c r="M390" s="24" t="str">
        <f t="shared" si="45"/>
        <v/>
      </c>
      <c r="N390" s="25" t="str">
        <f t="shared" si="46"/>
        <v/>
      </c>
      <c r="O390" s="26" t="str">
        <f>RTD("cqg.rtd",,"StudyData","FPVol(FootprintOp ("&amp;$B$3&amp;", 0),"&amp;L390&amp;")", "Bar",, "Close","D","0","all",,,,"T")</f>
        <v/>
      </c>
      <c r="P390" s="27" t="str">
        <f t="shared" si="47"/>
        <v/>
      </c>
      <c r="Q390" s="22" t="str">
        <f t="shared" si="48"/>
        <v/>
      </c>
      <c r="R390" s="22" t="str">
        <f t="shared" si="49"/>
        <v/>
      </c>
    </row>
    <row r="391" spans="12:18" x14ac:dyDescent="0.3">
      <c r="L391" s="23" t="str">
        <f t="shared" si="50"/>
        <v>2643.00</v>
      </c>
      <c r="M391" s="24" t="str">
        <f t="shared" ref="M391:M412" si="51">P391</f>
        <v/>
      </c>
      <c r="N391" s="25" t="str">
        <f t="shared" ref="N391:N412" si="52">Q391</f>
        <v/>
      </c>
      <c r="O391" s="26" t="str">
        <f>RTD("cqg.rtd",,"StudyData","FPVol(FootprintOp ("&amp;$B$3&amp;", 0),"&amp;L391&amp;")", "Bar",, "Close","D","0","all",,,,"T")</f>
        <v/>
      </c>
      <c r="P391" s="27" t="str">
        <f t="shared" ref="P391:P412" si="53">IF(L391=$B$4,$B$5,"")</f>
        <v/>
      </c>
      <c r="Q391" s="22" t="str">
        <f t="shared" ref="Q391:Q412" si="54">IF(L391=$C$4,$C$5,"")</f>
        <v/>
      </c>
      <c r="R391" s="22" t="str">
        <f t="shared" ref="R391:R412" si="55">O391</f>
        <v/>
      </c>
    </row>
    <row r="392" spans="12:18" x14ac:dyDescent="0.3">
      <c r="L392" s="23" t="str">
        <f t="shared" si="50"/>
        <v>2642.75</v>
      </c>
      <c r="M392" s="24" t="str">
        <f t="shared" si="51"/>
        <v/>
      </c>
      <c r="N392" s="25" t="str">
        <f t="shared" si="52"/>
        <v/>
      </c>
      <c r="O392" s="26" t="str">
        <f>RTD("cqg.rtd",,"StudyData","FPVol(FootprintOp ("&amp;$B$3&amp;", 0),"&amp;L392&amp;")", "Bar",, "Close","D","0","all",,,,"T")</f>
        <v/>
      </c>
      <c r="P392" s="27" t="str">
        <f t="shared" si="53"/>
        <v/>
      </c>
      <c r="Q392" s="22" t="str">
        <f t="shared" si="54"/>
        <v/>
      </c>
      <c r="R392" s="22" t="str">
        <f t="shared" si="55"/>
        <v/>
      </c>
    </row>
    <row r="393" spans="12:18" x14ac:dyDescent="0.3">
      <c r="L393" s="23" t="str">
        <f t="shared" si="50"/>
        <v>2642.50</v>
      </c>
      <c r="M393" s="24" t="str">
        <f t="shared" si="51"/>
        <v/>
      </c>
      <c r="N393" s="25" t="str">
        <f t="shared" si="52"/>
        <v/>
      </c>
      <c r="O393" s="26" t="str">
        <f>RTD("cqg.rtd",,"StudyData","FPVol(FootprintOp ("&amp;$B$3&amp;", 0),"&amp;L393&amp;")", "Bar",, "Close","D","0","all",,,,"T")</f>
        <v/>
      </c>
      <c r="P393" s="27" t="str">
        <f t="shared" si="53"/>
        <v/>
      </c>
      <c r="Q393" s="22" t="str">
        <f t="shared" si="54"/>
        <v/>
      </c>
      <c r="R393" s="22" t="str">
        <f t="shared" si="55"/>
        <v/>
      </c>
    </row>
    <row r="394" spans="12:18" x14ac:dyDescent="0.3">
      <c r="L394" s="23" t="str">
        <f t="shared" si="50"/>
        <v>2642.25</v>
      </c>
      <c r="M394" s="24" t="str">
        <f t="shared" si="51"/>
        <v/>
      </c>
      <c r="N394" s="25" t="str">
        <f t="shared" si="52"/>
        <v/>
      </c>
      <c r="O394" s="26" t="str">
        <f>RTD("cqg.rtd",,"StudyData","FPVol(FootprintOp ("&amp;$B$3&amp;", 0),"&amp;L394&amp;")", "Bar",, "Close","D","0","all",,,,"T")</f>
        <v/>
      </c>
      <c r="P394" s="27" t="str">
        <f t="shared" si="53"/>
        <v/>
      </c>
      <c r="Q394" s="22" t="str">
        <f t="shared" si="54"/>
        <v/>
      </c>
      <c r="R394" s="22" t="str">
        <f t="shared" si="55"/>
        <v/>
      </c>
    </row>
    <row r="395" spans="12:18" x14ac:dyDescent="0.3">
      <c r="L395" s="23" t="str">
        <f t="shared" si="50"/>
        <v>2642.00</v>
      </c>
      <c r="M395" s="24" t="str">
        <f t="shared" si="51"/>
        <v/>
      </c>
      <c r="N395" s="25" t="str">
        <f t="shared" si="52"/>
        <v/>
      </c>
      <c r="O395" s="26" t="str">
        <f>RTD("cqg.rtd",,"StudyData","FPVol(FootprintOp ("&amp;$B$3&amp;", 0),"&amp;L395&amp;")", "Bar",, "Close","D","0","all",,,,"T")</f>
        <v/>
      </c>
      <c r="P395" s="27" t="str">
        <f t="shared" si="53"/>
        <v/>
      </c>
      <c r="Q395" s="22" t="str">
        <f t="shared" si="54"/>
        <v/>
      </c>
      <c r="R395" s="22" t="str">
        <f t="shared" si="55"/>
        <v/>
      </c>
    </row>
    <row r="396" spans="12:18" x14ac:dyDescent="0.3">
      <c r="L396" s="23" t="str">
        <f t="shared" si="50"/>
        <v>2641.75</v>
      </c>
      <c r="M396" s="24" t="str">
        <f t="shared" si="51"/>
        <v/>
      </c>
      <c r="N396" s="25" t="str">
        <f t="shared" si="52"/>
        <v/>
      </c>
      <c r="O396" s="26" t="str">
        <f>RTD("cqg.rtd",,"StudyData","FPVol(FootprintOp ("&amp;$B$3&amp;", 0),"&amp;L396&amp;")", "Bar",, "Close","D","0","all",,,,"T")</f>
        <v/>
      </c>
      <c r="P396" s="27" t="str">
        <f t="shared" si="53"/>
        <v/>
      </c>
      <c r="Q396" s="22" t="str">
        <f t="shared" si="54"/>
        <v/>
      </c>
      <c r="R396" s="22" t="str">
        <f t="shared" si="55"/>
        <v/>
      </c>
    </row>
    <row r="397" spans="12:18" x14ac:dyDescent="0.3">
      <c r="L397" s="23" t="str">
        <f t="shared" si="50"/>
        <v>2641.50</v>
      </c>
      <c r="M397" s="24" t="str">
        <f t="shared" si="51"/>
        <v/>
      </c>
      <c r="N397" s="25" t="str">
        <f t="shared" si="52"/>
        <v/>
      </c>
      <c r="O397" s="26" t="str">
        <f>RTD("cqg.rtd",,"StudyData","FPVol(FootprintOp ("&amp;$B$3&amp;", 0),"&amp;L397&amp;")", "Bar",, "Close","D","0","all",,,,"T")</f>
        <v/>
      </c>
      <c r="P397" s="27" t="str">
        <f t="shared" si="53"/>
        <v/>
      </c>
      <c r="Q397" s="22" t="str">
        <f t="shared" si="54"/>
        <v/>
      </c>
      <c r="R397" s="22" t="str">
        <f t="shared" si="55"/>
        <v/>
      </c>
    </row>
    <row r="398" spans="12:18" x14ac:dyDescent="0.3">
      <c r="L398" s="23" t="str">
        <f t="shared" si="50"/>
        <v>2641.25</v>
      </c>
      <c r="M398" s="24" t="str">
        <f t="shared" si="51"/>
        <v/>
      </c>
      <c r="N398" s="25" t="str">
        <f t="shared" si="52"/>
        <v/>
      </c>
      <c r="O398" s="26" t="str">
        <f>RTD("cqg.rtd",,"StudyData","FPVol(FootprintOp ("&amp;$B$3&amp;", 0),"&amp;L398&amp;")", "Bar",, "Close","D","0","all",,,,"T")</f>
        <v/>
      </c>
      <c r="P398" s="27" t="str">
        <f t="shared" si="53"/>
        <v/>
      </c>
      <c r="Q398" s="22" t="str">
        <f t="shared" si="54"/>
        <v/>
      </c>
      <c r="R398" s="22" t="str">
        <f t="shared" si="55"/>
        <v/>
      </c>
    </row>
    <row r="399" spans="12:18" x14ac:dyDescent="0.3">
      <c r="L399" s="23" t="str">
        <f t="shared" si="50"/>
        <v>2641.00</v>
      </c>
      <c r="M399" s="24" t="str">
        <f t="shared" si="51"/>
        <v/>
      </c>
      <c r="N399" s="25" t="str">
        <f t="shared" si="52"/>
        <v/>
      </c>
      <c r="O399" s="26" t="str">
        <f>RTD("cqg.rtd",,"StudyData","FPVol(FootprintOp ("&amp;$B$3&amp;", 0),"&amp;L399&amp;")", "Bar",, "Close","D","0","all",,,,"T")</f>
        <v/>
      </c>
      <c r="P399" s="27" t="str">
        <f t="shared" si="53"/>
        <v/>
      </c>
      <c r="Q399" s="22" t="str">
        <f t="shared" si="54"/>
        <v/>
      </c>
      <c r="R399" s="22" t="str">
        <f t="shared" si="55"/>
        <v/>
      </c>
    </row>
    <row r="400" spans="12:18" x14ac:dyDescent="0.3">
      <c r="L400" s="23" t="str">
        <f t="shared" si="50"/>
        <v>2640.75</v>
      </c>
      <c r="M400" s="24" t="str">
        <f t="shared" si="51"/>
        <v/>
      </c>
      <c r="N400" s="25" t="str">
        <f t="shared" si="52"/>
        <v/>
      </c>
      <c r="O400" s="26" t="str">
        <f>RTD("cqg.rtd",,"StudyData","FPVol(FootprintOp ("&amp;$B$3&amp;", 0),"&amp;L400&amp;")", "Bar",, "Close","D","0","all",,,,"T")</f>
        <v/>
      </c>
      <c r="P400" s="27" t="str">
        <f t="shared" si="53"/>
        <v/>
      </c>
      <c r="Q400" s="22" t="str">
        <f t="shared" si="54"/>
        <v/>
      </c>
      <c r="R400" s="22" t="str">
        <f t="shared" si="55"/>
        <v/>
      </c>
    </row>
    <row r="401" spans="12:18" x14ac:dyDescent="0.3">
      <c r="L401" s="23" t="str">
        <f t="shared" si="50"/>
        <v>2640.50</v>
      </c>
      <c r="M401" s="24" t="str">
        <f t="shared" si="51"/>
        <v/>
      </c>
      <c r="N401" s="25" t="str">
        <f t="shared" si="52"/>
        <v/>
      </c>
      <c r="O401" s="26" t="str">
        <f>RTD("cqg.rtd",,"StudyData","FPVol(FootprintOp ("&amp;$B$3&amp;", 0),"&amp;L401&amp;")", "Bar",, "Close","D","0","all",,,,"T")</f>
        <v/>
      </c>
      <c r="P401" s="27" t="str">
        <f t="shared" si="53"/>
        <v/>
      </c>
      <c r="Q401" s="22" t="str">
        <f t="shared" si="54"/>
        <v/>
      </c>
      <c r="R401" s="22" t="str">
        <f t="shared" si="55"/>
        <v/>
      </c>
    </row>
    <row r="402" spans="12:18" x14ac:dyDescent="0.3">
      <c r="L402" s="23" t="str">
        <f t="shared" si="50"/>
        <v>2640.25</v>
      </c>
      <c r="M402" s="24" t="str">
        <f t="shared" si="51"/>
        <v/>
      </c>
      <c r="N402" s="25" t="str">
        <f t="shared" si="52"/>
        <v/>
      </c>
      <c r="O402" s="26" t="str">
        <f>RTD("cqg.rtd",,"StudyData","FPVol(FootprintOp ("&amp;$B$3&amp;", 0),"&amp;L402&amp;")", "Bar",, "Close","D","0","all",,,,"T")</f>
        <v/>
      </c>
      <c r="P402" s="27" t="str">
        <f t="shared" si="53"/>
        <v/>
      </c>
      <c r="Q402" s="22" t="str">
        <f t="shared" si="54"/>
        <v/>
      </c>
      <c r="R402" s="22" t="str">
        <f t="shared" si="55"/>
        <v/>
      </c>
    </row>
    <row r="403" spans="12:18" x14ac:dyDescent="0.3">
      <c r="L403" s="23" t="str">
        <f t="shared" si="50"/>
        <v>2640.00</v>
      </c>
      <c r="M403" s="24" t="str">
        <f t="shared" si="51"/>
        <v/>
      </c>
      <c r="N403" s="25" t="str">
        <f t="shared" si="52"/>
        <v/>
      </c>
      <c r="O403" s="26" t="str">
        <f>RTD("cqg.rtd",,"StudyData","FPVol(FootprintOp ("&amp;$B$3&amp;", 0),"&amp;L403&amp;")", "Bar",, "Close","D","0","all",,,,"T")</f>
        <v/>
      </c>
      <c r="P403" s="27" t="str">
        <f t="shared" si="53"/>
        <v/>
      </c>
      <c r="Q403" s="22" t="str">
        <f t="shared" si="54"/>
        <v/>
      </c>
      <c r="R403" s="22" t="str">
        <f t="shared" si="55"/>
        <v/>
      </c>
    </row>
    <row r="404" spans="12:18" x14ac:dyDescent="0.3">
      <c r="L404" s="23" t="str">
        <f t="shared" si="50"/>
        <v>2639.75</v>
      </c>
      <c r="M404" s="24" t="str">
        <f t="shared" si="51"/>
        <v/>
      </c>
      <c r="N404" s="25" t="str">
        <f t="shared" si="52"/>
        <v/>
      </c>
      <c r="O404" s="26" t="str">
        <f>RTD("cqg.rtd",,"StudyData","FPVol(FootprintOp ("&amp;$B$3&amp;", 0),"&amp;L404&amp;")", "Bar",, "Close","D","0","all",,,,"T")</f>
        <v/>
      </c>
      <c r="P404" s="27" t="str">
        <f t="shared" si="53"/>
        <v/>
      </c>
      <c r="Q404" s="22" t="str">
        <f t="shared" si="54"/>
        <v/>
      </c>
      <c r="R404" s="22" t="str">
        <f t="shared" si="55"/>
        <v/>
      </c>
    </row>
    <row r="405" spans="12:18" x14ac:dyDescent="0.3">
      <c r="L405" s="23" t="str">
        <f t="shared" si="50"/>
        <v>2639.50</v>
      </c>
      <c r="M405" s="24" t="str">
        <f t="shared" si="51"/>
        <v/>
      </c>
      <c r="N405" s="25" t="str">
        <f t="shared" si="52"/>
        <v/>
      </c>
      <c r="O405" s="26" t="str">
        <f>RTD("cqg.rtd",,"StudyData","FPVol(FootprintOp ("&amp;$B$3&amp;", 0),"&amp;L405&amp;")", "Bar",, "Close","D","0","all",,,,"T")</f>
        <v/>
      </c>
      <c r="P405" s="27" t="str">
        <f t="shared" si="53"/>
        <v/>
      </c>
      <c r="Q405" s="22" t="str">
        <f t="shared" si="54"/>
        <v/>
      </c>
      <c r="R405" s="22" t="str">
        <f t="shared" si="55"/>
        <v/>
      </c>
    </row>
    <row r="406" spans="12:18" x14ac:dyDescent="0.3">
      <c r="L406" s="23" t="str">
        <f t="shared" si="50"/>
        <v>2639.25</v>
      </c>
      <c r="M406" s="24" t="str">
        <f t="shared" si="51"/>
        <v/>
      </c>
      <c r="N406" s="25" t="str">
        <f t="shared" si="52"/>
        <v/>
      </c>
      <c r="O406" s="26" t="str">
        <f>RTD("cqg.rtd",,"StudyData","FPVol(FootprintOp ("&amp;$B$3&amp;", 0),"&amp;L406&amp;")", "Bar",, "Close","D","0","all",,,,"T")</f>
        <v/>
      </c>
      <c r="P406" s="27" t="str">
        <f t="shared" si="53"/>
        <v/>
      </c>
      <c r="Q406" s="22" t="str">
        <f t="shared" si="54"/>
        <v/>
      </c>
      <c r="R406" s="22" t="str">
        <f t="shared" si="55"/>
        <v/>
      </c>
    </row>
    <row r="407" spans="12:18" x14ac:dyDescent="0.3">
      <c r="L407" s="23" t="str">
        <f t="shared" si="50"/>
        <v>2639.00</v>
      </c>
      <c r="M407" s="24" t="str">
        <f t="shared" si="51"/>
        <v/>
      </c>
      <c r="N407" s="25" t="str">
        <f t="shared" si="52"/>
        <v/>
      </c>
      <c r="O407" s="26" t="str">
        <f>RTD("cqg.rtd",,"StudyData","FPVol(FootprintOp ("&amp;$B$3&amp;", 0),"&amp;L407&amp;")", "Bar",, "Close","D","0","all",,,,"T")</f>
        <v/>
      </c>
      <c r="P407" s="27" t="str">
        <f t="shared" si="53"/>
        <v/>
      </c>
      <c r="Q407" s="22" t="str">
        <f t="shared" si="54"/>
        <v/>
      </c>
      <c r="R407" s="22" t="str">
        <f t="shared" si="55"/>
        <v/>
      </c>
    </row>
    <row r="408" spans="12:18" x14ac:dyDescent="0.3">
      <c r="L408" s="23" t="str">
        <f t="shared" si="50"/>
        <v>2638.75</v>
      </c>
      <c r="M408" s="24" t="str">
        <f t="shared" si="51"/>
        <v/>
      </c>
      <c r="N408" s="25" t="str">
        <f t="shared" si="52"/>
        <v/>
      </c>
      <c r="O408" s="26" t="str">
        <f>RTD("cqg.rtd",,"StudyData","FPVol(FootprintOp ("&amp;$B$3&amp;", 0),"&amp;L408&amp;")", "Bar",, "Close","D","0","all",,,,"T")</f>
        <v/>
      </c>
      <c r="P408" s="27" t="str">
        <f t="shared" si="53"/>
        <v/>
      </c>
      <c r="Q408" s="22" t="str">
        <f t="shared" si="54"/>
        <v/>
      </c>
      <c r="R408" s="22" t="str">
        <f t="shared" si="55"/>
        <v/>
      </c>
    </row>
    <row r="409" spans="12:18" x14ac:dyDescent="0.3">
      <c r="L409" s="23" t="str">
        <f t="shared" si="50"/>
        <v>2638.50</v>
      </c>
      <c r="M409" s="24" t="str">
        <f t="shared" si="51"/>
        <v/>
      </c>
      <c r="N409" s="25" t="str">
        <f t="shared" si="52"/>
        <v/>
      </c>
      <c r="O409" s="26" t="str">
        <f>RTD("cqg.rtd",,"StudyData","FPVol(FootprintOp ("&amp;$B$3&amp;", 0),"&amp;L409&amp;")", "Bar",, "Close","D","0","all",,,,"T")</f>
        <v/>
      </c>
      <c r="P409" s="27" t="str">
        <f t="shared" si="53"/>
        <v/>
      </c>
      <c r="Q409" s="22" t="str">
        <f t="shared" si="54"/>
        <v/>
      </c>
      <c r="R409" s="22" t="str">
        <f t="shared" si="55"/>
        <v/>
      </c>
    </row>
    <row r="410" spans="12:18" x14ac:dyDescent="0.3">
      <c r="L410" s="23" t="str">
        <f t="shared" si="50"/>
        <v>2638.25</v>
      </c>
      <c r="M410" s="24" t="str">
        <f t="shared" si="51"/>
        <v/>
      </c>
      <c r="N410" s="25" t="str">
        <f t="shared" si="52"/>
        <v/>
      </c>
      <c r="O410" s="26" t="str">
        <f>RTD("cqg.rtd",,"StudyData","FPVol(FootprintOp ("&amp;$B$3&amp;", 0),"&amp;L410&amp;")", "Bar",, "Close","D","0","all",,,,"T")</f>
        <v/>
      </c>
      <c r="P410" s="27" t="str">
        <f t="shared" si="53"/>
        <v/>
      </c>
      <c r="Q410" s="22" t="str">
        <f t="shared" si="54"/>
        <v/>
      </c>
      <c r="R410" s="22" t="str">
        <f t="shared" si="55"/>
        <v/>
      </c>
    </row>
    <row r="411" spans="12:18" x14ac:dyDescent="0.3">
      <c r="L411" s="23" t="str">
        <f t="shared" si="50"/>
        <v>2638.00</v>
      </c>
      <c r="M411" s="24" t="str">
        <f t="shared" si="51"/>
        <v/>
      </c>
      <c r="N411" s="25" t="str">
        <f t="shared" si="52"/>
        <v/>
      </c>
      <c r="O411" s="26" t="str">
        <f>RTD("cqg.rtd",,"StudyData","FPVol(FootprintOp ("&amp;$B$3&amp;", 0),"&amp;L411&amp;")", "Bar",, "Close","D","0","all",,,,"T")</f>
        <v/>
      </c>
      <c r="P411" s="27" t="str">
        <f t="shared" si="53"/>
        <v/>
      </c>
      <c r="Q411" s="22" t="str">
        <f t="shared" si="54"/>
        <v/>
      </c>
      <c r="R411" s="22" t="str">
        <f t="shared" si="55"/>
        <v/>
      </c>
    </row>
    <row r="412" spans="12:18" x14ac:dyDescent="0.3">
      <c r="L412" s="23" t="str">
        <f t="shared" si="50"/>
        <v>2637.75</v>
      </c>
      <c r="M412" s="24" t="str">
        <f t="shared" si="51"/>
        <v/>
      </c>
      <c r="N412" s="25" t="str">
        <f t="shared" si="52"/>
        <v/>
      </c>
      <c r="O412" s="26" t="str">
        <f>RTD("cqg.rtd",,"StudyData","FPVol(FootprintOp ("&amp;$B$3&amp;", 0),"&amp;L412&amp;")", "Bar",, "Close","D","0","all",,,,"T")</f>
        <v/>
      </c>
      <c r="P412" s="27" t="str">
        <f t="shared" si="53"/>
        <v/>
      </c>
      <c r="Q412" s="22" t="str">
        <f t="shared" si="54"/>
        <v/>
      </c>
      <c r="R412" s="22" t="str">
        <f t="shared" si="55"/>
        <v/>
      </c>
    </row>
  </sheetData>
  <sheetProtection algorithmName="SHA-512" hashValue="eCfFj26jcui/doHC4L60Smy/LtHng/YepfPxrLdUqN+ARO8s9winhi6gM5zQTy2AeywElG3GH/gU6+r/woRSTg==" saltValue="ijuuWO37dqiQvmbRcKHq4Q==" spinCount="100000" sheet="1" objects="1" scenarios="1" selectLockedCells="1"/>
  <sortState ref="J1:J22">
    <sortCondition ref="J1"/>
  </sortState>
  <conditionalFormatting sqref="R1:R1048576">
    <cfRule type="dataBar" priority="4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{8989E898-6DF6-4CED-B3B1-B5B0EE5CA0B1}</x14:id>
        </ext>
      </extLst>
    </cfRule>
  </conditionalFormatting>
  <conditionalFormatting sqref="L1">
    <cfRule type="expression" dxfId="501" priority="480">
      <formula>L1=$G$4</formula>
    </cfRule>
  </conditionalFormatting>
  <conditionalFormatting sqref="L2">
    <cfRule type="expression" dxfId="500" priority="479">
      <formula>L2=$G$4</formula>
    </cfRule>
  </conditionalFormatting>
  <conditionalFormatting sqref="O1:O412">
    <cfRule type="colorScale" priority="380">
      <colorScale>
        <cfvo type="min"/>
        <cfvo type="max"/>
        <color theme="0"/>
        <color rgb="FF00B050"/>
      </colorScale>
    </cfRule>
  </conditionalFormatting>
  <conditionalFormatting sqref="L3:L412">
    <cfRule type="expression" dxfId="499" priority="1">
      <formula>L3=$G$4</formula>
    </cfRule>
  </conditionalFormatting>
  <pageMargins left="0.7" right="0.7" top="0.75" bottom="0.75" header="0.3" footer="0.3"/>
  <pageSetup orientation="portrait" horizontalDpi="4294967295" verticalDpi="4294967295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89E898-6DF6-4CED-B3B1-B5B0EE5CA0B1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R1:R1048576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7"/>
  <sheetViews>
    <sheetView showRowColHeaders="0" tabSelected="1" zoomScaleNormal="100" workbookViewId="0">
      <selection activeCell="B38" sqref="B38:B45"/>
    </sheetView>
  </sheetViews>
  <sheetFormatPr defaultRowHeight="16.5" x14ac:dyDescent="0.3"/>
  <cols>
    <col min="1" max="1" width="1.625" style="6" customWidth="1"/>
    <col min="2" max="6" width="9" style="1"/>
    <col min="7" max="7" width="9" style="1" customWidth="1"/>
    <col min="8" max="13" width="9" style="1"/>
    <col min="14" max="14" width="15.625" style="7" customWidth="1"/>
    <col min="15" max="16" width="5.625" style="1" customWidth="1"/>
    <col min="17" max="17" width="9" style="9"/>
    <col min="18" max="18" width="9" style="1"/>
    <col min="19" max="19" width="0" style="1" hidden="1" customWidth="1"/>
    <col min="20" max="23" width="9" style="1"/>
    <col min="24" max="24" width="0" style="10" hidden="1" customWidth="1"/>
    <col min="25" max="28" width="9" style="1"/>
    <col min="29" max="29" width="0" style="1" hidden="1" customWidth="1"/>
    <col min="30" max="16384" width="9" style="1"/>
  </cols>
  <sheetData>
    <row r="1" spans="1:30" ht="3.95" customHeight="1" x14ac:dyDescent="0.3"/>
    <row r="2" spans="1:30" ht="15.95" customHeight="1" x14ac:dyDescent="0.3">
      <c r="A2" s="4">
        <f>RTD("cqg.rtd", ,"ContractData",B38, "Ticksize",, "T")*2</f>
        <v>0.5</v>
      </c>
      <c r="B2" s="84"/>
      <c r="C2" s="85"/>
      <c r="D2" s="85"/>
      <c r="E2" s="85"/>
      <c r="F2" s="204" t="str">
        <f>"CQG "&amp;B4&amp;"    Net Change: "&amp;D26</f>
        <v>CQG E-Mini S&amp;P 500, Mar 18    Net Change: + 16.00</v>
      </c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0">
        <f>RTD("cqg.rtd", ,"SystemInfo", "Linetime")</f>
        <v>43167.643113425896</v>
      </c>
      <c r="AA2" s="200"/>
      <c r="AB2" s="200"/>
      <c r="AC2" s="201"/>
      <c r="AD2" s="15"/>
    </row>
    <row r="3" spans="1:30" ht="15.95" customHeight="1" x14ac:dyDescent="0.3">
      <c r="A3" s="4">
        <f>IF((RTD("cqg.rtd",,"ContractData",B38,"High",,"T")-RTD("cqg.rtd",,"ContractData",B38,"LastQuoteToday",,"T"))&lt;=A2,1,0)</f>
        <v>0</v>
      </c>
      <c r="B3" s="86"/>
      <c r="C3" s="87"/>
      <c r="D3" s="87"/>
      <c r="E3" s="87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2"/>
      <c r="AA3" s="202"/>
      <c r="AB3" s="202"/>
      <c r="AC3" s="203"/>
      <c r="AD3" s="15"/>
    </row>
    <row r="4" spans="1:30" ht="14.1" customHeight="1" x14ac:dyDescent="0.3">
      <c r="A4" s="4">
        <f>IF((RTD("cqg.rtd",,"ContractData",B38,"LastQuoteToday",,"T")-RTD("cqg.rtd",,"ContractData",B38,"Low",,"T"))&lt;=A2,1,0)</f>
        <v>0</v>
      </c>
      <c r="B4" s="99" t="str">
        <f>RTD("cqg.rtd",,"ContractData",B38,"LongDescription",,"T")</f>
        <v>E-Mini S&amp;P 500, Mar 18</v>
      </c>
      <c r="C4" s="100"/>
      <c r="D4" s="100"/>
      <c r="E4" s="100"/>
      <c r="F4" s="100"/>
      <c r="G4" s="101"/>
      <c r="H4" s="99" t="str">
        <f>"  Price with highest traded volume:  "&amp;TEXT(A6,A46)&amp;"      "&amp;A10</f>
        <v xml:space="preserve">  Price with highest traded volume:  2734.25      23,147</v>
      </c>
      <c r="I4" s="100"/>
      <c r="J4" s="100"/>
      <c r="K4" s="100"/>
      <c r="L4" s="100"/>
      <c r="M4" s="101"/>
      <c r="N4" s="39" t="s">
        <v>27</v>
      </c>
      <c r="O4" s="40"/>
      <c r="P4" s="40"/>
      <c r="Q4" s="40"/>
      <c r="R4" s="41"/>
      <c r="S4" s="8"/>
      <c r="T4" s="45" t="s">
        <v>28</v>
      </c>
      <c r="U4" s="46"/>
      <c r="V4" s="49" t="s">
        <v>30</v>
      </c>
      <c r="W4" s="49"/>
      <c r="X4" s="8"/>
      <c r="Y4" s="45" t="s">
        <v>31</v>
      </c>
      <c r="Z4" s="46"/>
      <c r="AA4" s="49" t="s">
        <v>30</v>
      </c>
      <c r="AB4" s="49"/>
    </row>
    <row r="5" spans="1:30" ht="15.95" customHeight="1" x14ac:dyDescent="0.3">
      <c r="A5" s="5">
        <f>RTD("cqg.rtd",,"StudyData","FPMax(FootprintOp("&amp;B38&amp;",0))", "Bar",, "Close","D","0","all",,,,"T")</f>
        <v>2734.25</v>
      </c>
      <c r="B5" s="102"/>
      <c r="C5" s="103"/>
      <c r="D5" s="103"/>
      <c r="E5" s="103"/>
      <c r="F5" s="103"/>
      <c r="G5" s="104"/>
      <c r="H5" s="102"/>
      <c r="I5" s="103"/>
      <c r="J5" s="103"/>
      <c r="K5" s="103"/>
      <c r="L5" s="103"/>
      <c r="M5" s="104"/>
      <c r="N5" s="42"/>
      <c r="O5" s="43"/>
      <c r="P5" s="43"/>
      <c r="Q5" s="43"/>
      <c r="R5" s="44"/>
      <c r="S5" s="8"/>
      <c r="T5" s="47" t="s">
        <v>29</v>
      </c>
      <c r="U5" s="48"/>
      <c r="V5" s="21">
        <v>5</v>
      </c>
      <c r="W5" s="21">
        <v>5</v>
      </c>
      <c r="X5" s="8"/>
      <c r="Y5" s="47" t="s">
        <v>29</v>
      </c>
      <c r="Z5" s="48"/>
      <c r="AA5" s="21">
        <v>20</v>
      </c>
      <c r="AB5" s="21">
        <v>20</v>
      </c>
    </row>
    <row r="6" spans="1:30" ht="3.95" customHeight="1" x14ac:dyDescent="0.3">
      <c r="A6" s="157" t="str">
        <f>IF(A34="B",TRUNC(RTD("cqg.rtd",,"StudyData","FPMax(FootprintOp("&amp;B38&amp;",0))", "Bar",, "Close","D","0","all",,,,"T"))&amp;"'"&amp;RIGHT(TEXT(DOLLARFR(RTD("cqg.rtd",,"StudyData","FPMax(FootprintOp("&amp;B38&amp;",0))", "Bar",, "Close","D","0","all",,,,"T"),32),A46),A42),TEXT(RTD("cqg.rtd",,"StudyData","FPMax(FootprintOp("&amp;B38&amp;",0))", "Bar",, "Close","D","0","all",,,,"T"),A46))</f>
        <v>2734.25</v>
      </c>
      <c r="B6" s="88" t="str">
        <f>IF(A34="B",TRUNC(RTD("cqg.rtd",,"DOMData",B38,"Price",-5,"T"))&amp;"'"&amp;RIGHT(TEXT(DOLLARFR(RTD("cqg.rtd",,"DOMData",B38,"Price",-5,"T"),32),A46),A42),TEXT(RTD("cqg.rtd",,"DOMData",B38,"Price",-5,"T"),A46))</f>
        <v>2738.75</v>
      </c>
      <c r="C6" s="90" t="str">
        <f>IF(A34="B",TRUNC(RTD("cqg.rtd",,"DOMData",B38,"Price",-4,"T"))&amp;"'"&amp;RIGHT(TEXT(DOLLARFR(RTD("cqg.rtd",,"DOMData",B38,"Price",-4,"T"),32),A46),A42),TEXT(RTD("cqg.rtd",,"DOMData",B38,"Price",-4,"T"),A46))</f>
        <v>2739.00</v>
      </c>
      <c r="D6" s="93" t="str">
        <f>IF(A34="B",TRUNC(RTD("cqg.rtd",,"DOMData",B38,"Price",-3,"T"))&amp;"'"&amp;RIGHT(TEXT(DOLLARFR(RTD("cqg.rtd",,"DOMData",B38,"Price",-3,"T"),32),A46),A42),TEXT(RTD("cqg.rtd",,"DOMData",B38,"Price",-3,"T"),A46))</f>
        <v>2739.25</v>
      </c>
      <c r="E6" s="96" t="str">
        <f>IF(A34="B",TRUNC(RTD("cqg.rtd",,"DOMData",B38,"Price",-2,"T"))&amp;"'"&amp;RIGHT(TEXT(DOLLARFR(RTD("cqg.rtd",,"DOMData",B38,"Price",-2,"T"),32),A46),A42),TEXT(RTD("cqg.rtd",,"DOMData",B38,"Price",-2,"T"),A46))</f>
        <v>2739.50</v>
      </c>
      <c r="F6" s="109" t="str">
        <f>IFERROR(IF(A34="B",LEFT(A26,FIND("'",A26)),LEFT(TEXT(RTD("cqg.rtd",,"DOMData",B38,"Price",-1,"T"),A46),FIND(".",F46))),"")</f>
        <v>2739.</v>
      </c>
      <c r="G6" s="111" t="str">
        <f>IFERROR(IF(A34="B",RIGHT(A26,LEN(A26)-FIND("'",A26)),RIGHT(TEXT(RTD("cqg.rtd",,"DOMData",B38,"Price",-1,"T"),A46),LEN(D42)-FIND(".",D42))),A26)</f>
        <v>75</v>
      </c>
      <c r="H6" s="107" t="str">
        <f>IFERROR(IF(A34="B",LEFT(A26,FIND("'",A26)),LEFT(TEXT(RTD("cqg.rtd",,"DOMData",B38,"Price",1,"T"),A46),FIND(".",F46))),"")</f>
        <v>2739.</v>
      </c>
      <c r="I6" s="105" t="str">
        <f>IFERROR(IF(A34="B",RIGHT(A26,LEN(A26)-FIND("'",A26)),RIGHT(TEXT(RTD("cqg.rtd",,"DOMData",B38,"Price",1,"T"),A46),LEN(D42)-FIND(".",D42))),A26)</f>
        <v>75</v>
      </c>
      <c r="J6" s="113" t="str">
        <f>IF(A34="B",TRUNC(RTD("cqg.rtd",,"DOMData",B38,"Price",2,"T"))&amp;"'"&amp;RIGHT(TEXT(DOLLARFR(RTD("cqg.rtd",,"DOMData",B38,"Price",2,"T"),32),A46),A42),TEXT(RTD("cqg.rtd",,"DOMData",B38,"Price",2,"T"),A46))</f>
        <v>2740.00</v>
      </c>
      <c r="K6" s="115" t="str">
        <f>IF(A34="B",TRUNC(RTD("cqg.rtd",,"DOMData",B38,"Price",3,"T"))&amp;"'"&amp;RIGHT(TEXT(DOLLARFR(RTD("cqg.rtd",,"DOMData",B38,"Price",3,"T"),32),A46),A42),TEXT(RTD("cqg.rtd",,"DOMData",B38,"Price",3,"T"),A46))</f>
        <v>2740.25</v>
      </c>
      <c r="L6" s="117" t="str">
        <f>IF(A34="B",TRUNC(RTD("cqg.rtd",,"DOMData",B38,"Price",4,"T"))&amp;"'"&amp;RIGHT(TEXT(DOLLARFR(RTD("cqg.rtd",,"DOMData",B38,"Price",4,"T"),32),A46),A42),TEXT(RTD("cqg.rtd",,"DOMData",B38,"Price",4,"T"),A46))</f>
        <v>2740.50</v>
      </c>
      <c r="M6" s="122" t="str">
        <f>IF(A34="B",TRUNC(RTD("cqg.rtd",,"DOMData",B38,"Price",5,"T"))&amp;"'"&amp;RIGHT(TEXT(DOLLARFR(RTD("cqg.rtd",,"DOMData",B38,"Price",5,"T"),32),A46),A42),TEXT(RTD("cqg.rtd",,"DOMData",B38,"Price",5,"T"),A46))</f>
        <v>2740.75</v>
      </c>
      <c r="N6" s="57" t="str">
        <f>Sheet1!L1</f>
        <v>2740.50</v>
      </c>
      <c r="O6" s="119" t="str">
        <f>Sheet1!M1</f>
        <v/>
      </c>
      <c r="P6" s="52" t="str">
        <f>Sheet1!N1</f>
        <v/>
      </c>
      <c r="Q6" s="120">
        <f>Sheet1!O1</f>
        <v>207</v>
      </c>
      <c r="R6" s="51">
        <f>Q6</f>
        <v>207</v>
      </c>
      <c r="S6" s="50">
        <v>0</v>
      </c>
      <c r="T6" s="121">
        <f>RTD("cqg.rtd",,"StudyData","SUBMINUTE(("&amp;$B$38&amp;"),1,Regular)","FG",,"Time","5",S6,,,,,"T")</f>
        <v>43167.645833333299</v>
      </c>
      <c r="U6" s="83" t="str">
        <f>IF(RTD("cqg.rtd",,"StudyData","SUBMINUTE(("&amp;$B$38&amp;"),1,FillGap)","Bar",,"Close","5",S6,,,,,"T")="",NA(),TEXT(RTD("cqg.rtd",,"StudyData","SUBMINUTE(("&amp;$B$38&amp;"),1,FillGap)","Bar",,"Close","5",S6,,,,,"T"),Sheet1!$D$8))</f>
        <v>2739.25</v>
      </c>
      <c r="V6" s="38">
        <f>IF( RTD("cqg.rtd",,"StudyData", "AlgOrdBidVol(SUBMINUTE(("&amp;$B$38&amp;"),1,Regular),1,0)",  "Bar",, "Open", "5",S6,,,,,"T")="",0,RTD("cqg.rtd",,"StudyData", "AlgOrdBidVol(SUBMINUTE(("&amp;$B$38&amp;"),1,Regular),1,0)",  "Bar",, "Open", "5",S6,,,,,"T"))</f>
        <v>0</v>
      </c>
      <c r="W6" s="38">
        <f>IF( RTD("cqg.rtd",,"StudyData", "AlgOrdAskVol(SUBMINUTE(("&amp;$B$38&amp;"),1,Regular),1,0)",  "Bar",, "Open", "5",S6,,,,,"T")="",0,RTD("cqg.rtd",,"StudyData", "AlgOrdAskVol(SUBMINUTE(("&amp;$B$38&amp;"),1,Regular),1,0)",  "Bar",, "Open", "5",S6,,,,,"T"))</f>
        <v>0</v>
      </c>
      <c r="X6" s="37">
        <f>IF(AND(V6&gt;W6,V6&gt;$V$5),1,IF(AND(V6&lt;W6,W6&gt;$W$5),-1,0))</f>
        <v>0</v>
      </c>
      <c r="Y6" s="121">
        <f>RTD("cqg.rtd",,"StudyData","SUBMINUTE(("&amp;$B$38&amp;"),5,Regular)","FG",,"Time","5",S6,,,,,"T")</f>
        <v>43167.645833333299</v>
      </c>
      <c r="Z6" s="197" t="str">
        <f>IF(RTD("cqg.rtd",,"StudyData","SUBMINUTE(("&amp;$B$38&amp;"),5,FillGap)","Bar",,"Close","5",S6,,,,,"T")="",NA(),TEXT(RTD("cqg.rtd",,"StudyData","SUBMINUTE(("&amp;$B$38&amp;"),5,FillGap)","Bar",,"Close","5",S6,,,,,"T"),Sheet1!$D$8))</f>
        <v>2739.25</v>
      </c>
      <c r="AA6" s="38">
        <f>IF( RTD("cqg.rtd",,"StudyData", "AlgOrdBidVol(SUBMINUTE(("&amp;$B$38&amp;"),5,Regular),1,0)",  "Bar",, "Open", "5",S6,,,,,"T")="",0,RTD("cqg.rtd",,"StudyData", "AlgOrdBidVol(SUBMINUTE(("&amp;$B$38&amp;"),5,Regular),1,0)",  "Bar",, "Open", "5",S6,,,,,"T"))</f>
        <v>0</v>
      </c>
      <c r="AB6" s="38">
        <f>IF( RTD("cqg.rtd",,"StudyData", "AlgOrdAskVol(SUBMINUTE(("&amp;$B$38&amp;"),5,Regular),1,0)",  "Bar",, "Open", "5",S6,,,,,"T")="",0,RTD("cqg.rtd",,"StudyData", "AlgOrdAskVol(SUBMINUTE(("&amp;$B$38&amp;"),5,Regular),1,0)",  "Bar",, "Open", "5",S6,,,,,"T"))</f>
        <v>0</v>
      </c>
      <c r="AC6" s="37">
        <f>IF(AND(AA6&gt;AB6,AA6&gt;$AA$5),1,IF(AND(AA6&lt;AB6,AB6&gt;$AB$5),-1,0))</f>
        <v>0</v>
      </c>
    </row>
    <row r="7" spans="1:30" ht="3.95" customHeight="1" x14ac:dyDescent="0.3">
      <c r="A7" s="158"/>
      <c r="B7" s="89"/>
      <c r="C7" s="91"/>
      <c r="D7" s="94"/>
      <c r="E7" s="97"/>
      <c r="F7" s="110"/>
      <c r="G7" s="112"/>
      <c r="H7" s="108"/>
      <c r="I7" s="106"/>
      <c r="J7" s="114"/>
      <c r="K7" s="116"/>
      <c r="L7" s="118"/>
      <c r="M7" s="123"/>
      <c r="N7" s="53"/>
      <c r="O7" s="119"/>
      <c r="P7" s="52"/>
      <c r="Q7" s="120"/>
      <c r="R7" s="50"/>
      <c r="S7" s="50"/>
      <c r="T7" s="121"/>
      <c r="U7" s="83"/>
      <c r="V7" s="38"/>
      <c r="W7" s="38"/>
      <c r="X7" s="38"/>
      <c r="Y7" s="121"/>
      <c r="Z7" s="197"/>
      <c r="AA7" s="38"/>
      <c r="AB7" s="38"/>
      <c r="AC7" s="38"/>
    </row>
    <row r="8" spans="1:30" ht="3.95" customHeight="1" x14ac:dyDescent="0.3">
      <c r="A8" s="158"/>
      <c r="B8" s="89"/>
      <c r="C8" s="91"/>
      <c r="D8" s="94"/>
      <c r="E8" s="97"/>
      <c r="F8" s="110"/>
      <c r="G8" s="112"/>
      <c r="H8" s="108"/>
      <c r="I8" s="106"/>
      <c r="J8" s="114"/>
      <c r="K8" s="116"/>
      <c r="L8" s="118"/>
      <c r="M8" s="123"/>
      <c r="N8" s="53"/>
      <c r="O8" s="119"/>
      <c r="P8" s="52"/>
      <c r="Q8" s="120"/>
      <c r="R8" s="50"/>
      <c r="S8" s="50"/>
      <c r="T8" s="121"/>
      <c r="U8" s="83"/>
      <c r="V8" s="38"/>
      <c r="W8" s="38"/>
      <c r="X8" s="38"/>
      <c r="Y8" s="121"/>
      <c r="Z8" s="197"/>
      <c r="AA8" s="38"/>
      <c r="AB8" s="38"/>
      <c r="AC8" s="38"/>
    </row>
    <row r="9" spans="1:30" ht="3.95" customHeight="1" x14ac:dyDescent="0.3">
      <c r="A9" s="158"/>
      <c r="B9" s="89"/>
      <c r="C9" s="91"/>
      <c r="D9" s="94"/>
      <c r="E9" s="97"/>
      <c r="F9" s="110"/>
      <c r="G9" s="112"/>
      <c r="H9" s="108"/>
      <c r="I9" s="106"/>
      <c r="J9" s="114"/>
      <c r="K9" s="116"/>
      <c r="L9" s="118"/>
      <c r="M9" s="123"/>
      <c r="N9" s="54" t="str">
        <f>Sheet1!L2</f>
        <v>2740.25</v>
      </c>
      <c r="O9" s="119" t="str">
        <f>Sheet1!M2</f>
        <v/>
      </c>
      <c r="P9" s="52" t="str">
        <f>Sheet1!N2</f>
        <v/>
      </c>
      <c r="Q9" s="120">
        <f>Sheet1!O2</f>
        <v>1212</v>
      </c>
      <c r="R9" s="51">
        <f t="shared" ref="R9" si="0">Q9</f>
        <v>1212</v>
      </c>
      <c r="S9" s="50">
        <f>S6-1</f>
        <v>-1</v>
      </c>
      <c r="T9" s="121">
        <f>RTD("cqg.rtd",,"StudyData","SUBMINUTE(("&amp;$B$38&amp;"),1,Regular)","FG",,"Time","5",S9,,,,,"T")</f>
        <v>43167.635405092602</v>
      </c>
      <c r="U9" s="83" t="str">
        <f>IF(RTD("cqg.rtd",,"StudyData","SUBMINUTE(("&amp;$B$38&amp;"),1,FillGap)","Bar",,"Close","5",S9,,,,,"T")="",NA(),TEXT(RTD("cqg.rtd",,"StudyData","SUBMINUTE(("&amp;$B$38&amp;"),1,FillGap)","Bar",,"Close","5",S9,,,,,"T"),Sheet1!$D$8))</f>
        <v>2739.25</v>
      </c>
      <c r="V9" s="38">
        <f>IF( RTD("cqg.rtd",,"StudyData", "AlgOrdBidVol(SUBMINUTE(("&amp;$B$38&amp;"),1,Regular),1,0)",  "Bar",, "Open", "5",S9,,,,,"T")="",0,RTD("cqg.rtd",,"StudyData", "AlgOrdBidVol(SUBMINUTE(("&amp;$B$38&amp;"),1,Regular),1,0)",  "Bar",, "Open", "5",S9,,,,,"T"))</f>
        <v>212</v>
      </c>
      <c r="W9" s="38">
        <f>IF( RTD("cqg.rtd",,"StudyData", "AlgOrdAskVol(SUBMINUTE(("&amp;$B$38&amp;"),1,Regular),1,0)",  "Bar",, "Open", "5",S9,,,,,"T")="",0,RTD("cqg.rtd",,"StudyData", "AlgOrdAskVol(SUBMINUTE(("&amp;$B$38&amp;"),1,Regular),1,0)",  "Bar",, "Open", "5",S9,,,,,"T"))</f>
        <v>8</v>
      </c>
      <c r="X9" s="37">
        <f t="shared" ref="X9" si="1">IF(AND(V9&gt;W9,V9&gt;$V$5),1,IF(AND(V9&lt;W9,W9&gt;$W$5),-1,0))</f>
        <v>1</v>
      </c>
      <c r="Y9" s="121">
        <f>RTD("cqg.rtd",,"StudyData","SUBMINUTE(("&amp;$B$38&amp;"),5,Regular)","FG",,"Time","5",S9,,,,,"T")</f>
        <v>43167.635358796302</v>
      </c>
      <c r="Z9" s="197" t="str">
        <f>IF(RTD("cqg.rtd",,"StudyData","SUBMINUTE(("&amp;$B$38&amp;"),5,FillGap)","Bar",,"Close","5",S9,,,,,"T")="",NA(),TEXT(RTD("cqg.rtd",,"StudyData","SUBMINUTE(("&amp;$B$38&amp;"),5,FillGap)","Bar",,"Close","5",S9,,,,,"T"),Sheet1!$D$8))</f>
        <v>2739.25</v>
      </c>
      <c r="AA9" s="38">
        <f>IF( RTD("cqg.rtd",,"StudyData", "AlgOrdBidVol(SUBMINUTE(("&amp;$B$38&amp;"),5,Regular),1,0)",  "Bar",, "Open", "5",S9,,,,,"T")="",0,RTD("cqg.rtd",,"StudyData", "AlgOrdBidVol(SUBMINUTE(("&amp;$B$38&amp;"),5,Regular),1,0)",  "Bar",, "Open", "5",S9,,,,,"T"))</f>
        <v>212</v>
      </c>
      <c r="AB9" s="38">
        <f>IF( RTD("cqg.rtd",,"StudyData", "AlgOrdAskVol(SUBMINUTE(("&amp;$B$38&amp;"),5,Regular),1,0)",  "Bar",, "Open", "5",S9,,,,,"T")="",0,RTD("cqg.rtd",,"StudyData", "AlgOrdAskVol(SUBMINUTE(("&amp;$B$38&amp;"),5,Regular),1,0)",  "Bar",, "Open", "5",S9,,,,,"T"))</f>
        <v>123</v>
      </c>
      <c r="AC9" s="37">
        <f t="shared" ref="AC9" si="2">IF(AND(AA9&gt;AB9,AA9&gt;$AA$5),1,IF(AND(AA9&lt;AB9,AB9&gt;$AB$5),-1,0))</f>
        <v>1</v>
      </c>
    </row>
    <row r="10" spans="1:30" ht="3.95" customHeight="1" x14ac:dyDescent="0.3">
      <c r="A10" s="157" t="str">
        <f>IF(A6="","",TEXT(RTD("cqg.rtd",,"StudyData","FPVol(FootprintOp ("&amp;B38&amp;", 0),"&amp;A5&amp;")", "Bar",, "Close","D","0","all",,,,"T"),"#,###"))</f>
        <v>23,147</v>
      </c>
      <c r="B10" s="89"/>
      <c r="C10" s="92"/>
      <c r="D10" s="95"/>
      <c r="E10" s="98"/>
      <c r="F10" s="110"/>
      <c r="G10" s="112"/>
      <c r="H10" s="108"/>
      <c r="I10" s="106"/>
      <c r="J10" s="114"/>
      <c r="K10" s="116"/>
      <c r="L10" s="118"/>
      <c r="M10" s="123"/>
      <c r="N10" s="58"/>
      <c r="O10" s="119"/>
      <c r="P10" s="52"/>
      <c r="Q10" s="120"/>
      <c r="R10" s="50"/>
      <c r="S10" s="50"/>
      <c r="T10" s="121"/>
      <c r="U10" s="83"/>
      <c r="V10" s="38"/>
      <c r="W10" s="38"/>
      <c r="X10" s="38"/>
      <c r="Y10" s="121"/>
      <c r="Z10" s="197"/>
      <c r="AA10" s="38"/>
      <c r="AB10" s="38"/>
      <c r="AC10" s="38"/>
    </row>
    <row r="11" spans="1:30" ht="3.95" customHeight="1" x14ac:dyDescent="0.3">
      <c r="A11" s="158"/>
      <c r="B11" s="89"/>
      <c r="C11" s="92"/>
      <c r="D11" s="95"/>
      <c r="E11" s="98"/>
      <c r="F11" s="2"/>
      <c r="G11" s="112"/>
      <c r="H11" s="3"/>
      <c r="I11" s="106"/>
      <c r="J11" s="114"/>
      <c r="K11" s="116"/>
      <c r="L11" s="118"/>
      <c r="M11" s="123"/>
      <c r="N11" s="57"/>
      <c r="O11" s="119"/>
      <c r="P11" s="52"/>
      <c r="Q11" s="120"/>
      <c r="R11" s="50"/>
      <c r="S11" s="50"/>
      <c r="T11" s="121"/>
      <c r="U11" s="83"/>
      <c r="V11" s="38"/>
      <c r="W11" s="38"/>
      <c r="X11" s="38"/>
      <c r="Y11" s="121"/>
      <c r="Z11" s="197"/>
      <c r="AA11" s="38"/>
      <c r="AB11" s="38"/>
      <c r="AC11" s="38"/>
    </row>
    <row r="12" spans="1:30" ht="3.95" customHeight="1" x14ac:dyDescent="0.3">
      <c r="A12" s="158"/>
      <c r="B12" s="89"/>
      <c r="C12" s="92"/>
      <c r="D12" s="95"/>
      <c r="E12" s="98"/>
      <c r="F12" s="2"/>
      <c r="G12" s="112"/>
      <c r="H12" s="3"/>
      <c r="I12" s="106"/>
      <c r="J12" s="114"/>
      <c r="K12" s="116"/>
      <c r="L12" s="118"/>
      <c r="M12" s="123"/>
      <c r="N12" s="53" t="str">
        <f>Sheet1!L3</f>
        <v>2740.00</v>
      </c>
      <c r="O12" s="119" t="str">
        <f>Sheet1!M3</f>
        <v/>
      </c>
      <c r="P12" s="52" t="str">
        <f>Sheet1!N3</f>
        <v/>
      </c>
      <c r="Q12" s="120">
        <f>Sheet1!O3</f>
        <v>1801</v>
      </c>
      <c r="R12" s="51">
        <f t="shared" ref="R12" si="3">Q12</f>
        <v>1801</v>
      </c>
      <c r="S12" s="50">
        <f>S9-1</f>
        <v>-2</v>
      </c>
      <c r="T12" s="121">
        <f>RTD("cqg.rtd",,"StudyData","SUBMINUTE(("&amp;$B$38&amp;"),1,Regular)","FG",,"Time","5",S12,,,,,"T")</f>
        <v>43167.635393518503</v>
      </c>
      <c r="U12" s="83" t="str">
        <f>IF(RTD("cqg.rtd",,"StudyData","SUBMINUTE(("&amp;$B$38&amp;"),1,FillGap)","Bar",,"Close","5",S12,,,,,"T")="",NA(),TEXT(RTD("cqg.rtd",,"StudyData","SUBMINUTE(("&amp;$B$38&amp;"),1,FillGap)","Bar",,"Close","5",S12,,,,,"T"),Sheet1!$D$8))</f>
        <v>2739.25</v>
      </c>
      <c r="V12" s="38">
        <f>IF( RTD("cqg.rtd",,"StudyData", "AlgOrdBidVol(SUBMINUTE(("&amp;$B$38&amp;"),1,Regular),1,0)",  "Bar",, "Open", "5",S12,,,,,"T")="",0,RTD("cqg.rtd",,"StudyData", "AlgOrdBidVol(SUBMINUTE(("&amp;$B$38&amp;"),1,Regular),1,0)",  "Bar",, "Open", "5",S12,,,,,"T"))</f>
        <v>0</v>
      </c>
      <c r="W12" s="38">
        <f>IF( RTD("cqg.rtd",,"StudyData", "AlgOrdAskVol(SUBMINUTE(("&amp;$B$38&amp;"),1,Regular),1,0)",  "Bar",, "Open", "5",S12,,,,,"T")="",0,RTD("cqg.rtd",,"StudyData", "AlgOrdAskVol(SUBMINUTE(("&amp;$B$38&amp;"),1,Regular),1,0)",  "Bar",, "Open", "5",S12,,,,,"T"))</f>
        <v>0</v>
      </c>
      <c r="X12" s="37">
        <f t="shared" ref="X12" si="4">IF(AND(V12&gt;W12,V12&gt;$V$5),1,IF(AND(V12&lt;W12,W12&gt;$W$5),-1,0))</f>
        <v>0</v>
      </c>
      <c r="Y12" s="121">
        <f>RTD("cqg.rtd",,"StudyData","SUBMINUTE(("&amp;$B$38&amp;"),5,Regular)","FG",,"Time","5",S12,,,,,"T")</f>
        <v>43167.635300925896</v>
      </c>
      <c r="Z12" s="197" t="str">
        <f>IF(RTD("cqg.rtd",,"StudyData","SUBMINUTE(("&amp;$B$38&amp;"),5,FillGap)","Bar",,"Close","5",S12,,,,,"T")="",NA(),TEXT(RTD("cqg.rtd",,"StudyData","SUBMINUTE(("&amp;$B$38&amp;"),5,FillGap)","Bar",,"Close","5",S12,,,,,"T"),Sheet1!$D$8))</f>
        <v>2738.75</v>
      </c>
      <c r="AA12" s="38">
        <f>IF( RTD("cqg.rtd",,"StudyData", "AlgOrdBidVol(SUBMINUTE(("&amp;$B$38&amp;"),5,Regular),1,0)",  "Bar",, "Open", "5",S12,,,,,"T")="",0,RTD("cqg.rtd",,"StudyData", "AlgOrdBidVol(SUBMINUTE(("&amp;$B$38&amp;"),5,Regular),1,0)",  "Bar",, "Open", "5",S12,,,,,"T"))</f>
        <v>99</v>
      </c>
      <c r="AB12" s="38">
        <f>IF( RTD("cqg.rtd",,"StudyData", "AlgOrdAskVol(SUBMINUTE(("&amp;$B$38&amp;"),5,Regular),1,0)",  "Bar",, "Open", "5",S12,,,,,"T")="",0,RTD("cqg.rtd",,"StudyData", "AlgOrdAskVol(SUBMINUTE(("&amp;$B$38&amp;"),5,Regular),1,0)",  "Bar",, "Open", "5",S12,,,,,"T"))</f>
        <v>18</v>
      </c>
      <c r="AC12" s="37">
        <f t="shared" ref="AC12" si="5">IF(AND(AA12&gt;AB12,AA12&gt;$AA$5),1,IF(AND(AA12&lt;AB12,AB12&gt;$AB$5),-1,0))</f>
        <v>1</v>
      </c>
    </row>
    <row r="13" spans="1:30" ht="3.95" customHeight="1" x14ac:dyDescent="0.3">
      <c r="A13" s="158"/>
      <c r="B13" s="89"/>
      <c r="C13" s="92"/>
      <c r="D13" s="95"/>
      <c r="E13" s="98"/>
      <c r="F13" s="2"/>
      <c r="G13" s="112"/>
      <c r="H13" s="3"/>
      <c r="I13" s="106"/>
      <c r="J13" s="114"/>
      <c r="K13" s="116"/>
      <c r="L13" s="118"/>
      <c r="M13" s="123"/>
      <c r="N13" s="53"/>
      <c r="O13" s="119"/>
      <c r="P13" s="52"/>
      <c r="Q13" s="120"/>
      <c r="R13" s="50"/>
      <c r="S13" s="50"/>
      <c r="T13" s="121"/>
      <c r="U13" s="83"/>
      <c r="V13" s="38"/>
      <c r="W13" s="38"/>
      <c r="X13" s="38"/>
      <c r="Y13" s="121"/>
      <c r="Z13" s="197"/>
      <c r="AA13" s="38"/>
      <c r="AB13" s="38"/>
      <c r="AC13" s="38"/>
    </row>
    <row r="14" spans="1:30" ht="3.95" customHeight="1" x14ac:dyDescent="0.3">
      <c r="A14" s="157">
        <f>IF(RTD("cqg.rtd",,"ContractData",B38,"NetLastTradeToday",,A12)&gt;=0,1,0)</f>
        <v>1</v>
      </c>
      <c r="B14" s="135">
        <f>RTD("cqg.rtd",,"DOMData",B38,"Volume",-5)</f>
        <v>105</v>
      </c>
      <c r="C14" s="138">
        <f>RTD("cqg.rtd",,"DOMData",B38,"Volume",-4)</f>
        <v>91</v>
      </c>
      <c r="D14" s="141">
        <f>RTD("cqg.rtd",,"DOMData",B38,"Volume",-3)</f>
        <v>129</v>
      </c>
      <c r="E14" s="144">
        <f>RTD("cqg.rtd",,"DOMData",B38,"Volume",-2)</f>
        <v>30</v>
      </c>
      <c r="F14" s="147">
        <f>RTD("cqg.rtd",,"DOMData",B38,"Volume",-1)</f>
        <v>110</v>
      </c>
      <c r="G14" s="147"/>
      <c r="H14" s="124">
        <f>RTD("cqg.rtd",,"DOMData",B38,"Volume",1)</f>
        <v>152</v>
      </c>
      <c r="I14" s="124"/>
      <c r="J14" s="149">
        <f>RTD("cqg.rtd",,"DOMData",B38,"Volume",2)</f>
        <v>114</v>
      </c>
      <c r="K14" s="151">
        <f>RTD("cqg.rtd",,"DOMData",B38,"Volume",3)</f>
        <v>166</v>
      </c>
      <c r="L14" s="153">
        <f>RTD("cqg.rtd",,"DOMData",B38,"Volume",4)</f>
        <v>87</v>
      </c>
      <c r="M14" s="155">
        <f>RTD("cqg.rtd",,"DOMData",B38,"Volume",5)</f>
        <v>242</v>
      </c>
      <c r="N14" s="53"/>
      <c r="O14" s="119"/>
      <c r="P14" s="52"/>
      <c r="Q14" s="120"/>
      <c r="R14" s="50"/>
      <c r="S14" s="50"/>
      <c r="T14" s="121"/>
      <c r="U14" s="83"/>
      <c r="V14" s="38"/>
      <c r="W14" s="38"/>
      <c r="X14" s="38"/>
      <c r="Y14" s="121"/>
      <c r="Z14" s="197"/>
      <c r="AA14" s="38"/>
      <c r="AB14" s="38"/>
      <c r="AC14" s="38"/>
    </row>
    <row r="15" spans="1:30" ht="3.95" customHeight="1" x14ac:dyDescent="0.3">
      <c r="A15" s="158"/>
      <c r="B15" s="136"/>
      <c r="C15" s="139"/>
      <c r="D15" s="142"/>
      <c r="E15" s="145"/>
      <c r="F15" s="147"/>
      <c r="G15" s="147"/>
      <c r="H15" s="124"/>
      <c r="I15" s="124"/>
      <c r="J15" s="149"/>
      <c r="K15" s="151"/>
      <c r="L15" s="153"/>
      <c r="M15" s="155"/>
      <c r="N15" s="53" t="str">
        <f>Sheet1!L4</f>
        <v>2739.75</v>
      </c>
      <c r="O15" s="119">
        <f>Sheet1!M4</f>
        <v>110</v>
      </c>
      <c r="P15" s="52">
        <f>Sheet1!N4</f>
        <v>152</v>
      </c>
      <c r="Q15" s="120">
        <f>Sheet1!O4</f>
        <v>3853</v>
      </c>
      <c r="R15" s="51">
        <f t="shared" ref="R15" si="6">Q15</f>
        <v>3853</v>
      </c>
      <c r="S15" s="50">
        <f>S12-1</f>
        <v>-3</v>
      </c>
      <c r="T15" s="121">
        <f>RTD("cqg.rtd",,"StudyData","SUBMINUTE(("&amp;$B$38&amp;"),1,Regular)","FG",,"Time","5",S15,,,,,"T")</f>
        <v>43167.635381944398</v>
      </c>
      <c r="U15" s="83" t="str">
        <f>IF(RTD("cqg.rtd",,"StudyData","SUBMINUTE(("&amp;$B$38&amp;"),1,FillGap)","Bar",,"Close","5",S15,,,,,"T")="",NA(),TEXT(RTD("cqg.rtd",,"StudyData","SUBMINUTE(("&amp;$B$38&amp;"),1,FillGap)","Bar",,"Close","5",S15,,,,,"T"),Sheet1!$D$8))</f>
        <v>2739.25</v>
      </c>
      <c r="V15" s="38">
        <f>IF( RTD("cqg.rtd",,"StudyData", "AlgOrdBidVol(SUBMINUTE(("&amp;$B$38&amp;"),1,Regular),1,0)",  "Bar",, "Open", "5",S15,,,,,"T")="",0,RTD("cqg.rtd",,"StudyData", "AlgOrdBidVol(SUBMINUTE(("&amp;$B$38&amp;"),1,Regular),1,0)",  "Bar",, "Open", "5",S15,,,,,"T"))</f>
        <v>0</v>
      </c>
      <c r="W15" s="38">
        <f>IF( RTD("cqg.rtd",,"StudyData", "AlgOrdAskVol(SUBMINUTE(("&amp;$B$38&amp;"),1,Regular),1,0)",  "Bar",, "Open", "5",S15,,,,,"T")="",0,RTD("cqg.rtd",,"StudyData", "AlgOrdAskVol(SUBMINUTE(("&amp;$B$38&amp;"),1,Regular),1,0)",  "Bar",, "Open", "5",S15,,,,,"T"))</f>
        <v>0</v>
      </c>
      <c r="X15" s="37">
        <f t="shared" ref="X15" si="7">IF(AND(V15&gt;W15,V15&gt;$V$5),1,IF(AND(V15&lt;W15,W15&gt;$W$5),-1,0))</f>
        <v>0</v>
      </c>
      <c r="Y15" s="121">
        <f>RTD("cqg.rtd",,"StudyData","SUBMINUTE(("&amp;$B$38&amp;"),5,Regular)","FG",,"Time","5",S15,,,,,"T")</f>
        <v>43167.6352430556</v>
      </c>
      <c r="Z15" s="197" t="str">
        <f>IF(RTD("cqg.rtd",,"StudyData","SUBMINUTE(("&amp;$B$38&amp;"),5,FillGap)","Bar",,"Close","5",S15,,,,,"T")="",NA(),TEXT(RTD("cqg.rtd",,"StudyData","SUBMINUTE(("&amp;$B$38&amp;"),5,FillGap)","Bar",,"Close","5",S15,,,,,"T"),Sheet1!$D$8))</f>
        <v>2739.25</v>
      </c>
      <c r="AA15" s="38">
        <f>IF( RTD("cqg.rtd",,"StudyData", "AlgOrdBidVol(SUBMINUTE(("&amp;$B$38&amp;"),5,Regular),1,0)",  "Bar",, "Open", "5",S15,,,,,"T")="",0,RTD("cqg.rtd",,"StudyData", "AlgOrdBidVol(SUBMINUTE(("&amp;$B$38&amp;"),5,Regular),1,0)",  "Bar",, "Open", "5",S15,,,,,"T"))</f>
        <v>47</v>
      </c>
      <c r="AB15" s="38">
        <f>IF( RTD("cqg.rtd",,"StudyData", "AlgOrdAskVol(SUBMINUTE(("&amp;$B$38&amp;"),5,Regular),1,0)",  "Bar",, "Open", "5",S15,,,,,"T")="",0,RTD("cqg.rtd",,"StudyData", "AlgOrdAskVol(SUBMINUTE(("&amp;$B$38&amp;"),5,Regular),1,0)",  "Bar",, "Open", "5",S15,,,,,"T"))</f>
        <v>19</v>
      </c>
      <c r="AC15" s="37">
        <f t="shared" ref="AC15" si="8">IF(AND(AA15&gt;AB15,AA15&gt;$AA$5),1,IF(AND(AA15&lt;AB15,AB15&gt;$AB$5),-1,0))</f>
        <v>1</v>
      </c>
    </row>
    <row r="16" spans="1:30" ht="3.95" customHeight="1" x14ac:dyDescent="0.3">
      <c r="A16" s="158"/>
      <c r="B16" s="136"/>
      <c r="C16" s="139"/>
      <c r="D16" s="142"/>
      <c r="E16" s="145"/>
      <c r="F16" s="147"/>
      <c r="G16" s="147"/>
      <c r="H16" s="124"/>
      <c r="I16" s="124"/>
      <c r="J16" s="149"/>
      <c r="K16" s="151"/>
      <c r="L16" s="153"/>
      <c r="M16" s="155"/>
      <c r="N16" s="53"/>
      <c r="O16" s="119"/>
      <c r="P16" s="52"/>
      <c r="Q16" s="120"/>
      <c r="R16" s="50"/>
      <c r="S16" s="50"/>
      <c r="T16" s="121"/>
      <c r="U16" s="83"/>
      <c r="V16" s="38"/>
      <c r="W16" s="38"/>
      <c r="X16" s="38"/>
      <c r="Y16" s="121"/>
      <c r="Z16" s="197"/>
      <c r="AA16" s="38"/>
      <c r="AB16" s="38"/>
      <c r="AC16" s="38"/>
    </row>
    <row r="17" spans="1:29" ht="3.95" customHeight="1" x14ac:dyDescent="0.3">
      <c r="A17" s="158"/>
      <c r="B17" s="137"/>
      <c r="C17" s="140"/>
      <c r="D17" s="143"/>
      <c r="E17" s="146"/>
      <c r="F17" s="148"/>
      <c r="G17" s="148"/>
      <c r="H17" s="125"/>
      <c r="I17" s="125"/>
      <c r="J17" s="150"/>
      <c r="K17" s="152"/>
      <c r="L17" s="154"/>
      <c r="M17" s="156"/>
      <c r="N17" s="53"/>
      <c r="O17" s="119"/>
      <c r="P17" s="52"/>
      <c r="Q17" s="120"/>
      <c r="R17" s="50"/>
      <c r="S17" s="50"/>
      <c r="T17" s="121"/>
      <c r="U17" s="83"/>
      <c r="V17" s="38"/>
      <c r="W17" s="38"/>
      <c r="X17" s="38"/>
      <c r="Y17" s="121"/>
      <c r="Z17" s="197"/>
      <c r="AA17" s="38"/>
      <c r="AB17" s="38"/>
      <c r="AC17" s="38"/>
    </row>
    <row r="18" spans="1:29" ht="3.95" customHeight="1" x14ac:dyDescent="0.3">
      <c r="A18" s="157"/>
      <c r="B18" s="126">
        <f>IF(LEFT(IFERROR(RTD("cqg.rtd",,"StudyData","FPVol(FootprintOp ("&amp;B38&amp;", 0),"&amp;B46&amp;")", "Bar",, "Close","D","0","all",,,,"T"),""),3)="777","",IFERROR(RTD("cqg.rtd",,"StudyData","FPVol(FootprintOp ("&amp;B38&amp;", 0),"&amp;B46&amp;")", "Bar",, "Close","D","0","all",,,,"T"),""))</f>
        <v>16018</v>
      </c>
      <c r="C18" s="126">
        <f>IF(LEFT(IFERROR(RTD("cqg.rtd",,"StudyData","FPVol(FootprintOp ("&amp;B38&amp;", 0),"&amp;C46&amp;")", "Bar",, "Close","D","0","all",,,,"T"),""),3)="777","",IFERROR(RTD("cqg.rtd",,"StudyData","FPVol(FootprintOp ("&amp;B38&amp;", 0),"&amp;C46&amp;")", "Bar",, "Close","D","0","all",,,,"T"),""))</f>
        <v>14220</v>
      </c>
      <c r="D18" s="126">
        <f>IF(LEFT(IFERROR(RTD("cqg.rtd",,"StudyData","FPVol(FootprintOp ("&amp;B38&amp;", 0),"&amp;D46&amp;")", "Bar",, "Close","D","0","all",,,,"T"),""),3)="777","",IFERROR(RTD("cqg.rtd",,"StudyData","FPVol(FootprintOp ("&amp;B38&amp;", 0),"&amp;D46&amp;")", "Bar",, "Close","D","0","all",,,,"T"),""))</f>
        <v>13114</v>
      </c>
      <c r="E18" s="126">
        <f>IF(LEFT(IFERROR(RTD("cqg.rtd",,"StudyData","FPVol(FootprintOp ("&amp;B38&amp;", 0),"&amp;E46&amp;")", "Bar",, "Close","D","0","all",,,,"T"),""),3)="777","",IFERROR(RTD("cqg.rtd",,"StudyData","FPVol(FootprintOp ("&amp;B38&amp;", 0),"&amp;E46&amp;")", "Bar",, "Close","D","0","all",,,,"T"),""))</f>
        <v>7646</v>
      </c>
      <c r="F18" s="129">
        <f>IF(LEFT(IFERROR(RTD("cqg.rtd",,"StudyData","FPVol(FootprintOp ("&amp;B38&amp;", 0),"&amp;F46&amp;")", "Bar",, "Close","D","0","all",,,,"T"),""),3)="777","",IFERROR(RTD("cqg.rtd",,"StudyData","FPVol(FootprintOp ("&amp;B38&amp;", 0),"&amp;F46&amp;")", "Bar",, "Close","D","0","all",,,,"T"),""))</f>
        <v>3853</v>
      </c>
      <c r="G18" s="130"/>
      <c r="H18" s="129">
        <f>IF(LEFT(IFERROR(RTD("cqg.rtd",,"StudyData","FPVol(FootprintOp ("&amp;B38&amp;", 0),"&amp;I46&amp;")", "Bar",, "Close","D","0","all",,,,"T"),""),3)="777","",IFERROR(RTD("cqg.rtd",,"StudyData","FPVol(FootprintOp ("&amp;B38&amp;", 0),"&amp;I46&amp;")", "Bar",, "Close","D","0","all",,,,"T"),""))</f>
        <v>3853</v>
      </c>
      <c r="I18" s="130"/>
      <c r="J18" s="126">
        <f>IF(LEFT(IFERROR(RTD("cqg.rtd",,"StudyData","FPVol(FootprintOp ("&amp;B38&amp;", 0),"&amp;J46&amp;")", "Bar",, "Close","D","0","all",,,,"T"),""),3)="777","",IFERROR(RTD("cqg.rtd",,"StudyData","FPVol(FootprintOp ("&amp;B38&amp;", 0),"&amp;J46&amp;")", "Bar",, "Close","D","0","all",,,,"T"),""))</f>
        <v>1801</v>
      </c>
      <c r="K18" s="126">
        <f>IF(LEFT(IFERROR(RTD("cqg.rtd",,"StudyData","FPVol(FootprintOp ("&amp;B38&amp;", 0),"&amp;K46&amp;")", "Bar",, "Close","D","0","all",,,,"T"),""),3)="777","",IFERROR(RTD("cqg.rtd",,"StudyData","FPVol(FootprintOp ("&amp;B38&amp;", 0),"&amp;K46&amp;")", "Bar",, "Close","D","0","all",,,,"T"),""))</f>
        <v>1212</v>
      </c>
      <c r="L18" s="126">
        <f>IF(LEFT(IFERROR(RTD("cqg.rtd",,"StudyData","FPVol(FootprintOp ("&amp;B38&amp;", 0),"&amp;L46&amp;")", "Bar",, "Close","D","0","all",,,,"T"),""),3)="777","",IFERROR(RTD("cqg.rtd",,"StudyData","FPVol(FootprintOp ("&amp;B38&amp;", 0),"&amp;L46&amp;")", "Bar",, "Close","D","0","all",,,,"T"),""))</f>
        <v>207</v>
      </c>
      <c r="M18" s="126" t="str">
        <f>IF(LEFT(IFERROR(RTD("cqg.rtd",,"StudyData","FPVol(FootprintOp ("&amp;B38&amp;", 0),"&amp;M46&amp;")", "Bar",, "Close","D","0","all",,,,"T"),""),3)="777","",IFERROR(RTD("cqg.rtd",,"StudyData","FPVol(FootprintOp ("&amp;B38&amp;", 0),"&amp;M46&amp;")", "Bar",, "Close","D","0","all",,,,"T"),""))</f>
        <v/>
      </c>
      <c r="N18" s="53" t="str">
        <f>Sheet1!L5</f>
        <v>2739.50</v>
      </c>
      <c r="O18" s="119" t="str">
        <f>Sheet1!M5</f>
        <v/>
      </c>
      <c r="P18" s="52" t="str">
        <f>Sheet1!N5</f>
        <v/>
      </c>
      <c r="Q18" s="120">
        <f>Sheet1!O5</f>
        <v>7646</v>
      </c>
      <c r="R18" s="51">
        <f t="shared" ref="R18" si="9">Q18</f>
        <v>7646</v>
      </c>
      <c r="S18" s="50">
        <f>S15-1</f>
        <v>-4</v>
      </c>
      <c r="T18" s="121">
        <f>RTD("cqg.rtd",,"StudyData","SUBMINUTE(("&amp;$B$38&amp;"),1,Regular)","FG",,"Time","5",S18,,,,,"T")</f>
        <v>43167.635370370401</v>
      </c>
      <c r="U18" s="83" t="str">
        <f>IF(RTD("cqg.rtd",,"StudyData","SUBMINUTE(("&amp;$B$38&amp;"),1,FillGap)","Bar",,"Close","5",S18,,,,,"T")="",NA(),TEXT(RTD("cqg.rtd",,"StudyData","SUBMINUTE(("&amp;$B$38&amp;"),1,FillGap)","Bar",,"Close","5",S18,,,,,"T"),Sheet1!$D$8))</f>
        <v>2739.25</v>
      </c>
      <c r="V18" s="38">
        <f>IF( RTD("cqg.rtd",,"StudyData", "AlgOrdBidVol(SUBMINUTE(("&amp;$B$38&amp;"),1,Regular),1,0)",  "Bar",, "Open", "5",S18,,,,,"T")="",0,RTD("cqg.rtd",,"StudyData", "AlgOrdBidVol(SUBMINUTE(("&amp;$B$38&amp;"),1,Regular),1,0)",  "Bar",, "Open", "5",S18,,,,,"T"))</f>
        <v>0</v>
      </c>
      <c r="W18" s="38">
        <f>IF( RTD("cqg.rtd",,"StudyData", "AlgOrdAskVol(SUBMINUTE(("&amp;$B$38&amp;"),1,Regular),1,0)",  "Bar",, "Open", "5",S18,,,,,"T")="",0,RTD("cqg.rtd",,"StudyData", "AlgOrdAskVol(SUBMINUTE(("&amp;$B$38&amp;"),1,Regular),1,0)",  "Bar",, "Open", "5",S18,,,,,"T"))</f>
        <v>115</v>
      </c>
      <c r="X18" s="37">
        <f t="shared" ref="X18" si="10">IF(AND(V18&gt;W18,V18&gt;$V$5),1,IF(AND(V18&lt;W18,W18&gt;$W$5),-1,0))</f>
        <v>-1</v>
      </c>
      <c r="Y18" s="121">
        <f>RTD("cqg.rtd",,"StudyData","SUBMINUTE(("&amp;$B$38&amp;"),5,Regular)","FG",,"Time","5",S18,,,,,"T")</f>
        <v>43167.635185185201</v>
      </c>
      <c r="Z18" s="197" t="str">
        <f>IF(RTD("cqg.rtd",,"StudyData","SUBMINUTE(("&amp;$B$38&amp;"),5,FillGap)","Bar",,"Close","5",S18,,,,,"T")="",NA(),TEXT(RTD("cqg.rtd",,"StudyData","SUBMINUTE(("&amp;$B$38&amp;"),5,FillGap)","Bar",,"Close","5",S18,,,,,"T"),Sheet1!$D$8))</f>
        <v>2739.25</v>
      </c>
      <c r="AA18" s="38">
        <f>IF( RTD("cqg.rtd",,"StudyData", "AlgOrdBidVol(SUBMINUTE(("&amp;$B$38&amp;"),5,Regular),1,0)",  "Bar",, "Open", "5",S18,,,,,"T")="",0,RTD("cqg.rtd",,"StudyData", "AlgOrdBidVol(SUBMINUTE(("&amp;$B$38&amp;"),5,Regular),1,0)",  "Bar",, "Open", "5",S18,,,,,"T"))</f>
        <v>0</v>
      </c>
      <c r="AB18" s="38">
        <f>IF( RTD("cqg.rtd",,"StudyData", "AlgOrdAskVol(SUBMINUTE(("&amp;$B$38&amp;"),5,Regular),1,0)",  "Bar",, "Open", "5",S18,,,,,"T")="",0,RTD("cqg.rtd",,"StudyData", "AlgOrdAskVol(SUBMINUTE(("&amp;$B$38&amp;"),5,Regular),1,0)",  "Bar",, "Open", "5",S18,,,,,"T"))</f>
        <v>187</v>
      </c>
      <c r="AC18" s="37">
        <f t="shared" ref="AC18" si="11">IF(AND(AA18&gt;AB18,AA18&gt;$AA$5),1,IF(AND(AA18&lt;AB18,AB18&gt;$AB$5),-1,0))</f>
        <v>-1</v>
      </c>
    </row>
    <row r="19" spans="1:29" ht="3.95" customHeight="1" x14ac:dyDescent="0.3">
      <c r="A19" s="158"/>
      <c r="B19" s="127"/>
      <c r="C19" s="127"/>
      <c r="D19" s="127"/>
      <c r="E19" s="127"/>
      <c r="F19" s="131"/>
      <c r="G19" s="132"/>
      <c r="H19" s="131"/>
      <c r="I19" s="132"/>
      <c r="J19" s="127"/>
      <c r="K19" s="127"/>
      <c r="L19" s="127"/>
      <c r="M19" s="127"/>
      <c r="N19" s="53"/>
      <c r="O19" s="119"/>
      <c r="P19" s="52"/>
      <c r="Q19" s="120"/>
      <c r="R19" s="50"/>
      <c r="S19" s="50"/>
      <c r="T19" s="121"/>
      <c r="U19" s="83"/>
      <c r="V19" s="38"/>
      <c r="W19" s="38"/>
      <c r="X19" s="38"/>
      <c r="Y19" s="121"/>
      <c r="Z19" s="197"/>
      <c r="AA19" s="38"/>
      <c r="AB19" s="38"/>
      <c r="AC19" s="38"/>
    </row>
    <row r="20" spans="1:29" ht="3.95" customHeight="1" x14ac:dyDescent="0.3">
      <c r="A20" s="158"/>
      <c r="B20" s="127"/>
      <c r="C20" s="127"/>
      <c r="D20" s="127"/>
      <c r="E20" s="127"/>
      <c r="F20" s="131"/>
      <c r="G20" s="132"/>
      <c r="H20" s="131"/>
      <c r="I20" s="132"/>
      <c r="J20" s="127"/>
      <c r="K20" s="127"/>
      <c r="L20" s="127"/>
      <c r="M20" s="127"/>
      <c r="N20" s="53"/>
      <c r="O20" s="119"/>
      <c r="P20" s="52"/>
      <c r="Q20" s="120"/>
      <c r="R20" s="50"/>
      <c r="S20" s="50"/>
      <c r="T20" s="121"/>
      <c r="U20" s="83"/>
      <c r="V20" s="38"/>
      <c r="W20" s="38"/>
      <c r="X20" s="38"/>
      <c r="Y20" s="121"/>
      <c r="Z20" s="197"/>
      <c r="AA20" s="38"/>
      <c r="AB20" s="38"/>
      <c r="AC20" s="38"/>
    </row>
    <row r="21" spans="1:29" ht="3.95" customHeight="1" x14ac:dyDescent="0.3">
      <c r="A21" s="158"/>
      <c r="B21" s="128"/>
      <c r="C21" s="128"/>
      <c r="D21" s="128"/>
      <c r="E21" s="128"/>
      <c r="F21" s="133"/>
      <c r="G21" s="134"/>
      <c r="H21" s="133"/>
      <c r="I21" s="134"/>
      <c r="J21" s="128"/>
      <c r="K21" s="128"/>
      <c r="L21" s="128"/>
      <c r="M21" s="128"/>
      <c r="N21" s="53" t="str">
        <f>Sheet1!L6</f>
        <v>2739.25</v>
      </c>
      <c r="O21" s="119" t="str">
        <f>Sheet1!M6</f>
        <v/>
      </c>
      <c r="P21" s="52" t="str">
        <f>Sheet1!N6</f>
        <v/>
      </c>
      <c r="Q21" s="120">
        <f>Sheet1!O6</f>
        <v>13114</v>
      </c>
      <c r="R21" s="51">
        <f t="shared" ref="R21" si="12">Q21</f>
        <v>13114</v>
      </c>
      <c r="S21" s="50">
        <f>S18-1</f>
        <v>-5</v>
      </c>
      <c r="T21" s="121">
        <f>RTD("cqg.rtd",,"StudyData","SUBMINUTE(("&amp;$B$38&amp;"),1,Regular)","FG",,"Time","5",S21,,,,,"T")</f>
        <v>43167.635358796302</v>
      </c>
      <c r="U21" s="83" t="str">
        <f>IF(RTD("cqg.rtd",,"StudyData","SUBMINUTE(("&amp;$B$38&amp;"),1,FillGap)","Bar",,"Close","5",S21,,,,,"T")="",NA(),TEXT(RTD("cqg.rtd",,"StudyData","SUBMINUTE(("&amp;$B$38&amp;"),1,FillGap)","Bar",,"Close","5",S21,,,,,"T"),Sheet1!$D$8))</f>
        <v>2738.75</v>
      </c>
      <c r="V21" s="38">
        <f>IF( RTD("cqg.rtd",,"StudyData", "AlgOrdBidVol(SUBMINUTE(("&amp;$B$38&amp;"),1,Regular),1,0)",  "Bar",, "Open", "5",S21,,,,,"T")="",0,RTD("cqg.rtd",,"StudyData", "AlgOrdBidVol(SUBMINUTE(("&amp;$B$38&amp;"),1,Regular),1,0)",  "Bar",, "Open", "5",S21,,,,,"T"))</f>
        <v>0</v>
      </c>
      <c r="W21" s="38">
        <f>IF( RTD("cqg.rtd",,"StudyData", "AlgOrdAskVol(SUBMINUTE(("&amp;$B$38&amp;"),1,Regular),1,0)",  "Bar",, "Open", "5",S21,,,,,"T")="",0,RTD("cqg.rtd",,"StudyData", "AlgOrdAskVol(SUBMINUTE(("&amp;$B$38&amp;"),1,Regular),1,0)",  "Bar",, "Open", "5",S21,,,,,"T"))</f>
        <v>0</v>
      </c>
      <c r="X21" s="37">
        <f t="shared" ref="X21" si="13">IF(AND(V21&gt;W21,V21&gt;$V$5),1,IF(AND(V21&lt;W21,W21&gt;$W$5),-1,0))</f>
        <v>0</v>
      </c>
      <c r="Y21" s="121">
        <f>RTD("cqg.rtd",,"StudyData","SUBMINUTE(("&amp;$B$38&amp;"),5,Regular)","FG",,"Time","5",S21,,,,,"T")</f>
        <v>43167.635127314803</v>
      </c>
      <c r="Z21" s="197" t="str">
        <f>IF(RTD("cqg.rtd",,"StudyData","SUBMINUTE(("&amp;$B$38&amp;"),5,FillGap)","Bar",,"Close","5",S21,,,,,"T")="",NA(),TEXT(RTD("cqg.rtd",,"StudyData","SUBMINUTE(("&amp;$B$38&amp;"),5,FillGap)","Bar",,"Close","5",S21,,,,,"T"),Sheet1!$D$8))</f>
        <v>2739.00</v>
      </c>
      <c r="AA21" s="38">
        <f>IF( RTD("cqg.rtd",,"StudyData", "AlgOrdBidVol(SUBMINUTE(("&amp;$B$38&amp;"),5,Regular),1,0)",  "Bar",, "Open", "5",S21,,,,,"T")="",0,RTD("cqg.rtd",,"StudyData", "AlgOrdBidVol(SUBMINUTE(("&amp;$B$38&amp;"),5,Regular),1,0)",  "Bar",, "Open", "5",S21,,,,,"T"))</f>
        <v>0</v>
      </c>
      <c r="AB21" s="38">
        <f>IF( RTD("cqg.rtd",,"StudyData", "AlgOrdAskVol(SUBMINUTE(("&amp;$B$38&amp;"),5,Regular),1,0)",  "Bar",, "Open", "5",S21,,,,,"T")="",0,RTD("cqg.rtd",,"StudyData", "AlgOrdAskVol(SUBMINUTE(("&amp;$B$38&amp;"),5,Regular),1,0)",  "Bar",, "Open", "5",S21,,,,,"T"))</f>
        <v>46</v>
      </c>
      <c r="AC21" s="37">
        <f t="shared" ref="AC21" si="14">IF(AND(AA21&gt;AB21,AA21&gt;$AA$5),1,IF(AND(AA21&lt;AB21,AB21&gt;$AB$5),-1,0))</f>
        <v>-1</v>
      </c>
    </row>
    <row r="22" spans="1:29" ht="3.95" customHeight="1" x14ac:dyDescent="0.3">
      <c r="A22" s="157" t="str">
        <f>IF(A34="B",TRUNC(RTD("cqg.rtd",,"DOMData",B38,"Price",1,"T"))&amp;"'"&amp;RIGHT(TEXT(DOLLARFR(RTD("cqg.rtd",,"DOMData",B38,"Price",1,"T"),32),A46),A42),TEXT(RTD("cqg.rtd",,"DOMData",B38,"Price",1,"T"),A46))</f>
        <v>2739.75</v>
      </c>
      <c r="B22" s="59" t="s">
        <v>14</v>
      </c>
      <c r="C22" s="60"/>
      <c r="D22" s="60" t="s">
        <v>15</v>
      </c>
      <c r="E22" s="60"/>
      <c r="F22" s="60" t="s">
        <v>16</v>
      </c>
      <c r="G22" s="63"/>
      <c r="H22" s="59" t="s">
        <v>10</v>
      </c>
      <c r="I22" s="60"/>
      <c r="J22" s="60" t="s">
        <v>11</v>
      </c>
      <c r="K22" s="60"/>
      <c r="L22" s="60" t="s">
        <v>12</v>
      </c>
      <c r="M22" s="63"/>
      <c r="N22" s="53"/>
      <c r="O22" s="119"/>
      <c r="P22" s="52"/>
      <c r="Q22" s="120"/>
      <c r="R22" s="50"/>
      <c r="S22" s="50"/>
      <c r="T22" s="121"/>
      <c r="U22" s="83"/>
      <c r="V22" s="38"/>
      <c r="W22" s="38"/>
      <c r="X22" s="38"/>
      <c r="Y22" s="121"/>
      <c r="Z22" s="197"/>
      <c r="AA22" s="38"/>
      <c r="AB22" s="38"/>
      <c r="AC22" s="38"/>
    </row>
    <row r="23" spans="1:29" ht="3.95" customHeight="1" x14ac:dyDescent="0.3">
      <c r="A23" s="158"/>
      <c r="B23" s="61"/>
      <c r="C23" s="62"/>
      <c r="D23" s="62"/>
      <c r="E23" s="62"/>
      <c r="F23" s="62"/>
      <c r="G23" s="64"/>
      <c r="H23" s="61"/>
      <c r="I23" s="62"/>
      <c r="J23" s="62"/>
      <c r="K23" s="62"/>
      <c r="L23" s="62"/>
      <c r="M23" s="64"/>
      <c r="N23" s="53"/>
      <c r="O23" s="119"/>
      <c r="P23" s="52"/>
      <c r="Q23" s="120"/>
      <c r="R23" s="50"/>
      <c r="S23" s="50"/>
      <c r="T23" s="121"/>
      <c r="U23" s="83"/>
      <c r="V23" s="38"/>
      <c r="W23" s="38"/>
      <c r="X23" s="38"/>
      <c r="Y23" s="121"/>
      <c r="Z23" s="197"/>
      <c r="AA23" s="38"/>
      <c r="AB23" s="38"/>
      <c r="AC23" s="38"/>
    </row>
    <row r="24" spans="1:29" ht="3.95" customHeight="1" x14ac:dyDescent="0.3">
      <c r="A24" s="158"/>
      <c r="B24" s="61"/>
      <c r="C24" s="62"/>
      <c r="D24" s="62"/>
      <c r="E24" s="62"/>
      <c r="F24" s="62"/>
      <c r="G24" s="64"/>
      <c r="H24" s="61"/>
      <c r="I24" s="62"/>
      <c r="J24" s="62"/>
      <c r="K24" s="62"/>
      <c r="L24" s="62"/>
      <c r="M24" s="64"/>
      <c r="N24" s="53" t="str">
        <f>Sheet1!L7</f>
        <v>2739.00</v>
      </c>
      <c r="O24" s="119" t="str">
        <f>Sheet1!M7</f>
        <v/>
      </c>
      <c r="P24" s="52" t="str">
        <f>Sheet1!N7</f>
        <v/>
      </c>
      <c r="Q24" s="120">
        <f>Sheet1!O7</f>
        <v>14220</v>
      </c>
      <c r="R24" s="51">
        <f t="shared" ref="R24" si="15">Q24</f>
        <v>14220</v>
      </c>
      <c r="S24" s="50">
        <f>S21-1</f>
        <v>-6</v>
      </c>
      <c r="T24" s="121">
        <f>RTD("cqg.rtd",,"StudyData","SUBMINUTE(("&amp;$B$38&amp;"),1,Regular)","FG",,"Time","5",S24,,,,,"T")</f>
        <v>43167.635347222204</v>
      </c>
      <c r="U24" s="83" t="str">
        <f>IF(RTD("cqg.rtd",,"StudyData","SUBMINUTE(("&amp;$B$38&amp;"),1,FillGap)","Bar",,"Close","5",S24,,,,,"T")="",NA(),TEXT(RTD("cqg.rtd",,"StudyData","SUBMINUTE(("&amp;$B$38&amp;"),1,FillGap)","Bar",,"Close","5",S24,,,,,"T"),Sheet1!$D$8))</f>
        <v>2738.75</v>
      </c>
      <c r="V24" s="38">
        <f>IF( RTD("cqg.rtd",,"StudyData", "AlgOrdBidVol(SUBMINUTE(("&amp;$B$38&amp;"),1,Regular),1,0)",  "Bar",, "Open", "5",S24,,,,,"T")="",0,RTD("cqg.rtd",,"StudyData", "AlgOrdBidVol(SUBMINUTE(("&amp;$B$38&amp;"),1,Regular),1,0)",  "Bar",, "Open", "5",S24,,,,,"T"))</f>
        <v>30</v>
      </c>
      <c r="W24" s="38">
        <f>IF( RTD("cqg.rtd",,"StudyData", "AlgOrdAskVol(SUBMINUTE(("&amp;$B$38&amp;"),1,Regular),1,0)",  "Bar",, "Open", "5",S24,,,,,"T")="",0,RTD("cqg.rtd",,"StudyData", "AlgOrdAskVol(SUBMINUTE(("&amp;$B$38&amp;"),1,Regular),1,0)",  "Bar",, "Open", "5",S24,,,,,"T"))</f>
        <v>18</v>
      </c>
      <c r="X24" s="37">
        <f t="shared" ref="X24" si="16">IF(AND(V24&gt;W24,V24&gt;$V$5),1,IF(AND(V24&lt;W24,W24&gt;$W$5),-1,0))</f>
        <v>1</v>
      </c>
      <c r="Y24" s="121">
        <f>RTD("cqg.rtd",,"StudyData","SUBMINUTE(("&amp;$B$38&amp;"),5,Regular)","FG",,"Time","5",S24,,,,,"T")</f>
        <v>43167.635069444397</v>
      </c>
      <c r="Z24" s="197" t="str">
        <f>IF(RTD("cqg.rtd",,"StudyData","SUBMINUTE(("&amp;$B$38&amp;"),5,FillGap)","Bar",,"Close","5",S24,,,,,"T")="",NA(),TEXT(RTD("cqg.rtd",,"StudyData","SUBMINUTE(("&amp;$B$38&amp;"),5,FillGap)","Bar",,"Close","5",S24,,,,,"T"),Sheet1!$D$8))</f>
        <v>2739.00</v>
      </c>
      <c r="AA24" s="38">
        <f>IF( RTD("cqg.rtd",,"StudyData", "AlgOrdBidVol(SUBMINUTE(("&amp;$B$38&amp;"),5,Regular),1,0)",  "Bar",, "Open", "5",S24,,,,,"T")="",0,RTD("cqg.rtd",,"StudyData", "AlgOrdBidVol(SUBMINUTE(("&amp;$B$38&amp;"),5,Regular),1,0)",  "Bar",, "Open", "5",S24,,,,,"T"))</f>
        <v>74</v>
      </c>
      <c r="AB24" s="38">
        <f>IF( RTD("cqg.rtd",,"StudyData", "AlgOrdAskVol(SUBMINUTE(("&amp;$B$38&amp;"),5,Regular),1,0)",  "Bar",, "Open", "5",S24,,,,,"T")="",0,RTD("cqg.rtd",,"StudyData", "AlgOrdAskVol(SUBMINUTE(("&amp;$B$38&amp;"),5,Regular),1,0)",  "Bar",, "Open", "5",S24,,,,,"T"))</f>
        <v>0</v>
      </c>
      <c r="AC24" s="37">
        <f t="shared" ref="AC24" si="17">IF(AND(AA24&gt;AB24,AA24&gt;$AA$5),1,IF(AND(AA24&lt;AB24,AB24&gt;$AB$5),-1,0))</f>
        <v>1</v>
      </c>
    </row>
    <row r="25" spans="1:29" ht="3.95" customHeight="1" x14ac:dyDescent="0.3">
      <c r="A25" s="158"/>
      <c r="B25" s="61"/>
      <c r="C25" s="62"/>
      <c r="D25" s="62"/>
      <c r="E25" s="62"/>
      <c r="F25" s="62"/>
      <c r="G25" s="64"/>
      <c r="H25" s="61"/>
      <c r="I25" s="62"/>
      <c r="J25" s="62"/>
      <c r="K25" s="62"/>
      <c r="L25" s="62"/>
      <c r="M25" s="64"/>
      <c r="N25" s="53"/>
      <c r="O25" s="119"/>
      <c r="P25" s="52"/>
      <c r="Q25" s="120"/>
      <c r="R25" s="50"/>
      <c r="S25" s="50"/>
      <c r="T25" s="121"/>
      <c r="U25" s="83"/>
      <c r="V25" s="38"/>
      <c r="W25" s="38"/>
      <c r="X25" s="38"/>
      <c r="Y25" s="121"/>
      <c r="Z25" s="197"/>
      <c r="AA25" s="38"/>
      <c r="AB25" s="38"/>
      <c r="AC25" s="38"/>
    </row>
    <row r="26" spans="1:29" ht="3.95" customHeight="1" x14ac:dyDescent="0.3">
      <c r="A26" s="157" t="str">
        <f>IF(A34="B",TRUNC(RTD("cqg.rtd",,"DOMData",B38,"Price",-1,"T"))&amp;"'"&amp;RIGHT(TEXT(DOLLARFR(RTD("cqg.rtd",,"DOMData",B38,"Price",-1,"T"),32),A46),A42),TEXT(RTD("cqg.rtd",,"DOMData",B38,"Price",-1,"T"),A46))</f>
        <v>2739.75</v>
      </c>
      <c r="B26" s="61" t="str">
        <f>RTD("cqg.rtd", ,"ContractData",B38, "LongSymbol",, "T")</f>
        <v>F.US.EPH18</v>
      </c>
      <c r="C26" s="62"/>
      <c r="D26" s="77" t="str">
        <f>A38&amp;" "&amp;IF(A34="B",RTD("cqg.rtd",,"ContractData",B38,"NetLastTradeToday",,A34),TEXT(RTD("cqg.rtd",,"ContractData",B38,"NetLastTradeToday",,A34),A46))</f>
        <v>+ 16.00</v>
      </c>
      <c r="E26" s="77"/>
      <c r="F26" s="79">
        <f>RTD("cqg.rtd",,"ContractData",B38,"PercentNetLastTrade",,"T")/100</f>
        <v>5.8999999999999999E-3</v>
      </c>
      <c r="G26" s="80"/>
      <c r="H26" s="61" t="str">
        <f>IF(A34="B",RTD("cqg.rtd",,"ContractData",B38,"Open",,A34),TEXT(RTD("cqg.rtd",,"ContractData",B38,"Open",,A34),A46))</f>
        <v>2722.50</v>
      </c>
      <c r="I26" s="62"/>
      <c r="J26" s="62" t="str">
        <f>IF(A34="B",RTD("cqg.rtd",,"ContractData",B38,"High",,A34),TEXT(RTD("cqg.rtd",,"ContractData",B38,"High",,A34),A46))</f>
        <v>2740.50</v>
      </c>
      <c r="K26" s="62"/>
      <c r="L26" s="62" t="str">
        <f>IF(A34="B",RTD("cqg.rtd",,"ContractData",B38,"Low",,A34),TEXT(RTD("cqg.rtd",,"ContractData",B38,"Low",,A34),A46))</f>
        <v>2720.00</v>
      </c>
      <c r="M26" s="64"/>
      <c r="N26" s="53"/>
      <c r="O26" s="119"/>
      <c r="P26" s="52"/>
      <c r="Q26" s="120"/>
      <c r="R26" s="50"/>
      <c r="S26" s="50"/>
      <c r="T26" s="121"/>
      <c r="U26" s="83"/>
      <c r="V26" s="38"/>
      <c r="W26" s="38"/>
      <c r="X26" s="38"/>
      <c r="Y26" s="121"/>
      <c r="Z26" s="197"/>
      <c r="AA26" s="38"/>
      <c r="AB26" s="38"/>
      <c r="AC26" s="38"/>
    </row>
    <row r="27" spans="1:29" ht="3.95" customHeight="1" x14ac:dyDescent="0.3">
      <c r="A27" s="158"/>
      <c r="B27" s="61"/>
      <c r="C27" s="62"/>
      <c r="D27" s="77"/>
      <c r="E27" s="77"/>
      <c r="F27" s="79"/>
      <c r="G27" s="80"/>
      <c r="H27" s="61"/>
      <c r="I27" s="62"/>
      <c r="J27" s="62"/>
      <c r="K27" s="62"/>
      <c r="L27" s="62"/>
      <c r="M27" s="64"/>
      <c r="N27" s="53" t="str">
        <f>Sheet1!L8</f>
        <v>2738.75</v>
      </c>
      <c r="O27" s="119" t="str">
        <f>Sheet1!M8</f>
        <v/>
      </c>
      <c r="P27" s="52" t="str">
        <f>Sheet1!N8</f>
        <v/>
      </c>
      <c r="Q27" s="120">
        <f>Sheet1!O8</f>
        <v>16018</v>
      </c>
      <c r="R27" s="51">
        <f t="shared" ref="R27" si="18">Q27</f>
        <v>16018</v>
      </c>
      <c r="S27" s="50">
        <f>S24-1</f>
        <v>-7</v>
      </c>
      <c r="T27" s="121">
        <f>RTD("cqg.rtd",,"StudyData","SUBMINUTE(("&amp;$B$38&amp;"),1,Regular)","FG",,"Time","5",S27,,,,,"T")</f>
        <v>43167.635335648098</v>
      </c>
      <c r="U27" s="83" t="str">
        <f>IF(RTD("cqg.rtd",,"StudyData","SUBMINUTE(("&amp;$B$38&amp;"),1,FillGap)","Bar",,"Close","5",S27,,,,,"T")="",NA(),TEXT(RTD("cqg.rtd",,"StudyData","SUBMINUTE(("&amp;$B$38&amp;"),1,FillGap)","Bar",,"Close","5",S27,,,,,"T"),Sheet1!$D$8))</f>
        <v>2739.25</v>
      </c>
      <c r="V27" s="38">
        <f>IF( RTD("cqg.rtd",,"StudyData", "AlgOrdBidVol(SUBMINUTE(("&amp;$B$38&amp;"),1,Regular),1,0)",  "Bar",, "Open", "5",S27,,,,,"T")="",0,RTD("cqg.rtd",,"StudyData", "AlgOrdBidVol(SUBMINUTE(("&amp;$B$38&amp;"),1,Regular),1,0)",  "Bar",, "Open", "5",S27,,,,,"T"))</f>
        <v>0</v>
      </c>
      <c r="W27" s="38">
        <f>IF( RTD("cqg.rtd",,"StudyData", "AlgOrdAskVol(SUBMINUTE(("&amp;$B$38&amp;"),1,Regular),1,0)",  "Bar",, "Open", "5",S27,,,,,"T")="",0,RTD("cqg.rtd",,"StudyData", "AlgOrdAskVol(SUBMINUTE(("&amp;$B$38&amp;"),1,Regular),1,0)",  "Bar",, "Open", "5",S27,,,,,"T"))</f>
        <v>0</v>
      </c>
      <c r="X27" s="37">
        <f t="shared" ref="X27" si="19">IF(AND(V27&gt;W27,V27&gt;$V$5),1,IF(AND(V27&lt;W27,W27&gt;$W$5),-1,0))</f>
        <v>0</v>
      </c>
      <c r="Y27" s="121">
        <f>RTD("cqg.rtd",,"StudyData","SUBMINUTE(("&amp;$B$38&amp;"),5,Regular)","FG",,"Time","5",S27,,,,,"T")</f>
        <v>43167.635011574101</v>
      </c>
      <c r="Z27" s="197" t="str">
        <f>IF(RTD("cqg.rtd",,"StudyData","SUBMINUTE(("&amp;$B$38&amp;"),5,FillGap)","Bar",,"Close","5",S27,,,,,"T")="",NA(),TEXT(RTD("cqg.rtd",,"StudyData","SUBMINUTE(("&amp;$B$38&amp;"),5,FillGap)","Bar",,"Close","5",S27,,,,,"T"),Sheet1!$D$8))</f>
        <v>2739.25</v>
      </c>
      <c r="AA27" s="38">
        <f>IF( RTD("cqg.rtd",,"StudyData", "AlgOrdBidVol(SUBMINUTE(("&amp;$B$38&amp;"),5,Regular),1,0)",  "Bar",, "Open", "5",S27,,,,,"T")="",0,RTD("cqg.rtd",,"StudyData", "AlgOrdBidVol(SUBMINUTE(("&amp;$B$38&amp;"),5,Regular),1,0)",  "Bar",, "Open", "5",S27,,,,,"T"))</f>
        <v>265</v>
      </c>
      <c r="AB27" s="38">
        <f>IF( RTD("cqg.rtd",,"StudyData", "AlgOrdAskVol(SUBMINUTE(("&amp;$B$38&amp;"),5,Regular),1,0)",  "Bar",, "Open", "5",S27,,,,,"T")="",0,RTD("cqg.rtd",,"StudyData", "AlgOrdAskVol(SUBMINUTE(("&amp;$B$38&amp;"),5,Regular),1,0)",  "Bar",, "Open", "5",S27,,,,,"T"))</f>
        <v>0</v>
      </c>
      <c r="AC27" s="37">
        <f t="shared" ref="AC27" si="20">IF(AND(AA27&gt;AB27,AA27&gt;$AA$5),1,IF(AND(AA27&lt;AB27,AB27&gt;$AB$5),-1,0))</f>
        <v>1</v>
      </c>
    </row>
    <row r="28" spans="1:29" ht="3.95" customHeight="1" x14ac:dyDescent="0.3">
      <c r="A28" s="158"/>
      <c r="B28" s="61"/>
      <c r="C28" s="62"/>
      <c r="D28" s="77"/>
      <c r="E28" s="77"/>
      <c r="F28" s="79"/>
      <c r="G28" s="80"/>
      <c r="H28" s="61"/>
      <c r="I28" s="62"/>
      <c r="J28" s="62"/>
      <c r="K28" s="62"/>
      <c r="L28" s="62"/>
      <c r="M28" s="64"/>
      <c r="N28" s="53"/>
      <c r="O28" s="119"/>
      <c r="P28" s="52"/>
      <c r="Q28" s="120"/>
      <c r="R28" s="50"/>
      <c r="S28" s="50"/>
      <c r="T28" s="121"/>
      <c r="U28" s="83"/>
      <c r="V28" s="38"/>
      <c r="W28" s="38"/>
      <c r="X28" s="38"/>
      <c r="Y28" s="121"/>
      <c r="Z28" s="197"/>
      <c r="AA28" s="38"/>
      <c r="AB28" s="38"/>
      <c r="AC28" s="38"/>
    </row>
    <row r="29" spans="1:29" ht="3.95" customHeight="1" x14ac:dyDescent="0.3">
      <c r="A29" s="158"/>
      <c r="B29" s="65"/>
      <c r="C29" s="66"/>
      <c r="D29" s="78"/>
      <c r="E29" s="78"/>
      <c r="F29" s="81"/>
      <c r="G29" s="82"/>
      <c r="H29" s="65"/>
      <c r="I29" s="66"/>
      <c r="J29" s="66"/>
      <c r="K29" s="66"/>
      <c r="L29" s="66"/>
      <c r="M29" s="67"/>
      <c r="N29" s="53"/>
      <c r="O29" s="119"/>
      <c r="P29" s="52"/>
      <c r="Q29" s="120"/>
      <c r="R29" s="50"/>
      <c r="S29" s="50"/>
      <c r="T29" s="121"/>
      <c r="U29" s="83"/>
      <c r="V29" s="38"/>
      <c r="W29" s="38"/>
      <c r="X29" s="38"/>
      <c r="Y29" s="121"/>
      <c r="Z29" s="197"/>
      <c r="AA29" s="38"/>
      <c r="AB29" s="38"/>
      <c r="AC29" s="38"/>
    </row>
    <row r="30" spans="1:29" ht="3.95" customHeight="1" x14ac:dyDescent="0.3">
      <c r="A30" s="55">
        <f>RTD("cqg.rtd", ,"ContractData",B38, "TickSize",, "T")</f>
        <v>0.25</v>
      </c>
      <c r="B30" s="171" t="s">
        <v>1</v>
      </c>
      <c r="C30" s="159"/>
      <c r="D30" s="159" t="s">
        <v>2</v>
      </c>
      <c r="E30" s="159" t="s">
        <v>2</v>
      </c>
      <c r="F30" s="182" t="s">
        <v>3</v>
      </c>
      <c r="G30" s="182"/>
      <c r="H30" s="159" t="s">
        <v>3</v>
      </c>
      <c r="I30" s="159" t="s">
        <v>8</v>
      </c>
      <c r="J30" s="159"/>
      <c r="K30" s="68" t="s">
        <v>13</v>
      </c>
      <c r="L30" s="69"/>
      <c r="M30" s="70"/>
      <c r="N30" s="53" t="str">
        <f>Sheet1!L9</f>
        <v>2738.50</v>
      </c>
      <c r="O30" s="119" t="str">
        <f>Sheet1!M9</f>
        <v/>
      </c>
      <c r="P30" s="52" t="str">
        <f>Sheet1!N9</f>
        <v/>
      </c>
      <c r="Q30" s="120">
        <f>Sheet1!O9</f>
        <v>14654</v>
      </c>
      <c r="R30" s="51">
        <f t="shared" ref="R30" si="21">Q30</f>
        <v>14654</v>
      </c>
      <c r="S30" s="50">
        <f>S27-1</f>
        <v>-8</v>
      </c>
      <c r="T30" s="121">
        <f>RTD("cqg.rtd",,"StudyData","SUBMINUTE(("&amp;$B$38&amp;"),1,Regular)","FG",,"Time","5",S30,,,,,"T")</f>
        <v>43167.635324074101</v>
      </c>
      <c r="U30" s="83" t="str">
        <f>IF(RTD("cqg.rtd",,"StudyData","SUBMINUTE(("&amp;$B$38&amp;"),1,FillGap)","Bar",,"Close","5",S30,,,,,"T")="",NA(),TEXT(RTD("cqg.rtd",,"StudyData","SUBMINUTE(("&amp;$B$38&amp;"),1,FillGap)","Bar",,"Close","5",S30,,,,,"T"),Sheet1!$D$8))</f>
        <v>2739.00</v>
      </c>
      <c r="V30" s="38">
        <f>IF( RTD("cqg.rtd",,"StudyData", "AlgOrdBidVol(SUBMINUTE(("&amp;$B$38&amp;"),1,Regular),1,0)",  "Bar",, "Open", "5",S30,,,,,"T")="",0,RTD("cqg.rtd",,"StudyData", "AlgOrdBidVol(SUBMINUTE(("&amp;$B$38&amp;"),1,Regular),1,0)",  "Bar",, "Open", "5",S30,,,,,"T"))</f>
        <v>0</v>
      </c>
      <c r="W30" s="38">
        <f>IF( RTD("cqg.rtd",,"StudyData", "AlgOrdAskVol(SUBMINUTE(("&amp;$B$38&amp;"),1,Regular),1,0)",  "Bar",, "Open", "5",S30,,,,,"T")="",0,RTD("cqg.rtd",,"StudyData", "AlgOrdAskVol(SUBMINUTE(("&amp;$B$38&amp;"),1,Regular),1,0)",  "Bar",, "Open", "5",S30,,,,,"T"))</f>
        <v>0</v>
      </c>
      <c r="X30" s="37">
        <f t="shared" ref="X30" si="22">IF(AND(V30&gt;W30,V30&gt;$V$5),1,IF(AND(V30&lt;W30,W30&gt;$W$5),-1,0))</f>
        <v>0</v>
      </c>
      <c r="Y30" s="121">
        <f>RTD("cqg.rtd",,"StudyData","SUBMINUTE(("&amp;$B$38&amp;"),5,Regular)","FG",,"Time","5",S30,,,,,"T")</f>
        <v>43167.634953703702</v>
      </c>
      <c r="Z30" s="197" t="str">
        <f>IF(RTD("cqg.rtd",,"StudyData","SUBMINUTE(("&amp;$B$38&amp;"),5,FillGap)","Bar",,"Close","5",S30,,,,,"T")="",NA(),TEXT(RTD("cqg.rtd",,"StudyData","SUBMINUTE(("&amp;$B$38&amp;"),5,FillGap)","Bar",,"Close","5",S30,,,,,"T"),Sheet1!$D$8))</f>
        <v>2739.75</v>
      </c>
      <c r="AA30" s="38">
        <f>IF( RTD("cqg.rtd",,"StudyData", "AlgOrdBidVol(SUBMINUTE(("&amp;$B$38&amp;"),5,Regular),1,0)",  "Bar",, "Open", "5",S30,,,,,"T")="",0,RTD("cqg.rtd",,"StudyData", "AlgOrdBidVol(SUBMINUTE(("&amp;$B$38&amp;"),5,Regular),1,0)",  "Bar",, "Open", "5",S30,,,,,"T"))</f>
        <v>15</v>
      </c>
      <c r="AB30" s="38">
        <f>IF( RTD("cqg.rtd",,"StudyData", "AlgOrdAskVol(SUBMINUTE(("&amp;$B$38&amp;"),5,Regular),1,0)",  "Bar",, "Open", "5",S30,,,,,"T")="",0,RTD("cqg.rtd",,"StudyData", "AlgOrdAskVol(SUBMINUTE(("&amp;$B$38&amp;"),5,Regular),1,0)",  "Bar",, "Open", "5",S30,,,,,"T"))</f>
        <v>25</v>
      </c>
      <c r="AC30" s="37">
        <f t="shared" ref="AC30" si="23">IF(AND(AA30&gt;AB30,AA30&gt;$AA$5),1,IF(AND(AA30&lt;AB30,AB30&gt;$AB$5),-1,0))</f>
        <v>-1</v>
      </c>
    </row>
    <row r="31" spans="1:29" ht="3.95" customHeight="1" x14ac:dyDescent="0.3">
      <c r="A31" s="56"/>
      <c r="B31" s="172"/>
      <c r="C31" s="160"/>
      <c r="D31" s="160"/>
      <c r="E31" s="160"/>
      <c r="F31" s="183"/>
      <c r="G31" s="183"/>
      <c r="H31" s="168"/>
      <c r="I31" s="160"/>
      <c r="J31" s="160"/>
      <c r="K31" s="71"/>
      <c r="L31" s="72"/>
      <c r="M31" s="73"/>
      <c r="N31" s="53"/>
      <c r="O31" s="119"/>
      <c r="P31" s="52"/>
      <c r="Q31" s="120"/>
      <c r="R31" s="50"/>
      <c r="S31" s="50"/>
      <c r="T31" s="121"/>
      <c r="U31" s="83"/>
      <c r="V31" s="38"/>
      <c r="W31" s="38"/>
      <c r="X31" s="38"/>
      <c r="Y31" s="121"/>
      <c r="Z31" s="197"/>
      <c r="AA31" s="38"/>
      <c r="AB31" s="38"/>
      <c r="AC31" s="38"/>
    </row>
    <row r="32" spans="1:29" ht="3.95" customHeight="1" x14ac:dyDescent="0.3">
      <c r="A32" s="56"/>
      <c r="B32" s="172"/>
      <c r="C32" s="160"/>
      <c r="D32" s="160"/>
      <c r="E32" s="160"/>
      <c r="F32" s="183"/>
      <c r="G32" s="183"/>
      <c r="H32" s="168"/>
      <c r="I32" s="160"/>
      <c r="J32" s="160"/>
      <c r="K32" s="71"/>
      <c r="L32" s="72"/>
      <c r="M32" s="73"/>
      <c r="N32" s="53"/>
      <c r="O32" s="119"/>
      <c r="P32" s="52"/>
      <c r="Q32" s="120"/>
      <c r="R32" s="50"/>
      <c r="S32" s="50"/>
      <c r="T32" s="121"/>
      <c r="U32" s="83"/>
      <c r="V32" s="38"/>
      <c r="W32" s="38"/>
      <c r="X32" s="38"/>
      <c r="Y32" s="121"/>
      <c r="Z32" s="197"/>
      <c r="AA32" s="38"/>
      <c r="AB32" s="38"/>
      <c r="AC32" s="38"/>
    </row>
    <row r="33" spans="1:29" ht="3.95" customHeight="1" x14ac:dyDescent="0.3">
      <c r="A33" s="56"/>
      <c r="B33" s="172"/>
      <c r="C33" s="160"/>
      <c r="D33" s="160"/>
      <c r="E33" s="160"/>
      <c r="F33" s="183"/>
      <c r="G33" s="183"/>
      <c r="H33" s="168"/>
      <c r="I33" s="160"/>
      <c r="J33" s="160"/>
      <c r="K33" s="71"/>
      <c r="L33" s="72"/>
      <c r="M33" s="73"/>
      <c r="N33" s="53" t="str">
        <f>Sheet1!L10</f>
        <v>2738.25</v>
      </c>
      <c r="O33" s="119" t="str">
        <f>Sheet1!M10</f>
        <v/>
      </c>
      <c r="P33" s="52" t="str">
        <f>Sheet1!N10</f>
        <v/>
      </c>
      <c r="Q33" s="120">
        <f>Sheet1!O10</f>
        <v>15538</v>
      </c>
      <c r="R33" s="51">
        <f t="shared" ref="R33" si="24">Q33</f>
        <v>15538</v>
      </c>
      <c r="S33" s="50">
        <f>S30-1</f>
        <v>-9</v>
      </c>
      <c r="T33" s="121">
        <f>RTD("cqg.rtd",,"StudyData","SUBMINUTE(("&amp;$B$38&amp;"),1,Regular)","FG",,"Time","5",S33,,,,,"T")</f>
        <v>43167.635312500002</v>
      </c>
      <c r="U33" s="83" t="str">
        <f>IF(RTD("cqg.rtd",,"StudyData","SUBMINUTE(("&amp;$B$38&amp;"),1,FillGap)","Bar",,"Close","5",S33,,,,,"T")="",NA(),TEXT(RTD("cqg.rtd",,"StudyData","SUBMINUTE(("&amp;$B$38&amp;"),1,FillGap)","Bar",,"Close","5",S33,,,,,"T"),Sheet1!$D$8))</f>
        <v>2739.25</v>
      </c>
      <c r="V33" s="38">
        <f>IF( RTD("cqg.rtd",,"StudyData", "AlgOrdBidVol(SUBMINUTE(("&amp;$B$38&amp;"),1,Regular),1,0)",  "Bar",, "Open", "5",S33,,,,,"T")="",0,RTD("cqg.rtd",,"StudyData", "AlgOrdBidVol(SUBMINUTE(("&amp;$B$38&amp;"),1,Regular),1,0)",  "Bar",, "Open", "5",S33,,,,,"T"))</f>
        <v>69</v>
      </c>
      <c r="W33" s="38">
        <f>IF( RTD("cqg.rtd",,"StudyData", "AlgOrdAskVol(SUBMINUTE(("&amp;$B$38&amp;"),1,Regular),1,0)",  "Bar",, "Open", "5",S33,,,,,"T")="",0,RTD("cqg.rtd",,"StudyData", "AlgOrdAskVol(SUBMINUTE(("&amp;$B$38&amp;"),1,Regular),1,0)",  "Bar",, "Open", "5",S33,,,,,"T"))</f>
        <v>0</v>
      </c>
      <c r="X33" s="37">
        <f t="shared" ref="X33" si="25">IF(AND(V33&gt;W33,V33&gt;$V$5),1,IF(AND(V33&lt;W33,W33&gt;$W$5),-1,0))</f>
        <v>1</v>
      </c>
      <c r="Y33" s="121">
        <f>RTD("cqg.rtd",,"StudyData","SUBMINUTE(("&amp;$B$38&amp;"),5,Regular)","FG",,"Time","5",S33,,,,,"T")</f>
        <v>43167.634895833296</v>
      </c>
      <c r="Z33" s="197" t="str">
        <f>IF(RTD("cqg.rtd",,"StudyData","SUBMINUTE(("&amp;$B$38&amp;"),5,FillGap)","Bar",,"Close","5",S33,,,,,"T")="",NA(),TEXT(RTD("cqg.rtd",,"StudyData","SUBMINUTE(("&amp;$B$38&amp;"),5,FillGap)","Bar",,"Close","5",S33,,,,,"T"),Sheet1!$D$8))</f>
        <v>2739.50</v>
      </c>
      <c r="AA33" s="38">
        <f>IF( RTD("cqg.rtd",,"StudyData", "AlgOrdBidVol(SUBMINUTE(("&amp;$B$38&amp;"),5,Regular),1,0)",  "Bar",, "Open", "5",S33,,,,,"T")="",0,RTD("cqg.rtd",,"StudyData", "AlgOrdBidVol(SUBMINUTE(("&amp;$B$38&amp;"),5,Regular),1,0)",  "Bar",, "Open", "5",S33,,,,,"T"))</f>
        <v>47</v>
      </c>
      <c r="AB33" s="38">
        <f>IF( RTD("cqg.rtd",,"StudyData", "AlgOrdAskVol(SUBMINUTE(("&amp;$B$38&amp;"),5,Regular),1,0)",  "Bar",, "Open", "5",S33,,,,,"T")="",0,RTD("cqg.rtd",,"StudyData", "AlgOrdAskVol(SUBMINUTE(("&amp;$B$38&amp;"),5,Regular),1,0)",  "Bar",, "Open", "5",S33,,,,,"T"))</f>
        <v>1</v>
      </c>
      <c r="AC33" s="37">
        <f t="shared" ref="AC33" si="26">IF(AND(AA33&gt;AB33,AA33&gt;$AA$5),1,IF(AND(AA33&lt;AB33,AB33&gt;$AB$5),-1,0))</f>
        <v>1</v>
      </c>
    </row>
    <row r="34" spans="1:29" ht="3.95" customHeight="1" x14ac:dyDescent="0.3">
      <c r="A34" s="55" t="str">
        <f>IF(OR(A30=0.0078125,A30=0.015625,A30=0.03125),"B","T")</f>
        <v>T</v>
      </c>
      <c r="B34" s="172"/>
      <c r="C34" s="161"/>
      <c r="D34" s="161" t="s">
        <v>4</v>
      </c>
      <c r="E34" s="161" t="s">
        <v>5</v>
      </c>
      <c r="F34" s="183"/>
      <c r="G34" s="183"/>
      <c r="H34" s="161" t="s">
        <v>5</v>
      </c>
      <c r="I34" s="161" t="s">
        <v>9</v>
      </c>
      <c r="J34" s="161"/>
      <c r="K34" s="74"/>
      <c r="L34" s="75"/>
      <c r="M34" s="76"/>
      <c r="N34" s="53"/>
      <c r="O34" s="119"/>
      <c r="P34" s="52"/>
      <c r="Q34" s="120"/>
      <c r="R34" s="50"/>
      <c r="S34" s="50"/>
      <c r="T34" s="121"/>
      <c r="U34" s="83"/>
      <c r="V34" s="38"/>
      <c r="W34" s="38"/>
      <c r="X34" s="38"/>
      <c r="Y34" s="121"/>
      <c r="Z34" s="197"/>
      <c r="AA34" s="38"/>
      <c r="AB34" s="38"/>
      <c r="AC34" s="38"/>
    </row>
    <row r="35" spans="1:29" ht="3.95" customHeight="1" x14ac:dyDescent="0.3">
      <c r="A35" s="56"/>
      <c r="B35" s="172"/>
      <c r="C35" s="169"/>
      <c r="D35" s="169"/>
      <c r="E35" s="169"/>
      <c r="F35" s="183"/>
      <c r="G35" s="183"/>
      <c r="H35" s="169"/>
      <c r="I35" s="161"/>
      <c r="J35" s="161"/>
      <c r="K35" s="74"/>
      <c r="L35" s="75"/>
      <c r="M35" s="76"/>
      <c r="N35" s="53"/>
      <c r="O35" s="119"/>
      <c r="P35" s="52"/>
      <c r="Q35" s="120"/>
      <c r="R35" s="50"/>
      <c r="S35" s="50"/>
      <c r="T35" s="121"/>
      <c r="U35" s="83"/>
      <c r="V35" s="38"/>
      <c r="W35" s="38"/>
      <c r="X35" s="38"/>
      <c r="Y35" s="121"/>
      <c r="Z35" s="197"/>
      <c r="AA35" s="38"/>
      <c r="AB35" s="38"/>
      <c r="AC35" s="38"/>
    </row>
    <row r="36" spans="1:29" ht="3.95" customHeight="1" x14ac:dyDescent="0.3">
      <c r="A36" s="56"/>
      <c r="B36" s="172"/>
      <c r="C36" s="169"/>
      <c r="D36" s="169"/>
      <c r="E36" s="169"/>
      <c r="F36" s="183"/>
      <c r="G36" s="183"/>
      <c r="H36" s="169"/>
      <c r="I36" s="161"/>
      <c r="J36" s="161"/>
      <c r="K36" s="74"/>
      <c r="L36" s="75"/>
      <c r="M36" s="76"/>
      <c r="N36" s="53" t="str">
        <f>Sheet1!L11</f>
        <v>2738.00</v>
      </c>
      <c r="O36" s="119" t="str">
        <f>Sheet1!M11</f>
        <v/>
      </c>
      <c r="P36" s="52" t="str">
        <f>Sheet1!N11</f>
        <v/>
      </c>
      <c r="Q36" s="120">
        <f>Sheet1!O11</f>
        <v>11236</v>
      </c>
      <c r="R36" s="51">
        <f t="shared" ref="R36" si="27">Q36</f>
        <v>11236</v>
      </c>
      <c r="S36" s="50">
        <f>S33-1</f>
        <v>-10</v>
      </c>
      <c r="T36" s="121">
        <f>RTD("cqg.rtd",,"StudyData","SUBMINUTE(("&amp;$B$38&amp;"),1,Regular)","FG",,"Time","5",S36,,,,,"T")</f>
        <v>43167.635300925896</v>
      </c>
      <c r="U36" s="83" t="str">
        <f>IF(RTD("cqg.rtd",,"StudyData","SUBMINUTE(("&amp;$B$38&amp;"),1,FillGap)","Bar",,"Close","5",S36,,,,,"T")="",NA(),TEXT(RTD("cqg.rtd",,"StudyData","SUBMINUTE(("&amp;$B$38&amp;"),1,FillGap)","Bar",,"Close","5",S36,,,,,"T"),Sheet1!$D$8))</f>
        <v>2739.50</v>
      </c>
      <c r="V36" s="38">
        <f>IF( RTD("cqg.rtd",,"StudyData", "AlgOrdBidVol(SUBMINUTE(("&amp;$B$38&amp;"),1,Regular),1,0)",  "Bar",, "Open", "5",S36,,,,,"T")="",0,RTD("cqg.rtd",,"StudyData", "AlgOrdBidVol(SUBMINUTE(("&amp;$B$38&amp;"),1,Regular),1,0)",  "Bar",, "Open", "5",S36,,,,,"T"))</f>
        <v>0</v>
      </c>
      <c r="W36" s="38">
        <f>IF( RTD("cqg.rtd",,"StudyData", "AlgOrdAskVol(SUBMINUTE(("&amp;$B$38&amp;"),1,Regular),1,0)",  "Bar",, "Open", "5",S36,,,,,"T")="",0,RTD("cqg.rtd",,"StudyData", "AlgOrdAskVol(SUBMINUTE(("&amp;$B$38&amp;"),1,Regular),1,0)",  "Bar",, "Open", "5",S36,,,,,"T"))</f>
        <v>0</v>
      </c>
      <c r="X36" s="37">
        <f t="shared" ref="X36" si="28">IF(AND(V36&gt;W36,V36&gt;$V$5),1,IF(AND(V36&lt;W36,W36&gt;$W$5),-1,0))</f>
        <v>0</v>
      </c>
      <c r="Y36" s="121">
        <f>RTD("cqg.rtd",,"StudyData","SUBMINUTE(("&amp;$B$38&amp;"),5,Regular)","FG",,"Time","5",S36,,,,,"T")</f>
        <v>43167.634837963</v>
      </c>
      <c r="Z36" s="197" t="str">
        <f>IF(RTD("cqg.rtd",,"StudyData","SUBMINUTE(("&amp;$B$38&amp;"),5,FillGap)","Bar",,"Close","5",S36,,,,,"T")="",NA(),TEXT(RTD("cqg.rtd",,"StudyData","SUBMINUTE(("&amp;$B$38&amp;"),5,FillGap)","Bar",,"Close","5",S36,,,,,"T"),Sheet1!$D$8))</f>
        <v>2738.75</v>
      </c>
      <c r="AA36" s="38">
        <f>IF( RTD("cqg.rtd",,"StudyData", "AlgOrdBidVol(SUBMINUTE(("&amp;$B$38&amp;"),5,Regular),1,0)",  "Bar",, "Open", "5",S36,,,,,"T")="",0,RTD("cqg.rtd",,"StudyData", "AlgOrdBidVol(SUBMINUTE(("&amp;$B$38&amp;"),5,Regular),1,0)",  "Bar",, "Open", "5",S36,,,,,"T"))</f>
        <v>2</v>
      </c>
      <c r="AB36" s="38">
        <f>IF( RTD("cqg.rtd",,"StudyData", "AlgOrdAskVol(SUBMINUTE(("&amp;$B$38&amp;"),5,Regular),1,0)",  "Bar",, "Open", "5",S36,,,,,"T")="",0,RTD("cqg.rtd",,"StudyData", "AlgOrdAskVol(SUBMINUTE(("&amp;$B$38&amp;"),5,Regular),1,0)",  "Bar",, "Open", "5",S36,,,,,"T"))</f>
        <v>18</v>
      </c>
      <c r="AC36" s="37">
        <f t="shared" ref="AC36" si="29">IF(AND(AA36&gt;AB36,AA36&gt;$AA$5),1,IF(AND(AA36&lt;AB36,AB36&gt;$AB$5),-1,0))</f>
        <v>0</v>
      </c>
    </row>
    <row r="37" spans="1:29" ht="3.95" customHeight="1" x14ac:dyDescent="0.3">
      <c r="A37" s="56"/>
      <c r="B37" s="173"/>
      <c r="C37" s="170"/>
      <c r="D37" s="170"/>
      <c r="E37" s="170"/>
      <c r="F37" s="184"/>
      <c r="G37" s="184"/>
      <c r="H37" s="170"/>
      <c r="I37" s="162"/>
      <c r="J37" s="162"/>
      <c r="K37" s="74"/>
      <c r="L37" s="75"/>
      <c r="M37" s="76"/>
      <c r="N37" s="53"/>
      <c r="O37" s="119"/>
      <c r="P37" s="52"/>
      <c r="Q37" s="120"/>
      <c r="R37" s="50"/>
      <c r="S37" s="50"/>
      <c r="T37" s="121"/>
      <c r="U37" s="83"/>
      <c r="V37" s="38"/>
      <c r="W37" s="38"/>
      <c r="X37" s="38"/>
      <c r="Y37" s="121"/>
      <c r="Z37" s="197"/>
      <c r="AA37" s="38"/>
      <c r="AB37" s="38"/>
      <c r="AC37" s="38"/>
    </row>
    <row r="38" spans="1:29" ht="3.95" customHeight="1" x14ac:dyDescent="0.3">
      <c r="A38" s="55" t="str">
        <f>IF(A34="B","",(IF(RTD("cqg.rtd",,"ContractData",B38,"NetLastTradeToday",,A34)&gt;0,"+","")))</f>
        <v>+</v>
      </c>
      <c r="B38" s="178" t="s">
        <v>0</v>
      </c>
      <c r="C38" s="163" t="s">
        <v>6</v>
      </c>
      <c r="D38" s="163" t="str">
        <f>IF(A34="B",RTD("cqg.rtd", ,"ContractData",B38, "Ask",,A34),TEXT(RTD("cqg.rtd", ,"ContractData",B38, "Ask",,A34),A46))</f>
        <v>2739.75</v>
      </c>
      <c r="E38" s="163">
        <f>RTD("cqg.rtd", ,"ContractData",B38, "MT_LastAskVolume",, "T")</f>
        <v>152</v>
      </c>
      <c r="F38" s="165" t="str">
        <f>IF(A34="B",RTD("cqg.rtd",,"ContractData",B38,"LastTradeToday",,A34),TEXT(RTD("cqg.rtd",,"ContractData",B38,"LastTradeToday",,A34),A46))</f>
        <v>2739.25</v>
      </c>
      <c r="G38" s="165"/>
      <c r="H38" s="166">
        <f>RTD("cqg.rtd", ,"ContractData",B38, "VolumeLastTrade",, "T")</f>
        <v>1</v>
      </c>
      <c r="I38" s="166">
        <f>IF(G46="","",IFERROR(RTD("cqg.rtd",,"StudyData","FPVol(FootprintOp ("&amp;B38&amp;", 0),"&amp;G46&amp;")", "Bar",, "Close","D","0","all",,,,"T"),""))</f>
        <v>13114</v>
      </c>
      <c r="J38" s="167"/>
      <c r="K38" s="74"/>
      <c r="L38" s="75"/>
      <c r="M38" s="76"/>
      <c r="N38" s="53"/>
      <c r="O38" s="119"/>
      <c r="P38" s="52"/>
      <c r="Q38" s="120"/>
      <c r="R38" s="50"/>
      <c r="S38" s="50"/>
      <c r="T38" s="121"/>
      <c r="U38" s="83"/>
      <c r="V38" s="38"/>
      <c r="W38" s="38"/>
      <c r="X38" s="38"/>
      <c r="Y38" s="121"/>
      <c r="Z38" s="197"/>
      <c r="AA38" s="38"/>
      <c r="AB38" s="38"/>
      <c r="AC38" s="38"/>
    </row>
    <row r="39" spans="1:29" ht="3.95" customHeight="1" x14ac:dyDescent="0.3">
      <c r="A39" s="56"/>
      <c r="B39" s="179"/>
      <c r="C39" s="164"/>
      <c r="D39" s="164"/>
      <c r="E39" s="164"/>
      <c r="F39" s="165"/>
      <c r="G39" s="165"/>
      <c r="H39" s="166"/>
      <c r="I39" s="166"/>
      <c r="J39" s="167"/>
      <c r="K39" s="74"/>
      <c r="L39" s="75"/>
      <c r="M39" s="76"/>
      <c r="N39" s="53" t="str">
        <f>Sheet1!L12</f>
        <v>2737.75</v>
      </c>
      <c r="O39" s="119" t="str">
        <f>Sheet1!M12</f>
        <v/>
      </c>
      <c r="P39" s="52" t="str">
        <f>Sheet1!N12</f>
        <v/>
      </c>
      <c r="Q39" s="120">
        <f>Sheet1!O12</f>
        <v>8540</v>
      </c>
      <c r="R39" s="51">
        <f t="shared" ref="R39" si="30">Q39</f>
        <v>8540</v>
      </c>
      <c r="S39" s="50">
        <f>S36-1</f>
        <v>-11</v>
      </c>
      <c r="T39" s="121">
        <f>RTD("cqg.rtd",,"StudyData","SUBMINUTE(("&amp;$B$38&amp;"),1,Regular)","FG",,"Time","5",S39,,,,,"T")</f>
        <v>43167.6352893519</v>
      </c>
      <c r="U39" s="83" t="str">
        <f>IF(RTD("cqg.rtd",,"StudyData","SUBMINUTE(("&amp;$B$38&amp;"),1,FillGap)","Bar",,"Close","5",S39,,,,,"T")="",NA(),TEXT(RTD("cqg.rtd",,"StudyData","SUBMINUTE(("&amp;$B$38&amp;"),1,FillGap)","Bar",,"Close","5",S39,,,,,"T"),Sheet1!$D$8))</f>
        <v>2739.25</v>
      </c>
      <c r="V39" s="38">
        <f>IF( RTD("cqg.rtd",,"StudyData", "AlgOrdBidVol(SUBMINUTE(("&amp;$B$38&amp;"),1,Regular),1,0)",  "Bar",, "Open", "5",S39,,,,,"T")="",0,RTD("cqg.rtd",,"StudyData", "AlgOrdBidVol(SUBMINUTE(("&amp;$B$38&amp;"),1,Regular),1,0)",  "Bar",, "Open", "5",S39,,,,,"T"))</f>
        <v>0</v>
      </c>
      <c r="W39" s="38">
        <f>IF( RTD("cqg.rtd",,"StudyData", "AlgOrdAskVol(SUBMINUTE(("&amp;$B$38&amp;"),1,Regular),1,0)",  "Bar",, "Open", "5",S39,,,,,"T")="",0,RTD("cqg.rtd",,"StudyData", "AlgOrdAskVol(SUBMINUTE(("&amp;$B$38&amp;"),1,Regular),1,0)",  "Bar",, "Open", "5",S39,,,,,"T"))</f>
        <v>0</v>
      </c>
      <c r="X39" s="37">
        <f t="shared" ref="X39" si="31">IF(AND(V39&gt;W39,V39&gt;$V$5),1,IF(AND(V39&lt;W39,W39&gt;$W$5),-1,0))</f>
        <v>0</v>
      </c>
      <c r="Y39" s="121">
        <f>RTD("cqg.rtd",,"StudyData","SUBMINUTE(("&amp;$B$38&amp;"),5,Regular)","FG",,"Time","5",S39,,,,,"T")</f>
        <v>43167.634780092601</v>
      </c>
      <c r="Z39" s="197" t="str">
        <f>IF(RTD("cqg.rtd",,"StudyData","SUBMINUTE(("&amp;$B$38&amp;"),5,FillGap)","Bar",,"Close","5",S39,,,,,"T")="",NA(),TEXT(RTD("cqg.rtd",,"StudyData","SUBMINUTE(("&amp;$B$38&amp;"),5,FillGap)","Bar",,"Close","5",S39,,,,,"T"),Sheet1!$D$8))</f>
        <v>2738.50</v>
      </c>
      <c r="AA39" s="38">
        <f>IF( RTD("cqg.rtd",,"StudyData", "AlgOrdBidVol(SUBMINUTE(("&amp;$B$38&amp;"),5,Regular),1,0)",  "Bar",, "Open", "5",S39,,,,,"T")="",0,RTD("cqg.rtd",,"StudyData", "AlgOrdBidVol(SUBMINUTE(("&amp;$B$38&amp;"),5,Regular),1,0)",  "Bar",, "Open", "5",S39,,,,,"T"))</f>
        <v>17</v>
      </c>
      <c r="AB39" s="38">
        <f>IF( RTD("cqg.rtd",,"StudyData", "AlgOrdAskVol(SUBMINUTE(("&amp;$B$38&amp;"),5,Regular),1,0)",  "Bar",, "Open", "5",S39,,,,,"T")="",0,RTD("cqg.rtd",,"StudyData", "AlgOrdAskVol(SUBMINUTE(("&amp;$B$38&amp;"),5,Regular),1,0)",  "Bar",, "Open", "5",S39,,,,,"T"))</f>
        <v>0</v>
      </c>
      <c r="AC39" s="37">
        <f t="shared" ref="AC39" si="32">IF(AND(AA39&gt;AB39,AA39&gt;$AA$5),1,IF(AND(AA39&lt;AB39,AB39&gt;$AB$5),-1,0))</f>
        <v>0</v>
      </c>
    </row>
    <row r="40" spans="1:29" ht="3.95" customHeight="1" x14ac:dyDescent="0.3">
      <c r="A40" s="56"/>
      <c r="B40" s="179"/>
      <c r="C40" s="164"/>
      <c r="D40" s="164"/>
      <c r="E40" s="164"/>
      <c r="F40" s="165"/>
      <c r="G40" s="165"/>
      <c r="H40" s="166"/>
      <c r="I40" s="166"/>
      <c r="J40" s="167"/>
      <c r="K40" s="74"/>
      <c r="L40" s="75"/>
      <c r="M40" s="76"/>
      <c r="N40" s="53"/>
      <c r="O40" s="119"/>
      <c r="P40" s="52"/>
      <c r="Q40" s="120"/>
      <c r="R40" s="50"/>
      <c r="S40" s="50"/>
      <c r="T40" s="121"/>
      <c r="U40" s="83"/>
      <c r="V40" s="38"/>
      <c r="W40" s="38"/>
      <c r="X40" s="38"/>
      <c r="Y40" s="121"/>
      <c r="Z40" s="197"/>
      <c r="AA40" s="38"/>
      <c r="AB40" s="38"/>
      <c r="AC40" s="38"/>
    </row>
    <row r="41" spans="1:29" ht="3.95" customHeight="1" x14ac:dyDescent="0.3">
      <c r="A41" s="56"/>
      <c r="B41" s="179"/>
      <c r="C41" s="164"/>
      <c r="D41" s="164"/>
      <c r="E41" s="164"/>
      <c r="F41" s="165"/>
      <c r="G41" s="165"/>
      <c r="H41" s="166"/>
      <c r="I41" s="166"/>
      <c r="J41" s="167"/>
      <c r="K41" s="74"/>
      <c r="L41" s="75"/>
      <c r="M41" s="76"/>
      <c r="N41" s="53"/>
      <c r="O41" s="119"/>
      <c r="P41" s="52"/>
      <c r="Q41" s="120"/>
      <c r="R41" s="50"/>
      <c r="S41" s="50"/>
      <c r="T41" s="121"/>
      <c r="U41" s="83"/>
      <c r="V41" s="38"/>
      <c r="W41" s="38"/>
      <c r="X41" s="38"/>
      <c r="Y41" s="121"/>
      <c r="Z41" s="197"/>
      <c r="AA41" s="38"/>
      <c r="AB41" s="38"/>
      <c r="AC41" s="38"/>
    </row>
    <row r="42" spans="1:29" ht="3.95" customHeight="1" x14ac:dyDescent="0.3">
      <c r="A42" s="55">
        <f>IF(A34="B",LEN(DOLLARFR(A30,32))-2,LEN(A30)-LEN(RIGHT(A30,2)))</f>
        <v>2</v>
      </c>
      <c r="B42" s="179"/>
      <c r="C42" s="163" t="s">
        <v>7</v>
      </c>
      <c r="D42" s="163" t="str">
        <f>IF(A34="B",RTD("cqg.rtd", ,"ContractData",B38, "Bid",,A34),TEXT(RTD("cqg.rtd", ,"ContractData",B38, "Bid",,A34),A46))</f>
        <v>2739.75</v>
      </c>
      <c r="E42" s="163">
        <f>RTD("cqg.rtd", ,"ContractData",B38, "MT_LastBidVolume",, "T")</f>
        <v>110</v>
      </c>
      <c r="F42" s="165"/>
      <c r="G42" s="165"/>
      <c r="H42" s="166"/>
      <c r="I42" s="166"/>
      <c r="J42" s="167"/>
      <c r="K42" s="74"/>
      <c r="L42" s="75"/>
      <c r="M42" s="76"/>
      <c r="N42" s="53" t="str">
        <f>Sheet1!L13</f>
        <v>2737.50</v>
      </c>
      <c r="O42" s="119" t="str">
        <f>Sheet1!M13</f>
        <v/>
      </c>
      <c r="P42" s="52" t="str">
        <f>Sheet1!N13</f>
        <v/>
      </c>
      <c r="Q42" s="120">
        <f>Sheet1!O13</f>
        <v>7376</v>
      </c>
      <c r="R42" s="51">
        <f t="shared" ref="R42" si="33">Q42</f>
        <v>7376</v>
      </c>
      <c r="S42" s="50">
        <f>S39-1</f>
        <v>-12</v>
      </c>
      <c r="T42" s="121">
        <f>RTD("cqg.rtd",,"StudyData","SUBMINUTE(("&amp;$B$38&amp;"),1,Regular)","FG",,"Time","5",S42,,,,,"T")</f>
        <v>43167.635277777801</v>
      </c>
      <c r="U42" s="83" t="str">
        <f>IF(RTD("cqg.rtd",,"StudyData","SUBMINUTE(("&amp;$B$38&amp;"),1,FillGap)","Bar",,"Close","5",S42,,,,,"T")="",NA(),TEXT(RTD("cqg.rtd",,"StudyData","SUBMINUTE(("&amp;$B$38&amp;"),1,FillGap)","Bar",,"Close","5",S42,,,,,"T"),Sheet1!$D$8))</f>
        <v>2739.25</v>
      </c>
      <c r="V42" s="38">
        <f>IF( RTD("cqg.rtd",,"StudyData", "AlgOrdBidVol(SUBMINUTE(("&amp;$B$38&amp;"),1,Regular),1,0)",  "Bar",, "Open", "5",S42,,,,,"T")="",0,RTD("cqg.rtd",,"StudyData", "AlgOrdBidVol(SUBMINUTE(("&amp;$B$38&amp;"),1,Regular),1,0)",  "Bar",, "Open", "5",S42,,,,,"T"))</f>
        <v>0</v>
      </c>
      <c r="W42" s="38">
        <f>IF( RTD("cqg.rtd",,"StudyData", "AlgOrdAskVol(SUBMINUTE(("&amp;$B$38&amp;"),1,Regular),1,0)",  "Bar",, "Open", "5",S42,,,,,"T")="",0,RTD("cqg.rtd",,"StudyData", "AlgOrdAskVol(SUBMINUTE(("&amp;$B$38&amp;"),1,Regular),1,0)",  "Bar",, "Open", "5",S42,,,,,"T"))</f>
        <v>11</v>
      </c>
      <c r="X42" s="37">
        <f t="shared" ref="X42" si="34">IF(AND(V42&gt;W42,V42&gt;$V$5),1,IF(AND(V42&lt;W42,W42&gt;$W$5),-1,0))</f>
        <v>-1</v>
      </c>
      <c r="Y42" s="121">
        <f>RTD("cqg.rtd",,"StudyData","SUBMINUTE(("&amp;$B$38&amp;"),5,Regular)","FG",,"Time","5",S42,,,,,"T")</f>
        <v>43167.634722222203</v>
      </c>
      <c r="Z42" s="197" t="str">
        <f>IF(RTD("cqg.rtd",,"StudyData","SUBMINUTE(("&amp;$B$38&amp;"),5,FillGap)","Bar",,"Close","5",S42,,,,,"T")="",NA(),TEXT(RTD("cqg.rtd",,"StudyData","SUBMINUTE(("&amp;$B$38&amp;"),5,FillGap)","Bar",,"Close","5",S42,,,,,"T"),Sheet1!$D$8))</f>
        <v>2738.75</v>
      </c>
      <c r="AA42" s="38">
        <f>IF( RTD("cqg.rtd",,"StudyData", "AlgOrdBidVol(SUBMINUTE(("&amp;$B$38&amp;"),5,Regular),1,0)",  "Bar",, "Open", "5",S42,,,,,"T")="",0,RTD("cqg.rtd",,"StudyData", "AlgOrdBidVol(SUBMINUTE(("&amp;$B$38&amp;"),5,Regular),1,0)",  "Bar",, "Open", "5",S42,,,,,"T"))</f>
        <v>294</v>
      </c>
      <c r="AB42" s="38">
        <f>IF( RTD("cqg.rtd",,"StudyData", "AlgOrdAskVol(SUBMINUTE(("&amp;$B$38&amp;"),5,Regular),1,0)",  "Bar",, "Open", "5",S42,,,,,"T")="",0,RTD("cqg.rtd",,"StudyData", "AlgOrdAskVol(SUBMINUTE(("&amp;$B$38&amp;"),5,Regular),1,0)",  "Bar",, "Open", "5",S42,,,,,"T"))</f>
        <v>0</v>
      </c>
      <c r="AC42" s="37">
        <f t="shared" ref="AC42" si="35">IF(AND(AA42&gt;AB42,AA42&gt;$AA$5),1,IF(AND(AA42&lt;AB42,AB42&gt;$AB$5),-1,0))</f>
        <v>1</v>
      </c>
    </row>
    <row r="43" spans="1:29" ht="3.95" customHeight="1" x14ac:dyDescent="0.3">
      <c r="A43" s="56"/>
      <c r="B43" s="179"/>
      <c r="C43" s="164"/>
      <c r="D43" s="164"/>
      <c r="E43" s="164"/>
      <c r="F43" s="165"/>
      <c r="G43" s="165"/>
      <c r="H43" s="166"/>
      <c r="I43" s="166"/>
      <c r="J43" s="167"/>
      <c r="K43" s="74"/>
      <c r="L43" s="75"/>
      <c r="M43" s="76"/>
      <c r="N43" s="53"/>
      <c r="O43" s="119"/>
      <c r="P43" s="52"/>
      <c r="Q43" s="120"/>
      <c r="R43" s="50"/>
      <c r="S43" s="50"/>
      <c r="T43" s="121"/>
      <c r="U43" s="83"/>
      <c r="V43" s="38"/>
      <c r="W43" s="38"/>
      <c r="X43" s="38"/>
      <c r="Y43" s="121"/>
      <c r="Z43" s="197"/>
      <c r="AA43" s="38"/>
      <c r="AB43" s="38"/>
      <c r="AC43" s="38"/>
    </row>
    <row r="44" spans="1:29" ht="3.95" customHeight="1" x14ac:dyDescent="0.3">
      <c r="A44" s="56"/>
      <c r="B44" s="179"/>
      <c r="C44" s="164"/>
      <c r="D44" s="164"/>
      <c r="E44" s="164"/>
      <c r="F44" s="165"/>
      <c r="G44" s="165"/>
      <c r="H44" s="166"/>
      <c r="I44" s="166"/>
      <c r="J44" s="167"/>
      <c r="K44" s="74"/>
      <c r="L44" s="75"/>
      <c r="M44" s="76"/>
      <c r="N44" s="53"/>
      <c r="O44" s="119"/>
      <c r="P44" s="52"/>
      <c r="Q44" s="120"/>
      <c r="R44" s="50"/>
      <c r="S44" s="50"/>
      <c r="T44" s="121"/>
      <c r="U44" s="83"/>
      <c r="V44" s="38"/>
      <c r="W44" s="38"/>
      <c r="X44" s="38"/>
      <c r="Y44" s="121"/>
      <c r="Z44" s="197"/>
      <c r="AA44" s="38"/>
      <c r="AB44" s="38"/>
      <c r="AC44" s="38"/>
    </row>
    <row r="45" spans="1:29" ht="3.95" customHeight="1" x14ac:dyDescent="0.3">
      <c r="A45" s="56"/>
      <c r="B45" s="179"/>
      <c r="C45" s="164"/>
      <c r="D45" s="164"/>
      <c r="E45" s="164"/>
      <c r="F45" s="165"/>
      <c r="G45" s="165"/>
      <c r="H45" s="166"/>
      <c r="I45" s="166"/>
      <c r="J45" s="167"/>
      <c r="K45" s="74"/>
      <c r="L45" s="75"/>
      <c r="M45" s="76"/>
      <c r="N45" s="53" t="str">
        <f>Sheet1!L14</f>
        <v>2737.25</v>
      </c>
      <c r="O45" s="119" t="str">
        <f>Sheet1!M14</f>
        <v/>
      </c>
      <c r="P45" s="52" t="str">
        <f>Sheet1!N14</f>
        <v/>
      </c>
      <c r="Q45" s="120">
        <f>Sheet1!O14</f>
        <v>8751</v>
      </c>
      <c r="R45" s="51">
        <f t="shared" ref="R45" si="36">Q45</f>
        <v>8751</v>
      </c>
      <c r="S45" s="50">
        <f>S42-1</f>
        <v>-13</v>
      </c>
      <c r="T45" s="121">
        <f>RTD("cqg.rtd",,"StudyData","SUBMINUTE(("&amp;$B$38&amp;"),1,Regular)","FG",,"Time","5",S45,,,,,"T")</f>
        <v>43167.635266203702</v>
      </c>
      <c r="U45" s="83" t="str">
        <f>IF(RTD("cqg.rtd",,"StudyData","SUBMINUTE(("&amp;$B$38&amp;"),1,FillGap)","Bar",,"Close","5",S45,,,,,"T")="",NA(),TEXT(RTD("cqg.rtd",,"StudyData","SUBMINUTE(("&amp;$B$38&amp;"),1,FillGap)","Bar",,"Close","5",S45,,,,,"T"),Sheet1!$D$8))</f>
        <v>2739.25</v>
      </c>
      <c r="V45" s="38">
        <f>IF( RTD("cqg.rtd",,"StudyData", "AlgOrdBidVol(SUBMINUTE(("&amp;$B$38&amp;"),1,Regular),1,0)",  "Bar",, "Open", "5",S45,,,,,"T")="",0,RTD("cqg.rtd",,"StudyData", "AlgOrdBidVol(SUBMINUTE(("&amp;$B$38&amp;"),1,Regular),1,0)",  "Bar",, "Open", "5",S45,,,,,"T"))</f>
        <v>0</v>
      </c>
      <c r="W45" s="38">
        <f>IF( RTD("cqg.rtd",,"StudyData", "AlgOrdAskVol(SUBMINUTE(("&amp;$B$38&amp;"),1,Regular),1,0)",  "Bar",, "Open", "5",S45,,,,,"T")="",0,RTD("cqg.rtd",,"StudyData", "AlgOrdAskVol(SUBMINUTE(("&amp;$B$38&amp;"),1,Regular),1,0)",  "Bar",, "Open", "5",S45,,,,,"T"))</f>
        <v>0</v>
      </c>
      <c r="X45" s="37">
        <f t="shared" ref="X45" si="37">IF(AND(V45&gt;W45,V45&gt;$V$5),1,IF(AND(V45&lt;W45,W45&gt;$W$5),-1,0))</f>
        <v>0</v>
      </c>
      <c r="Y45" s="121">
        <f>RTD("cqg.rtd",,"StudyData","SUBMINUTE(("&amp;$B$38&amp;"),5,Regular)","FG",,"Time","5",S45,,,,,"T")</f>
        <v>43167.634664351899</v>
      </c>
      <c r="Z45" s="197" t="str">
        <f>IF(RTD("cqg.rtd",,"StudyData","SUBMINUTE(("&amp;$B$38&amp;"),5,FillGap)","Bar",,"Close","5",S45,,,,,"T")="",NA(),TEXT(RTD("cqg.rtd",,"StudyData","SUBMINUTE(("&amp;$B$38&amp;"),5,FillGap)","Bar",,"Close","5",S45,,,,,"T"),Sheet1!$D$8))</f>
        <v>2739.00</v>
      </c>
      <c r="AA45" s="38">
        <f>IF( RTD("cqg.rtd",,"StudyData", "AlgOrdBidVol(SUBMINUTE(("&amp;$B$38&amp;"),5,Regular),1,0)",  "Bar",, "Open", "5",S45,,,,,"T")="",0,RTD("cqg.rtd",,"StudyData", "AlgOrdBidVol(SUBMINUTE(("&amp;$B$38&amp;"),5,Regular),1,0)",  "Bar",, "Open", "5",S45,,,,,"T"))</f>
        <v>0</v>
      </c>
      <c r="AB45" s="38">
        <f>IF( RTD("cqg.rtd",,"StudyData", "AlgOrdAskVol(SUBMINUTE(("&amp;$B$38&amp;"),5,Regular),1,0)",  "Bar",, "Open", "5",S45,,,,,"T")="",0,RTD("cqg.rtd",,"StudyData", "AlgOrdAskVol(SUBMINUTE(("&amp;$B$38&amp;"),5,Regular),1,0)",  "Bar",, "Open", "5",S45,,,,,"T"))</f>
        <v>0</v>
      </c>
      <c r="AC45" s="37">
        <f t="shared" ref="AC45" si="38">IF(AND(AA45&gt;AB45,AA45&gt;$AA$5),1,IF(AND(AA45&lt;AB45,AB45&gt;$AB$5),-1,0))</f>
        <v>0</v>
      </c>
    </row>
    <row r="46" spans="1:29" ht="3.95" customHeight="1" x14ac:dyDescent="0.3">
      <c r="A46" s="55" t="str">
        <f>IF(A42=0,"#",IF(A42=1,"#.00",IF(A42=2,"#.00",IF(A42=3,"#.000",IF(A42=4,"#.0000",IF(A42=5,"#.00000",IF(A42=6,"#.000000",IF(A42=7,"#.0000000"))))))))</f>
        <v>#.00</v>
      </c>
      <c r="B46" s="180">
        <f>RTD("cqg.rtd",,"DOMData",B38,"Price",-5,"T")</f>
        <v>2738.75</v>
      </c>
      <c r="C46" s="174">
        <f>RTD("cqg.rtd",,"DOMData",B38,"Price",-4,"T")</f>
        <v>2739</v>
      </c>
      <c r="D46" s="174">
        <f>RTD("cqg.rtd",,"DOMData",B38,"Price",-3,"T")</f>
        <v>2739.25</v>
      </c>
      <c r="E46" s="174">
        <f>RTD("cqg.rtd",,"DOMData",B38,"Price",-2,"T")</f>
        <v>2739.5</v>
      </c>
      <c r="F46" s="174" t="str">
        <f>TEXT(RTD("cqg.rtd",,"DOMData",B38,"Price",-1,"T"),A46)</f>
        <v>2739.75</v>
      </c>
      <c r="G46" s="174" t="str">
        <f>TEXT(RTD("cqg.rtd",,"ContractData",B38,"LastTradeToday",,"T"),Sheet1!D8)</f>
        <v>2739.25</v>
      </c>
      <c r="H46" s="174"/>
      <c r="I46" s="174">
        <f>RTD("cqg.rtd",,"DOMData",B38,"Price",1,"T")</f>
        <v>2739.75</v>
      </c>
      <c r="J46" s="174">
        <f>RTD("cqg.rtd",,"DOMData",B38,"Price",2,"T")</f>
        <v>2740</v>
      </c>
      <c r="K46" s="174">
        <f>RTD("cqg.rtd",,"DOMData",B38,"Price",3,"T")</f>
        <v>2740.25</v>
      </c>
      <c r="L46" s="174">
        <f>RTD("cqg.rtd",,"DOMData",B38,"Price",4,"T")</f>
        <v>2740.5</v>
      </c>
      <c r="M46" s="176">
        <f>RTD("cqg.rtd",,"DOMData",B38,"Price",5,"T")</f>
        <v>2740.75</v>
      </c>
      <c r="N46" s="53"/>
      <c r="O46" s="119"/>
      <c r="P46" s="52"/>
      <c r="Q46" s="120"/>
      <c r="R46" s="50"/>
      <c r="S46" s="50"/>
      <c r="T46" s="121"/>
      <c r="U46" s="83"/>
      <c r="V46" s="38"/>
      <c r="W46" s="38"/>
      <c r="X46" s="38"/>
      <c r="Y46" s="121"/>
      <c r="Z46" s="197"/>
      <c r="AA46" s="38"/>
      <c r="AB46" s="38"/>
      <c r="AC46" s="38"/>
    </row>
    <row r="47" spans="1:29" ht="3.95" customHeight="1" x14ac:dyDescent="0.3">
      <c r="A47" s="56"/>
      <c r="B47" s="180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6"/>
      <c r="N47" s="53"/>
      <c r="O47" s="119"/>
      <c r="P47" s="52"/>
      <c r="Q47" s="120"/>
      <c r="R47" s="50"/>
      <c r="S47" s="50"/>
      <c r="T47" s="121"/>
      <c r="U47" s="83"/>
      <c r="V47" s="38"/>
      <c r="W47" s="38"/>
      <c r="X47" s="38"/>
      <c r="Y47" s="121"/>
      <c r="Z47" s="197"/>
      <c r="AA47" s="38"/>
      <c r="AB47" s="38"/>
      <c r="AC47" s="38"/>
    </row>
    <row r="48" spans="1:29" ht="3.95" customHeight="1" x14ac:dyDescent="0.3">
      <c r="A48" s="56"/>
      <c r="B48" s="180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6"/>
      <c r="N48" s="53" t="str">
        <f>Sheet1!L15</f>
        <v>2737.00</v>
      </c>
      <c r="O48" s="119" t="str">
        <f>Sheet1!M15</f>
        <v/>
      </c>
      <c r="P48" s="52" t="str">
        <f>Sheet1!N15</f>
        <v/>
      </c>
      <c r="Q48" s="120">
        <f>Sheet1!O15</f>
        <v>8063</v>
      </c>
      <c r="R48" s="51">
        <f t="shared" ref="R48" si="39">Q48</f>
        <v>8063</v>
      </c>
      <c r="S48" s="50">
        <f>S45-1</f>
        <v>-14</v>
      </c>
      <c r="T48" s="121">
        <f>RTD("cqg.rtd",,"StudyData","SUBMINUTE(("&amp;$B$38&amp;"),1,Regular)","FG",,"Time","5",S48,,,,,"T")</f>
        <v>43167.635254629597</v>
      </c>
      <c r="U48" s="83" t="str">
        <f>IF(RTD("cqg.rtd",,"StudyData","SUBMINUTE(("&amp;$B$38&amp;"),1,FillGap)","Bar",,"Close","5",S48,,,,,"T")="",NA(),TEXT(RTD("cqg.rtd",,"StudyData","SUBMINUTE(("&amp;$B$38&amp;"),1,FillGap)","Bar",,"Close","5",S48,,,,,"T"),Sheet1!$D$8))</f>
        <v>2739.25</v>
      </c>
      <c r="V48" s="38">
        <f>IF( RTD("cqg.rtd",,"StudyData", "AlgOrdBidVol(SUBMINUTE(("&amp;$B$38&amp;"),1,Regular),1,0)",  "Bar",, "Open", "5",S48,,,,,"T")="",0,RTD("cqg.rtd",,"StudyData", "AlgOrdBidVol(SUBMINUTE(("&amp;$B$38&amp;"),1,Regular),1,0)",  "Bar",, "Open", "5",S48,,,,,"T"))</f>
        <v>47</v>
      </c>
      <c r="W48" s="38">
        <f>IF( RTD("cqg.rtd",,"StudyData", "AlgOrdAskVol(SUBMINUTE(("&amp;$B$38&amp;"),1,Regular),1,0)",  "Bar",, "Open", "5",S48,,,,,"T")="",0,RTD("cqg.rtd",,"StudyData", "AlgOrdAskVol(SUBMINUTE(("&amp;$B$38&amp;"),1,Regular),1,0)",  "Bar",, "Open", "5",S48,,,,,"T"))</f>
        <v>0</v>
      </c>
      <c r="X48" s="37">
        <f t="shared" ref="X48" si="40">IF(AND(V48&gt;W48,V48&gt;$V$5),1,IF(AND(V48&lt;W48,W48&gt;$W$5),-1,0))</f>
        <v>1</v>
      </c>
      <c r="Y48" s="121">
        <f>RTD("cqg.rtd",,"StudyData","SUBMINUTE(("&amp;$B$38&amp;"),5,Regular)","FG",,"Time","5",S48,,,,,"T")</f>
        <v>43167.634606481501</v>
      </c>
      <c r="Z48" s="197" t="str">
        <f>IF(RTD("cqg.rtd",,"StudyData","SUBMINUTE(("&amp;$B$38&amp;"),5,FillGap)","Bar",,"Close","5",S48,,,,,"T")="",NA(),TEXT(RTD("cqg.rtd",,"StudyData","SUBMINUTE(("&amp;$B$38&amp;"),5,FillGap)","Bar",,"Close","5",S48,,,,,"T"),Sheet1!$D$8))</f>
        <v>2739.00</v>
      </c>
      <c r="AA48" s="38">
        <f>IF( RTD("cqg.rtd",,"StudyData", "AlgOrdBidVol(SUBMINUTE(("&amp;$B$38&amp;"),5,Regular),1,0)",  "Bar",, "Open", "5",S48,,,,,"T")="",0,RTD("cqg.rtd",,"StudyData", "AlgOrdBidVol(SUBMINUTE(("&amp;$B$38&amp;"),5,Regular),1,0)",  "Bar",, "Open", "5",S48,,,,,"T"))</f>
        <v>117</v>
      </c>
      <c r="AB48" s="38">
        <f>IF( RTD("cqg.rtd",,"StudyData", "AlgOrdAskVol(SUBMINUTE(("&amp;$B$38&amp;"),5,Regular),1,0)",  "Bar",, "Open", "5",S48,,,,,"T")="",0,RTD("cqg.rtd",,"StudyData", "AlgOrdAskVol(SUBMINUTE(("&amp;$B$38&amp;"),5,Regular),1,0)",  "Bar",, "Open", "5",S48,,,,,"T"))</f>
        <v>1</v>
      </c>
      <c r="AC48" s="37">
        <f t="shared" ref="AC48" si="41">IF(AND(AA48&gt;AB48,AA48&gt;$AA$5),1,IF(AND(AA48&lt;AB48,AB48&gt;$AB$5),-1,0))</f>
        <v>1</v>
      </c>
    </row>
    <row r="49" spans="1:29" ht="3.95" customHeight="1" x14ac:dyDescent="0.3">
      <c r="A49" s="56"/>
      <c r="B49" s="181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7"/>
      <c r="N49" s="53"/>
      <c r="O49" s="119"/>
      <c r="P49" s="52"/>
      <c r="Q49" s="120"/>
      <c r="R49" s="50"/>
      <c r="S49" s="50"/>
      <c r="T49" s="121"/>
      <c r="U49" s="83"/>
      <c r="V49" s="38"/>
      <c r="W49" s="38"/>
      <c r="X49" s="38"/>
      <c r="Y49" s="121"/>
      <c r="Z49" s="197"/>
      <c r="AA49" s="38"/>
      <c r="AB49" s="38"/>
      <c r="AC49" s="38"/>
    </row>
    <row r="50" spans="1:29" ht="3.95" customHeight="1" x14ac:dyDescent="0.3">
      <c r="A50" s="5">
        <f xml:space="preserve"> RTD("cqg.rtd",,"StudyData", $B$38,  "Tick", "FlatTicks=0", "Tick","D","-31","all")</f>
        <v>2739</v>
      </c>
      <c r="B50" s="188" t="s">
        <v>25</v>
      </c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90"/>
      <c r="N50" s="53"/>
      <c r="O50" s="119"/>
      <c r="P50" s="52"/>
      <c r="Q50" s="120"/>
      <c r="R50" s="50"/>
      <c r="S50" s="50"/>
      <c r="T50" s="121"/>
      <c r="U50" s="83"/>
      <c r="V50" s="38"/>
      <c r="W50" s="38"/>
      <c r="X50" s="38"/>
      <c r="Y50" s="121"/>
      <c r="Z50" s="197"/>
      <c r="AA50" s="38"/>
      <c r="AB50" s="38"/>
      <c r="AC50" s="38"/>
    </row>
    <row r="51" spans="1:29" ht="3.95" customHeight="1" x14ac:dyDescent="0.3">
      <c r="A51" s="5">
        <f xml:space="preserve"> RTD("cqg.rtd",,"StudyData", $B$38,  "Tick", "FlatTicks=0", "Tick","D","-30","all")</f>
        <v>2739.25</v>
      </c>
      <c r="B51" s="191"/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193"/>
      <c r="N51" s="53" t="str">
        <f>Sheet1!L16</f>
        <v>2736.75</v>
      </c>
      <c r="O51" s="119" t="str">
        <f>Sheet1!M16</f>
        <v/>
      </c>
      <c r="P51" s="52" t="str">
        <f>Sheet1!N16</f>
        <v/>
      </c>
      <c r="Q51" s="120">
        <f>Sheet1!O16</f>
        <v>10424</v>
      </c>
      <c r="R51" s="51">
        <f t="shared" ref="R51" si="42">Q51</f>
        <v>10424</v>
      </c>
      <c r="S51" s="50">
        <f>S48-1</f>
        <v>-15</v>
      </c>
      <c r="T51" s="121">
        <f>RTD("cqg.rtd",,"StudyData","SUBMINUTE(("&amp;$B$38&amp;"),1,Regular)","FG",,"Time","5",S51,,,,,"T")</f>
        <v>43167.6352430556</v>
      </c>
      <c r="U51" s="83" t="str">
        <f>IF(RTD("cqg.rtd",,"StudyData","SUBMINUTE(("&amp;$B$38&amp;"),1,FillGap)","Bar",,"Close","5",S51,,,,,"T")="",NA(),TEXT(RTD("cqg.rtd",,"StudyData","SUBMINUTE(("&amp;$B$38&amp;"),1,FillGap)","Bar",,"Close","5",S51,,,,,"T"),Sheet1!$D$8))</f>
        <v>2739.25</v>
      </c>
      <c r="V51" s="38">
        <f>IF( RTD("cqg.rtd",,"StudyData", "AlgOrdBidVol(SUBMINUTE(("&amp;$B$38&amp;"),1,Regular),1,0)",  "Bar",, "Open", "5",S51,,,,,"T")="",0,RTD("cqg.rtd",,"StudyData", "AlgOrdBidVol(SUBMINUTE(("&amp;$B$38&amp;"),1,Regular),1,0)",  "Bar",, "Open", "5",S51,,,,,"T"))</f>
        <v>0</v>
      </c>
      <c r="W51" s="38">
        <f>IF( RTD("cqg.rtd",,"StudyData", "AlgOrdAskVol(SUBMINUTE(("&amp;$B$38&amp;"),1,Regular),1,0)",  "Bar",, "Open", "5",S51,,,,,"T")="",0,RTD("cqg.rtd",,"StudyData", "AlgOrdAskVol(SUBMINUTE(("&amp;$B$38&amp;"),1,Regular),1,0)",  "Bar",, "Open", "5",S51,,,,,"T"))</f>
        <v>8</v>
      </c>
      <c r="X51" s="37">
        <f t="shared" ref="X51" si="43">IF(AND(V51&gt;W51,V51&gt;$V$5),1,IF(AND(V51&lt;W51,W51&gt;$W$5),-1,0))</f>
        <v>-1</v>
      </c>
      <c r="Y51" s="121">
        <f>RTD("cqg.rtd",,"StudyData","SUBMINUTE(("&amp;$B$38&amp;"),5,Regular)","FG",,"Time","5",S51,,,,,"T")</f>
        <v>43167.634548611102</v>
      </c>
      <c r="Z51" s="197" t="str">
        <f>IF(RTD("cqg.rtd",,"StudyData","SUBMINUTE(("&amp;$B$38&amp;"),5,FillGap)","Bar",,"Close","5",S51,,,,,"T")="",NA(),TEXT(RTD("cqg.rtd",,"StudyData","SUBMINUTE(("&amp;$B$38&amp;"),5,FillGap)","Bar",,"Close","5",S51,,,,,"T"),Sheet1!$D$8))</f>
        <v>2739.00</v>
      </c>
      <c r="AA51" s="38">
        <f>IF( RTD("cqg.rtd",,"StudyData", "AlgOrdBidVol(SUBMINUTE(("&amp;$B$38&amp;"),5,Regular),1,0)",  "Bar",, "Open", "5",S51,,,,,"T")="",0,RTD("cqg.rtd",,"StudyData", "AlgOrdBidVol(SUBMINUTE(("&amp;$B$38&amp;"),5,Regular),1,0)",  "Bar",, "Open", "5",S51,,,,,"T"))</f>
        <v>0</v>
      </c>
      <c r="AB51" s="38">
        <f>IF( RTD("cqg.rtd",,"StudyData", "AlgOrdAskVol(SUBMINUTE(("&amp;$B$38&amp;"),5,Regular),1,0)",  "Bar",, "Open", "5",S51,,,,,"T")="",0,RTD("cqg.rtd",,"StudyData", "AlgOrdAskVol(SUBMINUTE(("&amp;$B$38&amp;"),5,Regular),1,0)",  "Bar",, "Open", "5",S51,,,,,"T"))</f>
        <v>0</v>
      </c>
      <c r="AC51" s="37">
        <f t="shared" ref="AC51" si="44">IF(AND(AA51&gt;AB51,AA51&gt;$AA$5),1,IF(AND(AA51&lt;AB51,AB51&gt;$AB$5),-1,0))</f>
        <v>0</v>
      </c>
    </row>
    <row r="52" spans="1:29" ht="3.95" customHeight="1" x14ac:dyDescent="0.3">
      <c r="A52" s="5">
        <f xml:space="preserve"> RTD("cqg.rtd",,"StudyData", $B$38,  "Tick", "FlatTicks=0", "Tick","D","-29","all")</f>
        <v>2739</v>
      </c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3"/>
      <c r="N52" s="53"/>
      <c r="O52" s="119"/>
      <c r="P52" s="52"/>
      <c r="Q52" s="120"/>
      <c r="R52" s="50"/>
      <c r="S52" s="50"/>
      <c r="T52" s="121"/>
      <c r="U52" s="83"/>
      <c r="V52" s="38"/>
      <c r="W52" s="38"/>
      <c r="X52" s="38"/>
      <c r="Y52" s="121"/>
      <c r="Z52" s="197"/>
      <c r="AA52" s="38"/>
      <c r="AB52" s="38"/>
      <c r="AC52" s="38"/>
    </row>
    <row r="53" spans="1:29" ht="3.95" customHeight="1" x14ac:dyDescent="0.3">
      <c r="A53" s="5">
        <f xml:space="preserve"> RTD("cqg.rtd",,"StudyData", $B$38,  "Tick", "FlatTicks=0", "Tick","D","-28","all")</f>
        <v>2739.25</v>
      </c>
      <c r="B53" s="191"/>
      <c r="C53" s="192"/>
      <c r="D53" s="192"/>
      <c r="E53" s="192"/>
      <c r="F53" s="192"/>
      <c r="G53" s="192"/>
      <c r="H53" s="192"/>
      <c r="I53" s="192"/>
      <c r="J53" s="192"/>
      <c r="K53" s="192"/>
      <c r="L53" s="192"/>
      <c r="M53" s="193"/>
      <c r="N53" s="53"/>
      <c r="O53" s="119"/>
      <c r="P53" s="52"/>
      <c r="Q53" s="120"/>
      <c r="R53" s="50"/>
      <c r="S53" s="50"/>
      <c r="T53" s="121"/>
      <c r="U53" s="83"/>
      <c r="V53" s="38"/>
      <c r="W53" s="38"/>
      <c r="X53" s="38"/>
      <c r="Y53" s="121"/>
      <c r="Z53" s="197"/>
      <c r="AA53" s="38"/>
      <c r="AB53" s="38"/>
      <c r="AC53" s="38"/>
    </row>
    <row r="54" spans="1:29" ht="3.95" customHeight="1" x14ac:dyDescent="0.3">
      <c r="A54" s="5">
        <f xml:space="preserve"> RTD("cqg.rtd",,"StudyData", $B$38,  "Tick", "FlatTicks=0", "Tick","D","-27","all")</f>
        <v>2739</v>
      </c>
      <c r="B54" s="194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196"/>
      <c r="N54" s="53" t="str">
        <f>Sheet1!L17</f>
        <v>2736.50</v>
      </c>
      <c r="O54" s="119" t="str">
        <f>Sheet1!M17</f>
        <v/>
      </c>
      <c r="P54" s="52" t="str">
        <f>Sheet1!N17</f>
        <v/>
      </c>
      <c r="Q54" s="120">
        <f>Sheet1!O17</f>
        <v>14311</v>
      </c>
      <c r="R54" s="51">
        <f t="shared" ref="R54" si="45">Q54</f>
        <v>14311</v>
      </c>
      <c r="S54" s="50">
        <f>S51-1</f>
        <v>-16</v>
      </c>
      <c r="T54" s="121">
        <f>RTD("cqg.rtd",,"StudyData","SUBMINUTE(("&amp;$B$38&amp;"),1,Regular)","FG",,"Time","5",S54,,,,,"T")</f>
        <v>43167.635231481501</v>
      </c>
      <c r="U54" s="83" t="str">
        <f>IF(RTD("cqg.rtd",,"StudyData","SUBMINUTE(("&amp;$B$38&amp;"),1,FillGap)","Bar",,"Close","5",S54,,,,,"T")="",NA(),TEXT(RTD("cqg.rtd",,"StudyData","SUBMINUTE(("&amp;$B$38&amp;"),1,FillGap)","Bar",,"Close","5",S54,,,,,"T"),Sheet1!$D$8))</f>
        <v>2739.25</v>
      </c>
      <c r="V54" s="38">
        <f>IF( RTD("cqg.rtd",,"StudyData", "AlgOrdBidVol(SUBMINUTE(("&amp;$B$38&amp;"),1,Regular),1,0)",  "Bar",, "Open", "5",S54,,,,,"T")="",0,RTD("cqg.rtd",,"StudyData", "AlgOrdBidVol(SUBMINUTE(("&amp;$B$38&amp;"),1,Regular),1,0)",  "Bar",, "Open", "5",S54,,,,,"T"))</f>
        <v>0</v>
      </c>
      <c r="W54" s="38">
        <f>IF( RTD("cqg.rtd",,"StudyData", "AlgOrdAskVol(SUBMINUTE(("&amp;$B$38&amp;"),1,Regular),1,0)",  "Bar",, "Open", "5",S54,,,,,"T")="",0,RTD("cqg.rtd",,"StudyData", "AlgOrdAskVol(SUBMINUTE(("&amp;$B$38&amp;"),1,Regular),1,0)",  "Bar",, "Open", "5",S54,,,,,"T"))</f>
        <v>0</v>
      </c>
      <c r="X54" s="37">
        <f t="shared" ref="X54" si="46">IF(AND(V54&gt;W54,V54&gt;$V$5),1,IF(AND(V54&lt;W54,W54&gt;$W$5),-1,0))</f>
        <v>0</v>
      </c>
      <c r="Y54" s="121">
        <f>RTD("cqg.rtd",,"StudyData","SUBMINUTE(("&amp;$B$38&amp;"),5,Regular)","FG",,"Time","5",S54,,,,,"T")</f>
        <v>43167.634490740696</v>
      </c>
      <c r="Z54" s="197" t="str">
        <f>IF(RTD("cqg.rtd",,"StudyData","SUBMINUTE(("&amp;$B$38&amp;"),5,FillGap)","Bar",,"Close","5",S54,,,,,"T")="",NA(),TEXT(RTD("cqg.rtd",,"StudyData","SUBMINUTE(("&amp;$B$38&amp;"),5,FillGap)","Bar",,"Close","5",S54,,,,,"T"),Sheet1!$D$8))</f>
        <v>2739.00</v>
      </c>
      <c r="AA54" s="38">
        <f>IF( RTD("cqg.rtd",,"StudyData", "AlgOrdBidVol(SUBMINUTE(("&amp;$B$38&amp;"),5,Regular),1,0)",  "Bar",, "Open", "5",S54,,,,,"T")="",0,RTD("cqg.rtd",,"StudyData", "AlgOrdBidVol(SUBMINUTE(("&amp;$B$38&amp;"),5,Regular),1,0)",  "Bar",, "Open", "5",S54,,,,,"T"))</f>
        <v>0</v>
      </c>
      <c r="AB54" s="38">
        <f>IF( RTD("cqg.rtd",,"StudyData", "AlgOrdAskVol(SUBMINUTE(("&amp;$B$38&amp;"),5,Regular),1,0)",  "Bar",, "Open", "5",S54,,,,,"T")="",0,RTD("cqg.rtd",,"StudyData", "AlgOrdAskVol(SUBMINUTE(("&amp;$B$38&amp;"),5,Regular),1,0)",  "Bar",, "Open", "5",S54,,,,,"T"))</f>
        <v>0</v>
      </c>
      <c r="AC54" s="37">
        <f t="shared" ref="AC54" si="47">IF(AND(AA54&gt;AB54,AA54&gt;$AA$5),1,IF(AND(AA54&lt;AB54,AB54&gt;$AB$5),-1,0))</f>
        <v>0</v>
      </c>
    </row>
    <row r="55" spans="1:29" ht="3.95" customHeight="1" x14ac:dyDescent="0.3">
      <c r="A55" s="5">
        <f xml:space="preserve"> RTD("cqg.rtd",,"StudyData", $B$38,  "Tick", "FlatTicks=0", "Tick","D","-26","all")</f>
        <v>2739.25</v>
      </c>
      <c r="B55" s="15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6"/>
      <c r="N55" s="53"/>
      <c r="O55" s="119"/>
      <c r="P55" s="52"/>
      <c r="Q55" s="120"/>
      <c r="R55" s="50"/>
      <c r="S55" s="50"/>
      <c r="T55" s="121"/>
      <c r="U55" s="83"/>
      <c r="V55" s="38"/>
      <c r="W55" s="38"/>
      <c r="X55" s="38"/>
      <c r="Y55" s="121"/>
      <c r="Z55" s="197"/>
      <c r="AA55" s="38"/>
      <c r="AB55" s="38"/>
      <c r="AC55" s="38"/>
    </row>
    <row r="56" spans="1:29" ht="3.95" customHeight="1" x14ac:dyDescent="0.3">
      <c r="A56" s="5">
        <f xml:space="preserve"> RTD("cqg.rtd",,"StudyData", $B$38,  "Tick", "FlatTicks=0", "Tick","D","-25","all")</f>
        <v>2739</v>
      </c>
      <c r="B56" s="15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6"/>
      <c r="N56" s="53"/>
      <c r="O56" s="119"/>
      <c r="P56" s="52"/>
      <c r="Q56" s="120"/>
      <c r="R56" s="50"/>
      <c r="S56" s="50"/>
      <c r="T56" s="121"/>
      <c r="U56" s="83"/>
      <c r="V56" s="38"/>
      <c r="W56" s="38"/>
      <c r="X56" s="38"/>
      <c r="Y56" s="121"/>
      <c r="Z56" s="197"/>
      <c r="AA56" s="38"/>
      <c r="AB56" s="38"/>
      <c r="AC56" s="38"/>
    </row>
    <row r="57" spans="1:29" ht="3.95" customHeight="1" x14ac:dyDescent="0.3">
      <c r="A57" s="5">
        <f xml:space="preserve"> RTD("cqg.rtd",,"StudyData", $B$38,  "Tick", "FlatTicks=0", "Tick","D","-24","all")</f>
        <v>2739.25</v>
      </c>
      <c r="B57" s="15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6"/>
      <c r="N57" s="53" t="str">
        <f>Sheet1!L18</f>
        <v>2736.25</v>
      </c>
      <c r="O57" s="119" t="str">
        <f>Sheet1!M18</f>
        <v/>
      </c>
      <c r="P57" s="52" t="str">
        <f>Sheet1!N18</f>
        <v/>
      </c>
      <c r="Q57" s="120">
        <f>Sheet1!O18</f>
        <v>12205</v>
      </c>
      <c r="R57" s="51">
        <f t="shared" ref="R57" si="48">Q57</f>
        <v>12205</v>
      </c>
      <c r="S57" s="50">
        <f>S54-1</f>
        <v>-17</v>
      </c>
      <c r="T57" s="121">
        <f>RTD("cqg.rtd",,"StudyData","SUBMINUTE(("&amp;$B$38&amp;"),1,Regular)","FG",,"Time","5",S57,,,,,"T")</f>
        <v>43167.635219907403</v>
      </c>
      <c r="U57" s="83" t="str">
        <f>IF(RTD("cqg.rtd",,"StudyData","SUBMINUTE(("&amp;$B$38&amp;"),1,FillGap)","Bar",,"Close","5",S57,,,,,"T")="",NA(),TEXT(RTD("cqg.rtd",,"StudyData","SUBMINUTE(("&amp;$B$38&amp;"),1,FillGap)","Bar",,"Close","5",S57,,,,,"T"),Sheet1!$D$8))</f>
        <v>2739.25</v>
      </c>
      <c r="V57" s="38">
        <f>IF( RTD("cqg.rtd",,"StudyData", "AlgOrdBidVol(SUBMINUTE(("&amp;$B$38&amp;"),1,Regular),1,0)",  "Bar",, "Open", "5",S57,,,,,"T")="",0,RTD("cqg.rtd",,"StudyData", "AlgOrdBidVol(SUBMINUTE(("&amp;$B$38&amp;"),1,Regular),1,0)",  "Bar",, "Open", "5",S57,,,,,"T"))</f>
        <v>0</v>
      </c>
      <c r="W57" s="38">
        <f>IF( RTD("cqg.rtd",,"StudyData", "AlgOrdAskVol(SUBMINUTE(("&amp;$B$38&amp;"),1,Regular),1,0)",  "Bar",, "Open", "5",S57,,,,,"T")="",0,RTD("cqg.rtd",,"StudyData", "AlgOrdAskVol(SUBMINUTE(("&amp;$B$38&amp;"),1,Regular),1,0)",  "Bar",, "Open", "5",S57,,,,,"T"))</f>
        <v>0</v>
      </c>
      <c r="X57" s="37">
        <f t="shared" ref="X57" si="49">IF(AND(V57&gt;W57,V57&gt;$V$5),1,IF(AND(V57&lt;W57,W57&gt;$W$5),-1,0))</f>
        <v>0</v>
      </c>
      <c r="Y57" s="121">
        <f>RTD("cqg.rtd",,"StudyData","SUBMINUTE(("&amp;$B$38&amp;"),5,Regular)","FG",,"Time","5",S57,,,,,"T")</f>
        <v>43167.6344328704</v>
      </c>
      <c r="Z57" s="197" t="str">
        <f>IF(RTD("cqg.rtd",,"StudyData","SUBMINUTE(("&amp;$B$38&amp;"),5,FillGap)","Bar",,"Close","5",S57,,,,,"T")="",NA(),TEXT(RTD("cqg.rtd",,"StudyData","SUBMINUTE(("&amp;$B$38&amp;"),5,FillGap)","Bar",,"Close","5",S57,,,,,"T"),Sheet1!$D$8))</f>
        <v>2739.00</v>
      </c>
      <c r="AA57" s="38">
        <f>IF( RTD("cqg.rtd",,"StudyData", "AlgOrdBidVol(SUBMINUTE(("&amp;$B$38&amp;"),5,Regular),1,0)",  "Bar",, "Open", "5",S57,,,,,"T")="",0,RTD("cqg.rtd",,"StudyData", "AlgOrdBidVol(SUBMINUTE(("&amp;$B$38&amp;"),5,Regular),1,0)",  "Bar",, "Open", "5",S57,,,,,"T"))</f>
        <v>0</v>
      </c>
      <c r="AB57" s="38">
        <f>IF( RTD("cqg.rtd",,"StudyData", "AlgOrdAskVol(SUBMINUTE(("&amp;$B$38&amp;"),5,Regular),1,0)",  "Bar",, "Open", "5",S57,,,,,"T")="",0,RTD("cqg.rtd",,"StudyData", "AlgOrdAskVol(SUBMINUTE(("&amp;$B$38&amp;"),5,Regular),1,0)",  "Bar",, "Open", "5",S57,,,,,"T"))</f>
        <v>0</v>
      </c>
      <c r="AC57" s="37">
        <f t="shared" ref="AC57" si="50">IF(AND(AA57&gt;AB57,AA57&gt;$AA$5),1,IF(AND(AA57&lt;AB57,AB57&gt;$AB$5),-1,0))</f>
        <v>0</v>
      </c>
    </row>
    <row r="58" spans="1:29" ht="3.95" customHeight="1" x14ac:dyDescent="0.3">
      <c r="A58" s="5">
        <f xml:space="preserve"> RTD("cqg.rtd",,"StudyData", $B$38,  "Tick", "FlatTicks=0", "Tick","D","-23","all")</f>
        <v>2739</v>
      </c>
      <c r="B58" s="15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6"/>
      <c r="N58" s="53"/>
      <c r="O58" s="119"/>
      <c r="P58" s="52"/>
      <c r="Q58" s="120"/>
      <c r="R58" s="50"/>
      <c r="S58" s="50"/>
      <c r="T58" s="121"/>
      <c r="U58" s="83"/>
      <c r="V58" s="38"/>
      <c r="W58" s="38"/>
      <c r="X58" s="38"/>
      <c r="Y58" s="121"/>
      <c r="Z58" s="197"/>
      <c r="AA58" s="38"/>
      <c r="AB58" s="38"/>
      <c r="AC58" s="38"/>
    </row>
    <row r="59" spans="1:29" ht="3.95" customHeight="1" x14ac:dyDescent="0.3">
      <c r="A59" s="5">
        <f xml:space="preserve"> RTD("cqg.rtd",,"StudyData", $B$38,  "Tick", "FlatTicks=0", "Tick","D","-22","all")</f>
        <v>2738.75</v>
      </c>
      <c r="B59" s="15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6"/>
      <c r="N59" s="53"/>
      <c r="O59" s="119"/>
      <c r="P59" s="52"/>
      <c r="Q59" s="120"/>
      <c r="R59" s="50"/>
      <c r="S59" s="50"/>
      <c r="T59" s="121"/>
      <c r="U59" s="83"/>
      <c r="V59" s="38"/>
      <c r="W59" s="38"/>
      <c r="X59" s="38"/>
      <c r="Y59" s="121"/>
      <c r="Z59" s="197"/>
      <c r="AA59" s="38"/>
      <c r="AB59" s="38"/>
      <c r="AC59" s="38"/>
    </row>
    <row r="60" spans="1:29" ht="3.95" customHeight="1" x14ac:dyDescent="0.3">
      <c r="A60" s="5">
        <f xml:space="preserve"> RTD("cqg.rtd",,"StudyData", $B$38,  "Tick", "FlatTicks=0", "Tick","D","-21","all")</f>
        <v>2739</v>
      </c>
      <c r="B60" s="15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6"/>
      <c r="N60" s="53" t="str">
        <f>Sheet1!L19</f>
        <v>2736.00</v>
      </c>
      <c r="O60" s="119" t="str">
        <f>Sheet1!M19</f>
        <v/>
      </c>
      <c r="P60" s="52" t="str">
        <f>Sheet1!N19</f>
        <v/>
      </c>
      <c r="Q60" s="120">
        <f>Sheet1!O19</f>
        <v>13486</v>
      </c>
      <c r="R60" s="51">
        <f t="shared" ref="R60" si="51">Q60</f>
        <v>13486</v>
      </c>
      <c r="S60" s="50">
        <f>S57-1</f>
        <v>-18</v>
      </c>
      <c r="T60" s="121">
        <f>RTD("cqg.rtd",,"StudyData","SUBMINUTE(("&amp;$B$38&amp;"),1,Regular)","FG",,"Time","5",S60,,,,,"T")</f>
        <v>43167.635208333297</v>
      </c>
      <c r="U60" s="83" t="str">
        <f>IF(RTD("cqg.rtd",,"StudyData","SUBMINUTE(("&amp;$B$38&amp;"),1,FillGap)","Bar",,"Close","5",S60,,,,,"T")="",NA(),TEXT(RTD("cqg.rtd",,"StudyData","SUBMINUTE(("&amp;$B$38&amp;"),1,FillGap)","Bar",,"Close","5",S60,,,,,"T"),Sheet1!$D$8))</f>
        <v>2739.00</v>
      </c>
      <c r="V60" s="38">
        <f>IF( RTD("cqg.rtd",,"StudyData", "AlgOrdBidVol(SUBMINUTE(("&amp;$B$38&amp;"),1,Regular),1,0)",  "Bar",, "Open", "5",S60,,,,,"T")="",0,RTD("cqg.rtd",,"StudyData", "AlgOrdBidVol(SUBMINUTE(("&amp;$B$38&amp;"),1,Regular),1,0)",  "Bar",, "Open", "5",S60,,,,,"T"))</f>
        <v>0</v>
      </c>
      <c r="W60" s="38">
        <f>IF( RTD("cqg.rtd",,"StudyData", "AlgOrdAskVol(SUBMINUTE(("&amp;$B$38&amp;"),1,Regular),1,0)",  "Bar",, "Open", "5",S60,,,,,"T")="",0,RTD("cqg.rtd",,"StudyData", "AlgOrdAskVol(SUBMINUTE(("&amp;$B$38&amp;"),1,Regular),1,0)",  "Bar",, "Open", "5",S60,,,,,"T"))</f>
        <v>187</v>
      </c>
      <c r="X60" s="37">
        <f t="shared" ref="X60" si="52">IF(AND(V60&gt;W60,V60&gt;$V$5),1,IF(AND(V60&lt;W60,W60&gt;$W$5),-1,0))</f>
        <v>-1</v>
      </c>
      <c r="Y60" s="121">
        <f>RTD("cqg.rtd",,"StudyData","SUBMINUTE(("&amp;$B$38&amp;"),5,Regular)","FG",,"Time","5",S60,,,,,"T")</f>
        <v>43167.634375000001</v>
      </c>
      <c r="Z60" s="197" t="str">
        <f>IF(RTD("cqg.rtd",,"StudyData","SUBMINUTE(("&amp;$B$38&amp;"),5,FillGap)","Bar",,"Close","5",S60,,,,,"T")="",NA(),TEXT(RTD("cqg.rtd",,"StudyData","SUBMINUTE(("&amp;$B$38&amp;"),5,FillGap)","Bar",,"Close","5",S60,,,,,"T"),Sheet1!$D$8))</f>
        <v>2739.25</v>
      </c>
      <c r="AA60" s="38">
        <f>IF( RTD("cqg.rtd",,"StudyData", "AlgOrdBidVol(SUBMINUTE(("&amp;$B$38&amp;"),5,Regular),1,0)",  "Bar",, "Open", "5",S60,,,,,"T")="",0,RTD("cqg.rtd",,"StudyData", "AlgOrdBidVol(SUBMINUTE(("&amp;$B$38&amp;"),5,Regular),1,0)",  "Bar",, "Open", "5",S60,,,,,"T"))</f>
        <v>4</v>
      </c>
      <c r="AB60" s="38">
        <f>IF( RTD("cqg.rtd",,"StudyData", "AlgOrdAskVol(SUBMINUTE(("&amp;$B$38&amp;"),5,Regular),1,0)",  "Bar",, "Open", "5",S60,,,,,"T")="",0,RTD("cqg.rtd",,"StudyData", "AlgOrdAskVol(SUBMINUTE(("&amp;$B$38&amp;"),5,Regular),1,0)",  "Bar",, "Open", "5",S60,,,,,"T"))</f>
        <v>0</v>
      </c>
      <c r="AC60" s="37">
        <f t="shared" ref="AC60" si="53">IF(AND(AA60&gt;AB60,AA60&gt;$AA$5),1,IF(AND(AA60&lt;AB60,AB60&gt;$AB$5),-1,0))</f>
        <v>0</v>
      </c>
    </row>
    <row r="61" spans="1:29" ht="3.95" customHeight="1" x14ac:dyDescent="0.3">
      <c r="A61" s="5">
        <f xml:space="preserve"> RTD("cqg.rtd",,"StudyData", $B$38,  "Tick", "FlatTicks=0", "Tick","D","-20","all")</f>
        <v>2738.75</v>
      </c>
      <c r="B61" s="15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6"/>
      <c r="N61" s="53"/>
      <c r="O61" s="119"/>
      <c r="P61" s="52"/>
      <c r="Q61" s="120"/>
      <c r="R61" s="50"/>
      <c r="S61" s="50"/>
      <c r="T61" s="121"/>
      <c r="U61" s="83"/>
      <c r="V61" s="38"/>
      <c r="W61" s="38"/>
      <c r="X61" s="38"/>
      <c r="Y61" s="121"/>
      <c r="Z61" s="197"/>
      <c r="AA61" s="38"/>
      <c r="AB61" s="38"/>
      <c r="AC61" s="38"/>
    </row>
    <row r="62" spans="1:29" ht="3.95" customHeight="1" x14ac:dyDescent="0.3">
      <c r="A62" s="5">
        <f xml:space="preserve"> RTD("cqg.rtd",,"StudyData", $B$38,  "Tick", "FlatTicks=0", "Tick","D","-19","all")</f>
        <v>2739</v>
      </c>
      <c r="B62" s="15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6"/>
      <c r="N62" s="53"/>
      <c r="O62" s="119"/>
      <c r="P62" s="52"/>
      <c r="Q62" s="120"/>
      <c r="R62" s="50"/>
      <c r="S62" s="50"/>
      <c r="T62" s="121"/>
      <c r="U62" s="83"/>
      <c r="V62" s="38"/>
      <c r="W62" s="38"/>
      <c r="X62" s="38"/>
      <c r="Y62" s="121"/>
      <c r="Z62" s="197"/>
      <c r="AA62" s="38"/>
      <c r="AB62" s="38"/>
      <c r="AC62" s="38"/>
    </row>
    <row r="63" spans="1:29" ht="3.95" customHeight="1" x14ac:dyDescent="0.3">
      <c r="A63" s="5">
        <f xml:space="preserve"> RTD("cqg.rtd",,"StudyData", $B$38,  "Tick", "FlatTicks=0", "Tick","D","-18","all")</f>
        <v>2738.75</v>
      </c>
      <c r="B63" s="15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6"/>
      <c r="N63" s="53" t="str">
        <f>Sheet1!L20</f>
        <v>2735.75</v>
      </c>
      <c r="O63" s="119" t="str">
        <f>Sheet1!M20</f>
        <v/>
      </c>
      <c r="P63" s="52" t="str">
        <f>Sheet1!N20</f>
        <v/>
      </c>
      <c r="Q63" s="120">
        <f>Sheet1!O20</f>
        <v>11213</v>
      </c>
      <c r="R63" s="51">
        <f t="shared" ref="R63" si="54">Q63</f>
        <v>11213</v>
      </c>
      <c r="S63" s="50">
        <f>S60-1</f>
        <v>-19</v>
      </c>
      <c r="T63" s="121">
        <f>RTD("cqg.rtd",,"StudyData","SUBMINUTE(("&amp;$B$38&amp;"),1,Regular)","FG",,"Time","5",S63,,,,,"T")</f>
        <v>43167.6351967593</v>
      </c>
      <c r="U63" s="83" t="str">
        <f>IF(RTD("cqg.rtd",,"StudyData","SUBMINUTE(("&amp;$B$38&amp;"),1,FillGap)","Bar",,"Close","5",S63,,,,,"T")="",NA(),TEXT(RTD("cqg.rtd",,"StudyData","SUBMINUTE(("&amp;$B$38&amp;"),1,FillGap)","Bar",,"Close","5",S63,,,,,"T"),Sheet1!$D$8))</f>
        <v>2739.00</v>
      </c>
      <c r="V63" s="38">
        <f>IF( RTD("cqg.rtd",,"StudyData", "AlgOrdBidVol(SUBMINUTE(("&amp;$B$38&amp;"),1,Regular),1,0)",  "Bar",, "Open", "5",S63,,,,,"T")="",0,RTD("cqg.rtd",,"StudyData", "AlgOrdBidVol(SUBMINUTE(("&amp;$B$38&amp;"),1,Regular),1,0)",  "Bar",, "Open", "5",S63,,,,,"T"))</f>
        <v>0</v>
      </c>
      <c r="W63" s="38">
        <f>IF( RTD("cqg.rtd",,"StudyData", "AlgOrdAskVol(SUBMINUTE(("&amp;$B$38&amp;"),1,Regular),1,0)",  "Bar",, "Open", "5",S63,,,,,"T")="",0,RTD("cqg.rtd",,"StudyData", "AlgOrdAskVol(SUBMINUTE(("&amp;$B$38&amp;"),1,Regular),1,0)",  "Bar",, "Open", "5",S63,,,,,"T"))</f>
        <v>0</v>
      </c>
      <c r="X63" s="37">
        <f t="shared" ref="X63" si="55">IF(AND(V63&gt;W63,V63&gt;$V$5),1,IF(AND(V63&lt;W63,W63&gt;$W$5),-1,0))</f>
        <v>0</v>
      </c>
      <c r="Y63" s="121">
        <f>RTD("cqg.rtd",,"StudyData","SUBMINUTE(("&amp;$B$38&amp;"),5,Regular)","FG",,"Time","5",S63,,,,,"T")</f>
        <v>43167.634317129603</v>
      </c>
      <c r="Z63" s="197" t="str">
        <f>IF(RTD("cqg.rtd",,"StudyData","SUBMINUTE(("&amp;$B$38&amp;"),5,FillGap)","Bar",,"Close","5",S63,,,,,"T")="",NA(),TEXT(RTD("cqg.rtd",,"StudyData","SUBMINUTE(("&amp;$B$38&amp;"),5,FillGap)","Bar",,"Close","5",S63,,,,,"T"),Sheet1!$D$8))</f>
        <v>2739.00</v>
      </c>
      <c r="AA63" s="38">
        <f>IF( RTD("cqg.rtd",,"StudyData", "AlgOrdBidVol(SUBMINUTE(("&amp;$B$38&amp;"),5,Regular),1,0)",  "Bar",, "Open", "5",S63,,,,,"T")="",0,RTD("cqg.rtd",,"StudyData", "AlgOrdBidVol(SUBMINUTE(("&amp;$B$38&amp;"),5,Regular),1,0)",  "Bar",, "Open", "5",S63,,,,,"T"))</f>
        <v>0</v>
      </c>
      <c r="AB63" s="38">
        <f>IF( RTD("cqg.rtd",,"StudyData", "AlgOrdAskVol(SUBMINUTE(("&amp;$B$38&amp;"),5,Regular),1,0)",  "Bar",, "Open", "5",S63,,,,,"T")="",0,RTD("cqg.rtd",,"StudyData", "AlgOrdAskVol(SUBMINUTE(("&amp;$B$38&amp;"),5,Regular),1,0)",  "Bar",, "Open", "5",S63,,,,,"T"))</f>
        <v>10</v>
      </c>
      <c r="AC63" s="37">
        <f t="shared" ref="AC63" si="56">IF(AND(AA63&gt;AB63,AA63&gt;$AA$5),1,IF(AND(AA63&lt;AB63,AB63&gt;$AB$5),-1,0))</f>
        <v>0</v>
      </c>
    </row>
    <row r="64" spans="1:29" ht="3.95" customHeight="1" x14ac:dyDescent="0.3">
      <c r="A64" s="5">
        <f xml:space="preserve"> RTD("cqg.rtd",,"StudyData", $B$38,  "Tick", "FlatTicks=0", "Tick","D","-17","all")</f>
        <v>2739</v>
      </c>
      <c r="B64" s="15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6"/>
      <c r="N64" s="53"/>
      <c r="O64" s="119"/>
      <c r="P64" s="52"/>
      <c r="Q64" s="120"/>
      <c r="R64" s="50"/>
      <c r="S64" s="50"/>
      <c r="T64" s="121"/>
      <c r="U64" s="83"/>
      <c r="V64" s="38"/>
      <c r="W64" s="38"/>
      <c r="X64" s="38"/>
      <c r="Y64" s="121"/>
      <c r="Z64" s="197"/>
      <c r="AA64" s="38"/>
      <c r="AB64" s="38"/>
      <c r="AC64" s="38"/>
    </row>
    <row r="65" spans="1:29" ht="3.95" customHeight="1" x14ac:dyDescent="0.3">
      <c r="A65" s="5">
        <f xml:space="preserve"> RTD("cqg.rtd",,"StudyData", $B$38,  "Tick", "FlatTicks=0", "Tick","D","-16","all")</f>
        <v>2738.75</v>
      </c>
      <c r="B65" s="15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6"/>
      <c r="N65" s="53"/>
      <c r="O65" s="119"/>
      <c r="P65" s="52"/>
      <c r="Q65" s="120"/>
      <c r="R65" s="50"/>
      <c r="S65" s="50"/>
      <c r="T65" s="121"/>
      <c r="U65" s="83"/>
      <c r="V65" s="38"/>
      <c r="W65" s="38"/>
      <c r="X65" s="38"/>
      <c r="Y65" s="121"/>
      <c r="Z65" s="197"/>
      <c r="AA65" s="38"/>
      <c r="AB65" s="38"/>
      <c r="AC65" s="38"/>
    </row>
    <row r="66" spans="1:29" ht="3.95" customHeight="1" x14ac:dyDescent="0.3">
      <c r="A66" s="5">
        <f xml:space="preserve"> RTD("cqg.rtd",,"StudyData", $B$38,  "Tick", "FlatTicks=0", "Tick","D","-15","all")</f>
        <v>2739</v>
      </c>
      <c r="B66" s="15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6"/>
      <c r="N66" s="53" t="str">
        <f>Sheet1!L21</f>
        <v>2735.50</v>
      </c>
      <c r="O66" s="119" t="str">
        <f>Sheet1!M21</f>
        <v/>
      </c>
      <c r="P66" s="52" t="str">
        <f>Sheet1!N21</f>
        <v/>
      </c>
      <c r="Q66" s="120">
        <f>Sheet1!O21</f>
        <v>10761</v>
      </c>
      <c r="R66" s="51">
        <f t="shared" ref="R66" si="57">Q66</f>
        <v>10761</v>
      </c>
      <c r="S66" s="50">
        <f>S63-1</f>
        <v>-20</v>
      </c>
      <c r="T66" s="121">
        <f>RTD("cqg.rtd",,"StudyData","SUBMINUTE(("&amp;$B$38&amp;"),1,Regular)","FG",,"Time","5",S66,,,,,"T")</f>
        <v>43167.635185185201</v>
      </c>
      <c r="U66" s="83" t="str">
        <f>IF(RTD("cqg.rtd",,"StudyData","SUBMINUTE(("&amp;$B$38&amp;"),1,FillGap)","Bar",,"Close","5",S66,,,,,"T")="",NA(),TEXT(RTD("cqg.rtd",,"StudyData","SUBMINUTE(("&amp;$B$38&amp;"),1,FillGap)","Bar",,"Close","5",S66,,,,,"T"),Sheet1!$D$8))</f>
        <v>2739.00</v>
      </c>
      <c r="V66" s="38">
        <f>IF( RTD("cqg.rtd",,"StudyData", "AlgOrdBidVol(SUBMINUTE(("&amp;$B$38&amp;"),1,Regular),1,0)",  "Bar",, "Open", "5",S66,,,,,"T")="",0,RTD("cqg.rtd",,"StudyData", "AlgOrdBidVol(SUBMINUTE(("&amp;$B$38&amp;"),1,Regular),1,0)",  "Bar",, "Open", "5",S66,,,,,"T"))</f>
        <v>0</v>
      </c>
      <c r="W66" s="38">
        <f>IF( RTD("cqg.rtd",,"StudyData", "AlgOrdAskVol(SUBMINUTE(("&amp;$B$38&amp;"),1,Regular),1,0)",  "Bar",, "Open", "5",S66,,,,,"T")="",0,RTD("cqg.rtd",,"StudyData", "AlgOrdAskVol(SUBMINUTE(("&amp;$B$38&amp;"),1,Regular),1,0)",  "Bar",, "Open", "5",S66,,,,,"T"))</f>
        <v>0</v>
      </c>
      <c r="X66" s="37">
        <f t="shared" ref="X66" si="58">IF(AND(V66&gt;W66,V66&gt;$V$5),1,IF(AND(V66&lt;W66,W66&gt;$W$5),-1,0))</f>
        <v>0</v>
      </c>
      <c r="Y66" s="121">
        <f>RTD("cqg.rtd",,"StudyData","SUBMINUTE(("&amp;$B$38&amp;"),5,Regular)","FG",,"Time","5",S66,,,,,"T")</f>
        <v>43167.634259259299</v>
      </c>
      <c r="Z66" s="197" t="str">
        <f>IF(RTD("cqg.rtd",,"StudyData","SUBMINUTE(("&amp;$B$38&amp;"),5,FillGap)","Bar",,"Close","5",S66,,,,,"T")="",NA(),TEXT(RTD("cqg.rtd",,"StudyData","SUBMINUTE(("&amp;$B$38&amp;"),5,FillGap)","Bar",,"Close","5",S66,,,,,"T"),Sheet1!$D$8))</f>
        <v>2739.25</v>
      </c>
      <c r="AA66" s="38">
        <f>IF( RTD("cqg.rtd",,"StudyData", "AlgOrdBidVol(SUBMINUTE(("&amp;$B$38&amp;"),5,Regular),1,0)",  "Bar",, "Open", "5",S66,,,,,"T")="",0,RTD("cqg.rtd",,"StudyData", "AlgOrdBidVol(SUBMINUTE(("&amp;$B$38&amp;"),5,Regular),1,0)",  "Bar",, "Open", "5",S66,,,,,"T"))</f>
        <v>3</v>
      </c>
      <c r="AB66" s="38">
        <f>IF( RTD("cqg.rtd",,"StudyData", "AlgOrdAskVol(SUBMINUTE(("&amp;$B$38&amp;"),5,Regular),1,0)",  "Bar",, "Open", "5",S66,,,,,"T")="",0,RTD("cqg.rtd",,"StudyData", "AlgOrdAskVol(SUBMINUTE(("&amp;$B$38&amp;"),5,Regular),1,0)",  "Bar",, "Open", "5",S66,,,,,"T"))</f>
        <v>165</v>
      </c>
      <c r="AC66" s="37">
        <f t="shared" ref="AC66" si="59">IF(AND(AA66&gt;AB66,AA66&gt;$AA$5),1,IF(AND(AA66&lt;AB66,AB66&gt;$AB$5),-1,0))</f>
        <v>-1</v>
      </c>
    </row>
    <row r="67" spans="1:29" ht="3.95" customHeight="1" x14ac:dyDescent="0.3">
      <c r="A67" s="5">
        <f xml:space="preserve"> RTD("cqg.rtd",,"StudyData", $B$38,  "Tick", "FlatTicks=0", "Tick","D","-14","all")</f>
        <v>2738.75</v>
      </c>
      <c r="B67" s="15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6"/>
      <c r="N67" s="53"/>
      <c r="O67" s="119"/>
      <c r="P67" s="52"/>
      <c r="Q67" s="120"/>
      <c r="R67" s="50"/>
      <c r="S67" s="50"/>
      <c r="T67" s="121"/>
      <c r="U67" s="83"/>
      <c r="V67" s="38"/>
      <c r="W67" s="38"/>
      <c r="X67" s="38"/>
      <c r="Y67" s="121"/>
      <c r="Z67" s="197"/>
      <c r="AA67" s="38"/>
      <c r="AB67" s="38"/>
      <c r="AC67" s="38"/>
    </row>
    <row r="68" spans="1:29" ht="3.95" customHeight="1" x14ac:dyDescent="0.3">
      <c r="A68" s="5">
        <f xml:space="preserve"> RTD("cqg.rtd",,"StudyData", $B$38,  "Tick", "FlatTicks=0", "Tick","D","-13","all")</f>
        <v>2739</v>
      </c>
      <c r="B68" s="15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6"/>
      <c r="N68" s="53"/>
      <c r="O68" s="119"/>
      <c r="P68" s="52"/>
      <c r="Q68" s="120"/>
      <c r="R68" s="50"/>
      <c r="S68" s="50"/>
      <c r="T68" s="121"/>
      <c r="U68" s="83"/>
      <c r="V68" s="38"/>
      <c r="W68" s="38"/>
      <c r="X68" s="38"/>
      <c r="Y68" s="121"/>
      <c r="Z68" s="197"/>
      <c r="AA68" s="38"/>
      <c r="AB68" s="38"/>
      <c r="AC68" s="38"/>
    </row>
    <row r="69" spans="1:29" ht="3.95" customHeight="1" x14ac:dyDescent="0.3">
      <c r="A69" s="5">
        <f xml:space="preserve"> RTD("cqg.rtd",,"StudyData", $B$38,  "Tick", "FlatTicks=0", "Tick","D","-12","all")</f>
        <v>2739.25</v>
      </c>
      <c r="B69" s="15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6"/>
      <c r="N69" s="53" t="str">
        <f>Sheet1!L22</f>
        <v>2735.25</v>
      </c>
      <c r="O69" s="119" t="str">
        <f>Sheet1!M22</f>
        <v/>
      </c>
      <c r="P69" s="52" t="str">
        <f>Sheet1!N22</f>
        <v/>
      </c>
      <c r="Q69" s="120">
        <f>Sheet1!O22</f>
        <v>13408</v>
      </c>
      <c r="R69" s="51">
        <f t="shared" ref="R69" si="60">Q69</f>
        <v>13408</v>
      </c>
      <c r="S69" s="50">
        <f>S66-1</f>
        <v>-21</v>
      </c>
      <c r="T69" s="121">
        <f>RTD("cqg.rtd",,"StudyData","SUBMINUTE(("&amp;$B$38&amp;"),1,Regular)","FG",,"Time","5",S69,,,,,"T")</f>
        <v>43167.635173611103</v>
      </c>
      <c r="U69" s="83" t="str">
        <f>IF(RTD("cqg.rtd",,"StudyData","SUBMINUTE(("&amp;$B$38&amp;"),1,FillGap)","Bar",,"Close","5",S69,,,,,"T")="",NA(),TEXT(RTD("cqg.rtd",,"StudyData","SUBMINUTE(("&amp;$B$38&amp;"),1,FillGap)","Bar",,"Close","5",S69,,,,,"T"),Sheet1!$D$8))</f>
        <v>2739.00</v>
      </c>
      <c r="V69" s="38">
        <f>IF( RTD("cqg.rtd",,"StudyData", "AlgOrdBidVol(SUBMINUTE(("&amp;$B$38&amp;"),1,Regular),1,0)",  "Bar",, "Open", "5",S69,,,,,"T")="",0,RTD("cqg.rtd",,"StudyData", "AlgOrdBidVol(SUBMINUTE(("&amp;$B$38&amp;"),1,Regular),1,0)",  "Bar",, "Open", "5",S69,,,,,"T"))</f>
        <v>0</v>
      </c>
      <c r="W69" s="38">
        <f>IF( RTD("cqg.rtd",,"StudyData", "AlgOrdAskVol(SUBMINUTE(("&amp;$B$38&amp;"),1,Regular),1,0)",  "Bar",, "Open", "5",S69,,,,,"T")="",0,RTD("cqg.rtd",,"StudyData", "AlgOrdAskVol(SUBMINUTE(("&amp;$B$38&amp;"),1,Regular),1,0)",  "Bar",, "Open", "5",S69,,,,,"T"))</f>
        <v>0</v>
      </c>
      <c r="X69" s="37">
        <f t="shared" ref="X69" si="61">IF(AND(V69&gt;W69,V69&gt;$V$5),1,IF(AND(V69&lt;W69,W69&gt;$W$5),-1,0))</f>
        <v>0</v>
      </c>
      <c r="Y69" s="121">
        <f>RTD("cqg.rtd",,"StudyData","SUBMINUTE(("&amp;$B$38&amp;"),5,Regular)","FG",,"Time","5",S69,,,,,"T")</f>
        <v>43167.634201388901</v>
      </c>
      <c r="Z69" s="197" t="str">
        <f>IF(RTD("cqg.rtd",,"StudyData","SUBMINUTE(("&amp;$B$38&amp;"),5,FillGap)","Bar",,"Close","5",S69,,,,,"T")="",NA(),TEXT(RTD("cqg.rtd",,"StudyData","SUBMINUTE(("&amp;$B$38&amp;"),5,FillGap)","Bar",,"Close","5",S69,,,,,"T"),Sheet1!$D$8))</f>
        <v>2739.25</v>
      </c>
      <c r="AA69" s="38">
        <f>IF( RTD("cqg.rtd",,"StudyData", "AlgOrdBidVol(SUBMINUTE(("&amp;$B$38&amp;"),5,Regular),1,0)",  "Bar",, "Open", "5",S69,,,,,"T")="",0,RTD("cqg.rtd",,"StudyData", "AlgOrdBidVol(SUBMINUTE(("&amp;$B$38&amp;"),5,Regular),1,0)",  "Bar",, "Open", "5",S69,,,,,"T"))</f>
        <v>0</v>
      </c>
      <c r="AB69" s="38">
        <f>IF( RTD("cqg.rtd",,"StudyData", "AlgOrdAskVol(SUBMINUTE(("&amp;$B$38&amp;"),5,Regular),1,0)",  "Bar",, "Open", "5",S69,,,,,"T")="",0,RTD("cqg.rtd",,"StudyData", "AlgOrdAskVol(SUBMINUTE(("&amp;$B$38&amp;"),5,Regular),1,0)",  "Bar",, "Open", "5",S69,,,,,"T"))</f>
        <v>0</v>
      </c>
      <c r="AC69" s="37">
        <f t="shared" ref="AC69" si="62">IF(AND(AA69&gt;AB69,AA69&gt;$AA$5),1,IF(AND(AA69&lt;AB69,AB69&gt;$AB$5),-1,0))</f>
        <v>0</v>
      </c>
    </row>
    <row r="70" spans="1:29" ht="3.95" customHeight="1" x14ac:dyDescent="0.3">
      <c r="A70" s="5">
        <f xml:space="preserve"> RTD("cqg.rtd",,"StudyData", $B$38,  "Tick", "FlatTicks=0", "Tick","D","-11","all")</f>
        <v>2739</v>
      </c>
      <c r="B70" s="15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6"/>
      <c r="N70" s="53"/>
      <c r="O70" s="119"/>
      <c r="P70" s="52"/>
      <c r="Q70" s="120"/>
      <c r="R70" s="50"/>
      <c r="S70" s="50"/>
      <c r="T70" s="121"/>
      <c r="U70" s="83"/>
      <c r="V70" s="38"/>
      <c r="W70" s="38"/>
      <c r="X70" s="38"/>
      <c r="Y70" s="121"/>
      <c r="Z70" s="197"/>
      <c r="AA70" s="38"/>
      <c r="AB70" s="38"/>
      <c r="AC70" s="38"/>
    </row>
    <row r="71" spans="1:29" ht="3.95" customHeight="1" x14ac:dyDescent="0.3">
      <c r="A71" s="5">
        <f xml:space="preserve"> RTD("cqg.rtd",,"StudyData", $B$38,  "Tick", "FlatTicks=0", "Tick","D","-10","all")</f>
        <v>2739.25</v>
      </c>
      <c r="B71" s="15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6"/>
      <c r="N71" s="53"/>
      <c r="O71" s="119"/>
      <c r="P71" s="52"/>
      <c r="Q71" s="120"/>
      <c r="R71" s="50"/>
      <c r="S71" s="50"/>
      <c r="T71" s="121"/>
      <c r="U71" s="83"/>
      <c r="V71" s="38"/>
      <c r="W71" s="38"/>
      <c r="X71" s="38"/>
      <c r="Y71" s="121"/>
      <c r="Z71" s="197"/>
      <c r="AA71" s="38"/>
      <c r="AB71" s="38"/>
      <c r="AC71" s="38"/>
    </row>
    <row r="72" spans="1:29" ht="3.95" customHeight="1" x14ac:dyDescent="0.3">
      <c r="A72" s="5">
        <f xml:space="preserve"> RTD("cqg.rtd",,"StudyData", $B$38,  "Tick", "FlatTicks=0", "Tick","D","-9","all")</f>
        <v>2739.5</v>
      </c>
      <c r="B72" s="15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6"/>
      <c r="N72" s="53" t="str">
        <f>Sheet1!L23</f>
        <v>2735.00</v>
      </c>
      <c r="O72" s="119" t="str">
        <f>Sheet1!M23</f>
        <v/>
      </c>
      <c r="P72" s="52" t="str">
        <f>Sheet1!N23</f>
        <v/>
      </c>
      <c r="Q72" s="120">
        <f>Sheet1!O23</f>
        <v>19268</v>
      </c>
      <c r="R72" s="51">
        <f t="shared" ref="R72" si="63">Q72</f>
        <v>19268</v>
      </c>
      <c r="S72" s="50">
        <f>S69-1</f>
        <v>-22</v>
      </c>
      <c r="T72" s="121">
        <f>RTD("cqg.rtd",,"StudyData","SUBMINUTE(("&amp;$B$38&amp;"),1,Regular)","FG",,"Time","5",S72,,,,,"T")</f>
        <v>43167.635162036997</v>
      </c>
      <c r="U72" s="83" t="str">
        <f>IF(RTD("cqg.rtd",,"StudyData","SUBMINUTE(("&amp;$B$38&amp;"),1,FillGap)","Bar",,"Close","5",S72,,,,,"T")="",NA(),TEXT(RTD("cqg.rtd",,"StudyData","SUBMINUTE(("&amp;$B$38&amp;"),1,FillGap)","Bar",,"Close","5",S72,,,,,"T"),Sheet1!$D$8))</f>
        <v>2739.00</v>
      </c>
      <c r="V72" s="38">
        <f>IF( RTD("cqg.rtd",,"StudyData", "AlgOrdBidVol(SUBMINUTE(("&amp;$B$38&amp;"),1,Regular),1,0)",  "Bar",, "Open", "5",S72,,,,,"T")="",0,RTD("cqg.rtd",,"StudyData", "AlgOrdBidVol(SUBMINUTE(("&amp;$B$38&amp;"),1,Regular),1,0)",  "Bar",, "Open", "5",S72,,,,,"T"))</f>
        <v>0</v>
      </c>
      <c r="W72" s="38">
        <f>IF( RTD("cqg.rtd",,"StudyData", "AlgOrdAskVol(SUBMINUTE(("&amp;$B$38&amp;"),1,Regular),1,0)",  "Bar",, "Open", "5",S72,,,,,"T")="",0,RTD("cqg.rtd",,"StudyData", "AlgOrdAskVol(SUBMINUTE(("&amp;$B$38&amp;"),1,Regular),1,0)",  "Bar",, "Open", "5",S72,,,,,"T"))</f>
        <v>0</v>
      </c>
      <c r="X72" s="37">
        <f t="shared" ref="X72" si="64">IF(AND(V72&gt;W72,V72&gt;$V$5),1,IF(AND(V72&lt;W72,W72&gt;$W$5),-1,0))</f>
        <v>0</v>
      </c>
      <c r="Y72" s="121">
        <f>RTD("cqg.rtd",,"StudyData","SUBMINUTE(("&amp;$B$38&amp;"),5,Regular)","FG",,"Time","5",S72,,,,,"T")</f>
        <v>43167.634143518502</v>
      </c>
      <c r="Z72" s="197" t="str">
        <f>IF(RTD("cqg.rtd",,"StudyData","SUBMINUTE(("&amp;$B$38&amp;"),5,FillGap)","Bar",,"Close","5",S72,,,,,"T")="",NA(),TEXT(RTD("cqg.rtd",,"StudyData","SUBMINUTE(("&amp;$B$38&amp;"),5,FillGap)","Bar",,"Close","5",S72,,,,,"T"),Sheet1!$D$8))</f>
        <v>2739.25</v>
      </c>
      <c r="AA72" s="38">
        <f>IF( RTD("cqg.rtd",,"StudyData", "AlgOrdBidVol(SUBMINUTE(("&amp;$B$38&amp;"),5,Regular),1,0)",  "Bar",, "Open", "5",S72,,,,,"T")="",0,RTD("cqg.rtd",,"StudyData", "AlgOrdBidVol(SUBMINUTE(("&amp;$B$38&amp;"),5,Regular),1,0)",  "Bar",, "Open", "5",S72,,,,,"T"))</f>
        <v>39</v>
      </c>
      <c r="AB72" s="38">
        <f>IF( RTD("cqg.rtd",,"StudyData", "AlgOrdAskVol(SUBMINUTE(("&amp;$B$38&amp;"),5,Regular),1,0)",  "Bar",, "Open", "5",S72,,,,,"T")="",0,RTD("cqg.rtd",,"StudyData", "AlgOrdAskVol(SUBMINUTE(("&amp;$B$38&amp;"),5,Regular),1,0)",  "Bar",, "Open", "5",S72,,,,,"T"))</f>
        <v>27</v>
      </c>
      <c r="AC72" s="37">
        <f t="shared" ref="AC72" si="65">IF(AND(AA72&gt;AB72,AA72&gt;$AA$5),1,IF(AND(AA72&lt;AB72,AB72&gt;$AB$5),-1,0))</f>
        <v>1</v>
      </c>
    </row>
    <row r="73" spans="1:29" ht="3.95" customHeight="1" x14ac:dyDescent="0.3">
      <c r="A73" s="5">
        <f xml:space="preserve"> RTD("cqg.rtd",,"StudyData", $B$38,  "Tick", "FlatTicks=0", "Tick","D","-8","all")</f>
        <v>2739.25</v>
      </c>
      <c r="B73" s="15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6"/>
      <c r="N73" s="53"/>
      <c r="O73" s="119"/>
      <c r="P73" s="52"/>
      <c r="Q73" s="120"/>
      <c r="R73" s="50"/>
      <c r="S73" s="50"/>
      <c r="T73" s="121"/>
      <c r="U73" s="83"/>
      <c r="V73" s="38"/>
      <c r="W73" s="38"/>
      <c r="X73" s="38"/>
      <c r="Y73" s="121"/>
      <c r="Z73" s="197"/>
      <c r="AA73" s="38"/>
      <c r="AB73" s="38"/>
      <c r="AC73" s="38"/>
    </row>
    <row r="74" spans="1:29" ht="3.95" customHeight="1" x14ac:dyDescent="0.3">
      <c r="A74" s="5">
        <f xml:space="preserve"> RTD("cqg.rtd",,"StudyData", $B$38,  "Tick", "FlatTicks=0", "Tick","D","-7","all")</f>
        <v>2739.5</v>
      </c>
      <c r="B74" s="15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6"/>
      <c r="N74" s="53"/>
      <c r="O74" s="119"/>
      <c r="P74" s="52"/>
      <c r="Q74" s="120"/>
      <c r="R74" s="50"/>
      <c r="S74" s="50"/>
      <c r="T74" s="121"/>
      <c r="U74" s="83"/>
      <c r="V74" s="38"/>
      <c r="W74" s="38"/>
      <c r="X74" s="38"/>
      <c r="Y74" s="121"/>
      <c r="Z74" s="197"/>
      <c r="AA74" s="38"/>
      <c r="AB74" s="38"/>
      <c r="AC74" s="38"/>
    </row>
    <row r="75" spans="1:29" ht="3.95" customHeight="1" x14ac:dyDescent="0.3">
      <c r="A75" s="5">
        <f xml:space="preserve"> RTD("cqg.rtd",,"StudyData", $B$38,  "Tick", "FlatTicks=0", "Tick","D","-6","all")</f>
        <v>2739.25</v>
      </c>
      <c r="B75" s="15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6"/>
      <c r="N75" s="53" t="str">
        <f>Sheet1!L24</f>
        <v>2734.75</v>
      </c>
      <c r="O75" s="119" t="str">
        <f>Sheet1!M24</f>
        <v/>
      </c>
      <c r="P75" s="52" t="str">
        <f>Sheet1!N24</f>
        <v/>
      </c>
      <c r="Q75" s="120">
        <f>Sheet1!O24</f>
        <v>15874</v>
      </c>
      <c r="R75" s="51">
        <f t="shared" ref="R75" si="66">Q75</f>
        <v>15874</v>
      </c>
      <c r="S75" s="50">
        <f>S72-1</f>
        <v>-23</v>
      </c>
      <c r="T75" s="121">
        <f>RTD("cqg.rtd",,"StudyData","SUBMINUTE(("&amp;$B$38&amp;"),1,Regular)","FG",,"Time","5",S75,,,,,"T")</f>
        <v>43167.635150463</v>
      </c>
      <c r="U75" s="83" t="str">
        <f>IF(RTD("cqg.rtd",,"StudyData","SUBMINUTE(("&amp;$B$38&amp;"),1,FillGap)","Bar",,"Close","5",S75,,,,,"T")="",NA(),TEXT(RTD("cqg.rtd",,"StudyData","SUBMINUTE(("&amp;$B$38&amp;"),1,FillGap)","Bar",,"Close","5",S75,,,,,"T"),Sheet1!$D$8))</f>
        <v>2738.75</v>
      </c>
      <c r="V75" s="38">
        <f>IF( RTD("cqg.rtd",,"StudyData", "AlgOrdBidVol(SUBMINUTE(("&amp;$B$38&amp;"),1,Regular),1,0)",  "Bar",, "Open", "5",S75,,,,,"T")="",0,RTD("cqg.rtd",,"StudyData", "AlgOrdBidVol(SUBMINUTE(("&amp;$B$38&amp;"),1,Regular),1,0)",  "Bar",, "Open", "5",S75,,,,,"T"))</f>
        <v>0</v>
      </c>
      <c r="W75" s="38">
        <f>IF( RTD("cqg.rtd",,"StudyData", "AlgOrdAskVol(SUBMINUTE(("&amp;$B$38&amp;"),1,Regular),1,0)",  "Bar",, "Open", "5",S75,,,,,"T")="",0,RTD("cqg.rtd",,"StudyData", "AlgOrdAskVol(SUBMINUTE(("&amp;$B$38&amp;"),1,Regular),1,0)",  "Bar",, "Open", "5",S75,,,,,"T"))</f>
        <v>0</v>
      </c>
      <c r="X75" s="37">
        <f t="shared" ref="X75" si="67">IF(AND(V75&gt;W75,V75&gt;$V$5),1,IF(AND(V75&lt;W75,W75&gt;$W$5),-1,0))</f>
        <v>0</v>
      </c>
      <c r="Y75" s="121">
        <f>RTD("cqg.rtd",,"StudyData","SUBMINUTE(("&amp;$B$38&amp;"),5,Regular)","FG",,"Time","5",S75,,,,,"T")</f>
        <v>43167.634085648097</v>
      </c>
      <c r="Z75" s="197" t="str">
        <f>IF(RTD("cqg.rtd",,"StudyData","SUBMINUTE(("&amp;$B$38&amp;"),5,FillGap)","Bar",,"Close","5",S75,,,,,"T")="",NA(),TEXT(RTD("cqg.rtd",,"StudyData","SUBMINUTE(("&amp;$B$38&amp;"),5,FillGap)","Bar",,"Close","5",S75,,,,,"T"),Sheet1!$D$8))</f>
        <v>2739.25</v>
      </c>
      <c r="AA75" s="38">
        <f>IF( RTD("cqg.rtd",,"StudyData", "AlgOrdBidVol(SUBMINUTE(("&amp;$B$38&amp;"),5,Regular),1,0)",  "Bar",, "Open", "5",S75,,,,,"T")="",0,RTD("cqg.rtd",,"StudyData", "AlgOrdBidVol(SUBMINUTE(("&amp;$B$38&amp;"),5,Regular),1,0)",  "Bar",, "Open", "5",S75,,,,,"T"))</f>
        <v>192</v>
      </c>
      <c r="AB75" s="38">
        <f>IF( RTD("cqg.rtd",,"StudyData", "AlgOrdAskVol(SUBMINUTE(("&amp;$B$38&amp;"),5,Regular),1,0)",  "Bar",, "Open", "5",S75,,,,,"T")="",0,RTD("cqg.rtd",,"StudyData", "AlgOrdAskVol(SUBMINUTE(("&amp;$B$38&amp;"),5,Regular),1,0)",  "Bar",, "Open", "5",S75,,,,,"T"))</f>
        <v>0</v>
      </c>
      <c r="AC75" s="37">
        <f t="shared" ref="AC75" si="68">IF(AND(AA75&gt;AB75,AA75&gt;$AA$5),1,IF(AND(AA75&lt;AB75,AB75&gt;$AB$5),-1,0))</f>
        <v>1</v>
      </c>
    </row>
    <row r="76" spans="1:29" ht="3.95" customHeight="1" x14ac:dyDescent="0.3">
      <c r="A76" s="5">
        <f xml:space="preserve"> RTD("cqg.rtd",,"StudyData", $B$38,  "Tick", "FlatTicks=0", "Tick","D","-5","all")</f>
        <v>2739.5</v>
      </c>
      <c r="B76" s="15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6"/>
      <c r="N76" s="53"/>
      <c r="O76" s="119"/>
      <c r="P76" s="52"/>
      <c r="Q76" s="120"/>
      <c r="R76" s="50"/>
      <c r="S76" s="50"/>
      <c r="T76" s="121"/>
      <c r="U76" s="83"/>
      <c r="V76" s="38"/>
      <c r="W76" s="38"/>
      <c r="X76" s="38"/>
      <c r="Y76" s="121"/>
      <c r="Z76" s="197"/>
      <c r="AA76" s="38"/>
      <c r="AB76" s="38"/>
      <c r="AC76" s="38"/>
    </row>
    <row r="77" spans="1:29" ht="3.95" customHeight="1" x14ac:dyDescent="0.3">
      <c r="A77" s="5">
        <f xml:space="preserve"> RTD("cqg.rtd",,"StudyData", $B$38,  "Tick", "FlatTicks=0", "Tick","D","-4","all")</f>
        <v>2739.25</v>
      </c>
      <c r="B77" s="15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6"/>
      <c r="N77" s="53"/>
      <c r="O77" s="119"/>
      <c r="P77" s="52"/>
      <c r="Q77" s="120"/>
      <c r="R77" s="50"/>
      <c r="S77" s="50"/>
      <c r="T77" s="121"/>
      <c r="U77" s="83"/>
      <c r="V77" s="38"/>
      <c r="W77" s="38"/>
      <c r="X77" s="38"/>
      <c r="Y77" s="121"/>
      <c r="Z77" s="197"/>
      <c r="AA77" s="38"/>
      <c r="AB77" s="38"/>
      <c r="AC77" s="38"/>
    </row>
    <row r="78" spans="1:29" ht="3.95" customHeight="1" x14ac:dyDescent="0.3">
      <c r="A78" s="5">
        <f xml:space="preserve"> RTD("cqg.rtd",,"StudyData", $B$38,  "Tick", "FlatTicks=0", "Tick","D","-3","all")</f>
        <v>2739.5</v>
      </c>
      <c r="B78" s="1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6"/>
      <c r="N78" s="53" t="str">
        <f>Sheet1!L25</f>
        <v>2734.50</v>
      </c>
      <c r="O78" s="119" t="str">
        <f>Sheet1!M25</f>
        <v/>
      </c>
      <c r="P78" s="52" t="str">
        <f>Sheet1!N25</f>
        <v/>
      </c>
      <c r="Q78" s="120">
        <f>Sheet1!O25</f>
        <v>21124</v>
      </c>
      <c r="R78" s="51">
        <f t="shared" ref="R78" si="69">Q78</f>
        <v>21124</v>
      </c>
      <c r="S78" s="50">
        <f>S75-1</f>
        <v>-24</v>
      </c>
      <c r="T78" s="121">
        <f>RTD("cqg.rtd",,"StudyData","SUBMINUTE(("&amp;$B$38&amp;"),1,Regular)","FG",,"Time","5",S78,,,,,"T")</f>
        <v>43167.635138888902</v>
      </c>
      <c r="U78" s="83" t="str">
        <f>IF(RTD("cqg.rtd",,"StudyData","SUBMINUTE(("&amp;$B$38&amp;"),1,FillGap)","Bar",,"Close","5",S78,,,,,"T")="",NA(),TEXT(RTD("cqg.rtd",,"StudyData","SUBMINUTE(("&amp;$B$38&amp;"),1,FillGap)","Bar",,"Close","5",S78,,,,,"T"),Sheet1!$D$8))</f>
        <v>2739.00</v>
      </c>
      <c r="V78" s="38">
        <f>IF( RTD("cqg.rtd",,"StudyData", "AlgOrdBidVol(SUBMINUTE(("&amp;$B$38&amp;"),1,Regular),1,0)",  "Bar",, "Open", "5",S78,,,,,"T")="",0,RTD("cqg.rtd",,"StudyData", "AlgOrdBidVol(SUBMINUTE(("&amp;$B$38&amp;"),1,Regular),1,0)",  "Bar",, "Open", "5",S78,,,,,"T"))</f>
        <v>0</v>
      </c>
      <c r="W78" s="38">
        <f>IF( RTD("cqg.rtd",,"StudyData", "AlgOrdAskVol(SUBMINUTE(("&amp;$B$38&amp;"),1,Regular),1,0)",  "Bar",, "Open", "5",S78,,,,,"T")="",0,RTD("cqg.rtd",,"StudyData", "AlgOrdAskVol(SUBMINUTE(("&amp;$B$38&amp;"),1,Regular),1,0)",  "Bar",, "Open", "5",S78,,,,,"T"))</f>
        <v>46</v>
      </c>
      <c r="X78" s="37">
        <f t="shared" ref="X78" si="70">IF(AND(V78&gt;W78,V78&gt;$V$5),1,IF(AND(V78&lt;W78,W78&gt;$W$5),-1,0))</f>
        <v>-1</v>
      </c>
      <c r="Y78" s="121">
        <f>RTD("cqg.rtd",,"StudyData","SUBMINUTE(("&amp;$B$38&amp;"),5,Regular)","FG",,"Time","5",S78,,,,,"T")</f>
        <v>43167.6340277778</v>
      </c>
      <c r="Z78" s="197" t="str">
        <f>IF(RTD("cqg.rtd",,"StudyData","SUBMINUTE(("&amp;$B$38&amp;"),5,FillGap)","Bar",,"Close","5",S78,,,,,"T")="",NA(),TEXT(RTD("cqg.rtd",,"StudyData","SUBMINUTE(("&amp;$B$38&amp;"),5,FillGap)","Bar",,"Close","5",S78,,,,,"T"),Sheet1!$D$8))</f>
        <v>2739.75</v>
      </c>
      <c r="AA78" s="38">
        <f>IF( RTD("cqg.rtd",,"StudyData", "AlgOrdBidVol(SUBMINUTE(("&amp;$B$38&amp;"),5,Regular),1,0)",  "Bar",, "Open", "5",S78,,,,,"T")="",0,RTD("cqg.rtd",,"StudyData", "AlgOrdBidVol(SUBMINUTE(("&amp;$B$38&amp;"),5,Regular),1,0)",  "Bar",, "Open", "5",S78,,,,,"T"))</f>
        <v>0</v>
      </c>
      <c r="AB78" s="38">
        <f>IF( RTD("cqg.rtd",,"StudyData", "AlgOrdAskVol(SUBMINUTE(("&amp;$B$38&amp;"),5,Regular),1,0)",  "Bar",, "Open", "5",S78,,,,,"T")="",0,RTD("cqg.rtd",,"StudyData", "AlgOrdAskVol(SUBMINUTE(("&amp;$B$38&amp;"),5,Regular),1,0)",  "Bar",, "Open", "5",S78,,,,,"T"))</f>
        <v>0</v>
      </c>
      <c r="AC78" s="37">
        <f t="shared" ref="AC78" si="71">IF(AND(AA78&gt;AB78,AA78&gt;$AA$5),1,IF(AND(AA78&lt;AB78,AB78&gt;$AB$5),-1,0))</f>
        <v>0</v>
      </c>
    </row>
    <row r="79" spans="1:29" ht="3.95" customHeight="1" x14ac:dyDescent="0.3">
      <c r="A79" s="5">
        <f xml:space="preserve"> RTD("cqg.rtd",,"StudyData", $B$38,  "Tick", "FlatTicks=0", "Tick","D","-2","all")</f>
        <v>2739.25</v>
      </c>
      <c r="B79" s="15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6"/>
      <c r="N79" s="53"/>
      <c r="O79" s="119"/>
      <c r="P79" s="52"/>
      <c r="Q79" s="120"/>
      <c r="R79" s="50"/>
      <c r="S79" s="50"/>
      <c r="T79" s="121"/>
      <c r="U79" s="83"/>
      <c r="V79" s="38"/>
      <c r="W79" s="38"/>
      <c r="X79" s="38"/>
      <c r="Y79" s="121"/>
      <c r="Z79" s="197"/>
      <c r="AA79" s="38"/>
      <c r="AB79" s="38"/>
      <c r="AC79" s="38"/>
    </row>
    <row r="80" spans="1:29" ht="3.95" customHeight="1" x14ac:dyDescent="0.3">
      <c r="A80" s="5">
        <f xml:space="preserve"> RTD("cqg.rtd",,"StudyData", $B$38,  "Tick", "FlatTicks=0", "Tick","D","-1","all")</f>
        <v>2739.5</v>
      </c>
      <c r="B80" s="1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6"/>
      <c r="N80" s="53"/>
      <c r="O80" s="119"/>
      <c r="P80" s="52"/>
      <c r="Q80" s="120"/>
      <c r="R80" s="50"/>
      <c r="S80" s="50"/>
      <c r="T80" s="121"/>
      <c r="U80" s="83"/>
      <c r="V80" s="38"/>
      <c r="W80" s="38"/>
      <c r="X80" s="38"/>
      <c r="Y80" s="121"/>
      <c r="Z80" s="197"/>
      <c r="AA80" s="38"/>
      <c r="AB80" s="38"/>
      <c r="AC80" s="38"/>
    </row>
    <row r="81" spans="1:29" ht="3.95" customHeight="1" x14ac:dyDescent="0.3">
      <c r="A81" s="5">
        <f xml:space="preserve"> RTD("cqg.rtd",,"StudyData", $B$38,  "Tick", "FlatTicks=0", "Tick","D","0","all")</f>
        <v>2739.25</v>
      </c>
      <c r="B81" s="15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6"/>
      <c r="N81" s="53" t="str">
        <f>Sheet1!L26</f>
        <v>2734.25</v>
      </c>
      <c r="O81" s="119" t="str">
        <f>Sheet1!M26</f>
        <v/>
      </c>
      <c r="P81" s="52" t="str">
        <f>Sheet1!N26</f>
        <v/>
      </c>
      <c r="Q81" s="120">
        <f>Sheet1!O26</f>
        <v>23147</v>
      </c>
      <c r="R81" s="51">
        <f t="shared" ref="R81" si="72">Q81</f>
        <v>23147</v>
      </c>
      <c r="S81" s="50">
        <f>S78-1</f>
        <v>-25</v>
      </c>
      <c r="T81" s="121">
        <f>RTD("cqg.rtd",,"StudyData","SUBMINUTE(("&amp;$B$38&amp;"),1,Regular)","FG",,"Time","5",S81,,,,,"T")</f>
        <v>43167.635127314803</v>
      </c>
      <c r="U81" s="83" t="str">
        <f>IF(RTD("cqg.rtd",,"StudyData","SUBMINUTE(("&amp;$B$38&amp;"),1,FillGap)","Bar",,"Close","5",S81,,,,,"T")="",NA(),TEXT(RTD("cqg.rtd",,"StudyData","SUBMINUTE(("&amp;$B$38&amp;"),1,FillGap)","Bar",,"Close","5",S81,,,,,"T"),Sheet1!$D$8))</f>
        <v>2738.75</v>
      </c>
      <c r="V81" s="38">
        <f>IF( RTD("cqg.rtd",,"StudyData", "AlgOrdBidVol(SUBMINUTE(("&amp;$B$38&amp;"),1,Regular),1,0)",  "Bar",, "Open", "5",S81,,,,,"T")="",0,RTD("cqg.rtd",,"StudyData", "AlgOrdBidVol(SUBMINUTE(("&amp;$B$38&amp;"),1,Regular),1,0)",  "Bar",, "Open", "5",S81,,,,,"T"))</f>
        <v>0</v>
      </c>
      <c r="W81" s="38">
        <f>IF( RTD("cqg.rtd",,"StudyData", "AlgOrdAskVol(SUBMINUTE(("&amp;$B$38&amp;"),1,Regular),1,0)",  "Bar",, "Open", "5",S81,,,,,"T")="",0,RTD("cqg.rtd",,"StudyData", "AlgOrdAskVol(SUBMINUTE(("&amp;$B$38&amp;"),1,Regular),1,0)",  "Bar",, "Open", "5",S81,,,,,"T"))</f>
        <v>0</v>
      </c>
      <c r="X81" s="37">
        <f t="shared" ref="X81" si="73">IF(AND(V81&gt;W81,V81&gt;$V$5),1,IF(AND(V81&lt;W81,W81&gt;$W$5),-1,0))</f>
        <v>0</v>
      </c>
      <c r="Y81" s="121">
        <f>RTD("cqg.rtd",,"StudyData","SUBMINUTE(("&amp;$B$38&amp;"),5,Regular)","FG",,"Time","5",S81,,,,,"T")</f>
        <v>43167.633969907401</v>
      </c>
      <c r="Z81" s="197" t="str">
        <f>IF(RTD("cqg.rtd",,"StudyData","SUBMINUTE(("&amp;$B$38&amp;"),5,FillGap)","Bar",,"Close","5",S81,,,,,"T")="",NA(),TEXT(RTD("cqg.rtd",,"StudyData","SUBMINUTE(("&amp;$B$38&amp;"),5,FillGap)","Bar",,"Close","5",S81,,,,,"T"),Sheet1!$D$8))</f>
        <v>2739.75</v>
      </c>
      <c r="AA81" s="38">
        <f>IF( RTD("cqg.rtd",,"StudyData", "AlgOrdBidVol(SUBMINUTE(("&amp;$B$38&amp;"),5,Regular),1,0)",  "Bar",, "Open", "5",S81,,,,,"T")="",0,RTD("cqg.rtd",,"StudyData", "AlgOrdBidVol(SUBMINUTE(("&amp;$B$38&amp;"),5,Regular),1,0)",  "Bar",, "Open", "5",S81,,,,,"T"))</f>
        <v>0</v>
      </c>
      <c r="AB81" s="38">
        <f>IF( RTD("cqg.rtd",,"StudyData", "AlgOrdAskVol(SUBMINUTE(("&amp;$B$38&amp;"),5,Regular),1,0)",  "Bar",, "Open", "5",S81,,,,,"T")="",0,RTD("cqg.rtd",,"StudyData", "AlgOrdAskVol(SUBMINUTE(("&amp;$B$38&amp;"),5,Regular),1,0)",  "Bar",, "Open", "5",S81,,,,,"T"))</f>
        <v>0</v>
      </c>
      <c r="AC81" s="37">
        <f t="shared" ref="AC81" si="74">IF(AND(AA81&gt;AB81,AA81&gt;$AA$5),1,IF(AND(AA81&lt;AB81,AB81&gt;$AB$5),-1,0))</f>
        <v>0</v>
      </c>
    </row>
    <row r="82" spans="1:29" ht="3.95" customHeight="1" x14ac:dyDescent="0.3">
      <c r="A82" s="55"/>
      <c r="B82" s="15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6"/>
      <c r="N82" s="53"/>
      <c r="O82" s="119"/>
      <c r="P82" s="52"/>
      <c r="Q82" s="120"/>
      <c r="R82" s="50"/>
      <c r="S82" s="50"/>
      <c r="T82" s="121"/>
      <c r="U82" s="83"/>
      <c r="V82" s="38"/>
      <c r="W82" s="38"/>
      <c r="X82" s="38"/>
      <c r="Y82" s="121"/>
      <c r="Z82" s="197"/>
      <c r="AA82" s="38"/>
      <c r="AB82" s="38"/>
      <c r="AC82" s="38"/>
    </row>
    <row r="83" spans="1:29" ht="3.95" customHeight="1" x14ac:dyDescent="0.3">
      <c r="A83" s="56"/>
      <c r="B83" s="15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6"/>
      <c r="N83" s="53"/>
      <c r="O83" s="119"/>
      <c r="P83" s="52"/>
      <c r="Q83" s="120"/>
      <c r="R83" s="50"/>
      <c r="S83" s="50"/>
      <c r="T83" s="121"/>
      <c r="U83" s="83"/>
      <c r="V83" s="38"/>
      <c r="W83" s="38"/>
      <c r="X83" s="38"/>
      <c r="Y83" s="121"/>
      <c r="Z83" s="197"/>
      <c r="AA83" s="38"/>
      <c r="AB83" s="38"/>
      <c r="AC83" s="38"/>
    </row>
    <row r="84" spans="1:29" ht="3.95" customHeight="1" x14ac:dyDescent="0.3">
      <c r="A84" s="56"/>
      <c r="B84" s="15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6"/>
      <c r="N84" s="53" t="str">
        <f>Sheet1!L27</f>
        <v>2734.00</v>
      </c>
      <c r="O84" s="119" t="str">
        <f>Sheet1!M27</f>
        <v/>
      </c>
      <c r="P84" s="52" t="str">
        <f>Sheet1!N27</f>
        <v/>
      </c>
      <c r="Q84" s="120">
        <f>Sheet1!O27</f>
        <v>22427</v>
      </c>
      <c r="R84" s="51">
        <f t="shared" ref="R84" si="75">Q84</f>
        <v>22427</v>
      </c>
      <c r="S84" s="50">
        <f>S81-1</f>
        <v>-26</v>
      </c>
      <c r="T84" s="121">
        <f>RTD("cqg.rtd",,"StudyData","SUBMINUTE(("&amp;$B$38&amp;"),1,Regular)","FG",,"Time","5",S84,,,,,"T")</f>
        <v>43167.635115740697</v>
      </c>
      <c r="U84" s="83" t="str">
        <f>IF(RTD("cqg.rtd",,"StudyData","SUBMINUTE(("&amp;$B$38&amp;"),1,FillGap)","Bar",,"Close","5",S84,,,,,"T")="",NA(),TEXT(RTD("cqg.rtd",,"StudyData","SUBMINUTE(("&amp;$B$38&amp;"),1,FillGap)","Bar",,"Close","5",S84,,,,,"T"),Sheet1!$D$8))</f>
        <v>2739.00</v>
      </c>
      <c r="V84" s="38">
        <f>IF( RTD("cqg.rtd",,"StudyData", "AlgOrdBidVol(SUBMINUTE(("&amp;$B$38&amp;"),1,Regular),1,0)",  "Bar",, "Open", "5",S84,,,,,"T")="",0,RTD("cqg.rtd",,"StudyData", "AlgOrdBidVol(SUBMINUTE(("&amp;$B$38&amp;"),1,Regular),1,0)",  "Bar",, "Open", "5",S84,,,,,"T"))</f>
        <v>56</v>
      </c>
      <c r="W84" s="38">
        <f>IF( RTD("cqg.rtd",,"StudyData", "AlgOrdAskVol(SUBMINUTE(("&amp;$B$38&amp;"),1,Regular),1,0)",  "Bar",, "Open", "5",S84,,,,,"T")="",0,RTD("cqg.rtd",,"StudyData", "AlgOrdAskVol(SUBMINUTE(("&amp;$B$38&amp;"),1,Regular),1,0)",  "Bar",, "Open", "5",S84,,,,,"T"))</f>
        <v>0</v>
      </c>
      <c r="X84" s="37">
        <f t="shared" ref="X84" si="76">IF(AND(V84&gt;W84,V84&gt;$V$5),1,IF(AND(V84&lt;W84,W84&gt;$W$5),-1,0))</f>
        <v>1</v>
      </c>
      <c r="Y84" s="121">
        <f>RTD("cqg.rtd",,"StudyData","SUBMINUTE(("&amp;$B$38&amp;"),5,Regular)","FG",,"Time","5",S84,,,,,"T")</f>
        <v>43167.633912037003</v>
      </c>
      <c r="Z84" s="197" t="str">
        <f>IF(RTD("cqg.rtd",,"StudyData","SUBMINUTE(("&amp;$B$38&amp;"),5,FillGap)","Bar",,"Close","5",S84,,,,,"T")="",NA(),TEXT(RTD("cqg.rtd",,"StudyData","SUBMINUTE(("&amp;$B$38&amp;"),5,FillGap)","Bar",,"Close","5",S84,,,,,"T"),Sheet1!$D$8))</f>
        <v>2739.75</v>
      </c>
      <c r="AA84" s="38">
        <f>IF( RTD("cqg.rtd",,"StudyData", "AlgOrdBidVol(SUBMINUTE(("&amp;$B$38&amp;"),5,Regular),1,0)",  "Bar",, "Open", "5",S84,,,,,"T")="",0,RTD("cqg.rtd",,"StudyData", "AlgOrdBidVol(SUBMINUTE(("&amp;$B$38&amp;"),5,Regular),1,0)",  "Bar",, "Open", "5",S84,,,,,"T"))</f>
        <v>0</v>
      </c>
      <c r="AB84" s="38">
        <f>IF( RTD("cqg.rtd",,"StudyData", "AlgOrdAskVol(SUBMINUTE(("&amp;$B$38&amp;"),5,Regular),1,0)",  "Bar",, "Open", "5",S84,,,,,"T")="",0,RTD("cqg.rtd",,"StudyData", "AlgOrdAskVol(SUBMINUTE(("&amp;$B$38&amp;"),5,Regular),1,0)",  "Bar",, "Open", "5",S84,,,,,"T"))</f>
        <v>0</v>
      </c>
      <c r="AC84" s="37">
        <f t="shared" ref="AC84" si="77">IF(AND(AA84&gt;AB84,AA84&gt;$AA$5),1,IF(AND(AA84&lt;AB84,AB84&gt;$AB$5),-1,0))</f>
        <v>0</v>
      </c>
    </row>
    <row r="85" spans="1:29" ht="3.95" customHeight="1" x14ac:dyDescent="0.3">
      <c r="A85" s="56"/>
      <c r="B85" s="15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6"/>
      <c r="N85" s="53"/>
      <c r="O85" s="119"/>
      <c r="P85" s="52"/>
      <c r="Q85" s="120"/>
      <c r="R85" s="50"/>
      <c r="S85" s="50"/>
      <c r="T85" s="121"/>
      <c r="U85" s="83"/>
      <c r="V85" s="38"/>
      <c r="W85" s="38"/>
      <c r="X85" s="38"/>
      <c r="Y85" s="121"/>
      <c r="Z85" s="197"/>
      <c r="AA85" s="38"/>
      <c r="AB85" s="38"/>
      <c r="AC85" s="38"/>
    </row>
    <row r="86" spans="1:29" ht="3.95" customHeight="1" x14ac:dyDescent="0.3">
      <c r="A86" s="55"/>
      <c r="B86" s="15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6"/>
      <c r="N86" s="53"/>
      <c r="O86" s="119"/>
      <c r="P86" s="52"/>
      <c r="Q86" s="120"/>
      <c r="R86" s="50"/>
      <c r="S86" s="50"/>
      <c r="T86" s="121"/>
      <c r="U86" s="83"/>
      <c r="V86" s="38"/>
      <c r="W86" s="38"/>
      <c r="X86" s="38"/>
      <c r="Y86" s="121"/>
      <c r="Z86" s="197"/>
      <c r="AA86" s="38"/>
      <c r="AB86" s="38"/>
      <c r="AC86" s="38"/>
    </row>
    <row r="87" spans="1:29" ht="3.95" customHeight="1" x14ac:dyDescent="0.3">
      <c r="A87" s="56"/>
      <c r="B87" s="15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6"/>
      <c r="N87" s="53" t="str">
        <f>Sheet1!L28</f>
        <v>2733.75</v>
      </c>
      <c r="O87" s="119" t="str">
        <f>Sheet1!M28</f>
        <v/>
      </c>
      <c r="P87" s="52" t="str">
        <f>Sheet1!N28</f>
        <v/>
      </c>
      <c r="Q87" s="120">
        <f>Sheet1!O28</f>
        <v>19068</v>
      </c>
      <c r="R87" s="51">
        <f t="shared" ref="R87" si="78">Q87</f>
        <v>19068</v>
      </c>
      <c r="S87" s="50">
        <f>S84-1</f>
        <v>-27</v>
      </c>
      <c r="T87" s="121">
        <f>RTD("cqg.rtd",,"StudyData","SUBMINUTE(("&amp;$B$38&amp;"),1,Regular)","FG",,"Time","5",S87,,,,,"T")</f>
        <v>43167.6351041667</v>
      </c>
      <c r="U87" s="83" t="str">
        <f>IF(RTD("cqg.rtd",,"StudyData","SUBMINUTE(("&amp;$B$38&amp;"),1,FillGap)","Bar",,"Close","5",S87,,,,,"T")="",NA(),TEXT(RTD("cqg.rtd",,"StudyData","SUBMINUTE(("&amp;$B$38&amp;"),1,FillGap)","Bar",,"Close","5",S87,,,,,"T"),Sheet1!$D$8))</f>
        <v>2739.00</v>
      </c>
      <c r="V87" s="38">
        <f>IF( RTD("cqg.rtd",,"StudyData", "AlgOrdBidVol(SUBMINUTE(("&amp;$B$38&amp;"),1,Regular),1,0)",  "Bar",, "Open", "5",S87,,,,,"T")="",0,RTD("cqg.rtd",,"StudyData", "AlgOrdBidVol(SUBMINUTE(("&amp;$B$38&amp;"),1,Regular),1,0)",  "Bar",, "Open", "5",S87,,,,,"T"))</f>
        <v>0</v>
      </c>
      <c r="W87" s="38">
        <f>IF( RTD("cqg.rtd",,"StudyData", "AlgOrdAskVol(SUBMINUTE(("&amp;$B$38&amp;"),1,Regular),1,0)",  "Bar",, "Open", "5",S87,,,,,"T")="",0,RTD("cqg.rtd",,"StudyData", "AlgOrdAskVol(SUBMINUTE(("&amp;$B$38&amp;"),1,Regular),1,0)",  "Bar",, "Open", "5",S87,,,,,"T"))</f>
        <v>0</v>
      </c>
      <c r="X87" s="37">
        <f t="shared" ref="X87" si="79">IF(AND(V87&gt;W87,V87&gt;$V$5),1,IF(AND(V87&lt;W87,W87&gt;$W$5),-1,0))</f>
        <v>0</v>
      </c>
      <c r="Y87" s="121">
        <f>RTD("cqg.rtd",,"StudyData","SUBMINUTE(("&amp;$B$38&amp;"),5,Regular)","FG",,"Time","5",S87,,,,,"T")</f>
        <v>43167.633854166699</v>
      </c>
      <c r="Z87" s="197" t="str">
        <f>IF(RTD("cqg.rtd",,"StudyData","SUBMINUTE(("&amp;$B$38&amp;"),5,FillGap)","Bar",,"Close","5",S87,,,,,"T")="",NA(),TEXT(RTD("cqg.rtd",,"StudyData","SUBMINUTE(("&amp;$B$38&amp;"),5,FillGap)","Bar",,"Close","5",S87,,,,,"T"),Sheet1!$D$8))</f>
        <v>2739.75</v>
      </c>
      <c r="AA87" s="38">
        <f>IF( RTD("cqg.rtd",,"StudyData", "AlgOrdBidVol(SUBMINUTE(("&amp;$B$38&amp;"),5,Regular),1,0)",  "Bar",, "Open", "5",S87,,,,,"T")="",0,RTD("cqg.rtd",,"StudyData", "AlgOrdBidVol(SUBMINUTE(("&amp;$B$38&amp;"),5,Regular),1,0)",  "Bar",, "Open", "5",S87,,,,,"T"))</f>
        <v>0</v>
      </c>
      <c r="AB87" s="38">
        <f>IF( RTD("cqg.rtd",,"StudyData", "AlgOrdAskVol(SUBMINUTE(("&amp;$B$38&amp;"),5,Regular),1,0)",  "Bar",, "Open", "5",S87,,,,,"T")="",0,RTD("cqg.rtd",,"StudyData", "AlgOrdAskVol(SUBMINUTE(("&amp;$B$38&amp;"),5,Regular),1,0)",  "Bar",, "Open", "5",S87,,,,,"T"))</f>
        <v>33</v>
      </c>
      <c r="AC87" s="37">
        <f t="shared" ref="AC87" si="80">IF(AND(AA87&gt;AB87,AA87&gt;$AA$5),1,IF(AND(AA87&lt;AB87,AB87&gt;$AB$5),-1,0))</f>
        <v>-1</v>
      </c>
    </row>
    <row r="88" spans="1:29" ht="3.95" customHeight="1" x14ac:dyDescent="0.3">
      <c r="A88" s="56"/>
      <c r="B88" s="15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6"/>
      <c r="N88" s="53"/>
      <c r="O88" s="119"/>
      <c r="P88" s="52"/>
      <c r="Q88" s="120"/>
      <c r="R88" s="50"/>
      <c r="S88" s="50"/>
      <c r="T88" s="121"/>
      <c r="U88" s="83"/>
      <c r="V88" s="38"/>
      <c r="W88" s="38"/>
      <c r="X88" s="38"/>
      <c r="Y88" s="121"/>
      <c r="Z88" s="197"/>
      <c r="AA88" s="38"/>
      <c r="AB88" s="38"/>
      <c r="AC88" s="38"/>
    </row>
    <row r="89" spans="1:29" ht="3.95" customHeight="1" x14ac:dyDescent="0.3">
      <c r="A89" s="56"/>
      <c r="B89" s="15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6"/>
      <c r="N89" s="53"/>
      <c r="O89" s="119"/>
      <c r="P89" s="52"/>
      <c r="Q89" s="120"/>
      <c r="R89" s="50"/>
      <c r="S89" s="50"/>
      <c r="T89" s="121"/>
      <c r="U89" s="83"/>
      <c r="V89" s="38"/>
      <c r="W89" s="38"/>
      <c r="X89" s="38"/>
      <c r="Y89" s="121"/>
      <c r="Z89" s="197"/>
      <c r="AA89" s="38"/>
      <c r="AB89" s="38"/>
      <c r="AC89" s="38"/>
    </row>
    <row r="90" spans="1:29" ht="3.95" customHeight="1" x14ac:dyDescent="0.3">
      <c r="A90" s="55"/>
      <c r="B90" s="15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6"/>
      <c r="N90" s="53" t="str">
        <f>Sheet1!L29</f>
        <v>2733.50</v>
      </c>
      <c r="O90" s="119" t="str">
        <f>Sheet1!M29</f>
        <v/>
      </c>
      <c r="P90" s="52" t="str">
        <f>Sheet1!N29</f>
        <v/>
      </c>
      <c r="Q90" s="120">
        <f>Sheet1!O29</f>
        <v>21025</v>
      </c>
      <c r="R90" s="51">
        <f t="shared" ref="R90" si="81">Q90</f>
        <v>21025</v>
      </c>
      <c r="S90" s="50">
        <f>S87-1</f>
        <v>-28</v>
      </c>
      <c r="T90" s="121">
        <f>RTD("cqg.rtd",,"StudyData","SUBMINUTE(("&amp;$B$38&amp;"),1,Regular)","FG",,"Time","5",S90,,,,,"T")</f>
        <v>43167.635092592602</v>
      </c>
      <c r="U90" s="83" t="str">
        <f>IF(RTD("cqg.rtd",,"StudyData","SUBMINUTE(("&amp;$B$38&amp;"),1,FillGap)","Bar",,"Close","5",S90,,,,,"T")="",NA(),TEXT(RTD("cqg.rtd",,"StudyData","SUBMINUTE(("&amp;$B$38&amp;"),1,FillGap)","Bar",,"Close","5",S90,,,,,"T"),Sheet1!$D$8))</f>
        <v>2739.00</v>
      </c>
      <c r="V90" s="38">
        <f>IF( RTD("cqg.rtd",,"StudyData", "AlgOrdBidVol(SUBMINUTE(("&amp;$B$38&amp;"),1,Regular),1,0)",  "Bar",, "Open", "5",S90,,,,,"T")="",0,RTD("cqg.rtd",,"StudyData", "AlgOrdBidVol(SUBMINUTE(("&amp;$B$38&amp;"),1,Regular),1,0)",  "Bar",, "Open", "5",S90,,,,,"T"))</f>
        <v>0</v>
      </c>
      <c r="W90" s="38">
        <f>IF( RTD("cqg.rtd",,"StudyData", "AlgOrdAskVol(SUBMINUTE(("&amp;$B$38&amp;"),1,Regular),1,0)",  "Bar",, "Open", "5",S90,,,,,"T")="",0,RTD("cqg.rtd",,"StudyData", "AlgOrdAskVol(SUBMINUTE(("&amp;$B$38&amp;"),1,Regular),1,0)",  "Bar",, "Open", "5",S90,,,,,"T"))</f>
        <v>0</v>
      </c>
      <c r="X90" s="37">
        <f t="shared" ref="X90" si="82">IF(AND(V90&gt;W90,V90&gt;$V$5),1,IF(AND(V90&lt;W90,W90&gt;$W$5),-1,0))</f>
        <v>0</v>
      </c>
      <c r="Y90" s="121">
        <f>RTD("cqg.rtd",,"StudyData","SUBMINUTE(("&amp;$B$38&amp;"),5,Regular)","FG",,"Time","5",S90,,,,,"T")</f>
        <v>43167.633796296301</v>
      </c>
      <c r="Z90" s="197" t="str">
        <f>IF(RTD("cqg.rtd",,"StudyData","SUBMINUTE(("&amp;$B$38&amp;"),5,FillGap)","Bar",,"Close","5",S90,,,,,"T")="",NA(),TEXT(RTD("cqg.rtd",,"StudyData","SUBMINUTE(("&amp;$B$38&amp;"),5,FillGap)","Bar",,"Close","5",S90,,,,,"T"),Sheet1!$D$8))</f>
        <v>2739.75</v>
      </c>
      <c r="AA90" s="38">
        <f>IF( RTD("cqg.rtd",,"StudyData", "AlgOrdBidVol(SUBMINUTE(("&amp;$B$38&amp;"),5,Regular),1,0)",  "Bar",, "Open", "5",S90,,,,,"T")="",0,RTD("cqg.rtd",,"StudyData", "AlgOrdBidVol(SUBMINUTE(("&amp;$B$38&amp;"),5,Regular),1,0)",  "Bar",, "Open", "5",S90,,,,,"T"))</f>
        <v>185</v>
      </c>
      <c r="AB90" s="38">
        <f>IF( RTD("cqg.rtd",,"StudyData", "AlgOrdAskVol(SUBMINUTE(("&amp;$B$38&amp;"),5,Regular),1,0)",  "Bar",, "Open", "5",S90,,,,,"T")="",0,RTD("cqg.rtd",,"StudyData", "AlgOrdAskVol(SUBMINUTE(("&amp;$B$38&amp;"),5,Regular),1,0)",  "Bar",, "Open", "5",S90,,,,,"T"))</f>
        <v>1</v>
      </c>
      <c r="AC90" s="37">
        <f t="shared" ref="AC90" si="83">IF(AND(AA90&gt;AB90,AA90&gt;$AA$5),1,IF(AND(AA90&lt;AB90,AB90&gt;$AB$5),-1,0))</f>
        <v>1</v>
      </c>
    </row>
    <row r="91" spans="1:29" ht="3.95" customHeight="1" x14ac:dyDescent="0.3">
      <c r="A91" s="56"/>
      <c r="B91" s="15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6"/>
      <c r="N91" s="53"/>
      <c r="O91" s="119"/>
      <c r="P91" s="52"/>
      <c r="Q91" s="120"/>
      <c r="R91" s="50"/>
      <c r="S91" s="50"/>
      <c r="T91" s="121"/>
      <c r="U91" s="83"/>
      <c r="V91" s="38"/>
      <c r="W91" s="38"/>
      <c r="X91" s="38"/>
      <c r="Y91" s="121"/>
      <c r="Z91" s="197"/>
      <c r="AA91" s="38"/>
      <c r="AB91" s="38"/>
      <c r="AC91" s="38"/>
    </row>
    <row r="92" spans="1:29" ht="3.95" customHeight="1" x14ac:dyDescent="0.3">
      <c r="A92" s="56"/>
      <c r="B92" s="15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6"/>
      <c r="N92" s="53"/>
      <c r="O92" s="119"/>
      <c r="P92" s="52"/>
      <c r="Q92" s="120"/>
      <c r="R92" s="50"/>
      <c r="S92" s="50"/>
      <c r="T92" s="121"/>
      <c r="U92" s="83"/>
      <c r="V92" s="38"/>
      <c r="W92" s="38"/>
      <c r="X92" s="38"/>
      <c r="Y92" s="121"/>
      <c r="Z92" s="197"/>
      <c r="AA92" s="38"/>
      <c r="AB92" s="38"/>
      <c r="AC92" s="38"/>
    </row>
    <row r="93" spans="1:29" ht="3.95" customHeight="1" x14ac:dyDescent="0.3">
      <c r="A93" s="56"/>
      <c r="B93" s="15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6"/>
      <c r="N93" s="53" t="str">
        <f>Sheet1!L30</f>
        <v>2733.25</v>
      </c>
      <c r="O93" s="119" t="str">
        <f>Sheet1!M30</f>
        <v/>
      </c>
      <c r="P93" s="52" t="str">
        <f>Sheet1!N30</f>
        <v/>
      </c>
      <c r="Q93" s="120">
        <f>Sheet1!O30</f>
        <v>21249</v>
      </c>
      <c r="R93" s="51">
        <f t="shared" ref="R93" si="84">Q93</f>
        <v>21249</v>
      </c>
      <c r="S93" s="50">
        <f>S90-1</f>
        <v>-29</v>
      </c>
      <c r="T93" s="121">
        <f>RTD("cqg.rtd",,"StudyData","SUBMINUTE(("&amp;$B$38&amp;"),1,Regular)","FG",,"Time","5",S93,,,,,"T")</f>
        <v>43167.635081018503</v>
      </c>
      <c r="U93" s="83" t="str">
        <f>IF(RTD("cqg.rtd",,"StudyData","SUBMINUTE(("&amp;$B$38&amp;"),1,FillGap)","Bar",,"Close","5",S93,,,,,"T")="",NA(),TEXT(RTD("cqg.rtd",,"StudyData","SUBMINUTE(("&amp;$B$38&amp;"),1,FillGap)","Bar",,"Close","5",S93,,,,,"T"),Sheet1!$D$8))</f>
        <v>2739.25</v>
      </c>
      <c r="V93" s="38">
        <f>IF( RTD("cqg.rtd",,"StudyData", "AlgOrdBidVol(SUBMINUTE(("&amp;$B$38&amp;"),1,Regular),1,0)",  "Bar",, "Open", "5",S93,,,,,"T")="",0,RTD("cqg.rtd",,"StudyData", "AlgOrdBidVol(SUBMINUTE(("&amp;$B$38&amp;"),1,Regular),1,0)",  "Bar",, "Open", "5",S93,,,,,"T"))</f>
        <v>0</v>
      </c>
      <c r="W93" s="38">
        <f>IF( RTD("cqg.rtd",,"StudyData", "AlgOrdAskVol(SUBMINUTE(("&amp;$B$38&amp;"),1,Regular),1,0)",  "Bar",, "Open", "5",S93,,,,,"T")="",0,RTD("cqg.rtd",,"StudyData", "AlgOrdAskVol(SUBMINUTE(("&amp;$B$38&amp;"),1,Regular),1,0)",  "Bar",, "Open", "5",S93,,,,,"T"))</f>
        <v>0</v>
      </c>
      <c r="X93" s="37">
        <f t="shared" ref="X93" si="85">IF(AND(V93&gt;W93,V93&gt;$V$5),1,IF(AND(V93&lt;W93,W93&gt;$W$5),-1,0))</f>
        <v>0</v>
      </c>
      <c r="Y93" s="121">
        <f>RTD("cqg.rtd",,"StudyData","SUBMINUTE(("&amp;$B$38&amp;"),5,Regular)","FG",,"Time","5",S93,,,,,"T")</f>
        <v>43167.633738425902</v>
      </c>
      <c r="Z93" s="197" t="str">
        <f>IF(RTD("cqg.rtd",,"StudyData","SUBMINUTE(("&amp;$B$38&amp;"),5,FillGap)","Bar",,"Close","5",S93,,,,,"T")="",NA(),TEXT(RTD("cqg.rtd",,"StudyData","SUBMINUTE(("&amp;$B$38&amp;"),5,FillGap)","Bar",,"Close","5",S93,,,,,"T"),Sheet1!$D$8))</f>
        <v>2739.75</v>
      </c>
      <c r="AA93" s="38">
        <f>IF( RTD("cqg.rtd",,"StudyData", "AlgOrdBidVol(SUBMINUTE(("&amp;$B$38&amp;"),5,Regular),1,0)",  "Bar",, "Open", "5",S93,,,,,"T")="",0,RTD("cqg.rtd",,"StudyData", "AlgOrdBidVol(SUBMINUTE(("&amp;$B$38&amp;"),5,Regular),1,0)",  "Bar",, "Open", "5",S93,,,,,"T"))</f>
        <v>0</v>
      </c>
      <c r="AB93" s="38">
        <f>IF( RTD("cqg.rtd",,"StudyData", "AlgOrdAskVol(SUBMINUTE(("&amp;$B$38&amp;"),5,Regular),1,0)",  "Bar",, "Open", "5",S93,,,,,"T")="",0,RTD("cqg.rtd",,"StudyData", "AlgOrdAskVol(SUBMINUTE(("&amp;$B$38&amp;"),5,Regular),1,0)",  "Bar",, "Open", "5",S93,,,,,"T"))</f>
        <v>0</v>
      </c>
      <c r="AC93" s="37">
        <f t="shared" ref="AC93" si="86">IF(AND(AA93&gt;AB93,AA93&gt;$AA$5),1,IF(AND(AA93&lt;AB93,AB93&gt;$AB$5),-1,0))</f>
        <v>0</v>
      </c>
    </row>
    <row r="94" spans="1:29" ht="3.95" customHeight="1" x14ac:dyDescent="0.3">
      <c r="A94" s="55"/>
      <c r="B94" s="15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6"/>
      <c r="N94" s="53"/>
      <c r="O94" s="119"/>
      <c r="P94" s="52"/>
      <c r="Q94" s="120"/>
      <c r="R94" s="50"/>
      <c r="S94" s="50"/>
      <c r="T94" s="121"/>
      <c r="U94" s="83"/>
      <c r="V94" s="38"/>
      <c r="W94" s="38"/>
      <c r="X94" s="38"/>
      <c r="Y94" s="121"/>
      <c r="Z94" s="197"/>
      <c r="AA94" s="38"/>
      <c r="AB94" s="38"/>
      <c r="AC94" s="38"/>
    </row>
    <row r="95" spans="1:29" ht="3.95" customHeight="1" x14ac:dyDescent="0.3">
      <c r="A95" s="56"/>
      <c r="B95" s="15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6"/>
      <c r="N95" s="53"/>
      <c r="O95" s="119"/>
      <c r="P95" s="52"/>
      <c r="Q95" s="120"/>
      <c r="R95" s="50"/>
      <c r="S95" s="50"/>
      <c r="T95" s="121"/>
      <c r="U95" s="83"/>
      <c r="V95" s="38"/>
      <c r="W95" s="38"/>
      <c r="X95" s="38"/>
      <c r="Y95" s="121"/>
      <c r="Z95" s="197"/>
      <c r="AA95" s="38"/>
      <c r="AB95" s="38"/>
      <c r="AC95" s="38"/>
    </row>
    <row r="96" spans="1:29" ht="3.95" customHeight="1" x14ac:dyDescent="0.3">
      <c r="A96" s="56"/>
      <c r="B96" s="15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6"/>
      <c r="N96" s="53" t="str">
        <f>Sheet1!L31</f>
        <v>2733.00</v>
      </c>
      <c r="O96" s="119" t="str">
        <f>Sheet1!M31</f>
        <v/>
      </c>
      <c r="P96" s="52" t="str">
        <f>Sheet1!N31</f>
        <v/>
      </c>
      <c r="Q96" s="120">
        <f>Sheet1!O31</f>
        <v>18250</v>
      </c>
      <c r="R96" s="51">
        <f t="shared" ref="R96" si="87">Q96</f>
        <v>18250</v>
      </c>
      <c r="S96" s="50">
        <f>S93-1</f>
        <v>-30</v>
      </c>
      <c r="T96" s="121">
        <f>RTD("cqg.rtd",,"StudyData","SUBMINUTE(("&amp;$B$38&amp;"),1,Regular)","FG",,"Time","5",S96,,,,,"T")</f>
        <v>43167.635069444397</v>
      </c>
      <c r="U96" s="83" t="str">
        <f>IF(RTD("cqg.rtd",,"StudyData","SUBMINUTE(("&amp;$B$38&amp;"),1,FillGap)","Bar",,"Close","5",S96,,,,,"T")="",NA(),TEXT(RTD("cqg.rtd",,"StudyData","SUBMINUTE(("&amp;$B$38&amp;"),1,FillGap)","Bar",,"Close","5",S96,,,,,"T"),Sheet1!$D$8))</f>
        <v>2739.25</v>
      </c>
      <c r="V96" s="38">
        <f>IF( RTD("cqg.rtd",,"StudyData", "AlgOrdBidVol(SUBMINUTE(("&amp;$B$38&amp;"),1,Regular),1,0)",  "Bar",, "Open", "5",S96,,,,,"T")="",0,RTD("cqg.rtd",,"StudyData", "AlgOrdBidVol(SUBMINUTE(("&amp;$B$38&amp;"),1,Regular),1,0)",  "Bar",, "Open", "5",S96,,,,,"T"))</f>
        <v>18</v>
      </c>
      <c r="W96" s="38">
        <f>IF( RTD("cqg.rtd",,"StudyData", "AlgOrdAskVol(SUBMINUTE(("&amp;$B$38&amp;"),1,Regular),1,0)",  "Bar",, "Open", "5",S96,,,,,"T")="",0,RTD("cqg.rtd",,"StudyData", "AlgOrdAskVol(SUBMINUTE(("&amp;$B$38&amp;"),1,Regular),1,0)",  "Bar",, "Open", "5",S96,,,,,"T"))</f>
        <v>0</v>
      </c>
      <c r="X96" s="37">
        <f t="shared" ref="X96" si="88">IF(AND(V96&gt;W96,V96&gt;$V$5),1,IF(AND(V96&lt;W96,W96&gt;$W$5),-1,0))</f>
        <v>1</v>
      </c>
      <c r="Y96" s="121">
        <f>RTD("cqg.rtd",,"StudyData","SUBMINUTE(("&amp;$B$38&amp;"),5,Regular)","FG",,"Time","5",S96,,,,,"T")</f>
        <v>43167.633680555598</v>
      </c>
      <c r="Z96" s="197" t="str">
        <f>IF(RTD("cqg.rtd",,"StudyData","SUBMINUTE(("&amp;$B$38&amp;"),5,FillGap)","Bar",,"Close","5",S96,,,,,"T")="",NA(),TEXT(RTD("cqg.rtd",,"StudyData","SUBMINUTE(("&amp;$B$38&amp;"),5,FillGap)","Bar",,"Close","5",S96,,,,,"T"),Sheet1!$D$8))</f>
        <v>2739.75</v>
      </c>
      <c r="AA96" s="38">
        <f>IF( RTD("cqg.rtd",,"StudyData", "AlgOrdBidVol(SUBMINUTE(("&amp;$B$38&amp;"),5,Regular),1,0)",  "Bar",, "Open", "5",S96,,,,,"T")="",0,RTD("cqg.rtd",,"StudyData", "AlgOrdBidVol(SUBMINUTE(("&amp;$B$38&amp;"),5,Regular),1,0)",  "Bar",, "Open", "5",S96,,,,,"T"))</f>
        <v>0</v>
      </c>
      <c r="AB96" s="38">
        <f>IF( RTD("cqg.rtd",,"StudyData", "AlgOrdAskVol(SUBMINUTE(("&amp;$B$38&amp;"),5,Regular),1,0)",  "Bar",, "Open", "5",S96,,,,,"T")="",0,RTD("cqg.rtd",,"StudyData", "AlgOrdAskVol(SUBMINUTE(("&amp;$B$38&amp;"),5,Regular),1,0)",  "Bar",, "Open", "5",S96,,,,,"T"))</f>
        <v>0</v>
      </c>
      <c r="AC96" s="37">
        <f t="shared" ref="AC96" si="89">IF(AND(AA96&gt;AB96,AA96&gt;$AA$5),1,IF(AND(AA96&lt;AB96,AB96&gt;$AB$5),-1,0))</f>
        <v>0</v>
      </c>
    </row>
    <row r="97" spans="1:29" ht="3.95" customHeight="1" x14ac:dyDescent="0.3">
      <c r="A97" s="56"/>
      <c r="B97" s="15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6"/>
      <c r="N97" s="53"/>
      <c r="O97" s="119"/>
      <c r="P97" s="52"/>
      <c r="Q97" s="120"/>
      <c r="R97" s="50"/>
      <c r="S97" s="50"/>
      <c r="T97" s="121"/>
      <c r="U97" s="83"/>
      <c r="V97" s="38"/>
      <c r="W97" s="38"/>
      <c r="X97" s="38"/>
      <c r="Y97" s="121"/>
      <c r="Z97" s="197"/>
      <c r="AA97" s="38"/>
      <c r="AB97" s="38"/>
      <c r="AC97" s="38"/>
    </row>
    <row r="98" spans="1:29" ht="3.95" customHeight="1" x14ac:dyDescent="0.3">
      <c r="A98" s="55"/>
      <c r="B98" s="15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6"/>
      <c r="N98" s="53"/>
      <c r="O98" s="119"/>
      <c r="P98" s="52"/>
      <c r="Q98" s="120"/>
      <c r="R98" s="50"/>
      <c r="S98" s="50"/>
      <c r="T98" s="121"/>
      <c r="U98" s="83"/>
      <c r="V98" s="38"/>
      <c r="W98" s="38"/>
      <c r="X98" s="38"/>
      <c r="Y98" s="121"/>
      <c r="Z98" s="197"/>
      <c r="AA98" s="38"/>
      <c r="AB98" s="38"/>
      <c r="AC98" s="38"/>
    </row>
    <row r="99" spans="1:29" ht="3.95" customHeight="1" x14ac:dyDescent="0.3">
      <c r="A99" s="56"/>
      <c r="B99" s="15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6"/>
      <c r="N99" s="53" t="str">
        <f>Sheet1!L32</f>
        <v>2732.75</v>
      </c>
      <c r="O99" s="119" t="str">
        <f>Sheet1!M32</f>
        <v/>
      </c>
      <c r="P99" s="52" t="str">
        <f>Sheet1!N32</f>
        <v/>
      </c>
      <c r="Q99" s="120">
        <f>Sheet1!O32</f>
        <v>15389</v>
      </c>
      <c r="R99" s="51">
        <f t="shared" ref="R99" si="90">Q99</f>
        <v>15389</v>
      </c>
      <c r="S99" s="50">
        <f>S96-1</f>
        <v>-31</v>
      </c>
      <c r="T99" s="121">
        <f>RTD("cqg.rtd",,"StudyData","SUBMINUTE(("&amp;$B$38&amp;"),1,Regular)","FG",,"Time","5",S99,,,,,"T")</f>
        <v>43167.6350578704</v>
      </c>
      <c r="U99" s="83" t="str">
        <f>IF(RTD("cqg.rtd",,"StudyData","SUBMINUTE(("&amp;$B$38&amp;"),1,FillGap)","Bar",,"Close","5",S99,,,,,"T")="",NA(),TEXT(RTD("cqg.rtd",,"StudyData","SUBMINUTE(("&amp;$B$38&amp;"),1,FillGap)","Bar",,"Close","5",S99,,,,,"T"),Sheet1!$D$8))</f>
        <v>2739.25</v>
      </c>
      <c r="V99" s="38">
        <f>IF( RTD("cqg.rtd",,"StudyData", "AlgOrdBidVol(SUBMINUTE(("&amp;$B$38&amp;"),1,Regular),1,0)",  "Bar",, "Open", "5",S99,,,,,"T")="",0,RTD("cqg.rtd",,"StudyData", "AlgOrdBidVol(SUBMINUTE(("&amp;$B$38&amp;"),1,Regular),1,0)",  "Bar",, "Open", "5",S99,,,,,"T"))</f>
        <v>26</v>
      </c>
      <c r="W99" s="38">
        <f>IF( RTD("cqg.rtd",,"StudyData", "AlgOrdAskVol(SUBMINUTE(("&amp;$B$38&amp;"),1,Regular),1,0)",  "Bar",, "Open", "5",S99,,,,,"T")="",0,RTD("cqg.rtd",,"StudyData", "AlgOrdAskVol(SUBMINUTE(("&amp;$B$38&amp;"),1,Regular),1,0)",  "Bar",, "Open", "5",S99,,,,,"T"))</f>
        <v>0</v>
      </c>
      <c r="X99" s="37">
        <f t="shared" ref="X99" si="91">IF(AND(V99&gt;W99,V99&gt;$V$5),1,IF(AND(V99&lt;W99,W99&gt;$W$5),-1,0))</f>
        <v>1</v>
      </c>
      <c r="Y99" s="121">
        <f>RTD("cqg.rtd",,"StudyData","SUBMINUTE(("&amp;$B$38&amp;"),5,Regular)","FG",,"Time","5",S99,,,,,"T")</f>
        <v>43167.6336226852</v>
      </c>
      <c r="Z99" s="197" t="str">
        <f>IF(RTD("cqg.rtd",,"StudyData","SUBMINUTE(("&amp;$B$38&amp;"),5,FillGap)","Bar",,"Close","5",S99,,,,,"T")="",NA(),TEXT(RTD("cqg.rtd",,"StudyData","SUBMINUTE(("&amp;$B$38&amp;"),5,FillGap)","Bar",,"Close","5",S99,,,,,"T"),Sheet1!$D$8))</f>
        <v>2739.75</v>
      </c>
      <c r="AA99" s="38">
        <f>IF( RTD("cqg.rtd",,"StudyData", "AlgOrdBidVol(SUBMINUTE(("&amp;$B$38&amp;"),5,Regular),1,0)",  "Bar",, "Open", "5",S99,,,,,"T")="",0,RTD("cqg.rtd",,"StudyData", "AlgOrdBidVol(SUBMINUTE(("&amp;$B$38&amp;"),5,Regular),1,0)",  "Bar",, "Open", "5",S99,,,,,"T"))</f>
        <v>0</v>
      </c>
      <c r="AB99" s="38">
        <f>IF( RTD("cqg.rtd",,"StudyData", "AlgOrdAskVol(SUBMINUTE(("&amp;$B$38&amp;"),5,Regular),1,0)",  "Bar",, "Open", "5",S99,,,,,"T")="",0,RTD("cqg.rtd",,"StudyData", "AlgOrdAskVol(SUBMINUTE(("&amp;$B$38&amp;"),5,Regular),1,0)",  "Bar",, "Open", "5",S99,,,,,"T"))</f>
        <v>0</v>
      </c>
      <c r="AC99" s="37">
        <f t="shared" ref="AC99" si="92">IF(AND(AA99&gt;AB99,AA99&gt;$AA$5),1,IF(AND(AA99&lt;AB99,AB99&gt;$AB$5),-1,0))</f>
        <v>0</v>
      </c>
    </row>
    <row r="100" spans="1:29" ht="3.95" customHeight="1" x14ac:dyDescent="0.3">
      <c r="A100" s="56"/>
      <c r="B100" s="15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6"/>
      <c r="N100" s="53"/>
      <c r="O100" s="119"/>
      <c r="P100" s="52"/>
      <c r="Q100" s="120"/>
      <c r="R100" s="50"/>
      <c r="S100" s="50"/>
      <c r="T100" s="121"/>
      <c r="U100" s="83"/>
      <c r="V100" s="38"/>
      <c r="W100" s="38"/>
      <c r="X100" s="38"/>
      <c r="Y100" s="121"/>
      <c r="Z100" s="197"/>
      <c r="AA100" s="38"/>
      <c r="AB100" s="38"/>
      <c r="AC100" s="38"/>
    </row>
    <row r="101" spans="1:29" ht="3.95" customHeight="1" x14ac:dyDescent="0.3">
      <c r="A101" s="56"/>
      <c r="B101" s="15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6"/>
      <c r="N101" s="53"/>
      <c r="O101" s="119"/>
      <c r="P101" s="52"/>
      <c r="Q101" s="120"/>
      <c r="R101" s="50"/>
      <c r="S101" s="50"/>
      <c r="T101" s="121"/>
      <c r="U101" s="83"/>
      <c r="V101" s="38"/>
      <c r="W101" s="38"/>
      <c r="X101" s="38"/>
      <c r="Y101" s="121"/>
      <c r="Z101" s="197"/>
      <c r="AA101" s="38"/>
      <c r="AB101" s="38"/>
      <c r="AC101" s="38"/>
    </row>
    <row r="102" spans="1:29" ht="3.95" customHeight="1" x14ac:dyDescent="0.3">
      <c r="A102" s="55"/>
      <c r="B102" s="15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6"/>
      <c r="N102" s="53" t="str">
        <f>Sheet1!L33</f>
        <v>2732.50</v>
      </c>
      <c r="O102" s="119" t="str">
        <f>Sheet1!M33</f>
        <v/>
      </c>
      <c r="P102" s="52" t="str">
        <f>Sheet1!N33</f>
        <v/>
      </c>
      <c r="Q102" s="120">
        <f>Sheet1!O33</f>
        <v>17141</v>
      </c>
      <c r="R102" s="51">
        <f t="shared" ref="R102" si="93">Q102</f>
        <v>17141</v>
      </c>
      <c r="S102" s="50">
        <f>S99-1</f>
        <v>-32</v>
      </c>
      <c r="T102" s="121">
        <f>RTD("cqg.rtd",,"StudyData","SUBMINUTE(("&amp;$B$38&amp;"),1,Regular)","FG",,"Time","5",S102,,,,,"T")</f>
        <v>43167.635046296302</v>
      </c>
      <c r="U102" s="83" t="str">
        <f>IF(RTD("cqg.rtd",,"StudyData","SUBMINUTE(("&amp;$B$38&amp;"),1,FillGap)","Bar",,"Close","5",S102,,,,,"T")="",NA(),TEXT(RTD("cqg.rtd",,"StudyData","SUBMINUTE(("&amp;$B$38&amp;"),1,FillGap)","Bar",,"Close","5",S102,,,,,"T"),Sheet1!$D$8))</f>
        <v>2739.75</v>
      </c>
      <c r="V102" s="38">
        <f>IF( RTD("cqg.rtd",,"StudyData", "AlgOrdBidVol(SUBMINUTE(("&amp;$B$38&amp;"),1,Regular),1,0)",  "Bar",, "Open", "5",S102,,,,,"T")="",0,RTD("cqg.rtd",,"StudyData", "AlgOrdBidVol(SUBMINUTE(("&amp;$B$38&amp;"),1,Regular),1,0)",  "Bar",, "Open", "5",S102,,,,,"T"))</f>
        <v>18</v>
      </c>
      <c r="W102" s="38">
        <f>IF( RTD("cqg.rtd",,"StudyData", "AlgOrdAskVol(SUBMINUTE(("&amp;$B$38&amp;"),1,Regular),1,0)",  "Bar",, "Open", "5",S102,,,,,"T")="",0,RTD("cqg.rtd",,"StudyData", "AlgOrdAskVol(SUBMINUTE(("&amp;$B$38&amp;"),1,Regular),1,0)",  "Bar",, "Open", "5",S102,,,,,"T"))</f>
        <v>0</v>
      </c>
      <c r="X102" s="37">
        <f t="shared" ref="X102" si="94">IF(AND(V102&gt;W102,V102&gt;$V$5),1,IF(AND(V102&lt;W102,W102&gt;$W$5),-1,0))</f>
        <v>1</v>
      </c>
      <c r="Y102" s="121">
        <f>RTD("cqg.rtd",,"StudyData","SUBMINUTE(("&amp;$B$38&amp;"),5,Regular)","FG",,"Time","5",S102,,,,,"T")</f>
        <v>43167.633564814802</v>
      </c>
      <c r="Z102" s="197" t="str">
        <f>IF(RTD("cqg.rtd",,"StudyData","SUBMINUTE(("&amp;$B$38&amp;"),5,FillGap)","Bar",,"Close","5",S102,,,,,"T")="",NA(),TEXT(RTD("cqg.rtd",,"StudyData","SUBMINUTE(("&amp;$B$38&amp;"),5,FillGap)","Bar",,"Close","5",S102,,,,,"T"),Sheet1!$D$8))</f>
        <v>2739.75</v>
      </c>
      <c r="AA102" s="38">
        <f>IF( RTD("cqg.rtd",,"StudyData", "AlgOrdBidVol(SUBMINUTE(("&amp;$B$38&amp;"),5,Regular),1,0)",  "Bar",, "Open", "5",S102,,,,,"T")="",0,RTD("cqg.rtd",,"StudyData", "AlgOrdBidVol(SUBMINUTE(("&amp;$B$38&amp;"),5,Regular),1,0)",  "Bar",, "Open", "5",S102,,,,,"T"))</f>
        <v>107</v>
      </c>
      <c r="AB102" s="38">
        <f>IF( RTD("cqg.rtd",,"StudyData", "AlgOrdAskVol(SUBMINUTE(("&amp;$B$38&amp;"),5,Regular),1,0)",  "Bar",, "Open", "5",S102,,,,,"T")="",0,RTD("cqg.rtd",,"StudyData", "AlgOrdAskVol(SUBMINUTE(("&amp;$B$38&amp;"),5,Regular),1,0)",  "Bar",, "Open", "5",S102,,,,,"T"))</f>
        <v>0</v>
      </c>
      <c r="AC102" s="37">
        <f t="shared" ref="AC102" si="95">IF(AND(AA102&gt;AB102,AA102&gt;$AA$5),1,IF(AND(AA102&lt;AB102,AB102&gt;$AB$5),-1,0))</f>
        <v>1</v>
      </c>
    </row>
    <row r="103" spans="1:29" ht="3.95" customHeight="1" x14ac:dyDescent="0.3">
      <c r="A103" s="56"/>
      <c r="B103" s="15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6"/>
      <c r="N103" s="53"/>
      <c r="O103" s="119"/>
      <c r="P103" s="52"/>
      <c r="Q103" s="120"/>
      <c r="R103" s="50"/>
      <c r="S103" s="50"/>
      <c r="T103" s="121"/>
      <c r="U103" s="83"/>
      <c r="V103" s="38"/>
      <c r="W103" s="38"/>
      <c r="X103" s="38"/>
      <c r="Y103" s="121"/>
      <c r="Z103" s="197"/>
      <c r="AA103" s="38"/>
      <c r="AB103" s="38"/>
      <c r="AC103" s="38"/>
    </row>
    <row r="104" spans="1:29" ht="3.95" customHeight="1" x14ac:dyDescent="0.3">
      <c r="A104" s="56"/>
      <c r="B104" s="15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6"/>
      <c r="N104" s="53"/>
      <c r="O104" s="119"/>
      <c r="P104" s="52"/>
      <c r="Q104" s="120"/>
      <c r="R104" s="50"/>
      <c r="S104" s="50"/>
      <c r="T104" s="121"/>
      <c r="U104" s="83"/>
      <c r="V104" s="38"/>
      <c r="W104" s="38"/>
      <c r="X104" s="38"/>
      <c r="Y104" s="121"/>
      <c r="Z104" s="197"/>
      <c r="AA104" s="38"/>
      <c r="AB104" s="38"/>
      <c r="AC104" s="38"/>
    </row>
    <row r="105" spans="1:29" ht="3.95" customHeight="1" x14ac:dyDescent="0.3">
      <c r="A105" s="56"/>
      <c r="B105" s="15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6"/>
      <c r="N105" s="53" t="str">
        <f>Sheet1!L34</f>
        <v>2732.25</v>
      </c>
      <c r="O105" s="119" t="str">
        <f>Sheet1!M34</f>
        <v/>
      </c>
      <c r="P105" s="52" t="str">
        <f>Sheet1!N34</f>
        <v/>
      </c>
      <c r="Q105" s="120">
        <f>Sheet1!O34</f>
        <v>16879</v>
      </c>
      <c r="R105" s="51">
        <f t="shared" ref="R105" si="96">Q105</f>
        <v>16879</v>
      </c>
      <c r="S105" s="50">
        <f>S102-1</f>
        <v>-33</v>
      </c>
      <c r="T105" s="121">
        <f>RTD("cqg.rtd",,"StudyData","SUBMINUTE(("&amp;$B$38&amp;"),1,Regular)","FG",,"Time","5",S105,,,,,"T")</f>
        <v>43167.635034722203</v>
      </c>
      <c r="U105" s="83" t="str">
        <f>IF(RTD("cqg.rtd",,"StudyData","SUBMINUTE(("&amp;$B$38&amp;"),1,FillGap)","Bar",,"Close","5",S105,,,,,"T")="",NA(),TEXT(RTD("cqg.rtd",,"StudyData","SUBMINUTE(("&amp;$B$38&amp;"),1,FillGap)","Bar",,"Close","5",S105,,,,,"T"),Sheet1!$D$8))</f>
        <v>2739.75</v>
      </c>
      <c r="V105" s="38">
        <f>IF( RTD("cqg.rtd",,"StudyData", "AlgOrdBidVol(SUBMINUTE(("&amp;$B$38&amp;"),1,Regular),1,0)",  "Bar",, "Open", "5",S105,,,,,"T")="",0,RTD("cqg.rtd",,"StudyData", "AlgOrdBidVol(SUBMINUTE(("&amp;$B$38&amp;"),1,Regular),1,0)",  "Bar",, "Open", "5",S105,,,,,"T"))</f>
        <v>221</v>
      </c>
      <c r="W105" s="38">
        <f>IF( RTD("cqg.rtd",,"StudyData", "AlgOrdAskVol(SUBMINUTE(("&amp;$B$38&amp;"),1,Regular),1,0)",  "Bar",, "Open", "5",S105,,,,,"T")="",0,RTD("cqg.rtd",,"StudyData", "AlgOrdAskVol(SUBMINUTE(("&amp;$B$38&amp;"),1,Regular),1,0)",  "Bar",, "Open", "5",S105,,,,,"T"))</f>
        <v>0</v>
      </c>
      <c r="X105" s="37">
        <f t="shared" ref="X105" si="97">IF(AND(V105&gt;W105,V105&gt;$V$5),1,IF(AND(V105&lt;W105,W105&gt;$W$5),-1,0))</f>
        <v>1</v>
      </c>
      <c r="Y105" s="121">
        <f>RTD("cqg.rtd",,"StudyData","SUBMINUTE(("&amp;$B$38&amp;"),5,Regular)","FG",,"Time","5",S105,,,,,"T")</f>
        <v>43167.633506944403</v>
      </c>
      <c r="Z105" s="197" t="str">
        <f>IF(RTD("cqg.rtd",,"StudyData","SUBMINUTE(("&amp;$B$38&amp;"),5,FillGap)","Bar",,"Close","5",S105,,,,,"T")="",NA(),TEXT(RTD("cqg.rtd",,"StudyData","SUBMINUTE(("&amp;$B$38&amp;"),5,FillGap)","Bar",,"Close","5",S105,,,,,"T"),Sheet1!$D$8))</f>
        <v>2739.50</v>
      </c>
      <c r="AA105" s="38">
        <f>IF( RTD("cqg.rtd",,"StudyData", "AlgOrdBidVol(SUBMINUTE(("&amp;$B$38&amp;"),5,Regular),1,0)",  "Bar",, "Open", "5",S105,,,,,"T")="",0,RTD("cqg.rtd",,"StudyData", "AlgOrdBidVol(SUBMINUTE(("&amp;$B$38&amp;"),5,Regular),1,0)",  "Bar",, "Open", "5",S105,,,,,"T"))</f>
        <v>0</v>
      </c>
      <c r="AB105" s="38">
        <f>IF( RTD("cqg.rtd",,"StudyData", "AlgOrdAskVol(SUBMINUTE(("&amp;$B$38&amp;"),5,Regular),1,0)",  "Bar",, "Open", "5",S105,,,,,"T")="",0,RTD("cqg.rtd",,"StudyData", "AlgOrdAskVol(SUBMINUTE(("&amp;$B$38&amp;"),5,Regular),1,0)",  "Bar",, "Open", "5",S105,,,,,"T"))</f>
        <v>0</v>
      </c>
      <c r="AC105" s="37">
        <f t="shared" ref="AC105" si="98">IF(AND(AA105&gt;AB105,AA105&gt;$AA$5),1,IF(AND(AA105&lt;AB105,AB105&gt;$AB$5),-1,0))</f>
        <v>0</v>
      </c>
    </row>
    <row r="106" spans="1:29" ht="3.95" customHeight="1" x14ac:dyDescent="0.3">
      <c r="A106" s="55"/>
      <c r="B106" s="15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6"/>
      <c r="N106" s="53"/>
      <c r="O106" s="119"/>
      <c r="P106" s="52"/>
      <c r="Q106" s="120"/>
      <c r="R106" s="50"/>
      <c r="S106" s="50"/>
      <c r="T106" s="121"/>
      <c r="U106" s="83"/>
      <c r="V106" s="38"/>
      <c r="W106" s="38"/>
      <c r="X106" s="38"/>
      <c r="Y106" s="121"/>
      <c r="Z106" s="197"/>
      <c r="AA106" s="38"/>
      <c r="AB106" s="38"/>
      <c r="AC106" s="38"/>
    </row>
    <row r="107" spans="1:29" ht="3.95" customHeight="1" x14ac:dyDescent="0.3">
      <c r="A107" s="56"/>
      <c r="B107" s="15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6"/>
      <c r="N107" s="53"/>
      <c r="O107" s="119"/>
      <c r="P107" s="52"/>
      <c r="Q107" s="120"/>
      <c r="R107" s="50"/>
      <c r="S107" s="50"/>
      <c r="T107" s="121"/>
      <c r="U107" s="83"/>
      <c r="V107" s="38"/>
      <c r="W107" s="38"/>
      <c r="X107" s="38"/>
      <c r="Y107" s="121"/>
      <c r="Z107" s="197"/>
      <c r="AA107" s="38"/>
      <c r="AB107" s="38"/>
      <c r="AC107" s="38"/>
    </row>
    <row r="108" spans="1:29" ht="3.95" customHeight="1" x14ac:dyDescent="0.3">
      <c r="A108" s="56"/>
      <c r="B108" s="15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6"/>
      <c r="N108" s="53" t="str">
        <f>Sheet1!L35</f>
        <v>2732.00</v>
      </c>
      <c r="O108" s="119" t="str">
        <f>Sheet1!M35</f>
        <v/>
      </c>
      <c r="P108" s="52" t="str">
        <f>Sheet1!N35</f>
        <v/>
      </c>
      <c r="Q108" s="120">
        <f>Sheet1!O35</f>
        <v>17666</v>
      </c>
      <c r="R108" s="51">
        <f t="shared" ref="R108" si="99">Q108</f>
        <v>17666</v>
      </c>
      <c r="S108" s="50">
        <f>S105-1</f>
        <v>-34</v>
      </c>
      <c r="T108" s="121">
        <f>RTD("cqg.rtd",,"StudyData","SUBMINUTE(("&amp;$B$38&amp;"),1,Regular)","FG",,"Time","5",S108,,,,,"T")</f>
        <v>43167.635023148097</v>
      </c>
      <c r="U108" s="83" t="str">
        <f>IF(RTD("cqg.rtd",,"StudyData","SUBMINUTE(("&amp;$B$38&amp;"),1,FillGap)","Bar",,"Close","5",S108,,,,,"T")="",NA(),TEXT(RTD("cqg.rtd",,"StudyData","SUBMINUTE(("&amp;$B$38&amp;"),1,FillGap)","Bar",,"Close","5",S108,,,,,"T"),Sheet1!$D$8))</f>
        <v>2739.75</v>
      </c>
      <c r="V108" s="38">
        <f>IF( RTD("cqg.rtd",,"StudyData", "AlgOrdBidVol(SUBMINUTE(("&amp;$B$38&amp;"),1,Regular),1,0)",  "Bar",, "Open", "5",S108,,,,,"T")="",0,RTD("cqg.rtd",,"StudyData", "AlgOrdBidVol(SUBMINUTE(("&amp;$B$38&amp;"),1,Regular),1,0)",  "Bar",, "Open", "5",S108,,,,,"T"))</f>
        <v>0</v>
      </c>
      <c r="W108" s="38">
        <f>IF( RTD("cqg.rtd",,"StudyData", "AlgOrdAskVol(SUBMINUTE(("&amp;$B$38&amp;"),1,Regular),1,0)",  "Bar",, "Open", "5",S108,,,,,"T")="",0,RTD("cqg.rtd",,"StudyData", "AlgOrdAskVol(SUBMINUTE(("&amp;$B$38&amp;"),1,Regular),1,0)",  "Bar",, "Open", "5",S108,,,,,"T"))</f>
        <v>0</v>
      </c>
      <c r="X108" s="37">
        <f t="shared" ref="X108" si="100">IF(AND(V108&gt;W108,V108&gt;$V$5),1,IF(AND(V108&lt;W108,W108&gt;$W$5),-1,0))</f>
        <v>0</v>
      </c>
      <c r="Y108" s="121">
        <f>RTD("cqg.rtd",,"StudyData","SUBMINUTE(("&amp;$B$38&amp;"),5,Regular)","FG",,"Time","5",S108,,,,,"T")</f>
        <v>43167.633449074099</v>
      </c>
      <c r="Z108" s="197" t="str">
        <f>IF(RTD("cqg.rtd",,"StudyData","SUBMINUTE(("&amp;$B$38&amp;"),5,FillGap)","Bar",,"Close","5",S108,,,,,"T")="",NA(),TEXT(RTD("cqg.rtd",,"StudyData","SUBMINUTE(("&amp;$B$38&amp;"),5,FillGap)","Bar",,"Close","5",S108,,,,,"T"),Sheet1!$D$8))</f>
        <v>2739.75</v>
      </c>
      <c r="AA108" s="38">
        <f>IF( RTD("cqg.rtd",,"StudyData", "AlgOrdBidVol(SUBMINUTE(("&amp;$B$38&amp;"),5,Regular),1,0)",  "Bar",, "Open", "5",S108,,,,,"T")="",0,RTD("cqg.rtd",,"StudyData", "AlgOrdBidVol(SUBMINUTE(("&amp;$B$38&amp;"),5,Regular),1,0)",  "Bar",, "Open", "5",S108,,,,,"T"))</f>
        <v>0</v>
      </c>
      <c r="AB108" s="38">
        <f>IF( RTD("cqg.rtd",,"StudyData", "AlgOrdAskVol(SUBMINUTE(("&amp;$B$38&amp;"),5,Regular),1,0)",  "Bar",, "Open", "5",S108,,,,,"T")="",0,RTD("cqg.rtd",,"StudyData", "AlgOrdAskVol(SUBMINUTE(("&amp;$B$38&amp;"),5,Regular),1,0)",  "Bar",, "Open", "5",S108,,,,,"T"))</f>
        <v>0</v>
      </c>
      <c r="AC108" s="37">
        <f t="shared" ref="AC108" si="101">IF(AND(AA108&gt;AB108,AA108&gt;$AA$5),1,IF(AND(AA108&lt;AB108,AB108&gt;$AB$5),-1,0))</f>
        <v>0</v>
      </c>
    </row>
    <row r="109" spans="1:29" ht="3.95" customHeight="1" x14ac:dyDescent="0.3">
      <c r="A109" s="56"/>
      <c r="B109" s="15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6"/>
      <c r="N109" s="53"/>
      <c r="O109" s="119"/>
      <c r="P109" s="52"/>
      <c r="Q109" s="120"/>
      <c r="R109" s="50"/>
      <c r="S109" s="50"/>
      <c r="T109" s="121"/>
      <c r="U109" s="83"/>
      <c r="V109" s="38"/>
      <c r="W109" s="38"/>
      <c r="X109" s="38"/>
      <c r="Y109" s="121"/>
      <c r="Z109" s="197"/>
      <c r="AA109" s="38"/>
      <c r="AB109" s="38"/>
      <c r="AC109" s="38"/>
    </row>
    <row r="110" spans="1:29" ht="3.95" customHeight="1" x14ac:dyDescent="0.3">
      <c r="A110" s="55"/>
      <c r="B110" s="15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6"/>
      <c r="N110" s="53"/>
      <c r="O110" s="119"/>
      <c r="P110" s="52"/>
      <c r="Q110" s="120"/>
      <c r="R110" s="50"/>
      <c r="S110" s="50"/>
      <c r="T110" s="121"/>
      <c r="U110" s="83"/>
      <c r="V110" s="38"/>
      <c r="W110" s="38"/>
      <c r="X110" s="38"/>
      <c r="Y110" s="121"/>
      <c r="Z110" s="197"/>
      <c r="AA110" s="38"/>
      <c r="AB110" s="38"/>
      <c r="AC110" s="38"/>
    </row>
    <row r="111" spans="1:29" ht="3.95" customHeight="1" x14ac:dyDescent="0.3">
      <c r="A111" s="56"/>
      <c r="B111" s="15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6"/>
      <c r="N111" s="53" t="str">
        <f>Sheet1!L36</f>
        <v>2731.75</v>
      </c>
      <c r="O111" s="119" t="str">
        <f>Sheet1!M36</f>
        <v/>
      </c>
      <c r="P111" s="52" t="str">
        <f>Sheet1!N36</f>
        <v/>
      </c>
      <c r="Q111" s="120">
        <f>Sheet1!O36</f>
        <v>17005</v>
      </c>
      <c r="R111" s="51">
        <f t="shared" ref="R111" si="102">Q111</f>
        <v>17005</v>
      </c>
      <c r="S111" s="50">
        <f>S108-1</f>
        <v>-35</v>
      </c>
      <c r="T111" s="121">
        <f>RTD("cqg.rtd",,"StudyData","SUBMINUTE(("&amp;$B$38&amp;"),1,Regular)","FG",,"Time","5",S111,,,,,"T")</f>
        <v>43167.635011574101</v>
      </c>
      <c r="U111" s="83" t="str">
        <f>IF(RTD("cqg.rtd",,"StudyData","SUBMINUTE(("&amp;$B$38&amp;"),1,FillGap)","Bar",,"Close","5",S111,,,,,"T")="",NA(),TEXT(RTD("cqg.rtd",,"StudyData","SUBMINUTE(("&amp;$B$38&amp;"),1,FillGap)","Bar",,"Close","5",S111,,,,,"T"),Sheet1!$D$8))</f>
        <v>2739.75</v>
      </c>
      <c r="V111" s="38">
        <f>IF( RTD("cqg.rtd",,"StudyData", "AlgOrdBidVol(SUBMINUTE(("&amp;$B$38&amp;"),1,Regular),1,0)",  "Bar",, "Open", "5",S111,,,,,"T")="",0,RTD("cqg.rtd",,"StudyData", "AlgOrdBidVol(SUBMINUTE(("&amp;$B$38&amp;"),1,Regular),1,0)",  "Bar",, "Open", "5",S111,,,,,"T"))</f>
        <v>0</v>
      </c>
      <c r="W111" s="38">
        <f>IF( RTD("cqg.rtd",,"StudyData", "AlgOrdAskVol(SUBMINUTE(("&amp;$B$38&amp;"),1,Regular),1,0)",  "Bar",, "Open", "5",S111,,,,,"T")="",0,RTD("cqg.rtd",,"StudyData", "AlgOrdAskVol(SUBMINUTE(("&amp;$B$38&amp;"),1,Regular),1,0)",  "Bar",, "Open", "5",S111,,,,,"T"))</f>
        <v>0</v>
      </c>
      <c r="X111" s="37">
        <f t="shared" ref="X111" si="103">IF(AND(V111&gt;W111,V111&gt;$V$5),1,IF(AND(V111&lt;W111,W111&gt;$W$5),-1,0))</f>
        <v>0</v>
      </c>
      <c r="Y111" s="121">
        <f>RTD("cqg.rtd",,"StudyData","SUBMINUTE(("&amp;$B$38&amp;"),5,Regular)","FG",,"Time","5",S111,,,,,"T")</f>
        <v>43167.633391203701</v>
      </c>
      <c r="Z111" s="197" t="str">
        <f>IF(RTD("cqg.rtd",,"StudyData","SUBMINUTE(("&amp;$B$38&amp;"),5,FillGap)","Bar",,"Close","5",S111,,,,,"T")="",NA(),TEXT(RTD("cqg.rtd",,"StudyData","SUBMINUTE(("&amp;$B$38&amp;"),5,FillGap)","Bar",,"Close","5",S111,,,,,"T"),Sheet1!$D$8))</f>
        <v>2739.50</v>
      </c>
      <c r="AA111" s="38">
        <f>IF( RTD("cqg.rtd",,"StudyData", "AlgOrdBidVol(SUBMINUTE(("&amp;$B$38&amp;"),5,Regular),1,0)",  "Bar",, "Open", "5",S111,,,,,"T")="",0,RTD("cqg.rtd",,"StudyData", "AlgOrdBidVol(SUBMINUTE(("&amp;$B$38&amp;"),5,Regular),1,0)",  "Bar",, "Open", "5",S111,,,,,"T"))</f>
        <v>0</v>
      </c>
      <c r="AB111" s="38">
        <f>IF( RTD("cqg.rtd",,"StudyData", "AlgOrdAskVol(SUBMINUTE(("&amp;$B$38&amp;"),5,Regular),1,0)",  "Bar",, "Open", "5",S111,,,,,"T")="",0,RTD("cqg.rtd",,"StudyData", "AlgOrdAskVol(SUBMINUTE(("&amp;$B$38&amp;"),5,Regular),1,0)",  "Bar",, "Open", "5",S111,,,,,"T"))</f>
        <v>0</v>
      </c>
      <c r="AC111" s="37">
        <f t="shared" ref="AC111" si="104">IF(AND(AA111&gt;AB111,AA111&gt;$AA$5),1,IF(AND(AA111&lt;AB111,AB111&gt;$AB$5),-1,0))</f>
        <v>0</v>
      </c>
    </row>
    <row r="112" spans="1:29" ht="3.95" customHeight="1" x14ac:dyDescent="0.3">
      <c r="A112" s="56"/>
      <c r="B112" s="15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6"/>
      <c r="N112" s="53"/>
      <c r="O112" s="119"/>
      <c r="P112" s="52"/>
      <c r="Q112" s="120"/>
      <c r="R112" s="50"/>
      <c r="S112" s="50"/>
      <c r="T112" s="121"/>
      <c r="U112" s="83"/>
      <c r="V112" s="38"/>
      <c r="W112" s="38"/>
      <c r="X112" s="38"/>
      <c r="Y112" s="121"/>
      <c r="Z112" s="197"/>
      <c r="AA112" s="38"/>
      <c r="AB112" s="38"/>
      <c r="AC112" s="38"/>
    </row>
    <row r="113" spans="1:29" ht="3.95" customHeight="1" x14ac:dyDescent="0.3">
      <c r="A113" s="56"/>
      <c r="B113" s="15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6"/>
      <c r="N113" s="53"/>
      <c r="O113" s="119"/>
      <c r="P113" s="52"/>
      <c r="Q113" s="120"/>
      <c r="R113" s="50"/>
      <c r="S113" s="50"/>
      <c r="T113" s="121"/>
      <c r="U113" s="83"/>
      <c r="V113" s="38"/>
      <c r="W113" s="38"/>
      <c r="X113" s="38"/>
      <c r="Y113" s="121"/>
      <c r="Z113" s="197"/>
      <c r="AA113" s="38"/>
      <c r="AB113" s="38"/>
      <c r="AC113" s="38"/>
    </row>
    <row r="114" spans="1:29" ht="3.95" customHeight="1" x14ac:dyDescent="0.3">
      <c r="A114" s="55"/>
      <c r="B114" s="17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9"/>
      <c r="N114" s="53" t="str">
        <f>Sheet1!L37</f>
        <v>2731.50</v>
      </c>
      <c r="O114" s="119" t="str">
        <f>Sheet1!M37</f>
        <v/>
      </c>
      <c r="P114" s="52" t="str">
        <f>Sheet1!N37</f>
        <v/>
      </c>
      <c r="Q114" s="120">
        <f>Sheet1!O37</f>
        <v>18603</v>
      </c>
      <c r="R114" s="51">
        <f t="shared" ref="R114" si="105">Q114</f>
        <v>18603</v>
      </c>
      <c r="S114" s="50">
        <f>S111-1</f>
        <v>-36</v>
      </c>
      <c r="T114" s="121">
        <f>RTD("cqg.rtd",,"StudyData","SUBMINUTE(("&amp;$B$38&amp;"),1,Regular)","FG",,"Time","5",S114,,,,,"T")</f>
        <v>43167.635000000002</v>
      </c>
      <c r="U114" s="83" t="str">
        <f>IF(RTD("cqg.rtd",,"StudyData","SUBMINUTE(("&amp;$B$38&amp;"),1,FillGap)","Bar",,"Close","5",S114,,,,,"T")="",NA(),TEXT(RTD("cqg.rtd",,"StudyData","SUBMINUTE(("&amp;$B$38&amp;"),1,FillGap)","Bar",,"Close","5",S114,,,,,"T"),Sheet1!$D$8))</f>
        <v>2739.75</v>
      </c>
      <c r="V114" s="38">
        <f>IF( RTD("cqg.rtd",,"StudyData", "AlgOrdBidVol(SUBMINUTE(("&amp;$B$38&amp;"),1,Regular),1,0)",  "Bar",, "Open", "5",S114,,,,,"T")="",0,RTD("cqg.rtd",,"StudyData", "AlgOrdBidVol(SUBMINUTE(("&amp;$B$38&amp;"),1,Regular),1,0)",  "Bar",, "Open", "5",S114,,,,,"T"))</f>
        <v>0</v>
      </c>
      <c r="W114" s="38">
        <f>IF( RTD("cqg.rtd",,"StudyData", "AlgOrdAskVol(SUBMINUTE(("&amp;$B$38&amp;"),1,Regular),1,0)",  "Bar",, "Open", "5",S114,,,,,"T")="",0,RTD("cqg.rtd",,"StudyData", "AlgOrdAskVol(SUBMINUTE(("&amp;$B$38&amp;"),1,Regular),1,0)",  "Bar",, "Open", "5",S114,,,,,"T"))</f>
        <v>19</v>
      </c>
      <c r="X114" s="37">
        <f t="shared" ref="X114" si="106">IF(AND(V114&gt;W114,V114&gt;$V$5),1,IF(AND(V114&lt;W114,W114&gt;$W$5),-1,0))</f>
        <v>-1</v>
      </c>
      <c r="Y114" s="121">
        <f>RTD("cqg.rtd",,"StudyData","SUBMINUTE(("&amp;$B$38&amp;"),5,Regular)","FG",,"Time","5",S114,,,,,"T")</f>
        <v>43167.633333333302</v>
      </c>
      <c r="Z114" s="197" t="str">
        <f>IF(RTD("cqg.rtd",,"StudyData","SUBMINUTE(("&amp;$B$38&amp;"),5,FillGap)","Bar",,"Close","5",S114,,,,,"T")="",NA(),TEXT(RTD("cqg.rtd",,"StudyData","SUBMINUTE(("&amp;$B$38&amp;"),5,FillGap)","Bar",,"Close","5",S114,,,,,"T"),Sheet1!$D$8))</f>
        <v>2739.50</v>
      </c>
      <c r="AA114" s="38">
        <f>IF( RTD("cqg.rtd",,"StudyData", "AlgOrdBidVol(SUBMINUTE(("&amp;$B$38&amp;"),5,Regular),1,0)",  "Bar",, "Open", "5",S114,,,,,"T")="",0,RTD("cqg.rtd",,"StudyData", "AlgOrdBidVol(SUBMINUTE(("&amp;$B$38&amp;"),5,Regular),1,0)",  "Bar",, "Open", "5",S114,,,,,"T"))</f>
        <v>0</v>
      </c>
      <c r="AB114" s="38">
        <f>IF( RTD("cqg.rtd",,"StudyData", "AlgOrdAskVol(SUBMINUTE(("&amp;$B$38&amp;"),5,Regular),1,0)",  "Bar",, "Open", "5",S114,,,,,"T")="",0,RTD("cqg.rtd",,"StudyData", "AlgOrdAskVol(SUBMINUTE(("&amp;$B$38&amp;"),5,Regular),1,0)",  "Bar",, "Open", "5",S114,,,,,"T"))</f>
        <v>1</v>
      </c>
      <c r="AC114" s="37">
        <f t="shared" ref="AC114" si="107">IF(AND(AA114&gt;AB114,AA114&gt;$AA$5),1,IF(AND(AA114&lt;AB114,AB114&gt;$AB$5),-1,0))</f>
        <v>0</v>
      </c>
    </row>
    <row r="115" spans="1:29" ht="3.95" customHeight="1" x14ac:dyDescent="0.3">
      <c r="A115" s="56"/>
      <c r="B115" s="188" t="s">
        <v>26</v>
      </c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90"/>
      <c r="N115" s="53"/>
      <c r="O115" s="119"/>
      <c r="P115" s="52"/>
      <c r="Q115" s="120"/>
      <c r="R115" s="50"/>
      <c r="S115" s="50"/>
      <c r="T115" s="121"/>
      <c r="U115" s="83"/>
      <c r="V115" s="38"/>
      <c r="W115" s="38"/>
      <c r="X115" s="38"/>
      <c r="Y115" s="121"/>
      <c r="Z115" s="197"/>
      <c r="AA115" s="38"/>
      <c r="AB115" s="38"/>
      <c r="AC115" s="38"/>
    </row>
    <row r="116" spans="1:29" ht="3.95" customHeight="1" x14ac:dyDescent="0.3">
      <c r="A116" s="56"/>
      <c r="B116" s="191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3"/>
      <c r="N116" s="53"/>
      <c r="O116" s="119"/>
      <c r="P116" s="52"/>
      <c r="Q116" s="120"/>
      <c r="R116" s="50"/>
      <c r="S116" s="50"/>
      <c r="T116" s="121"/>
      <c r="U116" s="83"/>
      <c r="V116" s="38"/>
      <c r="W116" s="38"/>
      <c r="X116" s="38"/>
      <c r="Y116" s="121"/>
      <c r="Z116" s="197"/>
      <c r="AA116" s="38"/>
      <c r="AB116" s="38"/>
      <c r="AC116" s="38"/>
    </row>
    <row r="117" spans="1:29" ht="3.95" customHeight="1" x14ac:dyDescent="0.3">
      <c r="A117" s="56"/>
      <c r="B117" s="191"/>
      <c r="C117" s="192"/>
      <c r="D117" s="192"/>
      <c r="E117" s="192"/>
      <c r="F117" s="192"/>
      <c r="G117" s="192"/>
      <c r="H117" s="192"/>
      <c r="I117" s="192"/>
      <c r="J117" s="192"/>
      <c r="K117" s="192"/>
      <c r="L117" s="192"/>
      <c r="M117" s="193"/>
      <c r="N117" s="53" t="str">
        <f>Sheet1!L38</f>
        <v>2731.25</v>
      </c>
      <c r="O117" s="119" t="str">
        <f>Sheet1!M38</f>
        <v/>
      </c>
      <c r="P117" s="52" t="str">
        <f>Sheet1!N38</f>
        <v/>
      </c>
      <c r="Q117" s="120">
        <f>Sheet1!O38</f>
        <v>18966</v>
      </c>
      <c r="R117" s="51">
        <f t="shared" ref="R117" si="108">Q117</f>
        <v>18966</v>
      </c>
      <c r="S117" s="50">
        <f>S114-1</f>
        <v>-37</v>
      </c>
      <c r="T117" s="121">
        <f>RTD("cqg.rtd",,"StudyData","SUBMINUTE(("&amp;$B$38&amp;"),1,Regular)","FG",,"Time","5",S117,,,,,"T")</f>
        <v>43167.634988425903</v>
      </c>
      <c r="U117" s="83" t="str">
        <f>IF(RTD("cqg.rtd",,"StudyData","SUBMINUTE(("&amp;$B$38&amp;"),1,FillGap)","Bar",,"Close","5",S117,,,,,"T")="",NA(),TEXT(RTD("cqg.rtd",,"StudyData","SUBMINUTE(("&amp;$B$38&amp;"),1,FillGap)","Bar",,"Close","5",S117,,,,,"T"),Sheet1!$D$8))</f>
        <v>2739.50</v>
      </c>
      <c r="V117" s="38">
        <f>IF( RTD("cqg.rtd",,"StudyData", "AlgOrdBidVol(SUBMINUTE(("&amp;$B$38&amp;"),1,Regular),1,0)",  "Bar",, "Open", "5",S117,,,,,"T")="",0,RTD("cqg.rtd",,"StudyData", "AlgOrdBidVol(SUBMINUTE(("&amp;$B$38&amp;"),1,Regular),1,0)",  "Bar",, "Open", "5",S117,,,,,"T"))</f>
        <v>15</v>
      </c>
      <c r="W117" s="38">
        <f>IF( RTD("cqg.rtd",,"StudyData", "AlgOrdAskVol(SUBMINUTE(("&amp;$B$38&amp;"),1,Regular),1,0)",  "Bar",, "Open", "5",S117,,,,,"T")="",0,RTD("cqg.rtd",,"StudyData", "AlgOrdAskVol(SUBMINUTE(("&amp;$B$38&amp;"),1,Regular),1,0)",  "Bar",, "Open", "5",S117,,,,,"T"))</f>
        <v>0</v>
      </c>
      <c r="X117" s="37">
        <f t="shared" ref="X117" si="109">IF(AND(V117&gt;W117,V117&gt;$V$5),1,IF(AND(V117&lt;W117,W117&gt;$W$5),-1,0))</f>
        <v>1</v>
      </c>
      <c r="Y117" s="121">
        <f>RTD("cqg.rtd",,"StudyData","SUBMINUTE(("&amp;$B$38&amp;"),5,Regular)","FG",,"Time","5",S117,,,,,"T")</f>
        <v>43167.633275462998</v>
      </c>
      <c r="Z117" s="197" t="str">
        <f>IF(RTD("cqg.rtd",,"StudyData","SUBMINUTE(("&amp;$B$38&amp;"),5,FillGap)","Bar",,"Close","5",S117,,,,,"T")="",NA(),TEXT(RTD("cqg.rtd",,"StudyData","SUBMINUTE(("&amp;$B$38&amp;"),5,FillGap)","Bar",,"Close","5",S117,,,,,"T"),Sheet1!$D$8))</f>
        <v>2739.50</v>
      </c>
      <c r="AA117" s="38">
        <f>IF( RTD("cqg.rtd",,"StudyData", "AlgOrdBidVol(SUBMINUTE(("&amp;$B$38&amp;"),5,Regular),1,0)",  "Bar",, "Open", "5",S117,,,,,"T")="",0,RTD("cqg.rtd",,"StudyData", "AlgOrdBidVol(SUBMINUTE(("&amp;$B$38&amp;"),5,Regular),1,0)",  "Bar",, "Open", "5",S117,,,,,"T"))</f>
        <v>36</v>
      </c>
      <c r="AB117" s="38">
        <f>IF( RTD("cqg.rtd",,"StudyData", "AlgOrdAskVol(SUBMINUTE(("&amp;$B$38&amp;"),5,Regular),1,0)",  "Bar",, "Open", "5",S117,,,,,"T")="",0,RTD("cqg.rtd",,"StudyData", "AlgOrdAskVol(SUBMINUTE(("&amp;$B$38&amp;"),5,Regular),1,0)",  "Bar",, "Open", "5",S117,,,,,"T"))</f>
        <v>0</v>
      </c>
      <c r="AC117" s="37">
        <f t="shared" ref="AC117" si="110">IF(AND(AA117&gt;AB117,AA117&gt;$AA$5),1,IF(AND(AA117&lt;AB117,AB117&gt;$AB$5),-1,0))</f>
        <v>1</v>
      </c>
    </row>
    <row r="118" spans="1:29" ht="3.95" customHeight="1" x14ac:dyDescent="0.3">
      <c r="A118" s="55"/>
      <c r="B118" s="191"/>
      <c r="C118" s="192"/>
      <c r="D118" s="192"/>
      <c r="E118" s="192"/>
      <c r="F118" s="192"/>
      <c r="G118" s="192"/>
      <c r="H118" s="192"/>
      <c r="I118" s="192"/>
      <c r="J118" s="192"/>
      <c r="K118" s="192"/>
      <c r="L118" s="192"/>
      <c r="M118" s="193"/>
      <c r="N118" s="53"/>
      <c r="O118" s="119"/>
      <c r="P118" s="52"/>
      <c r="Q118" s="120"/>
      <c r="R118" s="50"/>
      <c r="S118" s="50"/>
      <c r="T118" s="121"/>
      <c r="U118" s="83"/>
      <c r="V118" s="38"/>
      <c r="W118" s="38"/>
      <c r="X118" s="38"/>
      <c r="Y118" s="121"/>
      <c r="Z118" s="197"/>
      <c r="AA118" s="38"/>
      <c r="AB118" s="38"/>
      <c r="AC118" s="38"/>
    </row>
    <row r="119" spans="1:29" ht="3.95" customHeight="1" x14ac:dyDescent="0.3">
      <c r="A119" s="56"/>
      <c r="B119" s="194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6"/>
      <c r="N119" s="53"/>
      <c r="O119" s="119"/>
      <c r="P119" s="52"/>
      <c r="Q119" s="120"/>
      <c r="R119" s="50"/>
      <c r="S119" s="50"/>
      <c r="T119" s="121"/>
      <c r="U119" s="83"/>
      <c r="V119" s="38"/>
      <c r="W119" s="38"/>
      <c r="X119" s="38"/>
      <c r="Y119" s="121"/>
      <c r="Z119" s="197"/>
      <c r="AA119" s="38"/>
      <c r="AB119" s="38"/>
      <c r="AC119" s="38"/>
    </row>
    <row r="120" spans="1:29" ht="3.95" customHeight="1" x14ac:dyDescent="0.3">
      <c r="A120" s="56"/>
      <c r="B120" s="15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6"/>
      <c r="N120" s="53" t="str">
        <f>Sheet1!L39</f>
        <v>2731.00</v>
      </c>
      <c r="O120" s="119" t="str">
        <f>Sheet1!M39</f>
        <v/>
      </c>
      <c r="P120" s="52" t="str">
        <f>Sheet1!N39</f>
        <v/>
      </c>
      <c r="Q120" s="120">
        <f>Sheet1!O39</f>
        <v>17656</v>
      </c>
      <c r="R120" s="51">
        <f t="shared" ref="R120" si="111">Q120</f>
        <v>17656</v>
      </c>
      <c r="S120" s="50">
        <f>S117-1</f>
        <v>-38</v>
      </c>
      <c r="T120" s="121">
        <f>RTD("cqg.rtd",,"StudyData","SUBMINUTE(("&amp;$B$38&amp;"),1,Regular)","FG",,"Time","5",S120,,,,,"T")</f>
        <v>43167.634976851899</v>
      </c>
      <c r="U120" s="83" t="str">
        <f>IF(RTD("cqg.rtd",,"StudyData","SUBMINUTE(("&amp;$B$38&amp;"),1,FillGap)","Bar",,"Close","5",S120,,,,,"T")="",NA(),TEXT(RTD("cqg.rtd",,"StudyData","SUBMINUTE(("&amp;$B$38&amp;"),1,FillGap)","Bar",,"Close","5",S120,,,,,"T"),Sheet1!$D$8))</f>
        <v>2739.75</v>
      </c>
      <c r="V120" s="38">
        <f>IF( RTD("cqg.rtd",,"StudyData", "AlgOrdBidVol(SUBMINUTE(("&amp;$B$38&amp;"),1,Regular),1,0)",  "Bar",, "Open", "5",S120,,,,,"T")="",0,RTD("cqg.rtd",,"StudyData", "AlgOrdBidVol(SUBMINUTE(("&amp;$B$38&amp;"),1,Regular),1,0)",  "Bar",, "Open", "5",S120,,,,,"T"))</f>
        <v>0</v>
      </c>
      <c r="W120" s="38">
        <f>IF( RTD("cqg.rtd",,"StudyData", "AlgOrdAskVol(SUBMINUTE(("&amp;$B$38&amp;"),1,Regular),1,0)",  "Bar",, "Open", "5",S120,,,,,"T")="",0,RTD("cqg.rtd",,"StudyData", "AlgOrdAskVol(SUBMINUTE(("&amp;$B$38&amp;"),1,Regular),1,0)",  "Bar",, "Open", "5",S120,,,,,"T"))</f>
        <v>0</v>
      </c>
      <c r="X120" s="37">
        <f t="shared" ref="X120" si="112">IF(AND(V120&gt;W120,V120&gt;$V$5),1,IF(AND(V120&lt;W120,W120&gt;$W$5),-1,0))</f>
        <v>0</v>
      </c>
      <c r="Y120" s="121">
        <f>RTD("cqg.rtd",,"StudyData","SUBMINUTE(("&amp;$B$38&amp;"),5,Regular)","FG",,"Time","5",S120,,,,,"T")</f>
        <v>43167.6332175926</v>
      </c>
      <c r="Z120" s="197" t="str">
        <f>IF(RTD("cqg.rtd",,"StudyData","SUBMINUTE(("&amp;$B$38&amp;"),5,FillGap)","Bar",,"Close","5",S120,,,,,"T")="",NA(),TEXT(RTD("cqg.rtd",,"StudyData","SUBMINUTE(("&amp;$B$38&amp;"),5,FillGap)","Bar",,"Close","5",S120,,,,,"T"),Sheet1!$D$8))</f>
        <v>2739.50</v>
      </c>
      <c r="AA120" s="38">
        <f>IF( RTD("cqg.rtd",,"StudyData", "AlgOrdBidVol(SUBMINUTE(("&amp;$B$38&amp;"),5,Regular),1,0)",  "Bar",, "Open", "5",S120,,,,,"T")="",0,RTD("cqg.rtd",,"StudyData", "AlgOrdBidVol(SUBMINUTE(("&amp;$B$38&amp;"),5,Regular),1,0)",  "Bar",, "Open", "5",S120,,,,,"T"))</f>
        <v>4</v>
      </c>
      <c r="AB120" s="38">
        <f>IF( RTD("cqg.rtd",,"StudyData", "AlgOrdAskVol(SUBMINUTE(("&amp;$B$38&amp;"),5,Regular),1,0)",  "Bar",, "Open", "5",S120,,,,,"T")="",0,RTD("cqg.rtd",,"StudyData", "AlgOrdAskVol(SUBMINUTE(("&amp;$B$38&amp;"),5,Regular),1,0)",  "Bar",, "Open", "5",S120,,,,,"T"))</f>
        <v>39</v>
      </c>
      <c r="AC120" s="37">
        <f t="shared" ref="AC120" si="113">IF(AND(AA120&gt;AB120,AA120&gt;$AA$5),1,IF(AND(AA120&lt;AB120,AB120&gt;$AB$5),-1,0))</f>
        <v>-1</v>
      </c>
    </row>
    <row r="121" spans="1:29" ht="3.95" customHeight="1" x14ac:dyDescent="0.3">
      <c r="A121" s="56"/>
      <c r="B121" s="15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6"/>
      <c r="N121" s="53"/>
      <c r="O121" s="119"/>
      <c r="P121" s="52"/>
      <c r="Q121" s="120"/>
      <c r="R121" s="50"/>
      <c r="S121" s="50"/>
      <c r="T121" s="121"/>
      <c r="U121" s="83"/>
      <c r="V121" s="38"/>
      <c r="W121" s="38"/>
      <c r="X121" s="38"/>
      <c r="Y121" s="121"/>
      <c r="Z121" s="197"/>
      <c r="AA121" s="38"/>
      <c r="AB121" s="38"/>
      <c r="AC121" s="38"/>
    </row>
    <row r="122" spans="1:29" ht="3.95" customHeight="1" x14ac:dyDescent="0.3">
      <c r="A122" s="55"/>
      <c r="B122" s="15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6"/>
      <c r="N122" s="53"/>
      <c r="O122" s="119"/>
      <c r="P122" s="52"/>
      <c r="Q122" s="120"/>
      <c r="R122" s="50"/>
      <c r="S122" s="50"/>
      <c r="T122" s="121"/>
      <c r="U122" s="83"/>
      <c r="V122" s="38"/>
      <c r="W122" s="38"/>
      <c r="X122" s="38"/>
      <c r="Y122" s="121"/>
      <c r="Z122" s="197"/>
      <c r="AA122" s="38"/>
      <c r="AB122" s="38"/>
      <c r="AC122" s="38"/>
    </row>
    <row r="123" spans="1:29" ht="3.95" customHeight="1" x14ac:dyDescent="0.3">
      <c r="A123" s="56"/>
      <c r="B123" s="15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6"/>
      <c r="N123" s="53" t="str">
        <f>Sheet1!L40</f>
        <v>2730.75</v>
      </c>
      <c r="O123" s="119" t="str">
        <f>Sheet1!M40</f>
        <v/>
      </c>
      <c r="P123" s="52" t="str">
        <f>Sheet1!N40</f>
        <v/>
      </c>
      <c r="Q123" s="120">
        <f>Sheet1!O40</f>
        <v>19185</v>
      </c>
      <c r="R123" s="51">
        <f t="shared" ref="R123" si="114">Q123</f>
        <v>19185</v>
      </c>
      <c r="S123" s="50">
        <f>S120-1</f>
        <v>-39</v>
      </c>
      <c r="T123" s="121">
        <f>RTD("cqg.rtd",,"StudyData","SUBMINUTE(("&amp;$B$38&amp;"),1,Regular)","FG",,"Time","5",S123,,,,,"T")</f>
        <v>43167.634965277801</v>
      </c>
      <c r="U123" s="83" t="str">
        <f>IF(RTD("cqg.rtd",,"StudyData","SUBMINUTE(("&amp;$B$38&amp;"),1,FillGap)","Bar",,"Close","5",S123,,,,,"T")="",NA(),TEXT(RTD("cqg.rtd",,"StudyData","SUBMINUTE(("&amp;$B$38&amp;"),1,FillGap)","Bar",,"Close","5",S123,,,,,"T"),Sheet1!$D$8))</f>
        <v>2739.50</v>
      </c>
      <c r="V123" s="38">
        <f>IF( RTD("cqg.rtd",,"StudyData", "AlgOrdBidVol(SUBMINUTE(("&amp;$B$38&amp;"),1,Regular),1,0)",  "Bar",, "Open", "5",S123,,,,,"T")="",0,RTD("cqg.rtd",,"StudyData", "AlgOrdBidVol(SUBMINUTE(("&amp;$B$38&amp;"),1,Regular),1,0)",  "Bar",, "Open", "5",S123,,,,,"T"))</f>
        <v>0</v>
      </c>
      <c r="W123" s="38">
        <f>IF( RTD("cqg.rtd",,"StudyData", "AlgOrdAskVol(SUBMINUTE(("&amp;$B$38&amp;"),1,Regular),1,0)",  "Bar",, "Open", "5",S123,,,,,"T")="",0,RTD("cqg.rtd",,"StudyData", "AlgOrdAskVol(SUBMINUTE(("&amp;$B$38&amp;"),1,Regular),1,0)",  "Bar",, "Open", "5",S123,,,,,"T"))</f>
        <v>6</v>
      </c>
      <c r="X123" s="37">
        <f t="shared" ref="X123" si="115">IF(AND(V123&gt;W123,V123&gt;$V$5),1,IF(AND(V123&lt;W123,W123&gt;$W$5),-1,0))</f>
        <v>-1</v>
      </c>
      <c r="Y123" s="121">
        <f>RTD("cqg.rtd",,"StudyData","SUBMINUTE(("&amp;$B$38&amp;"),5,Regular)","FG",,"Time","5",S123,,,,,"T")</f>
        <v>43167.633159722202</v>
      </c>
      <c r="Z123" s="197" t="str">
        <f>IF(RTD("cqg.rtd",,"StudyData","SUBMINUTE(("&amp;$B$38&amp;"),5,FillGap)","Bar",,"Close","5",S123,,,,,"T")="",NA(),TEXT(RTD("cqg.rtd",,"StudyData","SUBMINUTE(("&amp;$B$38&amp;"),5,FillGap)","Bar",,"Close","5",S123,,,,,"T"),Sheet1!$D$8))</f>
        <v>2739.75</v>
      </c>
      <c r="AA123" s="38">
        <f>IF( RTD("cqg.rtd",,"StudyData", "AlgOrdBidVol(SUBMINUTE(("&amp;$B$38&amp;"),5,Regular),1,0)",  "Bar",, "Open", "5",S123,,,,,"T")="",0,RTD("cqg.rtd",,"StudyData", "AlgOrdBidVol(SUBMINUTE(("&amp;$B$38&amp;"),5,Regular),1,0)",  "Bar",, "Open", "5",S123,,,,,"T"))</f>
        <v>2</v>
      </c>
      <c r="AB123" s="38">
        <f>IF( RTD("cqg.rtd",,"StudyData", "AlgOrdAskVol(SUBMINUTE(("&amp;$B$38&amp;"),5,Regular),1,0)",  "Bar",, "Open", "5",S123,,,,,"T")="",0,RTD("cqg.rtd",,"StudyData", "AlgOrdAskVol(SUBMINUTE(("&amp;$B$38&amp;"),5,Regular),1,0)",  "Bar",, "Open", "5",S123,,,,,"T"))</f>
        <v>30</v>
      </c>
      <c r="AC123" s="37">
        <f t="shared" ref="AC123" si="116">IF(AND(AA123&gt;AB123,AA123&gt;$AA$5),1,IF(AND(AA123&lt;AB123,AB123&gt;$AB$5),-1,0))</f>
        <v>-1</v>
      </c>
    </row>
    <row r="124" spans="1:29" ht="3.95" customHeight="1" x14ac:dyDescent="0.3">
      <c r="A124" s="56"/>
      <c r="B124" s="15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6"/>
      <c r="N124" s="53"/>
      <c r="O124" s="119"/>
      <c r="P124" s="52"/>
      <c r="Q124" s="120"/>
      <c r="R124" s="50"/>
      <c r="S124" s="50"/>
      <c r="T124" s="121"/>
      <c r="U124" s="83"/>
      <c r="V124" s="38"/>
      <c r="W124" s="38"/>
      <c r="X124" s="38"/>
      <c r="Y124" s="121"/>
      <c r="Z124" s="197"/>
      <c r="AA124" s="38"/>
      <c r="AB124" s="38"/>
      <c r="AC124" s="38"/>
    </row>
    <row r="125" spans="1:29" ht="3.95" customHeight="1" x14ac:dyDescent="0.3">
      <c r="A125" s="56"/>
      <c r="B125" s="15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6"/>
      <c r="N125" s="53"/>
      <c r="O125" s="119"/>
      <c r="P125" s="52"/>
      <c r="Q125" s="120"/>
      <c r="R125" s="50"/>
      <c r="S125" s="50"/>
      <c r="T125" s="121"/>
      <c r="U125" s="83"/>
      <c r="V125" s="38"/>
      <c r="W125" s="38"/>
      <c r="X125" s="38"/>
      <c r="Y125" s="121"/>
      <c r="Z125" s="197"/>
      <c r="AA125" s="38"/>
      <c r="AB125" s="38"/>
      <c r="AC125" s="38"/>
    </row>
    <row r="126" spans="1:29" ht="3.95" customHeight="1" x14ac:dyDescent="0.3">
      <c r="A126" s="55"/>
      <c r="B126" s="15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6"/>
      <c r="N126" s="53" t="str">
        <f>Sheet1!L41</f>
        <v>2730.50</v>
      </c>
      <c r="O126" s="119" t="str">
        <f>Sheet1!M41</f>
        <v/>
      </c>
      <c r="P126" s="52" t="str">
        <f>Sheet1!N41</f>
        <v/>
      </c>
      <c r="Q126" s="120">
        <f>Sheet1!O41</f>
        <v>21303</v>
      </c>
      <c r="R126" s="51">
        <f t="shared" ref="R126" si="117">Q126</f>
        <v>21303</v>
      </c>
      <c r="S126" s="50">
        <f>S123-1</f>
        <v>-40</v>
      </c>
      <c r="T126" s="121">
        <f>RTD("cqg.rtd",,"StudyData","SUBMINUTE(("&amp;$B$38&amp;"),1,Regular)","FG",,"Time","5",S126,,,,,"T")</f>
        <v>43167.634953703702</v>
      </c>
      <c r="U126" s="83" t="str">
        <f>IF(RTD("cqg.rtd",,"StudyData","SUBMINUTE(("&amp;$B$38&amp;"),1,FillGap)","Bar",,"Close","5",S126,,,,,"T")="",NA(),TEXT(RTD("cqg.rtd",,"StudyData","SUBMINUTE(("&amp;$B$38&amp;"),1,FillGap)","Bar",,"Close","5",S126,,,,,"T"),Sheet1!$D$8))</f>
        <v>2739.50</v>
      </c>
      <c r="V126" s="38">
        <f>IF( RTD("cqg.rtd",,"StudyData", "AlgOrdBidVol(SUBMINUTE(("&amp;$B$38&amp;"),1,Regular),1,0)",  "Bar",, "Open", "5",S126,,,,,"T")="",0,RTD("cqg.rtd",,"StudyData", "AlgOrdBidVol(SUBMINUTE(("&amp;$B$38&amp;"),1,Regular),1,0)",  "Bar",, "Open", "5",S126,,,,,"T"))</f>
        <v>0</v>
      </c>
      <c r="W126" s="38">
        <f>IF( RTD("cqg.rtd",,"StudyData", "AlgOrdAskVol(SUBMINUTE(("&amp;$B$38&amp;"),1,Regular),1,0)",  "Bar",, "Open", "5",S126,,,,,"T")="",0,RTD("cqg.rtd",,"StudyData", "AlgOrdAskVol(SUBMINUTE(("&amp;$B$38&amp;"),1,Regular),1,0)",  "Bar",, "Open", "5",S126,,,,,"T"))</f>
        <v>0</v>
      </c>
      <c r="X126" s="37">
        <f t="shared" ref="X126" si="118">IF(AND(V126&gt;W126,V126&gt;$V$5),1,IF(AND(V126&lt;W126,W126&gt;$W$5),-1,0))</f>
        <v>0</v>
      </c>
      <c r="Y126" s="121">
        <f>RTD("cqg.rtd",,"StudyData","SUBMINUTE(("&amp;$B$38&amp;"),5,Regular)","FG",,"Time","5",S126,,,,,"T")</f>
        <v>43167.633101851898</v>
      </c>
      <c r="Z126" s="197" t="str">
        <f>IF(RTD("cqg.rtd",,"StudyData","SUBMINUTE(("&amp;$B$38&amp;"),5,FillGap)","Bar",,"Close","5",S126,,,,,"T")="",NA(),TEXT(RTD("cqg.rtd",,"StudyData","SUBMINUTE(("&amp;$B$38&amp;"),5,FillGap)","Bar",,"Close","5",S126,,,,,"T"),Sheet1!$D$8))</f>
        <v>2739.75</v>
      </c>
      <c r="AA126" s="38">
        <f>IF( RTD("cqg.rtd",,"StudyData", "AlgOrdBidVol(SUBMINUTE(("&amp;$B$38&amp;"),5,Regular),1,0)",  "Bar",, "Open", "5",S126,,,,,"T")="",0,RTD("cqg.rtd",,"StudyData", "AlgOrdBidVol(SUBMINUTE(("&amp;$B$38&amp;"),5,Regular),1,0)",  "Bar",, "Open", "5",S126,,,,,"T"))</f>
        <v>6</v>
      </c>
      <c r="AB126" s="38">
        <f>IF( RTD("cqg.rtd",,"StudyData", "AlgOrdAskVol(SUBMINUTE(("&amp;$B$38&amp;"),5,Regular),1,0)",  "Bar",, "Open", "5",S126,,,,,"T")="",0,RTD("cqg.rtd",,"StudyData", "AlgOrdAskVol(SUBMINUTE(("&amp;$B$38&amp;"),5,Regular),1,0)",  "Bar",, "Open", "5",S126,,,,,"T"))</f>
        <v>7</v>
      </c>
      <c r="AC126" s="37">
        <f t="shared" ref="AC126" si="119">IF(AND(AA126&gt;AB126,AA126&gt;$AA$5),1,IF(AND(AA126&lt;AB126,AB126&gt;$AB$5),-1,0))</f>
        <v>0</v>
      </c>
    </row>
    <row r="127" spans="1:29" ht="3.95" customHeight="1" x14ac:dyDescent="0.3">
      <c r="A127" s="56"/>
      <c r="B127" s="15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6"/>
      <c r="N127" s="53"/>
      <c r="O127" s="119"/>
      <c r="P127" s="52"/>
      <c r="Q127" s="120"/>
      <c r="R127" s="50"/>
      <c r="S127" s="50"/>
      <c r="T127" s="121"/>
      <c r="U127" s="83"/>
      <c r="V127" s="38"/>
      <c r="W127" s="38"/>
      <c r="X127" s="38"/>
      <c r="Y127" s="121"/>
      <c r="Z127" s="197"/>
      <c r="AA127" s="38"/>
      <c r="AB127" s="38"/>
      <c r="AC127" s="38"/>
    </row>
    <row r="128" spans="1:29" ht="3.95" customHeight="1" x14ac:dyDescent="0.3">
      <c r="A128" s="56"/>
      <c r="B128" s="15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6"/>
      <c r="N128" s="53"/>
      <c r="O128" s="119"/>
      <c r="P128" s="52"/>
      <c r="Q128" s="120"/>
      <c r="R128" s="50"/>
      <c r="S128" s="50"/>
      <c r="T128" s="121"/>
      <c r="U128" s="83"/>
      <c r="V128" s="38"/>
      <c r="W128" s="38"/>
      <c r="X128" s="38"/>
      <c r="Y128" s="121"/>
      <c r="Z128" s="197"/>
      <c r="AA128" s="38"/>
      <c r="AB128" s="38"/>
      <c r="AC128" s="38"/>
    </row>
    <row r="129" spans="1:29" ht="3.95" customHeight="1" x14ac:dyDescent="0.3">
      <c r="A129" s="56"/>
      <c r="B129" s="15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6"/>
      <c r="N129" s="53" t="str">
        <f>Sheet1!L42</f>
        <v>2730.25</v>
      </c>
      <c r="O129" s="119" t="str">
        <f>Sheet1!M42</f>
        <v/>
      </c>
      <c r="P129" s="52" t="str">
        <f>Sheet1!N42</f>
        <v/>
      </c>
      <c r="Q129" s="120">
        <f>Sheet1!O42</f>
        <v>22107</v>
      </c>
      <c r="R129" s="51">
        <f t="shared" ref="R129" si="120">Q129</f>
        <v>22107</v>
      </c>
      <c r="S129" s="50">
        <f>S126-1</f>
        <v>-41</v>
      </c>
      <c r="T129" s="121">
        <f>RTD("cqg.rtd",,"StudyData","SUBMINUTE(("&amp;$B$38&amp;"),1,Regular)","FG",,"Time","5",S129,,,,,"T")</f>
        <v>43167.634942129604</v>
      </c>
      <c r="U129" s="83" t="str">
        <f>IF(RTD("cqg.rtd",,"StudyData","SUBMINUTE(("&amp;$B$38&amp;"),1,FillGap)","Bar",,"Close","5",S129,,,,,"T")="",NA(),TEXT(RTD("cqg.rtd",,"StudyData","SUBMINUTE(("&amp;$B$38&amp;"),1,FillGap)","Bar",,"Close","5",S129,,,,,"T"),Sheet1!$D$8))</f>
        <v>2739.50</v>
      </c>
      <c r="V129" s="38">
        <f>IF( RTD("cqg.rtd",,"StudyData", "AlgOrdBidVol(SUBMINUTE(("&amp;$B$38&amp;"),1,Regular),1,0)",  "Bar",, "Open", "5",S129,,,,,"T")="",0,RTD("cqg.rtd",,"StudyData", "AlgOrdBidVol(SUBMINUTE(("&amp;$B$38&amp;"),1,Regular),1,0)",  "Bar",, "Open", "5",S129,,,,,"T"))</f>
        <v>0</v>
      </c>
      <c r="W129" s="38">
        <f>IF( RTD("cqg.rtd",,"StudyData", "AlgOrdAskVol(SUBMINUTE(("&amp;$B$38&amp;"),1,Regular),1,0)",  "Bar",, "Open", "5",S129,,,,,"T")="",0,RTD("cqg.rtd",,"StudyData", "AlgOrdAskVol(SUBMINUTE(("&amp;$B$38&amp;"),1,Regular),1,0)",  "Bar",, "Open", "5",S129,,,,,"T"))</f>
        <v>1</v>
      </c>
      <c r="X129" s="37">
        <f t="shared" ref="X129" si="121">IF(AND(V129&gt;W129,V129&gt;$V$5),1,IF(AND(V129&lt;W129,W129&gt;$W$5),-1,0))</f>
        <v>0</v>
      </c>
      <c r="Y129" s="121">
        <f>RTD("cqg.rtd",,"StudyData","SUBMINUTE(("&amp;$B$38&amp;"),5,Regular)","FG",,"Time","5",S129,,,,,"T")</f>
        <v>43167.633043981499</v>
      </c>
      <c r="Z129" s="197" t="str">
        <f>IF(RTD("cqg.rtd",,"StudyData","SUBMINUTE(("&amp;$B$38&amp;"),5,FillGap)","Bar",,"Close","5",S129,,,,,"T")="",NA(),TEXT(RTD("cqg.rtd",,"StudyData","SUBMINUTE(("&amp;$B$38&amp;"),5,FillGap)","Bar",,"Close","5",S129,,,,,"T"),Sheet1!$D$8))</f>
        <v>2739.50</v>
      </c>
      <c r="AA129" s="38">
        <f>IF( RTD("cqg.rtd",,"StudyData", "AlgOrdBidVol(SUBMINUTE(("&amp;$B$38&amp;"),5,Regular),1,0)",  "Bar",, "Open", "5",S129,,,,,"T")="",0,RTD("cqg.rtd",,"StudyData", "AlgOrdBidVol(SUBMINUTE(("&amp;$B$38&amp;"),5,Regular),1,0)",  "Bar",, "Open", "5",S129,,,,,"T"))</f>
        <v>54</v>
      </c>
      <c r="AB129" s="38">
        <f>IF( RTD("cqg.rtd",,"StudyData", "AlgOrdAskVol(SUBMINUTE(("&amp;$B$38&amp;"),5,Regular),1,0)",  "Bar",, "Open", "5",S129,,,,,"T")="",0,RTD("cqg.rtd",,"StudyData", "AlgOrdAskVol(SUBMINUTE(("&amp;$B$38&amp;"),5,Regular),1,0)",  "Bar",, "Open", "5",S129,,,,,"T"))</f>
        <v>0</v>
      </c>
      <c r="AC129" s="37">
        <f t="shared" ref="AC129" si="122">IF(AND(AA129&gt;AB129,AA129&gt;$AA$5),1,IF(AND(AA129&lt;AB129,AB129&gt;$AB$5),-1,0))</f>
        <v>1</v>
      </c>
    </row>
    <row r="130" spans="1:29" ht="3.95" customHeight="1" x14ac:dyDescent="0.3">
      <c r="A130" s="55"/>
      <c r="B130" s="15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6"/>
      <c r="N130" s="53"/>
      <c r="O130" s="119"/>
      <c r="P130" s="52"/>
      <c r="Q130" s="120"/>
      <c r="R130" s="50"/>
      <c r="S130" s="50"/>
      <c r="T130" s="121"/>
      <c r="U130" s="83"/>
      <c r="V130" s="38"/>
      <c r="W130" s="38"/>
      <c r="X130" s="38"/>
      <c r="Y130" s="121"/>
      <c r="Z130" s="197"/>
      <c r="AA130" s="38"/>
      <c r="AB130" s="38"/>
      <c r="AC130" s="38"/>
    </row>
    <row r="131" spans="1:29" ht="3.95" customHeight="1" x14ac:dyDescent="0.3">
      <c r="A131" s="56"/>
      <c r="B131" s="15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6"/>
      <c r="N131" s="53"/>
      <c r="O131" s="119"/>
      <c r="P131" s="52"/>
      <c r="Q131" s="120"/>
      <c r="R131" s="50"/>
      <c r="S131" s="50"/>
      <c r="T131" s="121"/>
      <c r="U131" s="83"/>
      <c r="V131" s="38"/>
      <c r="W131" s="38"/>
      <c r="X131" s="38"/>
      <c r="Y131" s="121"/>
      <c r="Z131" s="197"/>
      <c r="AA131" s="38"/>
      <c r="AB131" s="38"/>
      <c r="AC131" s="38"/>
    </row>
    <row r="132" spans="1:29" ht="3.95" customHeight="1" x14ac:dyDescent="0.3">
      <c r="A132" s="56"/>
      <c r="B132" s="15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6"/>
      <c r="N132" s="53" t="str">
        <f>Sheet1!L43</f>
        <v>2730.00</v>
      </c>
      <c r="O132" s="119" t="str">
        <f>Sheet1!M43</f>
        <v/>
      </c>
      <c r="P132" s="52" t="str">
        <f>Sheet1!N43</f>
        <v/>
      </c>
      <c r="Q132" s="120">
        <f>Sheet1!O43</f>
        <v>21211</v>
      </c>
      <c r="R132" s="51">
        <f t="shared" ref="R132" si="123">Q132</f>
        <v>21211</v>
      </c>
      <c r="S132" s="50">
        <f>S129-1</f>
        <v>-42</v>
      </c>
      <c r="T132" s="121">
        <f>RTD("cqg.rtd",,"StudyData","SUBMINUTE(("&amp;$B$38&amp;"),1,Regular)","FG",,"Time","5",S132,,,,,"T")</f>
        <v>43167.6349305556</v>
      </c>
      <c r="U132" s="83" t="str">
        <f>IF(RTD("cqg.rtd",,"StudyData","SUBMINUTE(("&amp;$B$38&amp;"),1,FillGap)","Bar",,"Close","5",S132,,,,,"T")="",NA(),TEXT(RTD("cqg.rtd",,"StudyData","SUBMINUTE(("&amp;$B$38&amp;"),1,FillGap)","Bar",,"Close","5",S132,,,,,"T"),Sheet1!$D$8))</f>
        <v>2738.75</v>
      </c>
      <c r="V132" s="38">
        <f>IF( RTD("cqg.rtd",,"StudyData", "AlgOrdBidVol(SUBMINUTE(("&amp;$B$38&amp;"),1,Regular),1,0)",  "Bar",, "Open", "5",S132,,,,,"T")="",0,RTD("cqg.rtd",,"StudyData", "AlgOrdBidVol(SUBMINUTE(("&amp;$B$38&amp;"),1,Regular),1,0)",  "Bar",, "Open", "5",S132,,,,,"T"))</f>
        <v>47</v>
      </c>
      <c r="W132" s="38">
        <f>IF( RTD("cqg.rtd",,"StudyData", "AlgOrdAskVol(SUBMINUTE(("&amp;$B$38&amp;"),1,Regular),1,0)",  "Bar",, "Open", "5",S132,,,,,"T")="",0,RTD("cqg.rtd",,"StudyData", "AlgOrdAskVol(SUBMINUTE(("&amp;$B$38&amp;"),1,Regular),1,0)",  "Bar",, "Open", "5",S132,,,,,"T"))</f>
        <v>0</v>
      </c>
      <c r="X132" s="37">
        <f t="shared" ref="X132" si="124">IF(AND(V132&gt;W132,V132&gt;$V$5),1,IF(AND(V132&lt;W132,W132&gt;$W$5),-1,0))</f>
        <v>1</v>
      </c>
      <c r="Y132" s="121">
        <f>RTD("cqg.rtd",,"StudyData","SUBMINUTE(("&amp;$B$38&amp;"),5,Regular)","FG",,"Time","5",S132,,,,,"T")</f>
        <v>43167.632986111101</v>
      </c>
      <c r="Z132" s="197" t="str">
        <f>IF(RTD("cqg.rtd",,"StudyData","SUBMINUTE(("&amp;$B$38&amp;"),5,FillGap)","Bar",,"Close","5",S132,,,,,"T")="",NA(),TEXT(RTD("cqg.rtd",,"StudyData","SUBMINUTE(("&amp;$B$38&amp;"),5,FillGap)","Bar",,"Close","5",S132,,,,,"T"),Sheet1!$D$8))</f>
        <v>2739.50</v>
      </c>
      <c r="AA132" s="38">
        <f>IF( RTD("cqg.rtd",,"StudyData", "AlgOrdBidVol(SUBMINUTE(("&amp;$B$38&amp;"),5,Regular),1,0)",  "Bar",, "Open", "5",S132,,,,,"T")="",0,RTD("cqg.rtd",,"StudyData", "AlgOrdBidVol(SUBMINUTE(("&amp;$B$38&amp;"),5,Regular),1,0)",  "Bar",, "Open", "5",S132,,,,,"T"))</f>
        <v>17</v>
      </c>
      <c r="AB132" s="38">
        <f>IF( RTD("cqg.rtd",,"StudyData", "AlgOrdAskVol(SUBMINUTE(("&amp;$B$38&amp;"),5,Regular),1,0)",  "Bar",, "Open", "5",S132,,,,,"T")="",0,RTD("cqg.rtd",,"StudyData", "AlgOrdAskVol(SUBMINUTE(("&amp;$B$38&amp;"),5,Regular),1,0)",  "Bar",, "Open", "5",S132,,,,,"T"))</f>
        <v>11</v>
      </c>
      <c r="AC132" s="37">
        <f t="shared" ref="AC132" si="125">IF(AND(AA132&gt;AB132,AA132&gt;$AA$5),1,IF(AND(AA132&lt;AB132,AB132&gt;$AB$5),-1,0))</f>
        <v>0</v>
      </c>
    </row>
    <row r="133" spans="1:29" ht="3.95" customHeight="1" x14ac:dyDescent="0.3">
      <c r="A133" s="56"/>
      <c r="B133" s="15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6"/>
      <c r="N133" s="53"/>
      <c r="O133" s="119"/>
      <c r="P133" s="52"/>
      <c r="Q133" s="120"/>
      <c r="R133" s="50"/>
      <c r="S133" s="50"/>
      <c r="T133" s="121"/>
      <c r="U133" s="83"/>
      <c r="V133" s="38"/>
      <c r="W133" s="38"/>
      <c r="X133" s="38"/>
      <c r="Y133" s="121"/>
      <c r="Z133" s="197"/>
      <c r="AA133" s="38"/>
      <c r="AB133" s="38"/>
      <c r="AC133" s="38"/>
    </row>
    <row r="134" spans="1:29" ht="3.95" customHeight="1" x14ac:dyDescent="0.3">
      <c r="A134" s="55"/>
      <c r="B134" s="15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6"/>
      <c r="N134" s="53"/>
      <c r="O134" s="119"/>
      <c r="P134" s="52"/>
      <c r="Q134" s="120"/>
      <c r="R134" s="50"/>
      <c r="S134" s="50"/>
      <c r="T134" s="121"/>
      <c r="U134" s="83"/>
      <c r="V134" s="38"/>
      <c r="W134" s="38"/>
      <c r="X134" s="38"/>
      <c r="Y134" s="121"/>
      <c r="Z134" s="197"/>
      <c r="AA134" s="38"/>
      <c r="AB134" s="38"/>
      <c r="AC134" s="38"/>
    </row>
    <row r="135" spans="1:29" ht="3.95" customHeight="1" x14ac:dyDescent="0.3">
      <c r="A135" s="56"/>
      <c r="B135" s="15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6"/>
      <c r="N135" s="53" t="str">
        <f>Sheet1!L44</f>
        <v>2729.75</v>
      </c>
      <c r="O135" s="119" t="str">
        <f>Sheet1!M44</f>
        <v/>
      </c>
      <c r="P135" s="52" t="str">
        <f>Sheet1!N44</f>
        <v/>
      </c>
      <c r="Q135" s="120">
        <f>Sheet1!O44</f>
        <v>20673</v>
      </c>
      <c r="R135" s="51">
        <f t="shared" ref="R135" si="126">Q135</f>
        <v>20673</v>
      </c>
      <c r="S135" s="50">
        <f>S132-1</f>
        <v>-43</v>
      </c>
      <c r="T135" s="121">
        <f>RTD("cqg.rtd",,"StudyData","SUBMINUTE(("&amp;$B$38&amp;"),1,Regular)","FG",,"Time","5",S135,,,,,"T")</f>
        <v>43167.634918981501</v>
      </c>
      <c r="U135" s="83" t="str">
        <f>IF(RTD("cqg.rtd",,"StudyData","SUBMINUTE(("&amp;$B$38&amp;"),1,FillGap)","Bar",,"Close","5",S135,,,,,"T")="",NA(),TEXT(RTD("cqg.rtd",,"StudyData","SUBMINUTE(("&amp;$B$38&amp;"),1,FillGap)","Bar",,"Close","5",S135,,,,,"T"),Sheet1!$D$8))</f>
        <v>2738.75</v>
      </c>
      <c r="V135" s="38">
        <f>IF( RTD("cqg.rtd",,"StudyData", "AlgOrdBidVol(SUBMINUTE(("&amp;$B$38&amp;"),1,Regular),1,0)",  "Bar",, "Open", "5",S135,,,,,"T")="",0,RTD("cqg.rtd",,"StudyData", "AlgOrdBidVol(SUBMINUTE(("&amp;$B$38&amp;"),1,Regular),1,0)",  "Bar",, "Open", "5",S135,,,,,"T"))</f>
        <v>0</v>
      </c>
      <c r="W135" s="38">
        <f>IF( RTD("cqg.rtd",,"StudyData", "AlgOrdAskVol(SUBMINUTE(("&amp;$B$38&amp;"),1,Regular),1,0)",  "Bar",, "Open", "5",S135,,,,,"T")="",0,RTD("cqg.rtd",,"StudyData", "AlgOrdAskVol(SUBMINUTE(("&amp;$B$38&amp;"),1,Regular),1,0)",  "Bar",, "Open", "5",S135,,,,,"T"))</f>
        <v>0</v>
      </c>
      <c r="X135" s="37">
        <f t="shared" ref="X135" si="127">IF(AND(V135&gt;W135,V135&gt;$V$5),1,IF(AND(V135&lt;W135,W135&gt;$W$5),-1,0))</f>
        <v>0</v>
      </c>
      <c r="Y135" s="121">
        <f>RTD("cqg.rtd",,"StudyData","SUBMINUTE(("&amp;$B$38&amp;"),5,Regular)","FG",,"Time","5",S135,,,,,"T")</f>
        <v>43167.632928240702</v>
      </c>
      <c r="Z135" s="197" t="str">
        <f>IF(RTD("cqg.rtd",,"StudyData","SUBMINUTE(("&amp;$B$38&amp;"),5,FillGap)","Bar",,"Close","5",S135,,,,,"T")="",NA(),TEXT(RTD("cqg.rtd",,"StudyData","SUBMINUTE(("&amp;$B$38&amp;"),5,FillGap)","Bar",,"Close","5",S135,,,,,"T"),Sheet1!$D$8))</f>
        <v>2739.50</v>
      </c>
      <c r="AA135" s="38">
        <f>IF( RTD("cqg.rtd",,"StudyData", "AlgOrdBidVol(SUBMINUTE(("&amp;$B$38&amp;"),5,Regular),1,0)",  "Bar",, "Open", "5",S135,,,,,"T")="",0,RTD("cqg.rtd",,"StudyData", "AlgOrdBidVol(SUBMINUTE(("&amp;$B$38&amp;"),5,Regular),1,0)",  "Bar",, "Open", "5",S135,,,,,"T"))</f>
        <v>15</v>
      </c>
      <c r="AB135" s="38">
        <f>IF( RTD("cqg.rtd",,"StudyData", "AlgOrdAskVol(SUBMINUTE(("&amp;$B$38&amp;"),5,Regular),1,0)",  "Bar",, "Open", "5",S135,,,,,"T")="",0,RTD("cqg.rtd",,"StudyData", "AlgOrdAskVol(SUBMINUTE(("&amp;$B$38&amp;"),5,Regular),1,0)",  "Bar",, "Open", "5",S135,,,,,"T"))</f>
        <v>0</v>
      </c>
      <c r="AC135" s="37">
        <f t="shared" ref="AC135" si="128">IF(AND(AA135&gt;AB135,AA135&gt;$AA$5),1,IF(AND(AA135&lt;AB135,AB135&gt;$AB$5),-1,0))</f>
        <v>0</v>
      </c>
    </row>
    <row r="136" spans="1:29" ht="3.95" customHeight="1" x14ac:dyDescent="0.3">
      <c r="A136" s="56"/>
      <c r="B136" s="15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6"/>
      <c r="N136" s="53"/>
      <c r="O136" s="119"/>
      <c r="P136" s="52"/>
      <c r="Q136" s="120"/>
      <c r="R136" s="50"/>
      <c r="S136" s="50"/>
      <c r="T136" s="121"/>
      <c r="U136" s="83"/>
      <c r="V136" s="38"/>
      <c r="W136" s="38"/>
      <c r="X136" s="38"/>
      <c r="Y136" s="121"/>
      <c r="Z136" s="197"/>
      <c r="AA136" s="38"/>
      <c r="AB136" s="38"/>
      <c r="AC136" s="38"/>
    </row>
    <row r="137" spans="1:29" ht="3.95" customHeight="1" x14ac:dyDescent="0.3">
      <c r="A137" s="56"/>
      <c r="B137" s="15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6"/>
      <c r="N137" s="53"/>
      <c r="O137" s="119"/>
      <c r="P137" s="52"/>
      <c r="Q137" s="120"/>
      <c r="R137" s="50"/>
      <c r="S137" s="50"/>
      <c r="T137" s="121"/>
      <c r="U137" s="83"/>
      <c r="V137" s="38"/>
      <c r="W137" s="38"/>
      <c r="X137" s="38"/>
      <c r="Y137" s="121"/>
      <c r="Z137" s="197"/>
      <c r="AA137" s="38"/>
      <c r="AB137" s="38"/>
      <c r="AC137" s="38"/>
    </row>
    <row r="138" spans="1:29" ht="3.95" customHeight="1" x14ac:dyDescent="0.3">
      <c r="A138" s="55"/>
      <c r="B138" s="15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6"/>
      <c r="N138" s="53" t="str">
        <f>Sheet1!L45</f>
        <v>2729.50</v>
      </c>
      <c r="O138" s="119" t="str">
        <f>Sheet1!M45</f>
        <v/>
      </c>
      <c r="P138" s="52" t="str">
        <f>Sheet1!N45</f>
        <v/>
      </c>
      <c r="Q138" s="120">
        <f>Sheet1!O45</f>
        <v>22429</v>
      </c>
      <c r="R138" s="51">
        <f t="shared" ref="R138" si="129">Q138</f>
        <v>22429</v>
      </c>
      <c r="S138" s="50">
        <f>S135-1</f>
        <v>-44</v>
      </c>
      <c r="T138" s="121">
        <f>RTD("cqg.rtd",,"StudyData","SUBMINUTE(("&amp;$B$38&amp;"),1,Regular)","FG",,"Time","5",S138,,,,,"T")</f>
        <v>43167.634907407402</v>
      </c>
      <c r="U138" s="83" t="str">
        <f>IF(RTD("cqg.rtd",,"StudyData","SUBMINUTE(("&amp;$B$38&amp;"),1,FillGap)","Bar",,"Close","5",S138,,,,,"T")="",NA(),TEXT(RTD("cqg.rtd",,"StudyData","SUBMINUTE(("&amp;$B$38&amp;"),1,FillGap)","Bar",,"Close","5",S138,,,,,"T"),Sheet1!$D$8))</f>
        <v>2738.75</v>
      </c>
      <c r="V138" s="38">
        <f>IF( RTD("cqg.rtd",,"StudyData", "AlgOrdBidVol(SUBMINUTE(("&amp;$B$38&amp;"),1,Regular),1,0)",  "Bar",, "Open", "5",S138,,,,,"T")="",0,RTD("cqg.rtd",,"StudyData", "AlgOrdBidVol(SUBMINUTE(("&amp;$B$38&amp;"),1,Regular),1,0)",  "Bar",, "Open", "5",S138,,,,,"T"))</f>
        <v>0</v>
      </c>
      <c r="W138" s="38">
        <f>IF( RTD("cqg.rtd",,"StudyData", "AlgOrdAskVol(SUBMINUTE(("&amp;$B$38&amp;"),1,Regular),1,0)",  "Bar",, "Open", "5",S138,,,,,"T")="",0,RTD("cqg.rtd",,"StudyData", "AlgOrdAskVol(SUBMINUTE(("&amp;$B$38&amp;"),1,Regular),1,0)",  "Bar",, "Open", "5",S138,,,,,"T"))</f>
        <v>0</v>
      </c>
      <c r="X138" s="37">
        <f t="shared" ref="X138" si="130">IF(AND(V138&gt;W138,V138&gt;$V$5),1,IF(AND(V138&lt;W138,W138&gt;$W$5),-1,0))</f>
        <v>0</v>
      </c>
      <c r="Y138" s="121">
        <f>RTD("cqg.rtd",,"StudyData","SUBMINUTE(("&amp;$B$38&amp;"),5,Regular)","FG",,"Time","5",S138,,,,,"T")</f>
        <v>43167.632870370398</v>
      </c>
      <c r="Z138" s="197" t="str">
        <f>IF(RTD("cqg.rtd",,"StudyData","SUBMINUTE(("&amp;$B$38&amp;"),5,FillGap)","Bar",,"Close","5",S138,,,,,"T")="",NA(),TEXT(RTD("cqg.rtd",,"StudyData","SUBMINUTE(("&amp;$B$38&amp;"),5,FillGap)","Bar",,"Close","5",S138,,,,,"T"),Sheet1!$D$8))</f>
        <v>2739.50</v>
      </c>
      <c r="AA138" s="38">
        <f>IF( RTD("cqg.rtd",,"StudyData", "AlgOrdBidVol(SUBMINUTE(("&amp;$B$38&amp;"),5,Regular),1,0)",  "Bar",, "Open", "5",S138,,,,,"T")="",0,RTD("cqg.rtd",,"StudyData", "AlgOrdBidVol(SUBMINUTE(("&amp;$B$38&amp;"),5,Regular),1,0)",  "Bar",, "Open", "5",S138,,,,,"T"))</f>
        <v>0</v>
      </c>
      <c r="AB138" s="38">
        <f>IF( RTD("cqg.rtd",,"StudyData", "AlgOrdAskVol(SUBMINUTE(("&amp;$B$38&amp;"),5,Regular),1,0)",  "Bar",, "Open", "5",S138,,,,,"T")="",0,RTD("cqg.rtd",,"StudyData", "AlgOrdAskVol(SUBMINUTE(("&amp;$B$38&amp;"),5,Regular),1,0)",  "Bar",, "Open", "5",S138,,,,,"T"))</f>
        <v>0</v>
      </c>
      <c r="AC138" s="37">
        <f t="shared" ref="AC138" si="131">IF(AND(AA138&gt;AB138,AA138&gt;$AA$5),1,IF(AND(AA138&lt;AB138,AB138&gt;$AB$5),-1,0))</f>
        <v>0</v>
      </c>
    </row>
    <row r="139" spans="1:29" ht="3.95" customHeight="1" x14ac:dyDescent="0.3">
      <c r="A139" s="56"/>
      <c r="B139" s="15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6"/>
      <c r="N139" s="53"/>
      <c r="O139" s="119"/>
      <c r="P139" s="52"/>
      <c r="Q139" s="120"/>
      <c r="R139" s="50"/>
      <c r="S139" s="50"/>
      <c r="T139" s="121"/>
      <c r="U139" s="83"/>
      <c r="V139" s="38"/>
      <c r="W139" s="38"/>
      <c r="X139" s="38"/>
      <c r="Y139" s="121"/>
      <c r="Z139" s="197"/>
      <c r="AA139" s="38"/>
      <c r="AB139" s="38"/>
      <c r="AC139" s="38"/>
    </row>
    <row r="140" spans="1:29" ht="3.95" customHeight="1" x14ac:dyDescent="0.3">
      <c r="A140" s="56"/>
      <c r="B140" s="15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6"/>
      <c r="N140" s="53"/>
      <c r="O140" s="119"/>
      <c r="P140" s="52"/>
      <c r="Q140" s="120"/>
      <c r="R140" s="50"/>
      <c r="S140" s="50"/>
      <c r="T140" s="121"/>
      <c r="U140" s="83"/>
      <c r="V140" s="38"/>
      <c r="W140" s="38"/>
      <c r="X140" s="38"/>
      <c r="Y140" s="121"/>
      <c r="Z140" s="197"/>
      <c r="AA140" s="38"/>
      <c r="AB140" s="38"/>
      <c r="AC140" s="38"/>
    </row>
    <row r="141" spans="1:29" ht="3.95" customHeight="1" x14ac:dyDescent="0.3">
      <c r="A141" s="56"/>
      <c r="B141" s="15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6"/>
      <c r="N141" s="53" t="str">
        <f>Sheet1!L46</f>
        <v>2729.25</v>
      </c>
      <c r="O141" s="119" t="str">
        <f>Sheet1!M46</f>
        <v/>
      </c>
      <c r="P141" s="52" t="str">
        <f>Sheet1!N46</f>
        <v/>
      </c>
      <c r="Q141" s="120">
        <f>Sheet1!O46</f>
        <v>21638</v>
      </c>
      <c r="R141" s="51">
        <f t="shared" ref="R141" si="132">Q141</f>
        <v>21638</v>
      </c>
      <c r="S141" s="50">
        <f>S138-1</f>
        <v>-45</v>
      </c>
      <c r="T141" s="121">
        <f>RTD("cqg.rtd",,"StudyData","SUBMINUTE(("&amp;$B$38&amp;"),1,Regular)","FG",,"Time","5",S141,,,,,"T")</f>
        <v>43167.634895833296</v>
      </c>
      <c r="U141" s="83" t="str">
        <f>IF(RTD("cqg.rtd",,"StudyData","SUBMINUTE(("&amp;$B$38&amp;"),1,FillGap)","Bar",,"Close","5",S141,,,,,"T")="",NA(),TEXT(RTD("cqg.rtd",,"StudyData","SUBMINUTE(("&amp;$B$38&amp;"),1,FillGap)","Bar",,"Close","5",S141,,,,,"T"),Sheet1!$D$8))</f>
        <v>2738.75</v>
      </c>
      <c r="V141" s="38">
        <f>IF( RTD("cqg.rtd",,"StudyData", "AlgOrdBidVol(SUBMINUTE(("&amp;$B$38&amp;"),1,Regular),1,0)",  "Bar",, "Open", "5",S141,,,,,"T")="",0,RTD("cqg.rtd",,"StudyData", "AlgOrdBidVol(SUBMINUTE(("&amp;$B$38&amp;"),1,Regular),1,0)",  "Bar",, "Open", "5",S141,,,,,"T"))</f>
        <v>0</v>
      </c>
      <c r="W141" s="38">
        <f>IF( RTD("cqg.rtd",,"StudyData", "AlgOrdAskVol(SUBMINUTE(("&amp;$B$38&amp;"),1,Regular),1,0)",  "Bar",, "Open", "5",S141,,,,,"T")="",0,RTD("cqg.rtd",,"StudyData", "AlgOrdAskVol(SUBMINUTE(("&amp;$B$38&amp;"),1,Regular),1,0)",  "Bar",, "Open", "5",S141,,,,,"T"))</f>
        <v>0</v>
      </c>
      <c r="X141" s="37">
        <f t="shared" ref="X141" si="133">IF(AND(V141&gt;W141,V141&gt;$V$5),1,IF(AND(V141&lt;W141,W141&gt;$W$5),-1,0))</f>
        <v>0</v>
      </c>
      <c r="Y141" s="121">
        <f>RTD("cqg.rtd",,"StudyData","SUBMINUTE(("&amp;$B$38&amp;"),5,Regular)","FG",,"Time","5",S141,,,,,"T")</f>
        <v>43167.6328125</v>
      </c>
      <c r="Z141" s="197" t="str">
        <f>IF(RTD("cqg.rtd",,"StudyData","SUBMINUTE(("&amp;$B$38&amp;"),5,FillGap)","Bar",,"Close","5",S141,,,,,"T")="",NA(),TEXT(RTD("cqg.rtd",,"StudyData","SUBMINUTE(("&amp;$B$38&amp;"),5,FillGap)","Bar",,"Close","5",S141,,,,,"T"),Sheet1!$D$8))</f>
        <v>2739.25</v>
      </c>
      <c r="AA141" s="38">
        <f>IF( RTD("cqg.rtd",,"StudyData", "AlgOrdBidVol(SUBMINUTE(("&amp;$B$38&amp;"),5,Regular),1,0)",  "Bar",, "Open", "5",S141,,,,,"T")="",0,RTD("cqg.rtd",,"StudyData", "AlgOrdBidVol(SUBMINUTE(("&amp;$B$38&amp;"),5,Regular),1,0)",  "Bar",, "Open", "5",S141,,,,,"T"))</f>
        <v>0</v>
      </c>
      <c r="AB141" s="38">
        <f>IF( RTD("cqg.rtd",,"StudyData", "AlgOrdAskVol(SUBMINUTE(("&amp;$B$38&amp;"),5,Regular),1,0)",  "Bar",, "Open", "5",S141,,,,,"T")="",0,RTD("cqg.rtd",,"StudyData", "AlgOrdAskVol(SUBMINUTE(("&amp;$B$38&amp;"),5,Regular),1,0)",  "Bar",, "Open", "5",S141,,,,,"T"))</f>
        <v>61</v>
      </c>
      <c r="AC141" s="37">
        <f t="shared" ref="AC141" si="134">IF(AND(AA141&gt;AB141,AA141&gt;$AA$5),1,IF(AND(AA141&lt;AB141,AB141&gt;$AB$5),-1,0))</f>
        <v>-1</v>
      </c>
    </row>
    <row r="142" spans="1:29" ht="3.95" customHeight="1" x14ac:dyDescent="0.3">
      <c r="A142" s="55"/>
      <c r="B142" s="15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6"/>
      <c r="N142" s="53"/>
      <c r="O142" s="119"/>
      <c r="P142" s="52"/>
      <c r="Q142" s="120"/>
      <c r="R142" s="50"/>
      <c r="S142" s="50"/>
      <c r="T142" s="121"/>
      <c r="U142" s="83"/>
      <c r="V142" s="38"/>
      <c r="W142" s="38"/>
      <c r="X142" s="38"/>
      <c r="Y142" s="121"/>
      <c r="Z142" s="197"/>
      <c r="AA142" s="38"/>
      <c r="AB142" s="38"/>
      <c r="AC142" s="38"/>
    </row>
    <row r="143" spans="1:29" ht="3.95" customHeight="1" x14ac:dyDescent="0.3">
      <c r="A143" s="56"/>
      <c r="B143" s="15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6"/>
      <c r="N143" s="53"/>
      <c r="O143" s="119"/>
      <c r="P143" s="52"/>
      <c r="Q143" s="120"/>
      <c r="R143" s="50"/>
      <c r="S143" s="50"/>
      <c r="T143" s="121"/>
      <c r="U143" s="83"/>
      <c r="V143" s="38"/>
      <c r="W143" s="38"/>
      <c r="X143" s="38"/>
      <c r="Y143" s="121"/>
      <c r="Z143" s="197"/>
      <c r="AA143" s="38"/>
      <c r="AB143" s="38"/>
      <c r="AC143" s="38"/>
    </row>
    <row r="144" spans="1:29" ht="3.95" customHeight="1" x14ac:dyDescent="0.3">
      <c r="A144" s="56"/>
      <c r="B144" s="15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6"/>
      <c r="N144" s="53" t="str">
        <f>Sheet1!L47</f>
        <v>2729.00</v>
      </c>
      <c r="O144" s="119" t="str">
        <f>Sheet1!M47</f>
        <v/>
      </c>
      <c r="P144" s="52" t="str">
        <f>Sheet1!N47</f>
        <v/>
      </c>
      <c r="Q144" s="120">
        <f>Sheet1!O47</f>
        <v>22223</v>
      </c>
      <c r="R144" s="51">
        <f t="shared" ref="R144" si="135">Q144</f>
        <v>22223</v>
      </c>
      <c r="S144" s="50">
        <f>S141-1</f>
        <v>-46</v>
      </c>
      <c r="T144" s="121">
        <f>RTD("cqg.rtd",,"StudyData","SUBMINUTE(("&amp;$B$38&amp;"),1,Regular)","FG",,"Time","5",S144,,,,,"T")</f>
        <v>43167.6348842593</v>
      </c>
      <c r="U144" s="83" t="str">
        <f>IF(RTD("cqg.rtd",,"StudyData","SUBMINUTE(("&amp;$B$38&amp;"),1,FillGap)","Bar",,"Close","5",S144,,,,,"T")="",NA(),TEXT(RTD("cqg.rtd",,"StudyData","SUBMINUTE(("&amp;$B$38&amp;"),1,FillGap)","Bar",,"Close","5",S144,,,,,"T"),Sheet1!$D$8))</f>
        <v>2738.75</v>
      </c>
      <c r="V144" s="38">
        <f>IF( RTD("cqg.rtd",,"StudyData", "AlgOrdBidVol(SUBMINUTE(("&amp;$B$38&amp;"),1,Regular),1,0)",  "Bar",, "Open", "5",S144,,,,,"T")="",0,RTD("cqg.rtd",,"StudyData", "AlgOrdBidVol(SUBMINUTE(("&amp;$B$38&amp;"),1,Regular),1,0)",  "Bar",, "Open", "5",S144,,,,,"T"))</f>
        <v>0</v>
      </c>
      <c r="W144" s="38">
        <f>IF( RTD("cqg.rtd",,"StudyData", "AlgOrdAskVol(SUBMINUTE(("&amp;$B$38&amp;"),1,Regular),1,0)",  "Bar",, "Open", "5",S144,,,,,"T")="",0,RTD("cqg.rtd",,"StudyData", "AlgOrdAskVol(SUBMINUTE(("&amp;$B$38&amp;"),1,Regular),1,0)",  "Bar",, "Open", "5",S144,,,,,"T"))</f>
        <v>0</v>
      </c>
      <c r="X144" s="37">
        <f t="shared" ref="X144" si="136">IF(AND(V144&gt;W144,V144&gt;$V$5),1,IF(AND(V144&lt;W144,W144&gt;$W$5),-1,0))</f>
        <v>0</v>
      </c>
      <c r="Y144" s="121">
        <f>RTD("cqg.rtd",,"StudyData","SUBMINUTE(("&amp;$B$38&amp;"),5,Regular)","FG",,"Time","5",S144,,,,,"T")</f>
        <v>43167.632754629602</v>
      </c>
      <c r="Z144" s="197" t="str">
        <f>IF(RTD("cqg.rtd",,"StudyData","SUBMINUTE(("&amp;$B$38&amp;"),5,FillGap)","Bar",,"Close","5",S144,,,,,"T")="",NA(),TEXT(RTD("cqg.rtd",,"StudyData","SUBMINUTE(("&amp;$B$38&amp;"),5,FillGap)","Bar",,"Close","5",S144,,,,,"T"),Sheet1!$D$8))</f>
        <v>2739.25</v>
      </c>
      <c r="AA144" s="38">
        <f>IF( RTD("cqg.rtd",,"StudyData", "AlgOrdBidVol(SUBMINUTE(("&amp;$B$38&amp;"),5,Regular),1,0)",  "Bar",, "Open", "5",S144,,,,,"T")="",0,RTD("cqg.rtd",,"StudyData", "AlgOrdBidVol(SUBMINUTE(("&amp;$B$38&amp;"),5,Regular),1,0)",  "Bar",, "Open", "5",S144,,,,,"T"))</f>
        <v>0</v>
      </c>
      <c r="AB144" s="38">
        <f>IF( RTD("cqg.rtd",,"StudyData", "AlgOrdAskVol(SUBMINUTE(("&amp;$B$38&amp;"),5,Regular),1,0)",  "Bar",, "Open", "5",S144,,,,,"T")="",0,RTD("cqg.rtd",,"StudyData", "AlgOrdAskVol(SUBMINUTE(("&amp;$B$38&amp;"),5,Regular),1,0)",  "Bar",, "Open", "5",S144,,,,,"T"))</f>
        <v>59</v>
      </c>
      <c r="AC144" s="37">
        <f t="shared" ref="AC144" si="137">IF(AND(AA144&gt;AB144,AA144&gt;$AA$5),1,IF(AND(AA144&lt;AB144,AB144&gt;$AB$5),-1,0))</f>
        <v>-1</v>
      </c>
    </row>
    <row r="145" spans="1:29" ht="3.95" customHeight="1" x14ac:dyDescent="0.3">
      <c r="A145" s="56"/>
      <c r="B145" s="15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6"/>
      <c r="N145" s="53"/>
      <c r="O145" s="119"/>
      <c r="P145" s="52"/>
      <c r="Q145" s="120"/>
      <c r="R145" s="50"/>
      <c r="S145" s="50"/>
      <c r="T145" s="121"/>
      <c r="U145" s="83"/>
      <c r="V145" s="38"/>
      <c r="W145" s="38"/>
      <c r="X145" s="38"/>
      <c r="Y145" s="121"/>
      <c r="Z145" s="197"/>
      <c r="AA145" s="38"/>
      <c r="AB145" s="38"/>
      <c r="AC145" s="38"/>
    </row>
    <row r="146" spans="1:29" ht="3.95" customHeight="1" x14ac:dyDescent="0.3">
      <c r="A146" s="55"/>
      <c r="B146" s="15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6"/>
      <c r="N146" s="53"/>
      <c r="O146" s="119"/>
      <c r="P146" s="52"/>
      <c r="Q146" s="120"/>
      <c r="R146" s="50"/>
      <c r="S146" s="50"/>
      <c r="T146" s="121"/>
      <c r="U146" s="83"/>
      <c r="V146" s="38"/>
      <c r="W146" s="38"/>
      <c r="X146" s="38"/>
      <c r="Y146" s="121"/>
      <c r="Z146" s="197"/>
      <c r="AA146" s="38"/>
      <c r="AB146" s="38"/>
      <c r="AC146" s="38"/>
    </row>
    <row r="147" spans="1:29" ht="3.95" customHeight="1" x14ac:dyDescent="0.3">
      <c r="A147" s="56"/>
      <c r="B147" s="15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6"/>
      <c r="N147" s="53" t="str">
        <f>Sheet1!L48</f>
        <v>2728.75</v>
      </c>
      <c r="O147" s="119" t="str">
        <f>Sheet1!M48</f>
        <v/>
      </c>
      <c r="P147" s="52" t="str">
        <f>Sheet1!N48</f>
        <v/>
      </c>
      <c r="Q147" s="120">
        <f>Sheet1!O48</f>
        <v>23028</v>
      </c>
      <c r="R147" s="51">
        <f t="shared" ref="R147" si="138">Q147</f>
        <v>23028</v>
      </c>
      <c r="S147" s="50">
        <f>S144-1</f>
        <v>-47</v>
      </c>
      <c r="T147" s="121">
        <f>RTD("cqg.rtd",,"StudyData","SUBMINUTE(("&amp;$B$38&amp;"),1,Regular)","FG",,"Time","5",S147,,,,,"T")</f>
        <v>43167.634872685099</v>
      </c>
      <c r="U147" s="83" t="str">
        <f>IF(RTD("cqg.rtd",,"StudyData","SUBMINUTE(("&amp;$B$38&amp;"),1,FillGap)","Bar",,"Close","5",S147,,,,,"T")="",NA(),TEXT(RTD("cqg.rtd",,"StudyData","SUBMINUTE(("&amp;$B$38&amp;"),1,FillGap)","Bar",,"Close","5",S147,,,,,"T"),Sheet1!$D$8))</f>
        <v>2738.75</v>
      </c>
      <c r="V147" s="38">
        <f>IF( RTD("cqg.rtd",,"StudyData", "AlgOrdBidVol(SUBMINUTE(("&amp;$B$38&amp;"),1,Regular),1,0)",  "Bar",, "Open", "5",S147,,,,,"T")="",0,RTD("cqg.rtd",,"StudyData", "AlgOrdBidVol(SUBMINUTE(("&amp;$B$38&amp;"),1,Regular),1,0)",  "Bar",, "Open", "5",S147,,,,,"T"))</f>
        <v>0</v>
      </c>
      <c r="W147" s="38">
        <f>IF( RTD("cqg.rtd",,"StudyData", "AlgOrdAskVol(SUBMINUTE(("&amp;$B$38&amp;"),1,Regular),1,0)",  "Bar",, "Open", "5",S147,,,,,"T")="",0,RTD("cqg.rtd",,"StudyData", "AlgOrdAskVol(SUBMINUTE(("&amp;$B$38&amp;"),1,Regular),1,0)",  "Bar",, "Open", "5",S147,,,,,"T"))</f>
        <v>0</v>
      </c>
      <c r="X147" s="37">
        <f t="shared" ref="X147" si="139">IF(AND(V147&gt;W147,V147&gt;$V$5),1,IF(AND(V147&lt;W147,W147&gt;$W$5),-1,0))</f>
        <v>0</v>
      </c>
      <c r="Y147" s="121">
        <f>RTD("cqg.rtd",,"StudyData","SUBMINUTE(("&amp;$B$38&amp;"),5,Regular)","FG",,"Time","5",S147,,,,,"T")</f>
        <v>43167.632696759298</v>
      </c>
      <c r="Z147" s="197" t="str">
        <f>IF(RTD("cqg.rtd",,"StudyData","SUBMINUTE(("&amp;$B$38&amp;"),5,FillGap)","Bar",,"Close","5",S147,,,,,"T")="",NA(),TEXT(RTD("cqg.rtd",,"StudyData","SUBMINUTE(("&amp;$B$38&amp;"),5,FillGap)","Bar",,"Close","5",S147,,,,,"T"),Sheet1!$D$8))</f>
        <v>2739.00</v>
      </c>
      <c r="AA147" s="38">
        <f>IF( RTD("cqg.rtd",,"StudyData", "AlgOrdBidVol(SUBMINUTE(("&amp;$B$38&amp;"),5,Regular),1,0)",  "Bar",, "Open", "5",S147,,,,,"T")="",0,RTD("cqg.rtd",,"StudyData", "AlgOrdBidVol(SUBMINUTE(("&amp;$B$38&amp;"),5,Regular),1,0)",  "Bar",, "Open", "5",S147,,,,,"T"))</f>
        <v>52</v>
      </c>
      <c r="AB147" s="38">
        <f>IF( RTD("cqg.rtd",,"StudyData", "AlgOrdAskVol(SUBMINUTE(("&amp;$B$38&amp;"),5,Regular),1,0)",  "Bar",, "Open", "5",S147,,,,,"T")="",0,RTD("cqg.rtd",,"StudyData", "AlgOrdAskVol(SUBMINUTE(("&amp;$B$38&amp;"),5,Regular),1,0)",  "Bar",, "Open", "5",S147,,,,,"T"))</f>
        <v>23</v>
      </c>
      <c r="AC147" s="37">
        <f t="shared" ref="AC147" si="140">IF(AND(AA147&gt;AB147,AA147&gt;$AA$5),1,IF(AND(AA147&lt;AB147,AB147&gt;$AB$5),-1,0))</f>
        <v>1</v>
      </c>
    </row>
    <row r="148" spans="1:29" ht="3.95" customHeight="1" x14ac:dyDescent="0.3">
      <c r="A148" s="56"/>
      <c r="B148" s="15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6"/>
      <c r="N148" s="53"/>
      <c r="O148" s="119"/>
      <c r="P148" s="52"/>
      <c r="Q148" s="120"/>
      <c r="R148" s="50"/>
      <c r="S148" s="50"/>
      <c r="T148" s="121"/>
      <c r="U148" s="83"/>
      <c r="V148" s="38"/>
      <c r="W148" s="38"/>
      <c r="X148" s="38"/>
      <c r="Y148" s="121"/>
      <c r="Z148" s="197"/>
      <c r="AA148" s="38"/>
      <c r="AB148" s="38"/>
      <c r="AC148" s="38"/>
    </row>
    <row r="149" spans="1:29" ht="3.95" customHeight="1" x14ac:dyDescent="0.3">
      <c r="A149" s="56"/>
      <c r="B149" s="15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6"/>
      <c r="N149" s="53"/>
      <c r="O149" s="119"/>
      <c r="P149" s="52"/>
      <c r="Q149" s="120"/>
      <c r="R149" s="50"/>
      <c r="S149" s="50"/>
      <c r="T149" s="121"/>
      <c r="U149" s="83"/>
      <c r="V149" s="38"/>
      <c r="W149" s="38"/>
      <c r="X149" s="38"/>
      <c r="Y149" s="121"/>
      <c r="Z149" s="197"/>
      <c r="AA149" s="38"/>
      <c r="AB149" s="38"/>
      <c r="AC149" s="38"/>
    </row>
    <row r="150" spans="1:29" ht="3.95" customHeight="1" x14ac:dyDescent="0.3">
      <c r="A150" s="55"/>
      <c r="B150" s="15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6"/>
      <c r="N150" s="53" t="str">
        <f>Sheet1!L49</f>
        <v>2728.50</v>
      </c>
      <c r="O150" s="119" t="str">
        <f>Sheet1!M49</f>
        <v/>
      </c>
      <c r="P150" s="52" t="str">
        <f>Sheet1!N49</f>
        <v/>
      </c>
      <c r="Q150" s="120">
        <f>Sheet1!O49</f>
        <v>22730</v>
      </c>
      <c r="R150" s="51">
        <f t="shared" ref="R150" si="141">Q150</f>
        <v>22730</v>
      </c>
      <c r="S150" s="50">
        <f>S147-1</f>
        <v>-48</v>
      </c>
      <c r="T150" s="121">
        <f>RTD("cqg.rtd",,"StudyData","SUBMINUTE(("&amp;$B$38&amp;"),1,Regular)","FG",,"Time","5",S150,,,,,"T")</f>
        <v>43167.634861111103</v>
      </c>
      <c r="U150" s="83" t="str">
        <f>IF(RTD("cqg.rtd",,"StudyData","SUBMINUTE(("&amp;$B$38&amp;"),1,FillGap)","Bar",,"Close","5",S150,,,,,"T")="",NA(),TEXT(RTD("cqg.rtd",,"StudyData","SUBMINUTE(("&amp;$B$38&amp;"),1,FillGap)","Bar",,"Close","5",S150,,,,,"T"),Sheet1!$D$8))</f>
        <v>2738.75</v>
      </c>
      <c r="V150" s="38">
        <f>IF( RTD("cqg.rtd",,"StudyData", "AlgOrdBidVol(SUBMINUTE(("&amp;$B$38&amp;"),1,Regular),1,0)",  "Bar",, "Open", "5",S150,,,,,"T")="",0,RTD("cqg.rtd",,"StudyData", "AlgOrdBidVol(SUBMINUTE(("&amp;$B$38&amp;"),1,Regular),1,0)",  "Bar",, "Open", "5",S150,,,,,"T"))</f>
        <v>0</v>
      </c>
      <c r="W150" s="38">
        <f>IF( RTD("cqg.rtd",,"StudyData", "AlgOrdAskVol(SUBMINUTE(("&amp;$B$38&amp;"),1,Regular),1,0)",  "Bar",, "Open", "5",S150,,,,,"T")="",0,RTD("cqg.rtd",,"StudyData", "AlgOrdAskVol(SUBMINUTE(("&amp;$B$38&amp;"),1,Regular),1,0)",  "Bar",, "Open", "5",S150,,,,,"T"))</f>
        <v>0</v>
      </c>
      <c r="X150" s="37">
        <f t="shared" ref="X150" si="142">IF(AND(V150&gt;W150,V150&gt;$V$5),1,IF(AND(V150&lt;W150,W150&gt;$W$5),-1,0))</f>
        <v>0</v>
      </c>
      <c r="Y150" s="121">
        <f>RTD("cqg.rtd",,"StudyData","SUBMINUTE(("&amp;$B$38&amp;"),5,Regular)","FG",,"Time","5",S150,,,,,"T")</f>
        <v>43167.632638888899</v>
      </c>
      <c r="Z150" s="197" t="str">
        <f>IF(RTD("cqg.rtd",,"StudyData","SUBMINUTE(("&amp;$B$38&amp;"),5,FillGap)","Bar",,"Close","5",S150,,,,,"T")="",NA(),TEXT(RTD("cqg.rtd",,"StudyData","SUBMINUTE(("&amp;$B$38&amp;"),5,FillGap)","Bar",,"Close","5",S150,,,,,"T"),Sheet1!$D$8))</f>
        <v>2739.00</v>
      </c>
      <c r="AA150" s="38">
        <f>IF( RTD("cqg.rtd",,"StudyData", "AlgOrdBidVol(SUBMINUTE(("&amp;$B$38&amp;"),5,Regular),1,0)",  "Bar",, "Open", "5",S150,,,,,"T")="",0,RTD("cqg.rtd",,"StudyData", "AlgOrdBidVol(SUBMINUTE(("&amp;$B$38&amp;"),5,Regular),1,0)",  "Bar",, "Open", "5",S150,,,,,"T"))</f>
        <v>0</v>
      </c>
      <c r="AB150" s="38">
        <f>IF( RTD("cqg.rtd",,"StudyData", "AlgOrdAskVol(SUBMINUTE(("&amp;$B$38&amp;"),5,Regular),1,0)",  "Bar",, "Open", "5",S150,,,,,"T")="",0,RTD("cqg.rtd",,"StudyData", "AlgOrdAskVol(SUBMINUTE(("&amp;$B$38&amp;"),5,Regular),1,0)",  "Bar",, "Open", "5",S150,,,,,"T"))</f>
        <v>0</v>
      </c>
      <c r="AC150" s="37">
        <f t="shared" ref="AC150" si="143">IF(AND(AA150&gt;AB150,AA150&gt;$AA$5),1,IF(AND(AA150&lt;AB150,AB150&gt;$AB$5),-1,0))</f>
        <v>0</v>
      </c>
    </row>
    <row r="151" spans="1:29" ht="3.95" customHeight="1" x14ac:dyDescent="0.3">
      <c r="A151" s="56"/>
      <c r="B151" s="15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6"/>
      <c r="N151" s="53"/>
      <c r="O151" s="119"/>
      <c r="P151" s="52"/>
      <c r="Q151" s="120"/>
      <c r="R151" s="50"/>
      <c r="S151" s="50"/>
      <c r="T151" s="121"/>
      <c r="U151" s="83"/>
      <c r="V151" s="38"/>
      <c r="W151" s="38"/>
      <c r="X151" s="38"/>
      <c r="Y151" s="121"/>
      <c r="Z151" s="197"/>
      <c r="AA151" s="38"/>
      <c r="AB151" s="38"/>
      <c r="AC151" s="38"/>
    </row>
    <row r="152" spans="1:29" ht="3.95" customHeight="1" x14ac:dyDescent="0.3">
      <c r="A152" s="56"/>
      <c r="B152" s="15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6"/>
      <c r="N152" s="53"/>
      <c r="O152" s="119"/>
      <c r="P152" s="52"/>
      <c r="Q152" s="120"/>
      <c r="R152" s="50"/>
      <c r="S152" s="50"/>
      <c r="T152" s="121"/>
      <c r="U152" s="83"/>
      <c r="V152" s="38"/>
      <c r="W152" s="38"/>
      <c r="X152" s="38"/>
      <c r="Y152" s="121"/>
      <c r="Z152" s="197"/>
      <c r="AA152" s="38"/>
      <c r="AB152" s="38"/>
      <c r="AC152" s="38"/>
    </row>
    <row r="153" spans="1:29" ht="3.95" customHeight="1" x14ac:dyDescent="0.3">
      <c r="A153" s="56"/>
      <c r="B153" s="15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6"/>
      <c r="N153" s="53" t="str">
        <f>Sheet1!L50</f>
        <v>2728.25</v>
      </c>
      <c r="O153" s="119" t="str">
        <f>Sheet1!M50</f>
        <v/>
      </c>
      <c r="P153" s="52" t="str">
        <f>Sheet1!N50</f>
        <v/>
      </c>
      <c r="Q153" s="120">
        <f>Sheet1!O50</f>
        <v>19163</v>
      </c>
      <c r="R153" s="51">
        <f t="shared" ref="R153" si="144">Q153</f>
        <v>19163</v>
      </c>
      <c r="S153" s="50">
        <f>S150-1</f>
        <v>-49</v>
      </c>
      <c r="T153" s="121">
        <f>RTD("cqg.rtd",,"StudyData","SUBMINUTE(("&amp;$B$38&amp;"),1,Regular)","FG",,"Time","5",S153,,,,,"T")</f>
        <v>43167.634849536997</v>
      </c>
      <c r="U153" s="83" t="str">
        <f>IF(RTD("cqg.rtd",,"StudyData","SUBMINUTE(("&amp;$B$38&amp;"),1,FillGap)","Bar",,"Close","5",S153,,,,,"T")="",NA(),TEXT(RTD("cqg.rtd",,"StudyData","SUBMINUTE(("&amp;$B$38&amp;"),1,FillGap)","Bar",,"Close","5",S153,,,,,"T"),Sheet1!$D$8))</f>
        <v>2738.75</v>
      </c>
      <c r="V153" s="38">
        <f>IF( RTD("cqg.rtd",,"StudyData", "AlgOrdBidVol(SUBMINUTE(("&amp;$B$38&amp;"),1,Regular),1,0)",  "Bar",, "Open", "5",S153,,,,,"T")="",0,RTD("cqg.rtd",,"StudyData", "AlgOrdBidVol(SUBMINUTE(("&amp;$B$38&amp;"),1,Regular),1,0)",  "Bar",, "Open", "5",S153,,,,,"T"))</f>
        <v>2</v>
      </c>
      <c r="W153" s="38">
        <f>IF( RTD("cqg.rtd",,"StudyData", "AlgOrdAskVol(SUBMINUTE(("&amp;$B$38&amp;"),1,Regular),1,0)",  "Bar",, "Open", "5",S153,,,,,"T")="",0,RTD("cqg.rtd",,"StudyData", "AlgOrdAskVol(SUBMINUTE(("&amp;$B$38&amp;"),1,Regular),1,0)",  "Bar",, "Open", "5",S153,,,,,"T"))</f>
        <v>18</v>
      </c>
      <c r="X153" s="37">
        <f t="shared" ref="X153" si="145">IF(AND(V153&gt;W153,V153&gt;$V$5),1,IF(AND(V153&lt;W153,W153&gt;$W$5),-1,0))</f>
        <v>-1</v>
      </c>
      <c r="Y153" s="121">
        <f>RTD("cqg.rtd",,"StudyData","SUBMINUTE(("&amp;$B$38&amp;"),5,Regular)","FG",,"Time","5",S153,,,,,"T")</f>
        <v>43167.632581018501</v>
      </c>
      <c r="Z153" s="197" t="str">
        <f>IF(RTD("cqg.rtd",,"StudyData","SUBMINUTE(("&amp;$B$38&amp;"),5,FillGap)","Bar",,"Close","5",S153,,,,,"T")="",NA(),TEXT(RTD("cqg.rtd",,"StudyData","SUBMINUTE(("&amp;$B$38&amp;"),5,FillGap)","Bar",,"Close","5",S153,,,,,"T"),Sheet1!$D$8))</f>
        <v>2739.00</v>
      </c>
      <c r="AA153" s="38">
        <f>IF( RTD("cqg.rtd",,"StudyData", "AlgOrdBidVol(SUBMINUTE(("&amp;$B$38&amp;"),5,Regular),1,0)",  "Bar",, "Open", "5",S153,,,,,"T")="",0,RTD("cqg.rtd",,"StudyData", "AlgOrdBidVol(SUBMINUTE(("&amp;$B$38&amp;"),5,Regular),1,0)",  "Bar",, "Open", "5",S153,,,,,"T"))</f>
        <v>90</v>
      </c>
      <c r="AB153" s="38">
        <f>IF( RTD("cqg.rtd",,"StudyData", "AlgOrdAskVol(SUBMINUTE(("&amp;$B$38&amp;"),5,Regular),1,0)",  "Bar",, "Open", "5",S153,,,,,"T")="",0,RTD("cqg.rtd",,"StudyData", "AlgOrdAskVol(SUBMINUTE(("&amp;$B$38&amp;"),5,Regular),1,0)",  "Bar",, "Open", "5",S153,,,,,"T"))</f>
        <v>37</v>
      </c>
      <c r="AC153" s="37">
        <f t="shared" ref="AC153" si="146">IF(AND(AA153&gt;AB153,AA153&gt;$AA$5),1,IF(AND(AA153&lt;AB153,AB153&gt;$AB$5),-1,0))</f>
        <v>1</v>
      </c>
    </row>
    <row r="154" spans="1:29" ht="3.95" customHeight="1" x14ac:dyDescent="0.3">
      <c r="A154" s="55"/>
      <c r="B154" s="15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6"/>
      <c r="N154" s="53"/>
      <c r="O154" s="119"/>
      <c r="P154" s="52"/>
      <c r="Q154" s="120"/>
      <c r="R154" s="50"/>
      <c r="S154" s="50"/>
      <c r="T154" s="121"/>
      <c r="U154" s="83"/>
      <c r="V154" s="38"/>
      <c r="W154" s="38"/>
      <c r="X154" s="38"/>
      <c r="Y154" s="121"/>
      <c r="Z154" s="197"/>
      <c r="AA154" s="38"/>
      <c r="AB154" s="38"/>
      <c r="AC154" s="38"/>
    </row>
    <row r="155" spans="1:29" ht="3.95" customHeight="1" x14ac:dyDescent="0.3">
      <c r="A155" s="56"/>
      <c r="B155" s="15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6"/>
      <c r="N155" s="53"/>
      <c r="O155" s="119"/>
      <c r="P155" s="52"/>
      <c r="Q155" s="120"/>
      <c r="R155" s="50"/>
      <c r="S155" s="50"/>
      <c r="T155" s="121"/>
      <c r="U155" s="83"/>
      <c r="V155" s="38"/>
      <c r="W155" s="38"/>
      <c r="X155" s="38"/>
      <c r="Y155" s="121"/>
      <c r="Z155" s="197"/>
      <c r="AA155" s="38"/>
      <c r="AB155" s="38"/>
      <c r="AC155" s="38"/>
    </row>
    <row r="156" spans="1:29" ht="3.95" customHeight="1" x14ac:dyDescent="0.3">
      <c r="A156" s="56"/>
      <c r="B156" s="15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6"/>
      <c r="N156" s="53" t="str">
        <f>Sheet1!L51</f>
        <v>2728.00</v>
      </c>
      <c r="O156" s="119" t="str">
        <f>Sheet1!M51</f>
        <v/>
      </c>
      <c r="P156" s="52" t="str">
        <f>Sheet1!N51</f>
        <v/>
      </c>
      <c r="Q156" s="120">
        <f>Sheet1!O51</f>
        <v>17081</v>
      </c>
      <c r="R156" s="51">
        <f t="shared" ref="R156" si="147">Q156</f>
        <v>17081</v>
      </c>
      <c r="S156" s="50">
        <f>S153-1</f>
        <v>-50</v>
      </c>
      <c r="T156" s="121">
        <f>RTD("cqg.rtd",,"StudyData","SUBMINUTE(("&amp;$B$38&amp;"),1,Regular)","FG",,"Time","5",S156,,,,,"T")</f>
        <v>43167.634837963</v>
      </c>
      <c r="U156" s="83" t="str">
        <f>IF(RTD("cqg.rtd",,"StudyData","SUBMINUTE(("&amp;$B$38&amp;"),1,FillGap)","Bar",,"Close","5",S156,,,,,"T")="",NA(),TEXT(RTD("cqg.rtd",,"StudyData","SUBMINUTE(("&amp;$B$38&amp;"),1,FillGap)","Bar",,"Close","5",S156,,,,,"T"),Sheet1!$D$8))</f>
        <v>2738.75</v>
      </c>
      <c r="V156" s="38">
        <f>IF( RTD("cqg.rtd",,"StudyData", "AlgOrdBidVol(SUBMINUTE(("&amp;$B$38&amp;"),1,Regular),1,0)",  "Bar",, "Open", "5",S156,,,,,"T")="",0,RTD("cqg.rtd",,"StudyData", "AlgOrdBidVol(SUBMINUTE(("&amp;$B$38&amp;"),1,Regular),1,0)",  "Bar",, "Open", "5",S156,,,,,"T"))</f>
        <v>0</v>
      </c>
      <c r="W156" s="38">
        <f>IF( RTD("cqg.rtd",,"StudyData", "AlgOrdAskVol(SUBMINUTE(("&amp;$B$38&amp;"),1,Regular),1,0)",  "Bar",, "Open", "5",S156,,,,,"T")="",0,RTD("cqg.rtd",,"StudyData", "AlgOrdAskVol(SUBMINUTE(("&amp;$B$38&amp;"),1,Regular),1,0)",  "Bar",, "Open", "5",S156,,,,,"T"))</f>
        <v>0</v>
      </c>
      <c r="X156" s="37">
        <f t="shared" ref="X156" si="148">IF(AND(V156&gt;W156,V156&gt;$V$5),1,IF(AND(V156&lt;W156,W156&gt;$W$5),-1,0))</f>
        <v>0</v>
      </c>
      <c r="Y156" s="121">
        <f>RTD("cqg.rtd",,"StudyData","SUBMINUTE(("&amp;$B$38&amp;"),5,Regular)","FG",,"Time","5",S156,,,,,"T")</f>
        <v>43167.632523148102</v>
      </c>
      <c r="Z156" s="197" t="str">
        <f>IF(RTD("cqg.rtd",,"StudyData","SUBMINUTE(("&amp;$B$38&amp;"),5,FillGap)","Bar",,"Close","5",S156,,,,,"T")="",NA(),TEXT(RTD("cqg.rtd",,"StudyData","SUBMINUTE(("&amp;$B$38&amp;"),5,FillGap)","Bar",,"Close","5",S156,,,,,"T"),Sheet1!$D$8))</f>
        <v>2739.00</v>
      </c>
      <c r="AA156" s="38">
        <f>IF( RTD("cqg.rtd",,"StudyData", "AlgOrdBidVol(SUBMINUTE(("&amp;$B$38&amp;"),5,Regular),1,0)",  "Bar",, "Open", "5",S156,,,,,"T")="",0,RTD("cqg.rtd",,"StudyData", "AlgOrdBidVol(SUBMINUTE(("&amp;$B$38&amp;"),5,Regular),1,0)",  "Bar",, "Open", "5",S156,,,,,"T"))</f>
        <v>0</v>
      </c>
      <c r="AB156" s="38">
        <f>IF( RTD("cqg.rtd",,"StudyData", "AlgOrdAskVol(SUBMINUTE(("&amp;$B$38&amp;"),5,Regular),1,0)",  "Bar",, "Open", "5",S156,,,,,"T")="",0,RTD("cqg.rtd",,"StudyData", "AlgOrdAskVol(SUBMINUTE(("&amp;$B$38&amp;"),5,Regular),1,0)",  "Bar",, "Open", "5",S156,,,,,"T"))</f>
        <v>0</v>
      </c>
      <c r="AC156" s="37">
        <f t="shared" ref="AC156" si="149">IF(AND(AA156&gt;AB156,AA156&gt;$AA$5),1,IF(AND(AA156&lt;AB156,AB156&gt;$AB$5),-1,0))</f>
        <v>0</v>
      </c>
    </row>
    <row r="157" spans="1:29" ht="3.95" customHeight="1" x14ac:dyDescent="0.3">
      <c r="A157" s="56"/>
      <c r="B157" s="15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6"/>
      <c r="N157" s="53"/>
      <c r="O157" s="119"/>
      <c r="P157" s="52"/>
      <c r="Q157" s="120"/>
      <c r="R157" s="50"/>
      <c r="S157" s="50"/>
      <c r="T157" s="121"/>
      <c r="U157" s="83"/>
      <c r="V157" s="38"/>
      <c r="W157" s="38"/>
      <c r="X157" s="38"/>
      <c r="Y157" s="121"/>
      <c r="Z157" s="197"/>
      <c r="AA157" s="38"/>
      <c r="AB157" s="38"/>
      <c r="AC157" s="38"/>
    </row>
    <row r="158" spans="1:29" ht="3.95" customHeight="1" x14ac:dyDescent="0.3">
      <c r="A158" s="55"/>
      <c r="B158" s="15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6"/>
      <c r="N158" s="53"/>
      <c r="O158" s="119"/>
      <c r="P158" s="52"/>
      <c r="Q158" s="120"/>
      <c r="R158" s="50"/>
      <c r="S158" s="50"/>
      <c r="T158" s="121"/>
      <c r="U158" s="83"/>
      <c r="V158" s="38"/>
      <c r="W158" s="38"/>
      <c r="X158" s="38"/>
      <c r="Y158" s="121"/>
      <c r="Z158" s="197"/>
      <c r="AA158" s="38"/>
      <c r="AB158" s="38"/>
      <c r="AC158" s="38"/>
    </row>
    <row r="159" spans="1:29" ht="3.95" customHeight="1" x14ac:dyDescent="0.3">
      <c r="A159" s="56"/>
      <c r="B159" s="15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6"/>
      <c r="N159" s="53" t="str">
        <f>Sheet1!L52</f>
        <v>2727.75</v>
      </c>
      <c r="O159" s="119" t="str">
        <f>Sheet1!M52</f>
        <v/>
      </c>
      <c r="P159" s="52" t="str">
        <f>Sheet1!N52</f>
        <v/>
      </c>
      <c r="Q159" s="120">
        <f>Sheet1!O52</f>
        <v>16211</v>
      </c>
      <c r="R159" s="51">
        <f t="shared" ref="R159" si="150">Q159</f>
        <v>16211</v>
      </c>
      <c r="S159" s="50">
        <f>S156-1</f>
        <v>-51</v>
      </c>
      <c r="T159" s="121">
        <f>RTD("cqg.rtd",,"StudyData","SUBMINUTE(("&amp;$B$38&amp;"),1,Regular)","FG",,"Time","5",S159,,,,,"T")</f>
        <v>43167.634826388901</v>
      </c>
      <c r="U159" s="83" t="str">
        <f>IF(RTD("cqg.rtd",,"StudyData","SUBMINUTE(("&amp;$B$38&amp;"),1,FillGap)","Bar",,"Close","5",S159,,,,,"T")="",NA(),TEXT(RTD("cqg.rtd",,"StudyData","SUBMINUTE(("&amp;$B$38&amp;"),1,FillGap)","Bar",,"Close","5",S159,,,,,"T"),Sheet1!$D$8))</f>
        <v>2738.50</v>
      </c>
      <c r="V159" s="38">
        <f>IF( RTD("cqg.rtd",,"StudyData", "AlgOrdBidVol(SUBMINUTE(("&amp;$B$38&amp;"),1,Regular),1,0)",  "Bar",, "Open", "5",S159,,,,,"T")="",0,RTD("cqg.rtd",,"StudyData", "AlgOrdBidVol(SUBMINUTE(("&amp;$B$38&amp;"),1,Regular),1,0)",  "Bar",, "Open", "5",S159,,,,,"T"))</f>
        <v>17</v>
      </c>
      <c r="W159" s="38">
        <f>IF( RTD("cqg.rtd",,"StudyData", "AlgOrdAskVol(SUBMINUTE(("&amp;$B$38&amp;"),1,Regular),1,0)",  "Bar",, "Open", "5",S159,,,,,"T")="",0,RTD("cqg.rtd",,"StudyData", "AlgOrdAskVol(SUBMINUTE(("&amp;$B$38&amp;"),1,Regular),1,0)",  "Bar",, "Open", "5",S159,,,,,"T"))</f>
        <v>0</v>
      </c>
      <c r="X159" s="37">
        <f t="shared" ref="X159" si="151">IF(AND(V159&gt;W159,V159&gt;$V$5),1,IF(AND(V159&lt;W159,W159&gt;$W$5),-1,0))</f>
        <v>1</v>
      </c>
      <c r="Y159" s="121">
        <f>RTD("cqg.rtd",,"StudyData","SUBMINUTE(("&amp;$B$38&amp;"),5,Regular)","FG",,"Time","5",S159,,,,,"T")</f>
        <v>43167.632465277798</v>
      </c>
      <c r="Z159" s="197" t="str">
        <f>IF(RTD("cqg.rtd",,"StudyData","SUBMINUTE(("&amp;$B$38&amp;"),5,FillGap)","Bar",,"Close","5",S159,,,,,"T")="",NA(),TEXT(RTD("cqg.rtd",,"StudyData","SUBMINUTE(("&amp;$B$38&amp;"),5,FillGap)","Bar",,"Close","5",S159,,,,,"T"),Sheet1!$D$8))</f>
        <v>2738.75</v>
      </c>
      <c r="AA159" s="38">
        <f>IF( RTD("cqg.rtd",,"StudyData", "AlgOrdBidVol(SUBMINUTE(("&amp;$B$38&amp;"),5,Regular),1,0)",  "Bar",, "Open", "5",S159,,,,,"T")="",0,RTD("cqg.rtd",,"StudyData", "AlgOrdBidVol(SUBMINUTE(("&amp;$B$38&amp;"),5,Regular),1,0)",  "Bar",, "Open", "5",S159,,,,,"T"))</f>
        <v>0</v>
      </c>
      <c r="AB159" s="38">
        <f>IF( RTD("cqg.rtd",,"StudyData", "AlgOrdAskVol(SUBMINUTE(("&amp;$B$38&amp;"),5,Regular),1,0)",  "Bar",, "Open", "5",S159,,,,,"T")="",0,RTD("cqg.rtd",,"StudyData", "AlgOrdAskVol(SUBMINUTE(("&amp;$B$38&amp;"),5,Regular),1,0)",  "Bar",, "Open", "5",S159,,,,,"T"))</f>
        <v>0</v>
      </c>
      <c r="AC159" s="37">
        <f t="shared" ref="AC159" si="152">IF(AND(AA159&gt;AB159,AA159&gt;$AA$5),1,IF(AND(AA159&lt;AB159,AB159&gt;$AB$5),-1,0))</f>
        <v>0</v>
      </c>
    </row>
    <row r="160" spans="1:29" ht="3.95" customHeight="1" x14ac:dyDescent="0.3">
      <c r="A160" s="56"/>
      <c r="B160" s="15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6"/>
      <c r="N160" s="53"/>
      <c r="O160" s="119"/>
      <c r="P160" s="52"/>
      <c r="Q160" s="120"/>
      <c r="R160" s="50"/>
      <c r="S160" s="50"/>
      <c r="T160" s="121"/>
      <c r="U160" s="83"/>
      <c r="V160" s="38"/>
      <c r="W160" s="38"/>
      <c r="X160" s="38"/>
      <c r="Y160" s="121"/>
      <c r="Z160" s="197"/>
      <c r="AA160" s="38"/>
      <c r="AB160" s="38"/>
      <c r="AC160" s="38"/>
    </row>
    <row r="161" spans="1:29" ht="3.95" customHeight="1" x14ac:dyDescent="0.3">
      <c r="A161" s="56"/>
      <c r="B161" s="15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6"/>
      <c r="N161" s="53"/>
      <c r="O161" s="119"/>
      <c r="P161" s="52"/>
      <c r="Q161" s="120"/>
      <c r="R161" s="50"/>
      <c r="S161" s="50"/>
      <c r="T161" s="121"/>
      <c r="U161" s="83"/>
      <c r="V161" s="38"/>
      <c r="W161" s="38"/>
      <c r="X161" s="38"/>
      <c r="Y161" s="121"/>
      <c r="Z161" s="197"/>
      <c r="AA161" s="38"/>
      <c r="AB161" s="38"/>
      <c r="AC161" s="38"/>
    </row>
    <row r="162" spans="1:29" ht="3.95" customHeight="1" x14ac:dyDescent="0.3">
      <c r="A162" s="55"/>
      <c r="B162" s="15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6"/>
      <c r="N162" s="53" t="str">
        <f>Sheet1!L53</f>
        <v>2727.50</v>
      </c>
      <c r="O162" s="119" t="str">
        <f>Sheet1!M53</f>
        <v/>
      </c>
      <c r="P162" s="52" t="str">
        <f>Sheet1!N53</f>
        <v/>
      </c>
      <c r="Q162" s="120">
        <f>Sheet1!O53</f>
        <v>14831</v>
      </c>
      <c r="R162" s="51">
        <f t="shared" ref="R162" si="153">Q162</f>
        <v>14831</v>
      </c>
      <c r="S162" s="50">
        <f>S159-1</f>
        <v>-52</v>
      </c>
      <c r="T162" s="121">
        <f>RTD("cqg.rtd",,"StudyData","SUBMINUTE(("&amp;$B$38&amp;"),1,Regular)","FG",,"Time","5",S162,,,,,"T")</f>
        <v>43167.634814814803</v>
      </c>
      <c r="U162" s="83" t="str">
        <f>IF(RTD("cqg.rtd",,"StudyData","SUBMINUTE(("&amp;$B$38&amp;"),1,FillGap)","Bar",,"Close","5",S162,,,,,"T")="",NA(),TEXT(RTD("cqg.rtd",,"StudyData","SUBMINUTE(("&amp;$B$38&amp;"),1,FillGap)","Bar",,"Close","5",S162,,,,,"T"),Sheet1!$D$8))</f>
        <v>2738.75</v>
      </c>
      <c r="V162" s="38">
        <f>IF( RTD("cqg.rtd",,"StudyData", "AlgOrdBidVol(SUBMINUTE(("&amp;$B$38&amp;"),1,Regular),1,0)",  "Bar",, "Open", "5",S162,,,,,"T")="",0,RTD("cqg.rtd",,"StudyData", "AlgOrdBidVol(SUBMINUTE(("&amp;$B$38&amp;"),1,Regular),1,0)",  "Bar",, "Open", "5",S162,,,,,"T"))</f>
        <v>0</v>
      </c>
      <c r="W162" s="38">
        <f>IF( RTD("cqg.rtd",,"StudyData", "AlgOrdAskVol(SUBMINUTE(("&amp;$B$38&amp;"),1,Regular),1,0)",  "Bar",, "Open", "5",S162,,,,,"T")="",0,RTD("cqg.rtd",,"StudyData", "AlgOrdAskVol(SUBMINUTE(("&amp;$B$38&amp;"),1,Regular),1,0)",  "Bar",, "Open", "5",S162,,,,,"T"))</f>
        <v>0</v>
      </c>
      <c r="X162" s="37">
        <f t="shared" ref="X162" si="154">IF(AND(V162&gt;W162,V162&gt;$V$5),1,IF(AND(V162&lt;W162,W162&gt;$W$5),-1,0))</f>
        <v>0</v>
      </c>
      <c r="Y162" s="121">
        <f>RTD("cqg.rtd",,"StudyData","SUBMINUTE(("&amp;$B$38&amp;"),5,Regular)","FG",,"Time","5",S162,,,,,"T")</f>
        <v>43167.6324074074</v>
      </c>
      <c r="Z162" s="197" t="str">
        <f>IF(RTD("cqg.rtd",,"StudyData","SUBMINUTE(("&amp;$B$38&amp;"),5,FillGap)","Bar",,"Close","5",S162,,,,,"T")="",NA(),TEXT(RTD("cqg.rtd",,"StudyData","SUBMINUTE(("&amp;$B$38&amp;"),5,FillGap)","Bar",,"Close","5",S162,,,,,"T"),Sheet1!$D$8))</f>
        <v>2738.75</v>
      </c>
      <c r="AA162" s="38">
        <f>IF( RTD("cqg.rtd",,"StudyData", "AlgOrdBidVol(SUBMINUTE(("&amp;$B$38&amp;"),5,Regular),1,0)",  "Bar",, "Open", "5",S162,,,,,"T")="",0,RTD("cqg.rtd",,"StudyData", "AlgOrdBidVol(SUBMINUTE(("&amp;$B$38&amp;"),5,Regular),1,0)",  "Bar",, "Open", "5",S162,,,,,"T"))</f>
        <v>62</v>
      </c>
      <c r="AB162" s="38">
        <f>IF( RTD("cqg.rtd",,"StudyData", "AlgOrdAskVol(SUBMINUTE(("&amp;$B$38&amp;"),5,Regular),1,0)",  "Bar",, "Open", "5",S162,,,,,"T")="",0,RTD("cqg.rtd",,"StudyData", "AlgOrdAskVol(SUBMINUTE(("&amp;$B$38&amp;"),5,Regular),1,0)",  "Bar",, "Open", "5",S162,,,,,"T"))</f>
        <v>0</v>
      </c>
      <c r="AC162" s="37">
        <f t="shared" ref="AC162" si="155">IF(AND(AA162&gt;AB162,AA162&gt;$AA$5),1,IF(AND(AA162&lt;AB162,AB162&gt;$AB$5),-1,0))</f>
        <v>1</v>
      </c>
    </row>
    <row r="163" spans="1:29" ht="3.95" customHeight="1" x14ac:dyDescent="0.3">
      <c r="A163" s="56"/>
      <c r="B163" s="15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6"/>
      <c r="N163" s="53"/>
      <c r="O163" s="119"/>
      <c r="P163" s="52"/>
      <c r="Q163" s="120"/>
      <c r="R163" s="50"/>
      <c r="S163" s="50"/>
      <c r="T163" s="121"/>
      <c r="U163" s="83"/>
      <c r="V163" s="38"/>
      <c r="W163" s="38"/>
      <c r="X163" s="38"/>
      <c r="Y163" s="121"/>
      <c r="Z163" s="197"/>
      <c r="AA163" s="38"/>
      <c r="AB163" s="38"/>
      <c r="AC163" s="38"/>
    </row>
    <row r="164" spans="1:29" ht="3.95" customHeight="1" x14ac:dyDescent="0.3">
      <c r="A164" s="56"/>
      <c r="B164" s="15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6"/>
      <c r="N164" s="53"/>
      <c r="O164" s="119"/>
      <c r="P164" s="52"/>
      <c r="Q164" s="120"/>
      <c r="R164" s="50"/>
      <c r="S164" s="50"/>
      <c r="T164" s="121"/>
      <c r="U164" s="83"/>
      <c r="V164" s="38"/>
      <c r="W164" s="38"/>
      <c r="X164" s="38"/>
      <c r="Y164" s="121"/>
      <c r="Z164" s="197"/>
      <c r="AA164" s="38"/>
      <c r="AB164" s="38"/>
      <c r="AC164" s="38"/>
    </row>
    <row r="165" spans="1:29" ht="3.95" customHeight="1" x14ac:dyDescent="0.3">
      <c r="A165" s="56"/>
      <c r="B165" s="15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6"/>
      <c r="N165" s="53" t="str">
        <f>Sheet1!L54</f>
        <v>2727.25</v>
      </c>
      <c r="O165" s="119" t="str">
        <f>Sheet1!M54</f>
        <v/>
      </c>
      <c r="P165" s="52" t="str">
        <f>Sheet1!N54</f>
        <v/>
      </c>
      <c r="Q165" s="120">
        <f>Sheet1!O54</f>
        <v>13926</v>
      </c>
      <c r="R165" s="51">
        <f t="shared" ref="R165" si="156">Q165</f>
        <v>13926</v>
      </c>
      <c r="S165" s="50">
        <f>S162-1</f>
        <v>-53</v>
      </c>
      <c r="T165" s="121">
        <f>RTD("cqg.rtd",,"StudyData","SUBMINUTE(("&amp;$B$38&amp;"),1,Regular)","FG",,"Time","5",S165,,,,,"T")</f>
        <v>43167.634803240697</v>
      </c>
      <c r="U165" s="83" t="str">
        <f>IF(RTD("cqg.rtd",,"StudyData","SUBMINUTE(("&amp;$B$38&amp;"),1,FillGap)","Bar",,"Close","5",S165,,,,,"T")="",NA(),TEXT(RTD("cqg.rtd",,"StudyData","SUBMINUTE(("&amp;$B$38&amp;"),1,FillGap)","Bar",,"Close","5",S165,,,,,"T"),Sheet1!$D$8))</f>
        <v>2738.75</v>
      </c>
      <c r="V165" s="38">
        <f>IF( RTD("cqg.rtd",,"StudyData", "AlgOrdBidVol(SUBMINUTE(("&amp;$B$38&amp;"),1,Regular),1,0)",  "Bar",, "Open", "5",S165,,,,,"T")="",0,RTD("cqg.rtd",,"StudyData", "AlgOrdBidVol(SUBMINUTE(("&amp;$B$38&amp;"),1,Regular),1,0)",  "Bar",, "Open", "5",S165,,,,,"T"))</f>
        <v>0</v>
      </c>
      <c r="W165" s="38">
        <f>IF( RTD("cqg.rtd",,"StudyData", "AlgOrdAskVol(SUBMINUTE(("&amp;$B$38&amp;"),1,Regular),1,0)",  "Bar",, "Open", "5",S165,,,,,"T")="",0,RTD("cqg.rtd",,"StudyData", "AlgOrdAskVol(SUBMINUTE(("&amp;$B$38&amp;"),1,Regular),1,0)",  "Bar",, "Open", "5",S165,,,,,"T"))</f>
        <v>0</v>
      </c>
      <c r="X165" s="37">
        <f t="shared" ref="X165" si="157">IF(AND(V165&gt;W165,V165&gt;$V$5),1,IF(AND(V165&lt;W165,W165&gt;$W$5),-1,0))</f>
        <v>0</v>
      </c>
      <c r="Y165" s="121">
        <f>RTD("cqg.rtd",,"StudyData","SUBMINUTE(("&amp;$B$38&amp;"),5,Regular)","FG",,"Time","5",S165,,,,,"T")</f>
        <v>43167.632349537002</v>
      </c>
      <c r="Z165" s="197" t="str">
        <f>IF(RTD("cqg.rtd",,"StudyData","SUBMINUTE(("&amp;$B$38&amp;"),5,FillGap)","Bar",,"Close","5",S165,,,,,"T")="",NA(),TEXT(RTD("cqg.rtd",,"StudyData","SUBMINUTE(("&amp;$B$38&amp;"),5,FillGap)","Bar",,"Close","5",S165,,,,,"T"),Sheet1!$D$8))</f>
        <v>2738.75</v>
      </c>
      <c r="AA165" s="38">
        <f>IF( RTD("cqg.rtd",,"StudyData", "AlgOrdBidVol(SUBMINUTE(("&amp;$B$38&amp;"),5,Regular),1,0)",  "Bar",, "Open", "5",S165,,,,,"T")="",0,RTD("cqg.rtd",,"StudyData", "AlgOrdBidVol(SUBMINUTE(("&amp;$B$38&amp;"),5,Regular),1,0)",  "Bar",, "Open", "5",S165,,,,,"T"))</f>
        <v>0</v>
      </c>
      <c r="AB165" s="38">
        <f>IF( RTD("cqg.rtd",,"StudyData", "AlgOrdAskVol(SUBMINUTE(("&amp;$B$38&amp;"),5,Regular),1,0)",  "Bar",, "Open", "5",S165,,,,,"T")="",0,RTD("cqg.rtd",,"StudyData", "AlgOrdAskVol(SUBMINUTE(("&amp;$B$38&amp;"),5,Regular),1,0)",  "Bar",, "Open", "5",S165,,,,,"T"))</f>
        <v>0</v>
      </c>
      <c r="AC165" s="37">
        <f t="shared" ref="AC165" si="158">IF(AND(AA165&gt;AB165,AA165&gt;$AA$5),1,IF(AND(AA165&lt;AB165,AB165&gt;$AB$5),-1,0))</f>
        <v>0</v>
      </c>
    </row>
    <row r="166" spans="1:29" ht="3.95" customHeight="1" x14ac:dyDescent="0.3">
      <c r="A166" s="4"/>
      <c r="B166" s="15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6"/>
      <c r="N166" s="53"/>
      <c r="O166" s="119"/>
      <c r="P166" s="52"/>
      <c r="Q166" s="120"/>
      <c r="R166" s="50"/>
      <c r="S166" s="50"/>
      <c r="T166" s="121"/>
      <c r="U166" s="83"/>
      <c r="V166" s="38"/>
      <c r="W166" s="38"/>
      <c r="X166" s="38"/>
      <c r="Y166" s="121"/>
      <c r="Z166" s="197"/>
      <c r="AA166" s="38"/>
      <c r="AB166" s="38"/>
      <c r="AC166" s="38"/>
    </row>
    <row r="167" spans="1:29" ht="3.95" customHeight="1" x14ac:dyDescent="0.3">
      <c r="A167" s="4"/>
      <c r="B167" s="15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6"/>
      <c r="N167" s="53"/>
      <c r="O167" s="119"/>
      <c r="P167" s="52"/>
      <c r="Q167" s="120"/>
      <c r="R167" s="50"/>
      <c r="S167" s="50"/>
      <c r="T167" s="121"/>
      <c r="U167" s="83"/>
      <c r="V167" s="38"/>
      <c r="W167" s="38"/>
      <c r="X167" s="38"/>
      <c r="Y167" s="121"/>
      <c r="Z167" s="197"/>
      <c r="AA167" s="38"/>
      <c r="AB167" s="38"/>
      <c r="AC167" s="38"/>
    </row>
    <row r="168" spans="1:29" ht="3.95" customHeight="1" x14ac:dyDescent="0.3">
      <c r="A168" s="4"/>
      <c r="B168" s="15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6"/>
      <c r="N168" s="53" t="str">
        <f>Sheet1!L55</f>
        <v>2727.00</v>
      </c>
      <c r="O168" s="119" t="str">
        <f>Sheet1!M55</f>
        <v/>
      </c>
      <c r="P168" s="52" t="str">
        <f>Sheet1!N55</f>
        <v/>
      </c>
      <c r="Q168" s="120">
        <f>Sheet1!O55</f>
        <v>13361</v>
      </c>
      <c r="R168" s="51">
        <f t="shared" ref="R168" si="159">Q168</f>
        <v>13361</v>
      </c>
      <c r="S168" s="50">
        <f>S165-1</f>
        <v>-54</v>
      </c>
      <c r="T168" s="121">
        <f>RTD("cqg.rtd",,"StudyData","SUBMINUTE(("&amp;$B$38&amp;"),1,Regular)","FG",,"Time","5",S168,,,,,"T")</f>
        <v>43167.6347916667</v>
      </c>
      <c r="U168" s="83" t="str">
        <f>IF(RTD("cqg.rtd",,"StudyData","SUBMINUTE(("&amp;$B$38&amp;"),1,FillGap)","Bar",,"Close","5",S168,,,,,"T")="",NA(),TEXT(RTD("cqg.rtd",,"StudyData","SUBMINUTE(("&amp;$B$38&amp;"),1,FillGap)","Bar",,"Close","5",S168,,,,,"T"),Sheet1!$D$8))</f>
        <v>2738.75</v>
      </c>
      <c r="V168" s="38">
        <f>IF( RTD("cqg.rtd",,"StudyData", "AlgOrdBidVol(SUBMINUTE(("&amp;$B$38&amp;"),1,Regular),1,0)",  "Bar",, "Open", "5",S168,,,,,"T")="",0,RTD("cqg.rtd",,"StudyData", "AlgOrdBidVol(SUBMINUTE(("&amp;$B$38&amp;"),1,Regular),1,0)",  "Bar",, "Open", "5",S168,,,,,"T"))</f>
        <v>0</v>
      </c>
      <c r="W168" s="38">
        <f>IF( RTD("cqg.rtd",,"StudyData", "AlgOrdAskVol(SUBMINUTE(("&amp;$B$38&amp;"),1,Regular),1,0)",  "Bar",, "Open", "5",S168,,,,,"T")="",0,RTD("cqg.rtd",,"StudyData", "AlgOrdAskVol(SUBMINUTE(("&amp;$B$38&amp;"),1,Regular),1,0)",  "Bar",, "Open", "5",S168,,,,,"T"))</f>
        <v>0</v>
      </c>
      <c r="X168" s="37">
        <f t="shared" ref="X168" si="160">IF(AND(V168&gt;W168,V168&gt;$V$5),1,IF(AND(V168&lt;W168,W168&gt;$W$5),-1,0))</f>
        <v>0</v>
      </c>
      <c r="Y168" s="121">
        <f>RTD("cqg.rtd",,"StudyData","SUBMINUTE(("&amp;$B$38&amp;"),5,Regular)","FG",,"Time","5",S168,,,,,"T")</f>
        <v>43167.632291666698</v>
      </c>
      <c r="Z168" s="197" t="str">
        <f>IF(RTD("cqg.rtd",,"StudyData","SUBMINUTE(("&amp;$B$38&amp;"),5,FillGap)","Bar",,"Close","5",S168,,,,,"T")="",NA(),TEXT(RTD("cqg.rtd",,"StudyData","SUBMINUTE(("&amp;$B$38&amp;"),5,FillGap)","Bar",,"Close","5",S168,,,,,"T"),Sheet1!$D$8))</f>
        <v>2738.75</v>
      </c>
      <c r="AA168" s="38">
        <f>IF( RTD("cqg.rtd",,"StudyData", "AlgOrdBidVol(SUBMINUTE(("&amp;$B$38&amp;"),5,Regular),1,0)",  "Bar",, "Open", "5",S168,,,,,"T")="",0,RTD("cqg.rtd",,"StudyData", "AlgOrdBidVol(SUBMINUTE(("&amp;$B$38&amp;"),5,Regular),1,0)",  "Bar",, "Open", "5",S168,,,,,"T"))</f>
        <v>77</v>
      </c>
      <c r="AB168" s="38">
        <f>IF( RTD("cqg.rtd",,"StudyData", "AlgOrdAskVol(SUBMINUTE(("&amp;$B$38&amp;"),5,Regular),1,0)",  "Bar",, "Open", "5",S168,,,,,"T")="",0,RTD("cqg.rtd",,"StudyData", "AlgOrdAskVol(SUBMINUTE(("&amp;$B$38&amp;"),5,Regular),1,0)",  "Bar",, "Open", "5",S168,,,,,"T"))</f>
        <v>0</v>
      </c>
      <c r="AC168" s="37">
        <f t="shared" ref="AC168" si="161">IF(AND(AA168&gt;AB168,AA168&gt;$AA$5),1,IF(AND(AA168&lt;AB168,AB168&gt;$AB$5),-1,0))</f>
        <v>1</v>
      </c>
    </row>
    <row r="169" spans="1:29" ht="3.95" customHeight="1" x14ac:dyDescent="0.3">
      <c r="A169" s="4"/>
      <c r="B169" s="15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6"/>
      <c r="N169" s="53"/>
      <c r="O169" s="119"/>
      <c r="P169" s="52"/>
      <c r="Q169" s="120"/>
      <c r="R169" s="50"/>
      <c r="S169" s="50"/>
      <c r="T169" s="121"/>
      <c r="U169" s="83"/>
      <c r="V169" s="38"/>
      <c r="W169" s="38"/>
      <c r="X169" s="38"/>
      <c r="Y169" s="121"/>
      <c r="Z169" s="197"/>
      <c r="AA169" s="38"/>
      <c r="AB169" s="38"/>
      <c r="AC169" s="38"/>
    </row>
    <row r="170" spans="1:29" ht="3.95" customHeight="1" x14ac:dyDescent="0.3">
      <c r="B170" s="15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6"/>
      <c r="N170" s="53"/>
      <c r="O170" s="119"/>
      <c r="P170" s="52"/>
      <c r="Q170" s="120"/>
      <c r="R170" s="50"/>
      <c r="S170" s="50"/>
      <c r="T170" s="121"/>
      <c r="U170" s="83"/>
      <c r="V170" s="38"/>
      <c r="W170" s="38"/>
      <c r="X170" s="38"/>
      <c r="Y170" s="121"/>
      <c r="Z170" s="197"/>
      <c r="AA170" s="38"/>
      <c r="AB170" s="38"/>
      <c r="AC170" s="38"/>
    </row>
    <row r="171" spans="1:29" ht="3.95" customHeight="1" x14ac:dyDescent="0.3">
      <c r="B171" s="15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6"/>
      <c r="N171" s="53" t="str">
        <f>Sheet1!L56</f>
        <v>2726.75</v>
      </c>
      <c r="O171" s="119" t="str">
        <f>Sheet1!M56</f>
        <v/>
      </c>
      <c r="P171" s="52" t="str">
        <f>Sheet1!N56</f>
        <v/>
      </c>
      <c r="Q171" s="120">
        <f>Sheet1!O56</f>
        <v>14556</v>
      </c>
      <c r="R171" s="51">
        <f t="shared" ref="R171" si="162">Q171</f>
        <v>14556</v>
      </c>
      <c r="S171" s="50">
        <f>S168-1</f>
        <v>-55</v>
      </c>
      <c r="T171" s="121">
        <f>RTD("cqg.rtd",,"StudyData","SUBMINUTE(("&amp;$B$38&amp;"),1,Regular)","FG",,"Time","5",S171,,,,,"T")</f>
        <v>43167.634780092601</v>
      </c>
      <c r="U171" s="83" t="str">
        <f>IF(RTD("cqg.rtd",,"StudyData","SUBMINUTE(("&amp;$B$38&amp;"),1,FillGap)","Bar",,"Close","5",S171,,,,,"T")="",NA(),TEXT(RTD("cqg.rtd",,"StudyData","SUBMINUTE(("&amp;$B$38&amp;"),1,FillGap)","Bar",,"Close","5",S171,,,,,"T"),Sheet1!$D$8))</f>
        <v>2738.75</v>
      </c>
      <c r="V171" s="38">
        <f>IF( RTD("cqg.rtd",,"StudyData", "AlgOrdBidVol(SUBMINUTE(("&amp;$B$38&amp;"),1,Regular),1,0)",  "Bar",, "Open", "5",S171,,,,,"T")="",0,RTD("cqg.rtd",,"StudyData", "AlgOrdBidVol(SUBMINUTE(("&amp;$B$38&amp;"),1,Regular),1,0)",  "Bar",, "Open", "5",S171,,,,,"T"))</f>
        <v>0</v>
      </c>
      <c r="W171" s="38">
        <f>IF( RTD("cqg.rtd",,"StudyData", "AlgOrdAskVol(SUBMINUTE(("&amp;$B$38&amp;"),1,Regular),1,0)",  "Bar",, "Open", "5",S171,,,,,"T")="",0,RTD("cqg.rtd",,"StudyData", "AlgOrdAskVol(SUBMINUTE(("&amp;$B$38&amp;"),1,Regular),1,0)",  "Bar",, "Open", "5",S171,,,,,"T"))</f>
        <v>0</v>
      </c>
      <c r="X171" s="37">
        <f t="shared" ref="X171" si="163">IF(AND(V171&gt;W171,V171&gt;$V$5),1,IF(AND(V171&lt;W171,W171&gt;$W$5),-1,0))</f>
        <v>0</v>
      </c>
      <c r="Y171" s="121">
        <f>RTD("cqg.rtd",,"StudyData","SUBMINUTE(("&amp;$B$38&amp;"),5,Regular)","FG",,"Time","5",S171,,,,,"T")</f>
        <v>43167.632233796299</v>
      </c>
      <c r="Z171" s="197" t="str">
        <f>IF(RTD("cqg.rtd",,"StudyData","SUBMINUTE(("&amp;$B$38&amp;"),5,FillGap)","Bar",,"Close","5",S171,,,,,"T")="",NA(),TEXT(RTD("cqg.rtd",,"StudyData","SUBMINUTE(("&amp;$B$38&amp;"),5,FillGap)","Bar",,"Close","5",S171,,,,,"T"),Sheet1!$D$8))</f>
        <v>2738.75</v>
      </c>
      <c r="AA171" s="38">
        <f>IF( RTD("cqg.rtd",,"StudyData", "AlgOrdBidVol(SUBMINUTE(("&amp;$B$38&amp;"),5,Regular),1,0)",  "Bar",, "Open", "5",S171,,,,,"T")="",0,RTD("cqg.rtd",,"StudyData", "AlgOrdBidVol(SUBMINUTE(("&amp;$B$38&amp;"),5,Regular),1,0)",  "Bar",, "Open", "5",S171,,,,,"T"))</f>
        <v>0</v>
      </c>
      <c r="AB171" s="38">
        <f>IF( RTD("cqg.rtd",,"StudyData", "AlgOrdAskVol(SUBMINUTE(("&amp;$B$38&amp;"),5,Regular),1,0)",  "Bar",, "Open", "5",S171,,,,,"T")="",0,RTD("cqg.rtd",,"StudyData", "AlgOrdAskVol(SUBMINUTE(("&amp;$B$38&amp;"),5,Regular),1,0)",  "Bar",, "Open", "5",S171,,,,,"T"))</f>
        <v>0</v>
      </c>
      <c r="AC171" s="37">
        <f t="shared" ref="AC171" si="164">IF(AND(AA171&gt;AB171,AA171&gt;$AA$5),1,IF(AND(AA171&lt;AB171,AB171&gt;$AB$5),-1,0))</f>
        <v>0</v>
      </c>
    </row>
    <row r="172" spans="1:29" ht="3.95" customHeight="1" x14ac:dyDescent="0.3">
      <c r="B172" s="15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6"/>
      <c r="N172" s="53"/>
      <c r="O172" s="119"/>
      <c r="P172" s="52"/>
      <c r="Q172" s="120"/>
      <c r="R172" s="50"/>
      <c r="S172" s="50"/>
      <c r="T172" s="121"/>
      <c r="U172" s="83"/>
      <c r="V172" s="38"/>
      <c r="W172" s="38"/>
      <c r="X172" s="38"/>
      <c r="Y172" s="121"/>
      <c r="Z172" s="197"/>
      <c r="AA172" s="38"/>
      <c r="AB172" s="38"/>
      <c r="AC172" s="38"/>
    </row>
    <row r="173" spans="1:29" ht="3.95" customHeight="1" x14ac:dyDescent="0.3">
      <c r="B173" s="15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6"/>
      <c r="N173" s="53"/>
      <c r="O173" s="119"/>
      <c r="P173" s="52"/>
      <c r="Q173" s="120"/>
      <c r="R173" s="50"/>
      <c r="S173" s="50"/>
      <c r="T173" s="121"/>
      <c r="U173" s="83"/>
      <c r="V173" s="38"/>
      <c r="W173" s="38"/>
      <c r="X173" s="38"/>
      <c r="Y173" s="121"/>
      <c r="Z173" s="197"/>
      <c r="AA173" s="38"/>
      <c r="AB173" s="38"/>
      <c r="AC173" s="38"/>
    </row>
    <row r="174" spans="1:29" ht="3.95" customHeight="1" x14ac:dyDescent="0.3">
      <c r="B174" s="15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6"/>
      <c r="N174" s="53" t="str">
        <f>Sheet1!L57</f>
        <v>2726.50</v>
      </c>
      <c r="O174" s="119" t="str">
        <f>Sheet1!M57</f>
        <v/>
      </c>
      <c r="P174" s="52" t="str">
        <f>Sheet1!N57</f>
        <v/>
      </c>
      <c r="Q174" s="120">
        <f>Sheet1!O57</f>
        <v>18121</v>
      </c>
      <c r="R174" s="51">
        <f t="shared" ref="R174" si="165">Q174</f>
        <v>18121</v>
      </c>
      <c r="S174" s="50">
        <f>S171-1</f>
        <v>-56</v>
      </c>
      <c r="T174" s="121">
        <f>RTD("cqg.rtd",,"StudyData","SUBMINUTE(("&amp;$B$38&amp;"),1,Regular)","FG",,"Time","5",S174,,,,,"T")</f>
        <v>43167.634768518503</v>
      </c>
      <c r="U174" s="83" t="str">
        <f>IF(RTD("cqg.rtd",,"StudyData","SUBMINUTE(("&amp;$B$38&amp;"),1,FillGap)","Bar",,"Close","5",S174,,,,,"T")="",NA(),TEXT(RTD("cqg.rtd",,"StudyData","SUBMINUTE(("&amp;$B$38&amp;"),1,FillGap)","Bar",,"Close","5",S174,,,,,"T"),Sheet1!$D$8))</f>
        <v>2738.75</v>
      </c>
      <c r="V174" s="38">
        <f>IF( RTD("cqg.rtd",,"StudyData", "AlgOrdBidVol(SUBMINUTE(("&amp;$B$38&amp;"),1,Regular),1,0)",  "Bar",, "Open", "5",S174,,,,,"T")="",0,RTD("cqg.rtd",,"StudyData", "AlgOrdBidVol(SUBMINUTE(("&amp;$B$38&amp;"),1,Regular),1,0)",  "Bar",, "Open", "5",S174,,,,,"T"))</f>
        <v>0</v>
      </c>
      <c r="W174" s="38">
        <f>IF( RTD("cqg.rtd",,"StudyData", "AlgOrdAskVol(SUBMINUTE(("&amp;$B$38&amp;"),1,Regular),1,0)",  "Bar",, "Open", "5",S174,,,,,"T")="",0,RTD("cqg.rtd",,"StudyData", "AlgOrdAskVol(SUBMINUTE(("&amp;$B$38&amp;"),1,Regular),1,0)",  "Bar",, "Open", "5",S174,,,,,"T"))</f>
        <v>0</v>
      </c>
      <c r="X174" s="37">
        <f t="shared" ref="X174" si="166">IF(AND(V174&gt;W174,V174&gt;$V$5),1,IF(AND(V174&lt;W174,W174&gt;$W$5),-1,0))</f>
        <v>0</v>
      </c>
      <c r="Y174" s="121">
        <f>RTD("cqg.rtd",,"StudyData","SUBMINUTE(("&amp;$B$38&amp;"),5,Regular)","FG",,"Time","5",S174,,,,,"T")</f>
        <v>43167.632175925901</v>
      </c>
      <c r="Z174" s="197" t="str">
        <f>IF(RTD("cqg.rtd",,"StudyData","SUBMINUTE(("&amp;$B$38&amp;"),5,FillGap)","Bar",,"Close","5",S174,,,,,"T")="",NA(),TEXT(RTD("cqg.rtd",,"StudyData","SUBMINUTE(("&amp;$B$38&amp;"),5,FillGap)","Bar",,"Close","5",S174,,,,,"T"),Sheet1!$D$8))</f>
        <v>2738.75</v>
      </c>
      <c r="AA174" s="38">
        <f>IF( RTD("cqg.rtd",,"StudyData", "AlgOrdBidVol(SUBMINUTE(("&amp;$B$38&amp;"),5,Regular),1,0)",  "Bar",, "Open", "5",S174,,,,,"T")="",0,RTD("cqg.rtd",,"StudyData", "AlgOrdBidVol(SUBMINUTE(("&amp;$B$38&amp;"),5,Regular),1,0)",  "Bar",, "Open", "5",S174,,,,,"T"))</f>
        <v>0</v>
      </c>
      <c r="AB174" s="38">
        <f>IF( RTD("cqg.rtd",,"StudyData", "AlgOrdAskVol(SUBMINUTE(("&amp;$B$38&amp;"),5,Regular),1,0)",  "Bar",, "Open", "5",S174,,,,,"T")="",0,RTD("cqg.rtd",,"StudyData", "AlgOrdAskVol(SUBMINUTE(("&amp;$B$38&amp;"),5,Regular),1,0)",  "Bar",, "Open", "5",S174,,,,,"T"))</f>
        <v>0</v>
      </c>
      <c r="AC174" s="37">
        <f t="shared" ref="AC174" si="167">IF(AND(AA174&gt;AB174,AA174&gt;$AA$5),1,IF(AND(AA174&lt;AB174,AB174&gt;$AB$5),-1,0))</f>
        <v>0</v>
      </c>
    </row>
    <row r="175" spans="1:29" ht="3.95" customHeight="1" x14ac:dyDescent="0.3">
      <c r="B175" s="15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6"/>
      <c r="N175" s="53"/>
      <c r="O175" s="119"/>
      <c r="P175" s="52"/>
      <c r="Q175" s="120"/>
      <c r="R175" s="50"/>
      <c r="S175" s="50"/>
      <c r="T175" s="121"/>
      <c r="U175" s="83"/>
      <c r="V175" s="38"/>
      <c r="W175" s="38"/>
      <c r="X175" s="38"/>
      <c r="Y175" s="121"/>
      <c r="Z175" s="197"/>
      <c r="AA175" s="38"/>
      <c r="AB175" s="38"/>
      <c r="AC175" s="38"/>
    </row>
    <row r="176" spans="1:29" ht="3.95" customHeight="1" x14ac:dyDescent="0.3">
      <c r="B176" s="15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6"/>
      <c r="N176" s="53"/>
      <c r="O176" s="119"/>
      <c r="P176" s="52"/>
      <c r="Q176" s="120"/>
      <c r="R176" s="50"/>
      <c r="S176" s="50"/>
      <c r="T176" s="121"/>
      <c r="U176" s="83"/>
      <c r="V176" s="38"/>
      <c r="W176" s="38"/>
      <c r="X176" s="38"/>
      <c r="Y176" s="121"/>
      <c r="Z176" s="197"/>
      <c r="AA176" s="38"/>
      <c r="AB176" s="38"/>
      <c r="AC176" s="38"/>
    </row>
    <row r="177" spans="2:29" ht="3.95" customHeight="1" x14ac:dyDescent="0.3">
      <c r="B177" s="15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6"/>
      <c r="N177" s="53" t="str">
        <f>Sheet1!L58</f>
        <v>2726.25</v>
      </c>
      <c r="O177" s="119" t="str">
        <f>Sheet1!M58</f>
        <v/>
      </c>
      <c r="P177" s="52" t="str">
        <f>Sheet1!N58</f>
        <v/>
      </c>
      <c r="Q177" s="120">
        <f>Sheet1!O58</f>
        <v>20880</v>
      </c>
      <c r="R177" s="51">
        <f t="shared" ref="R177" si="168">Q177</f>
        <v>20880</v>
      </c>
      <c r="S177" s="50">
        <f>S174-1</f>
        <v>-57</v>
      </c>
      <c r="T177" s="121">
        <f>RTD("cqg.rtd",,"StudyData","SUBMINUTE(("&amp;$B$38&amp;"),1,Regular)","FG",,"Time","5",S177,,,,,"T")</f>
        <v>43167.634756944397</v>
      </c>
      <c r="U177" s="83" t="str">
        <f>IF(RTD("cqg.rtd",,"StudyData","SUBMINUTE(("&amp;$B$38&amp;"),1,FillGap)","Bar",,"Close","5",S177,,,,,"T")="",NA(),TEXT(RTD("cqg.rtd",,"StudyData","SUBMINUTE(("&amp;$B$38&amp;"),1,FillGap)","Bar",,"Close","5",S177,,,,,"T"),Sheet1!$D$8))</f>
        <v>2739.00</v>
      </c>
      <c r="V177" s="38">
        <f>IF( RTD("cqg.rtd",,"StudyData", "AlgOrdBidVol(SUBMINUTE(("&amp;$B$38&amp;"),1,Regular),1,0)",  "Bar",, "Open", "5",S177,,,,,"T")="",0,RTD("cqg.rtd",,"StudyData", "AlgOrdBidVol(SUBMINUTE(("&amp;$B$38&amp;"),1,Regular),1,0)",  "Bar",, "Open", "5",S177,,,,,"T"))</f>
        <v>0</v>
      </c>
      <c r="W177" s="38">
        <f>IF( RTD("cqg.rtd",,"StudyData", "AlgOrdAskVol(SUBMINUTE(("&amp;$B$38&amp;"),1,Regular),1,0)",  "Bar",, "Open", "5",S177,,,,,"T")="",0,RTD("cqg.rtd",,"StudyData", "AlgOrdAskVol(SUBMINUTE(("&amp;$B$38&amp;"),1,Regular),1,0)",  "Bar",, "Open", "5",S177,,,,,"T"))</f>
        <v>0</v>
      </c>
      <c r="X177" s="37">
        <f t="shared" ref="X177" si="169">IF(AND(V177&gt;W177,V177&gt;$V$5),1,IF(AND(V177&lt;W177,W177&gt;$W$5),-1,0))</f>
        <v>0</v>
      </c>
      <c r="Y177" s="121">
        <f>RTD("cqg.rtd",,"StudyData","SUBMINUTE(("&amp;$B$38&amp;"),5,Regular)","FG",,"Time","5",S177,,,,,"T")</f>
        <v>43167.632118055597</v>
      </c>
      <c r="Z177" s="197" t="str">
        <f>IF(RTD("cqg.rtd",,"StudyData","SUBMINUTE(("&amp;$B$38&amp;"),5,FillGap)","Bar",,"Close","5",S177,,,,,"T")="",NA(),TEXT(RTD("cqg.rtd",,"StudyData","SUBMINUTE(("&amp;$B$38&amp;"),5,FillGap)","Bar",,"Close","5",S177,,,,,"T"),Sheet1!$D$8))</f>
        <v>2738.75</v>
      </c>
      <c r="AA177" s="38">
        <f>IF( RTD("cqg.rtd",,"StudyData", "AlgOrdBidVol(SUBMINUTE(("&amp;$B$38&amp;"),5,Regular),1,0)",  "Bar",, "Open", "5",S177,,,,,"T")="",0,RTD("cqg.rtd",,"StudyData", "AlgOrdBidVol(SUBMINUTE(("&amp;$B$38&amp;"),5,Regular),1,0)",  "Bar",, "Open", "5",S177,,,,,"T"))</f>
        <v>5</v>
      </c>
      <c r="AB177" s="38">
        <f>IF( RTD("cqg.rtd",,"StudyData", "AlgOrdAskVol(SUBMINUTE(("&amp;$B$38&amp;"),5,Regular),1,0)",  "Bar",, "Open", "5",S177,,,,,"T")="",0,RTD("cqg.rtd",,"StudyData", "AlgOrdAskVol(SUBMINUTE(("&amp;$B$38&amp;"),5,Regular),1,0)",  "Bar",, "Open", "5",S177,,,,,"T"))</f>
        <v>29</v>
      </c>
      <c r="AC177" s="37">
        <f t="shared" ref="AC177" si="170">IF(AND(AA177&gt;AB177,AA177&gt;$AA$5),1,IF(AND(AA177&lt;AB177,AB177&gt;$AB$5),-1,0))</f>
        <v>-1</v>
      </c>
    </row>
    <row r="178" spans="2:29" ht="3.95" customHeight="1" x14ac:dyDescent="0.3">
      <c r="B178" s="15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6"/>
      <c r="N178" s="53"/>
      <c r="O178" s="119"/>
      <c r="P178" s="52"/>
      <c r="Q178" s="120"/>
      <c r="R178" s="50"/>
      <c r="S178" s="50"/>
      <c r="T178" s="121"/>
      <c r="U178" s="83"/>
      <c r="V178" s="38"/>
      <c r="W178" s="38"/>
      <c r="X178" s="38"/>
      <c r="Y178" s="121"/>
      <c r="Z178" s="197"/>
      <c r="AA178" s="38"/>
      <c r="AB178" s="38"/>
      <c r="AC178" s="38"/>
    </row>
    <row r="179" spans="2:29" ht="3.95" customHeight="1" x14ac:dyDescent="0.3">
      <c r="B179" s="15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6"/>
      <c r="N179" s="53"/>
      <c r="O179" s="119"/>
      <c r="P179" s="52"/>
      <c r="Q179" s="120"/>
      <c r="R179" s="50"/>
      <c r="S179" s="50"/>
      <c r="T179" s="121"/>
      <c r="U179" s="83"/>
      <c r="V179" s="38"/>
      <c r="W179" s="38"/>
      <c r="X179" s="38"/>
      <c r="Y179" s="121"/>
      <c r="Z179" s="197"/>
      <c r="AA179" s="38"/>
      <c r="AB179" s="38"/>
      <c r="AC179" s="38"/>
    </row>
    <row r="180" spans="2:29" ht="3.95" customHeight="1" x14ac:dyDescent="0.3">
      <c r="B180" s="15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6"/>
      <c r="N180" s="53" t="str">
        <f>Sheet1!L59</f>
        <v>2726.00</v>
      </c>
      <c r="O180" s="119" t="str">
        <f>Sheet1!M59</f>
        <v/>
      </c>
      <c r="P180" s="52" t="str">
        <f>Sheet1!N59</f>
        <v/>
      </c>
      <c r="Q180" s="120">
        <f>Sheet1!O59</f>
        <v>18461</v>
      </c>
      <c r="R180" s="51">
        <f t="shared" ref="R180" si="171">Q180</f>
        <v>18461</v>
      </c>
      <c r="S180" s="50">
        <f>S177-1</f>
        <v>-58</v>
      </c>
      <c r="T180" s="121">
        <f>RTD("cqg.rtd",,"StudyData","SUBMINUTE(("&amp;$B$38&amp;"),1,Regular)","FG",,"Time","5",S180,,,,,"T")</f>
        <v>43167.6347453704</v>
      </c>
      <c r="U180" s="83" t="str">
        <f>IF(RTD("cqg.rtd",,"StudyData","SUBMINUTE(("&amp;$B$38&amp;"),1,FillGap)","Bar",,"Close","5",S180,,,,,"T")="",NA(),TEXT(RTD("cqg.rtd",,"StudyData","SUBMINUTE(("&amp;$B$38&amp;"),1,FillGap)","Bar",,"Close","5",S180,,,,,"T"),Sheet1!$D$8))</f>
        <v>2739.00</v>
      </c>
      <c r="V180" s="38">
        <f>IF( RTD("cqg.rtd",,"StudyData", "AlgOrdBidVol(SUBMINUTE(("&amp;$B$38&amp;"),1,Regular),1,0)",  "Bar",, "Open", "5",S180,,,,,"T")="",0,RTD("cqg.rtd",,"StudyData", "AlgOrdBidVol(SUBMINUTE(("&amp;$B$38&amp;"),1,Regular),1,0)",  "Bar",, "Open", "5",S180,,,,,"T"))</f>
        <v>2</v>
      </c>
      <c r="W180" s="38">
        <f>IF( RTD("cqg.rtd",,"StudyData", "AlgOrdAskVol(SUBMINUTE(("&amp;$B$38&amp;"),1,Regular),1,0)",  "Bar",, "Open", "5",S180,,,,,"T")="",0,RTD("cqg.rtd",,"StudyData", "AlgOrdAskVol(SUBMINUTE(("&amp;$B$38&amp;"),1,Regular),1,0)",  "Bar",, "Open", "5",S180,,,,,"T"))</f>
        <v>0</v>
      </c>
      <c r="X180" s="37">
        <f t="shared" ref="X180" si="172">IF(AND(V180&gt;W180,V180&gt;$V$5),1,IF(AND(V180&lt;W180,W180&gt;$W$5),-1,0))</f>
        <v>0</v>
      </c>
      <c r="Y180" s="121">
        <f>RTD("cqg.rtd",,"StudyData","SUBMINUTE(("&amp;$B$38&amp;"),5,Regular)","FG",,"Time","5",S180,,,,,"T")</f>
        <v>43167.632060185198</v>
      </c>
      <c r="Z180" s="197" t="str">
        <f>IF(RTD("cqg.rtd",,"StudyData","SUBMINUTE(("&amp;$B$38&amp;"),5,FillGap)","Bar",,"Close","5",S180,,,,,"T")="",NA(),TEXT(RTD("cqg.rtd",,"StudyData","SUBMINUTE(("&amp;$B$38&amp;"),5,FillGap)","Bar",,"Close","5",S180,,,,,"T"),Sheet1!$D$8))</f>
        <v>2738.75</v>
      </c>
      <c r="AA180" s="38">
        <f>IF( RTD("cqg.rtd",,"StudyData", "AlgOrdBidVol(SUBMINUTE(("&amp;$B$38&amp;"),5,Regular),1,0)",  "Bar",, "Open", "5",S180,,,,,"T")="",0,RTD("cqg.rtd",,"StudyData", "AlgOrdBidVol(SUBMINUTE(("&amp;$B$38&amp;"),5,Regular),1,0)",  "Bar",, "Open", "5",S180,,,,,"T"))</f>
        <v>0</v>
      </c>
      <c r="AB180" s="38">
        <f>IF( RTD("cqg.rtd",,"StudyData", "AlgOrdAskVol(SUBMINUTE(("&amp;$B$38&amp;"),5,Regular),1,0)",  "Bar",, "Open", "5",S180,,,,,"T")="",0,RTD("cqg.rtd",,"StudyData", "AlgOrdAskVol(SUBMINUTE(("&amp;$B$38&amp;"),5,Regular),1,0)",  "Bar",, "Open", "5",S180,,,,,"T"))</f>
        <v>0</v>
      </c>
      <c r="AC180" s="37">
        <f t="shared" ref="AC180" si="173">IF(AND(AA180&gt;AB180,AA180&gt;$AA$5),1,IF(AND(AA180&lt;AB180,AB180&gt;$AB$5),-1,0))</f>
        <v>0</v>
      </c>
    </row>
    <row r="181" spans="2:29" ht="3.95" customHeight="1" x14ac:dyDescent="0.3">
      <c r="B181" s="15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6"/>
      <c r="N181" s="53"/>
      <c r="O181" s="119"/>
      <c r="P181" s="52"/>
      <c r="Q181" s="120"/>
      <c r="R181" s="50"/>
      <c r="S181" s="50"/>
      <c r="T181" s="121"/>
      <c r="U181" s="83"/>
      <c r="V181" s="38"/>
      <c r="W181" s="38"/>
      <c r="X181" s="38"/>
      <c r="Y181" s="121"/>
      <c r="Z181" s="197"/>
      <c r="AA181" s="38"/>
      <c r="AB181" s="38"/>
      <c r="AC181" s="38"/>
    </row>
    <row r="182" spans="2:29" ht="3.95" customHeight="1" x14ac:dyDescent="0.3">
      <c r="B182" s="15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6"/>
      <c r="N182" s="53"/>
      <c r="O182" s="119"/>
      <c r="P182" s="52"/>
      <c r="Q182" s="120"/>
      <c r="R182" s="50"/>
      <c r="S182" s="50"/>
      <c r="T182" s="121"/>
      <c r="U182" s="83"/>
      <c r="V182" s="38"/>
      <c r="W182" s="38"/>
      <c r="X182" s="38"/>
      <c r="Y182" s="121"/>
      <c r="Z182" s="197"/>
      <c r="AA182" s="38"/>
      <c r="AB182" s="38"/>
      <c r="AC182" s="38"/>
    </row>
    <row r="183" spans="2:29" ht="3.95" customHeight="1" x14ac:dyDescent="0.3">
      <c r="B183" s="15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6"/>
      <c r="N183" s="53" t="str">
        <f>Sheet1!L60</f>
        <v>2725.75</v>
      </c>
      <c r="O183" s="119" t="str">
        <f>Sheet1!M60</f>
        <v/>
      </c>
      <c r="P183" s="52" t="str">
        <f>Sheet1!N60</f>
        <v/>
      </c>
      <c r="Q183" s="120">
        <f>Sheet1!O60</f>
        <v>14996</v>
      </c>
      <c r="R183" s="51">
        <f t="shared" ref="R183" si="174">Q183</f>
        <v>14996</v>
      </c>
      <c r="S183" s="50">
        <f>S180-1</f>
        <v>-59</v>
      </c>
      <c r="T183" s="121">
        <f>RTD("cqg.rtd",,"StudyData","SUBMINUTE(("&amp;$B$38&amp;"),1,Regular)","FG",,"Time","5",S183,,,,,"T")</f>
        <v>43167.634733796302</v>
      </c>
      <c r="U183" s="83" t="str">
        <f>IF(RTD("cqg.rtd",,"StudyData","SUBMINUTE(("&amp;$B$38&amp;"),1,FillGap)","Bar",,"Close","5",S183,,,,,"T")="",NA(),TEXT(RTD("cqg.rtd",,"StudyData","SUBMINUTE(("&amp;$B$38&amp;"),1,FillGap)","Bar",,"Close","5",S183,,,,,"T"),Sheet1!$D$8))</f>
        <v>2739.00</v>
      </c>
      <c r="V183" s="38">
        <f>IF( RTD("cqg.rtd",,"StudyData", "AlgOrdBidVol(SUBMINUTE(("&amp;$B$38&amp;"),1,Regular),1,0)",  "Bar",, "Open", "5",S183,,,,,"T")="",0,RTD("cqg.rtd",,"StudyData", "AlgOrdBidVol(SUBMINUTE(("&amp;$B$38&amp;"),1,Regular),1,0)",  "Bar",, "Open", "5",S183,,,,,"T"))</f>
        <v>292</v>
      </c>
      <c r="W183" s="38">
        <f>IF( RTD("cqg.rtd",,"StudyData", "AlgOrdAskVol(SUBMINUTE(("&amp;$B$38&amp;"),1,Regular),1,0)",  "Bar",, "Open", "5",S183,,,,,"T")="",0,RTD("cqg.rtd",,"StudyData", "AlgOrdAskVol(SUBMINUTE(("&amp;$B$38&amp;"),1,Regular),1,0)",  "Bar",, "Open", "5",S183,,,,,"T"))</f>
        <v>0</v>
      </c>
      <c r="X183" s="37">
        <f t="shared" ref="X183" si="175">IF(AND(V183&gt;W183,V183&gt;$V$5),1,IF(AND(V183&lt;W183,W183&gt;$W$5),-1,0))</f>
        <v>1</v>
      </c>
      <c r="Y183" s="121">
        <f>RTD("cqg.rtd",,"StudyData","SUBMINUTE(("&amp;$B$38&amp;"),5,Regular)","FG",,"Time","5",S183,,,,,"T")</f>
        <v>43167.6320023148</v>
      </c>
      <c r="Z183" s="197" t="str">
        <f>IF(RTD("cqg.rtd",,"StudyData","SUBMINUTE(("&amp;$B$38&amp;"),5,FillGap)","Bar",,"Close","5",S183,,,,,"T")="",NA(),TEXT(RTD("cqg.rtd",,"StudyData","SUBMINUTE(("&amp;$B$38&amp;"),5,FillGap)","Bar",,"Close","5",S183,,,,,"T"),Sheet1!$D$8))</f>
        <v>2738.50</v>
      </c>
      <c r="AA183" s="38">
        <f>IF( RTD("cqg.rtd",,"StudyData", "AlgOrdBidVol(SUBMINUTE(("&amp;$B$38&amp;"),5,Regular),1,0)",  "Bar",, "Open", "5",S183,,,,,"T")="",0,RTD("cqg.rtd",,"StudyData", "AlgOrdBidVol(SUBMINUTE(("&amp;$B$38&amp;"),5,Regular),1,0)",  "Bar",, "Open", "5",S183,,,,,"T"))</f>
        <v>77</v>
      </c>
      <c r="AB183" s="38">
        <f>IF( RTD("cqg.rtd",,"StudyData", "AlgOrdAskVol(SUBMINUTE(("&amp;$B$38&amp;"),5,Regular),1,0)",  "Bar",, "Open", "5",S183,,,,,"T")="",0,RTD("cqg.rtd",,"StudyData", "AlgOrdAskVol(SUBMINUTE(("&amp;$B$38&amp;"),5,Regular),1,0)",  "Bar",, "Open", "5",S183,,,,,"T"))</f>
        <v>0</v>
      </c>
      <c r="AC183" s="37">
        <f t="shared" ref="AC183" si="176">IF(AND(AA183&gt;AB183,AA183&gt;$AA$5),1,IF(AND(AA183&lt;AB183,AB183&gt;$AB$5),-1,0))</f>
        <v>1</v>
      </c>
    </row>
    <row r="184" spans="2:29" ht="3.95" customHeight="1" x14ac:dyDescent="0.3">
      <c r="B184" s="15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6"/>
      <c r="N184" s="53"/>
      <c r="O184" s="119"/>
      <c r="P184" s="52"/>
      <c r="Q184" s="120"/>
      <c r="R184" s="50"/>
      <c r="S184" s="50"/>
      <c r="T184" s="121"/>
      <c r="U184" s="83"/>
      <c r="V184" s="38"/>
      <c r="W184" s="38"/>
      <c r="X184" s="38"/>
      <c r="Y184" s="121"/>
      <c r="Z184" s="197"/>
      <c r="AA184" s="38"/>
      <c r="AB184" s="38"/>
      <c r="AC184" s="38"/>
    </row>
    <row r="185" spans="2:29" ht="3.95" customHeight="1" x14ac:dyDescent="0.3">
      <c r="B185" s="15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6"/>
      <c r="N185" s="53"/>
      <c r="O185" s="119"/>
      <c r="P185" s="52"/>
      <c r="Q185" s="120"/>
      <c r="R185" s="50"/>
      <c r="S185" s="50"/>
      <c r="T185" s="121"/>
      <c r="U185" s="83"/>
      <c r="V185" s="38"/>
      <c r="W185" s="38"/>
      <c r="X185" s="38"/>
      <c r="Y185" s="121"/>
      <c r="Z185" s="197"/>
      <c r="AA185" s="38"/>
      <c r="AB185" s="38"/>
      <c r="AC185" s="38"/>
    </row>
    <row r="186" spans="2:29" ht="3.95" customHeight="1" x14ac:dyDescent="0.3">
      <c r="B186" s="15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6"/>
      <c r="N186" s="53" t="str">
        <f>Sheet1!L61</f>
        <v>2725.50</v>
      </c>
      <c r="O186" s="119" t="str">
        <f>Sheet1!M61</f>
        <v/>
      </c>
      <c r="P186" s="52" t="str">
        <f>Sheet1!N61</f>
        <v/>
      </c>
      <c r="Q186" s="120">
        <f>Sheet1!O61</f>
        <v>13215</v>
      </c>
      <c r="R186" s="51">
        <f t="shared" ref="R186" si="177">Q186</f>
        <v>13215</v>
      </c>
      <c r="S186" s="50">
        <f>S183-1</f>
        <v>-60</v>
      </c>
      <c r="T186" s="121">
        <f>RTD("cqg.rtd",,"StudyData","SUBMINUTE(("&amp;$B$38&amp;"),1,Regular)","FG",,"Time","5",S186,,,,,"T")</f>
        <v>43167.634722222203</v>
      </c>
      <c r="U186" s="83" t="str">
        <f>IF(RTD("cqg.rtd",,"StudyData","SUBMINUTE(("&amp;$B$38&amp;"),1,FillGap)","Bar",,"Close","5",S186,,,,,"T")="",NA(),TEXT(RTD("cqg.rtd",,"StudyData","SUBMINUTE(("&amp;$B$38&amp;"),1,FillGap)","Bar",,"Close","5",S186,,,,,"T"),Sheet1!$D$8))</f>
        <v>2739.00</v>
      </c>
      <c r="V186" s="38">
        <f>IF( RTD("cqg.rtd",,"StudyData", "AlgOrdBidVol(SUBMINUTE(("&amp;$B$38&amp;"),1,Regular),1,0)",  "Bar",, "Open", "5",S186,,,,,"T")="",0,RTD("cqg.rtd",,"StudyData", "AlgOrdBidVol(SUBMINUTE(("&amp;$B$38&amp;"),1,Regular),1,0)",  "Bar",, "Open", "5",S186,,,,,"T"))</f>
        <v>0</v>
      </c>
      <c r="W186" s="38">
        <f>IF( RTD("cqg.rtd",,"StudyData", "AlgOrdAskVol(SUBMINUTE(("&amp;$B$38&amp;"),1,Regular),1,0)",  "Bar",, "Open", "5",S186,,,,,"T")="",0,RTD("cqg.rtd",,"StudyData", "AlgOrdAskVol(SUBMINUTE(("&amp;$B$38&amp;"),1,Regular),1,0)",  "Bar",, "Open", "5",S186,,,,,"T"))</f>
        <v>0</v>
      </c>
      <c r="X186" s="37">
        <f t="shared" ref="X186" si="178">IF(AND(V186&gt;W186,V186&gt;$V$5),1,IF(AND(V186&lt;W186,W186&gt;$W$5),-1,0))</f>
        <v>0</v>
      </c>
      <c r="Y186" s="121">
        <f>RTD("cqg.rtd",,"StudyData","SUBMINUTE(("&amp;$B$38&amp;"),5,Regular)","FG",,"Time","5",S186,,,,,"T")</f>
        <v>43167.631944444402</v>
      </c>
      <c r="Z186" s="197" t="str">
        <f>IF(RTD("cqg.rtd",,"StudyData","SUBMINUTE(("&amp;$B$38&amp;"),5,FillGap)","Bar",,"Close","5",S186,,,,,"T")="",NA(),TEXT(RTD("cqg.rtd",,"StudyData","SUBMINUTE(("&amp;$B$38&amp;"),5,FillGap)","Bar",,"Close","5",S186,,,,,"T"),Sheet1!$D$8))</f>
        <v>2738.75</v>
      </c>
      <c r="AA186" s="38">
        <f>IF( RTD("cqg.rtd",,"StudyData", "AlgOrdBidVol(SUBMINUTE(("&amp;$B$38&amp;"),5,Regular),1,0)",  "Bar",, "Open", "5",S186,,,,,"T")="",0,RTD("cqg.rtd",,"StudyData", "AlgOrdBidVol(SUBMINUTE(("&amp;$B$38&amp;"),5,Regular),1,0)",  "Bar",, "Open", "5",S186,,,,,"T"))</f>
        <v>0</v>
      </c>
      <c r="AB186" s="38">
        <f>IF( RTD("cqg.rtd",,"StudyData", "AlgOrdAskVol(SUBMINUTE(("&amp;$B$38&amp;"),5,Regular),1,0)",  "Bar",, "Open", "5",S186,,,,,"T")="",0,RTD("cqg.rtd",,"StudyData", "AlgOrdAskVol(SUBMINUTE(("&amp;$B$38&amp;"),5,Regular),1,0)",  "Bar",, "Open", "5",S186,,,,,"T"))</f>
        <v>9</v>
      </c>
      <c r="AC186" s="37">
        <f t="shared" ref="AC186" si="179">IF(AND(AA186&gt;AB186,AA186&gt;$AA$5),1,IF(AND(AA186&lt;AB186,AB186&gt;$AB$5),-1,0))</f>
        <v>0</v>
      </c>
    </row>
    <row r="187" spans="2:29" ht="3.95" customHeight="1" x14ac:dyDescent="0.3">
      <c r="B187" s="15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6"/>
      <c r="N187" s="53"/>
      <c r="O187" s="119"/>
      <c r="P187" s="52"/>
      <c r="Q187" s="120"/>
      <c r="R187" s="50"/>
      <c r="S187" s="50"/>
      <c r="T187" s="121"/>
      <c r="U187" s="83"/>
      <c r="V187" s="38"/>
      <c r="W187" s="38"/>
      <c r="X187" s="38"/>
      <c r="Y187" s="121"/>
      <c r="Z187" s="197"/>
      <c r="AA187" s="38"/>
      <c r="AB187" s="38"/>
      <c r="AC187" s="38"/>
    </row>
    <row r="188" spans="2:29" ht="3.95" customHeight="1" x14ac:dyDescent="0.3">
      <c r="B188" s="15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6"/>
      <c r="N188" s="54"/>
      <c r="O188" s="119"/>
      <c r="P188" s="52"/>
      <c r="Q188" s="120"/>
      <c r="R188" s="50"/>
      <c r="S188" s="50"/>
      <c r="T188" s="185"/>
      <c r="U188" s="186"/>
      <c r="V188" s="187"/>
      <c r="W188" s="187"/>
      <c r="X188" s="187"/>
      <c r="Y188" s="185"/>
      <c r="Z188" s="198"/>
      <c r="AA188" s="187"/>
      <c r="AB188" s="187"/>
      <c r="AC188" s="38"/>
    </row>
    <row r="189" spans="2:29" ht="16.5" customHeight="1" x14ac:dyDescent="0.3">
      <c r="B189" s="34" t="s">
        <v>32</v>
      </c>
      <c r="C189" s="35"/>
      <c r="D189" s="35"/>
      <c r="E189" s="13"/>
      <c r="F189" s="36" t="s">
        <v>33</v>
      </c>
      <c r="G189" s="36"/>
      <c r="H189" s="36"/>
      <c r="I189" s="13"/>
      <c r="J189" s="13"/>
      <c r="K189" s="13"/>
      <c r="L189" s="13"/>
      <c r="M189" s="13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33"/>
    </row>
    <row r="190" spans="2:29" ht="16.5" customHeight="1" x14ac:dyDescent="0.3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O190" s="10"/>
      <c r="P190" s="10"/>
      <c r="R190" s="10"/>
      <c r="S190" s="10"/>
      <c r="T190" s="10"/>
      <c r="U190" s="10"/>
      <c r="V190" s="10"/>
      <c r="W190" s="12"/>
      <c r="X190" s="12"/>
      <c r="Y190" s="10"/>
      <c r="Z190" s="20"/>
      <c r="AA190" s="10"/>
      <c r="AB190" s="10"/>
    </row>
    <row r="191" spans="2:29" ht="16.5" customHeight="1" x14ac:dyDescent="0.3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O191" s="10"/>
      <c r="P191" s="10"/>
      <c r="R191" s="10"/>
      <c r="S191" s="10"/>
      <c r="T191" s="10"/>
      <c r="U191" s="10"/>
      <c r="V191" s="10"/>
      <c r="W191" s="12"/>
      <c r="X191" s="12"/>
      <c r="Y191" s="10"/>
      <c r="Z191" s="20"/>
      <c r="AA191" s="10"/>
      <c r="AB191" s="10"/>
    </row>
    <row r="192" spans="2:29" ht="16.5" customHeight="1" x14ac:dyDescent="0.3">
      <c r="Z192" s="199"/>
    </row>
    <row r="193" spans="26:26" ht="16.5" customHeight="1" x14ac:dyDescent="0.3">
      <c r="Z193" s="199"/>
    </row>
    <row r="194" spans="26:26" ht="16.5" customHeight="1" x14ac:dyDescent="0.3">
      <c r="Z194" s="199"/>
    </row>
    <row r="195" spans="26:26" x14ac:dyDescent="0.3">
      <c r="Z195" s="199"/>
    </row>
    <row r="196" spans="26:26" x14ac:dyDescent="0.3">
      <c r="Z196" s="199"/>
    </row>
    <row r="197" spans="26:26" x14ac:dyDescent="0.3">
      <c r="Z197" s="199"/>
    </row>
  </sheetData>
  <sheetProtection algorithmName="SHA-512" hashValue="09i33TnIJm8pP0sQWkzi9tsHgkkign/K557yBgr3sfFOdlSyx54gBgZhGAmpQBbqtWvHqa70zfxzV2TH1X9KZw==" saltValue="aHO71ftHOmvUHa/w4i5Ulg==" spinCount="100000" sheet="1" objects="1" scenarios="1" selectLockedCells="1"/>
  <mergeCells count="1106">
    <mergeCell ref="X153:X155"/>
    <mergeCell ref="X156:X158"/>
    <mergeCell ref="X159:X161"/>
    <mergeCell ref="X162:X164"/>
    <mergeCell ref="X165:X167"/>
    <mergeCell ref="X168:X170"/>
    <mergeCell ref="X171:X173"/>
    <mergeCell ref="X174:X176"/>
    <mergeCell ref="X123:X125"/>
    <mergeCell ref="X126:X128"/>
    <mergeCell ref="X129:X131"/>
    <mergeCell ref="X132:X134"/>
    <mergeCell ref="X135:X137"/>
    <mergeCell ref="X138:X140"/>
    <mergeCell ref="X141:X143"/>
    <mergeCell ref="X144:X146"/>
    <mergeCell ref="X147:X149"/>
    <mergeCell ref="X99:X101"/>
    <mergeCell ref="X102:X104"/>
    <mergeCell ref="X105:X107"/>
    <mergeCell ref="X108:X110"/>
    <mergeCell ref="X111:X113"/>
    <mergeCell ref="X114:X116"/>
    <mergeCell ref="X117:X119"/>
    <mergeCell ref="X120:X122"/>
    <mergeCell ref="X69:X71"/>
    <mergeCell ref="X72:X74"/>
    <mergeCell ref="X75:X77"/>
    <mergeCell ref="X78:X80"/>
    <mergeCell ref="X81:X83"/>
    <mergeCell ref="X84:X86"/>
    <mergeCell ref="X87:X89"/>
    <mergeCell ref="X90:X92"/>
    <mergeCell ref="X93:X95"/>
    <mergeCell ref="Z195:Z197"/>
    <mergeCell ref="Z2:AC3"/>
    <mergeCell ref="F2:Y3"/>
    <mergeCell ref="X6:X8"/>
    <mergeCell ref="X9:X11"/>
    <mergeCell ref="X12:X14"/>
    <mergeCell ref="X15:X17"/>
    <mergeCell ref="X18:X20"/>
    <mergeCell ref="X21:X23"/>
    <mergeCell ref="X24:X26"/>
    <mergeCell ref="X27:X29"/>
    <mergeCell ref="X30:X32"/>
    <mergeCell ref="X33:X35"/>
    <mergeCell ref="X36:X38"/>
    <mergeCell ref="X39:X41"/>
    <mergeCell ref="X42:X44"/>
    <mergeCell ref="X45:X47"/>
    <mergeCell ref="X48:X50"/>
    <mergeCell ref="X51:X53"/>
    <mergeCell ref="X54:X56"/>
    <mergeCell ref="X57:X59"/>
    <mergeCell ref="X60:X62"/>
    <mergeCell ref="X63:X65"/>
    <mergeCell ref="X66:X68"/>
    <mergeCell ref="AB168:AB170"/>
    <mergeCell ref="AB171:AB173"/>
    <mergeCell ref="AB174:AB176"/>
    <mergeCell ref="AB177:AB179"/>
    <mergeCell ref="AB180:AB182"/>
    <mergeCell ref="AB183:AB185"/>
    <mergeCell ref="AB186:AB188"/>
    <mergeCell ref="X96:X98"/>
    <mergeCell ref="Z192:Z194"/>
    <mergeCell ref="AB141:AB143"/>
    <mergeCell ref="AB144:AB146"/>
    <mergeCell ref="AB147:AB149"/>
    <mergeCell ref="AB150:AB152"/>
    <mergeCell ref="AB153:AB155"/>
    <mergeCell ref="AB156:AB158"/>
    <mergeCell ref="AB159:AB161"/>
    <mergeCell ref="AB162:AB164"/>
    <mergeCell ref="AB165:AB167"/>
    <mergeCell ref="AB114:AB116"/>
    <mergeCell ref="AB117:AB119"/>
    <mergeCell ref="AB120:AB122"/>
    <mergeCell ref="AB123:AB125"/>
    <mergeCell ref="AB126:AB128"/>
    <mergeCell ref="AB129:AB131"/>
    <mergeCell ref="AB132:AB134"/>
    <mergeCell ref="AB135:AB137"/>
    <mergeCell ref="AB138:AB140"/>
    <mergeCell ref="AA171:AA173"/>
    <mergeCell ref="AA174:AA176"/>
    <mergeCell ref="AA177:AA179"/>
    <mergeCell ref="AA180:AA182"/>
    <mergeCell ref="AA183:AA185"/>
    <mergeCell ref="AA186:AA188"/>
    <mergeCell ref="Z165:Z167"/>
    <mergeCell ref="Z168:Z170"/>
    <mergeCell ref="Z171:Z173"/>
    <mergeCell ref="Z174:Z176"/>
    <mergeCell ref="Z177:Z179"/>
    <mergeCell ref="Z180:Z182"/>
    <mergeCell ref="Z183:Z185"/>
    <mergeCell ref="AB87:AB89"/>
    <mergeCell ref="AB90:AB92"/>
    <mergeCell ref="AB93:AB95"/>
    <mergeCell ref="AB96:AB98"/>
    <mergeCell ref="AB99:AB101"/>
    <mergeCell ref="AB102:AB104"/>
    <mergeCell ref="AB105:AB107"/>
    <mergeCell ref="AB108:AB110"/>
    <mergeCell ref="AB111:AB113"/>
    <mergeCell ref="AB60:AB62"/>
    <mergeCell ref="AB63:AB65"/>
    <mergeCell ref="AB66:AB68"/>
    <mergeCell ref="AB69:AB71"/>
    <mergeCell ref="AB72:AB74"/>
    <mergeCell ref="AB75:AB77"/>
    <mergeCell ref="AB78:AB80"/>
    <mergeCell ref="AB81:AB83"/>
    <mergeCell ref="AB84:AB86"/>
    <mergeCell ref="AB6:AB8"/>
    <mergeCell ref="AB9:AB11"/>
    <mergeCell ref="AB12:AB14"/>
    <mergeCell ref="AB15:AB17"/>
    <mergeCell ref="AB18:AB20"/>
    <mergeCell ref="AB21:AB23"/>
    <mergeCell ref="AB24:AB26"/>
    <mergeCell ref="AB27:AB29"/>
    <mergeCell ref="AB30:AB32"/>
    <mergeCell ref="AB33:AB35"/>
    <mergeCell ref="AB36:AB38"/>
    <mergeCell ref="AB39:AB41"/>
    <mergeCell ref="AB42:AB44"/>
    <mergeCell ref="AB45:AB47"/>
    <mergeCell ref="AB48:AB50"/>
    <mergeCell ref="AB51:AB53"/>
    <mergeCell ref="AB54:AB56"/>
    <mergeCell ref="AB57:AB59"/>
    <mergeCell ref="AA144:AA146"/>
    <mergeCell ref="AA147:AA149"/>
    <mergeCell ref="AA150:AA152"/>
    <mergeCell ref="AA153:AA155"/>
    <mergeCell ref="AA156:AA158"/>
    <mergeCell ref="AA159:AA161"/>
    <mergeCell ref="AA162:AA164"/>
    <mergeCell ref="AA165:AA167"/>
    <mergeCell ref="AA168:AA170"/>
    <mergeCell ref="AA117:AA119"/>
    <mergeCell ref="AA120:AA122"/>
    <mergeCell ref="AA123:AA125"/>
    <mergeCell ref="AA126:AA128"/>
    <mergeCell ref="AA129:AA131"/>
    <mergeCell ref="AA132:AA134"/>
    <mergeCell ref="AA135:AA137"/>
    <mergeCell ref="AA138:AA140"/>
    <mergeCell ref="AA141:AA143"/>
    <mergeCell ref="AA90:AA92"/>
    <mergeCell ref="AA93:AA95"/>
    <mergeCell ref="AA96:AA98"/>
    <mergeCell ref="AA99:AA101"/>
    <mergeCell ref="AA102:AA104"/>
    <mergeCell ref="AA105:AA107"/>
    <mergeCell ref="AA108:AA110"/>
    <mergeCell ref="AA111:AA113"/>
    <mergeCell ref="AA114:AA116"/>
    <mergeCell ref="AA63:AA65"/>
    <mergeCell ref="AA66:AA68"/>
    <mergeCell ref="AA69:AA71"/>
    <mergeCell ref="AA72:AA74"/>
    <mergeCell ref="AA75:AA77"/>
    <mergeCell ref="AA78:AA80"/>
    <mergeCell ref="AA81:AA83"/>
    <mergeCell ref="AA84:AA86"/>
    <mergeCell ref="AA87:AA89"/>
    <mergeCell ref="AA36:AA38"/>
    <mergeCell ref="AA39:AA41"/>
    <mergeCell ref="AA42:AA44"/>
    <mergeCell ref="AA45:AA47"/>
    <mergeCell ref="AA48:AA50"/>
    <mergeCell ref="AA51:AA53"/>
    <mergeCell ref="AA54:AA56"/>
    <mergeCell ref="AA57:AA59"/>
    <mergeCell ref="AA60:AA62"/>
    <mergeCell ref="AA9:AA11"/>
    <mergeCell ref="AA12:AA14"/>
    <mergeCell ref="AA15:AA17"/>
    <mergeCell ref="AA18:AA20"/>
    <mergeCell ref="AA21:AA23"/>
    <mergeCell ref="AA24:AA26"/>
    <mergeCell ref="AA27:AA29"/>
    <mergeCell ref="AA30:AA32"/>
    <mergeCell ref="AA33:AA35"/>
    <mergeCell ref="Z186:Z188"/>
    <mergeCell ref="X177:X179"/>
    <mergeCell ref="X180:X182"/>
    <mergeCell ref="X183:X185"/>
    <mergeCell ref="X186:X188"/>
    <mergeCell ref="Z138:Z140"/>
    <mergeCell ref="Z141:Z143"/>
    <mergeCell ref="Z144:Z146"/>
    <mergeCell ref="Z147:Z149"/>
    <mergeCell ref="Z150:Z152"/>
    <mergeCell ref="Z153:Z155"/>
    <mergeCell ref="Z156:Z158"/>
    <mergeCell ref="Z159:Z161"/>
    <mergeCell ref="Z162:Z164"/>
    <mergeCell ref="Z111:Z113"/>
    <mergeCell ref="Z114:Z116"/>
    <mergeCell ref="Z117:Z119"/>
    <mergeCell ref="Z120:Z122"/>
    <mergeCell ref="Z123:Z125"/>
    <mergeCell ref="Z126:Z128"/>
    <mergeCell ref="Z129:Z131"/>
    <mergeCell ref="Z132:Z134"/>
    <mergeCell ref="Z135:Z137"/>
    <mergeCell ref="Y174:Y176"/>
    <mergeCell ref="Y177:Y179"/>
    <mergeCell ref="Y180:Y182"/>
    <mergeCell ref="Y183:Y185"/>
    <mergeCell ref="Y186:Y188"/>
    <mergeCell ref="Y147:Y149"/>
    <mergeCell ref="Y150:Y152"/>
    <mergeCell ref="Y153:Y155"/>
    <mergeCell ref="X150:X152"/>
    <mergeCell ref="Z84:Z86"/>
    <mergeCell ref="Z87:Z89"/>
    <mergeCell ref="Z90:Z92"/>
    <mergeCell ref="Z93:Z95"/>
    <mergeCell ref="Z96:Z98"/>
    <mergeCell ref="Z99:Z101"/>
    <mergeCell ref="Z102:Z104"/>
    <mergeCell ref="Z105:Z107"/>
    <mergeCell ref="Z108:Z110"/>
    <mergeCell ref="Z57:Z59"/>
    <mergeCell ref="Z60:Z62"/>
    <mergeCell ref="Z63:Z65"/>
    <mergeCell ref="Z66:Z68"/>
    <mergeCell ref="Z69:Z71"/>
    <mergeCell ref="Z72:Z74"/>
    <mergeCell ref="Z75:Z77"/>
    <mergeCell ref="Z78:Z80"/>
    <mergeCell ref="Z81:Z83"/>
    <mergeCell ref="B50:M54"/>
    <mergeCell ref="B115:M119"/>
    <mergeCell ref="Z6:Z8"/>
    <mergeCell ref="Z9:Z11"/>
    <mergeCell ref="Z12:Z14"/>
    <mergeCell ref="Z15:Z17"/>
    <mergeCell ref="Z18:Z20"/>
    <mergeCell ref="Z21:Z23"/>
    <mergeCell ref="Z24:Z26"/>
    <mergeCell ref="Z27:Z29"/>
    <mergeCell ref="Z30:Z32"/>
    <mergeCell ref="Z33:Z35"/>
    <mergeCell ref="Z36:Z38"/>
    <mergeCell ref="Z39:Z41"/>
    <mergeCell ref="Z42:Z44"/>
    <mergeCell ref="Z45:Z47"/>
    <mergeCell ref="Z48:Z50"/>
    <mergeCell ref="Z51:Z53"/>
    <mergeCell ref="Z54:Z56"/>
    <mergeCell ref="Y66:Y68"/>
    <mergeCell ref="Y69:Y71"/>
    <mergeCell ref="Y72:Y74"/>
    <mergeCell ref="Y75:Y77"/>
    <mergeCell ref="Y78:Y80"/>
    <mergeCell ref="Y81:Y83"/>
    <mergeCell ref="Y84:Y86"/>
    <mergeCell ref="Y87:Y89"/>
    <mergeCell ref="Y90:Y92"/>
    <mergeCell ref="W69:W71"/>
    <mergeCell ref="W72:W74"/>
    <mergeCell ref="W75:W77"/>
    <mergeCell ref="W78:W80"/>
    <mergeCell ref="Y156:Y158"/>
    <mergeCell ref="Y159:Y161"/>
    <mergeCell ref="Y162:Y164"/>
    <mergeCell ref="Y165:Y167"/>
    <mergeCell ref="Y168:Y170"/>
    <mergeCell ref="Y171:Y173"/>
    <mergeCell ref="Y120:Y122"/>
    <mergeCell ref="Y123:Y125"/>
    <mergeCell ref="Y126:Y128"/>
    <mergeCell ref="Y129:Y131"/>
    <mergeCell ref="Y132:Y134"/>
    <mergeCell ref="Y135:Y137"/>
    <mergeCell ref="Y138:Y140"/>
    <mergeCell ref="Y141:Y143"/>
    <mergeCell ref="Y144:Y146"/>
    <mergeCell ref="Y93:Y95"/>
    <mergeCell ref="Y96:Y98"/>
    <mergeCell ref="Y99:Y101"/>
    <mergeCell ref="Y102:Y104"/>
    <mergeCell ref="Y105:Y107"/>
    <mergeCell ref="Y108:Y110"/>
    <mergeCell ref="Y111:Y113"/>
    <mergeCell ref="Y114:Y116"/>
    <mergeCell ref="Y117:Y119"/>
    <mergeCell ref="W177:W179"/>
    <mergeCell ref="W180:W182"/>
    <mergeCell ref="W183:W185"/>
    <mergeCell ref="W186:W188"/>
    <mergeCell ref="Y6:Y8"/>
    <mergeCell ref="Y9:Y11"/>
    <mergeCell ref="Y12:Y14"/>
    <mergeCell ref="Y15:Y17"/>
    <mergeCell ref="Y18:Y20"/>
    <mergeCell ref="Y21:Y23"/>
    <mergeCell ref="Y24:Y26"/>
    <mergeCell ref="Y27:Y29"/>
    <mergeCell ref="Y30:Y32"/>
    <mergeCell ref="Y33:Y35"/>
    <mergeCell ref="Y36:Y38"/>
    <mergeCell ref="Y39:Y41"/>
    <mergeCell ref="Y42:Y44"/>
    <mergeCell ref="Y45:Y47"/>
    <mergeCell ref="Y48:Y50"/>
    <mergeCell ref="Y51:Y53"/>
    <mergeCell ref="Y54:Y56"/>
    <mergeCell ref="Y57:Y59"/>
    <mergeCell ref="Y60:Y62"/>
    <mergeCell ref="Y63:Y65"/>
    <mergeCell ref="W150:W152"/>
    <mergeCell ref="W153:W155"/>
    <mergeCell ref="W156:W158"/>
    <mergeCell ref="W159:W161"/>
    <mergeCell ref="W162:W164"/>
    <mergeCell ref="W165:W167"/>
    <mergeCell ref="W168:W170"/>
    <mergeCell ref="W171:W173"/>
    <mergeCell ref="W174:W176"/>
    <mergeCell ref="W123:W125"/>
    <mergeCell ref="W126:W128"/>
    <mergeCell ref="W129:W131"/>
    <mergeCell ref="W132:W134"/>
    <mergeCell ref="W135:W137"/>
    <mergeCell ref="W138:W140"/>
    <mergeCell ref="W141:W143"/>
    <mergeCell ref="W144:W146"/>
    <mergeCell ref="W147:W149"/>
    <mergeCell ref="W96:W98"/>
    <mergeCell ref="W99:W101"/>
    <mergeCell ref="W102:W104"/>
    <mergeCell ref="W105:W107"/>
    <mergeCell ref="W108:W110"/>
    <mergeCell ref="W111:W113"/>
    <mergeCell ref="W114:W116"/>
    <mergeCell ref="W117:W119"/>
    <mergeCell ref="W120:W122"/>
    <mergeCell ref="W81:W83"/>
    <mergeCell ref="W84:W86"/>
    <mergeCell ref="W87:W89"/>
    <mergeCell ref="W90:W92"/>
    <mergeCell ref="W93:W95"/>
    <mergeCell ref="V180:V182"/>
    <mergeCell ref="V183:V185"/>
    <mergeCell ref="V186:V188"/>
    <mergeCell ref="W6:W8"/>
    <mergeCell ref="W9:W11"/>
    <mergeCell ref="W12:W14"/>
    <mergeCell ref="W15:W17"/>
    <mergeCell ref="W18:W20"/>
    <mergeCell ref="W21:W23"/>
    <mergeCell ref="W24:W26"/>
    <mergeCell ref="W27:W29"/>
    <mergeCell ref="W30:W32"/>
    <mergeCell ref="W33:W35"/>
    <mergeCell ref="W36:W38"/>
    <mergeCell ref="W39:W41"/>
    <mergeCell ref="W42:W44"/>
    <mergeCell ref="W45:W47"/>
    <mergeCell ref="W48:W50"/>
    <mergeCell ref="W51:W53"/>
    <mergeCell ref="W54:W56"/>
    <mergeCell ref="W57:W59"/>
    <mergeCell ref="W60:W62"/>
    <mergeCell ref="W63:W65"/>
    <mergeCell ref="W66:W68"/>
    <mergeCell ref="V153:V155"/>
    <mergeCell ref="V156:V158"/>
    <mergeCell ref="V159:V161"/>
    <mergeCell ref="V162:V164"/>
    <mergeCell ref="V165:V167"/>
    <mergeCell ref="V168:V170"/>
    <mergeCell ref="V171:V173"/>
    <mergeCell ref="V174:V176"/>
    <mergeCell ref="V177:V179"/>
    <mergeCell ref="V126:V128"/>
    <mergeCell ref="V129:V131"/>
    <mergeCell ref="V132:V134"/>
    <mergeCell ref="V135:V137"/>
    <mergeCell ref="V138:V140"/>
    <mergeCell ref="V141:V143"/>
    <mergeCell ref="V144:V146"/>
    <mergeCell ref="V147:V149"/>
    <mergeCell ref="V150:V152"/>
    <mergeCell ref="V99:V101"/>
    <mergeCell ref="V102:V104"/>
    <mergeCell ref="V105:V107"/>
    <mergeCell ref="V108:V110"/>
    <mergeCell ref="V111:V113"/>
    <mergeCell ref="V114:V116"/>
    <mergeCell ref="V117:V119"/>
    <mergeCell ref="V120:V122"/>
    <mergeCell ref="V123:V125"/>
    <mergeCell ref="V72:V74"/>
    <mergeCell ref="V75:V77"/>
    <mergeCell ref="V78:V80"/>
    <mergeCell ref="V81:V83"/>
    <mergeCell ref="V84:V86"/>
    <mergeCell ref="V87:V89"/>
    <mergeCell ref="V90:V92"/>
    <mergeCell ref="V93:V95"/>
    <mergeCell ref="V96:V98"/>
    <mergeCell ref="U183:U185"/>
    <mergeCell ref="U186:U188"/>
    <mergeCell ref="V6:V8"/>
    <mergeCell ref="V9:V11"/>
    <mergeCell ref="V12:V14"/>
    <mergeCell ref="V15:V17"/>
    <mergeCell ref="V18:V20"/>
    <mergeCell ref="V21:V23"/>
    <mergeCell ref="V24:V26"/>
    <mergeCell ref="V27:V29"/>
    <mergeCell ref="V30:V32"/>
    <mergeCell ref="V33:V35"/>
    <mergeCell ref="V36:V38"/>
    <mergeCell ref="V39:V41"/>
    <mergeCell ref="V42:V44"/>
    <mergeCell ref="V45:V47"/>
    <mergeCell ref="V48:V50"/>
    <mergeCell ref="V51:V53"/>
    <mergeCell ref="V54:V56"/>
    <mergeCell ref="V57:V59"/>
    <mergeCell ref="V60:V62"/>
    <mergeCell ref="V63:V65"/>
    <mergeCell ref="V66:V68"/>
    <mergeCell ref="V69:V71"/>
    <mergeCell ref="U156:U158"/>
    <mergeCell ref="U159:U161"/>
    <mergeCell ref="U162:U164"/>
    <mergeCell ref="U165:U167"/>
    <mergeCell ref="U168:U170"/>
    <mergeCell ref="U171:U173"/>
    <mergeCell ref="U174:U176"/>
    <mergeCell ref="U177:U179"/>
    <mergeCell ref="U180:U182"/>
    <mergeCell ref="U129:U131"/>
    <mergeCell ref="U132:U134"/>
    <mergeCell ref="U135:U137"/>
    <mergeCell ref="U138:U140"/>
    <mergeCell ref="U141:U143"/>
    <mergeCell ref="U144:U146"/>
    <mergeCell ref="U147:U149"/>
    <mergeCell ref="U150:U152"/>
    <mergeCell ref="U153:U155"/>
    <mergeCell ref="U102:U104"/>
    <mergeCell ref="U105:U107"/>
    <mergeCell ref="U108:U110"/>
    <mergeCell ref="U111:U113"/>
    <mergeCell ref="U114:U116"/>
    <mergeCell ref="U117:U119"/>
    <mergeCell ref="U120:U122"/>
    <mergeCell ref="U123:U125"/>
    <mergeCell ref="U126:U128"/>
    <mergeCell ref="U75:U77"/>
    <mergeCell ref="U78:U80"/>
    <mergeCell ref="U81:U83"/>
    <mergeCell ref="U84:U86"/>
    <mergeCell ref="U87:U89"/>
    <mergeCell ref="U90:U92"/>
    <mergeCell ref="U93:U95"/>
    <mergeCell ref="U96:U98"/>
    <mergeCell ref="U99:U101"/>
    <mergeCell ref="U48:U50"/>
    <mergeCell ref="U51:U53"/>
    <mergeCell ref="U54:U56"/>
    <mergeCell ref="U57:U59"/>
    <mergeCell ref="U60:U62"/>
    <mergeCell ref="U63:U65"/>
    <mergeCell ref="U66:U68"/>
    <mergeCell ref="U69:U71"/>
    <mergeCell ref="U72:U74"/>
    <mergeCell ref="U21:U23"/>
    <mergeCell ref="U24:U26"/>
    <mergeCell ref="U27:U29"/>
    <mergeCell ref="U30:U32"/>
    <mergeCell ref="U33:U35"/>
    <mergeCell ref="U36:U38"/>
    <mergeCell ref="U39:U41"/>
    <mergeCell ref="U42:U44"/>
    <mergeCell ref="U45:U47"/>
    <mergeCell ref="T183:T185"/>
    <mergeCell ref="T186:T188"/>
    <mergeCell ref="T156:T158"/>
    <mergeCell ref="T159:T161"/>
    <mergeCell ref="T162:T164"/>
    <mergeCell ref="T165:T167"/>
    <mergeCell ref="T168:T170"/>
    <mergeCell ref="T171:T173"/>
    <mergeCell ref="T174:T176"/>
    <mergeCell ref="T177:T179"/>
    <mergeCell ref="T180:T182"/>
    <mergeCell ref="T129:T131"/>
    <mergeCell ref="T132:T134"/>
    <mergeCell ref="T135:T137"/>
    <mergeCell ref="T138:T140"/>
    <mergeCell ref="T141:T143"/>
    <mergeCell ref="T144:T146"/>
    <mergeCell ref="T147:T149"/>
    <mergeCell ref="T150:T152"/>
    <mergeCell ref="T153:T155"/>
    <mergeCell ref="T102:T104"/>
    <mergeCell ref="T105:T107"/>
    <mergeCell ref="T108:T110"/>
    <mergeCell ref="T111:T113"/>
    <mergeCell ref="T114:T116"/>
    <mergeCell ref="T117:T119"/>
    <mergeCell ref="T120:T122"/>
    <mergeCell ref="T123:T125"/>
    <mergeCell ref="T126:T128"/>
    <mergeCell ref="T75:T77"/>
    <mergeCell ref="T78:T80"/>
    <mergeCell ref="T81:T83"/>
    <mergeCell ref="T84:T86"/>
    <mergeCell ref="T87:T89"/>
    <mergeCell ref="T90:T92"/>
    <mergeCell ref="T93:T95"/>
    <mergeCell ref="T96:T98"/>
    <mergeCell ref="T99:T101"/>
    <mergeCell ref="T48:T50"/>
    <mergeCell ref="T51:T53"/>
    <mergeCell ref="T54:T56"/>
    <mergeCell ref="T57:T59"/>
    <mergeCell ref="T60:T62"/>
    <mergeCell ref="T63:T65"/>
    <mergeCell ref="T66:T68"/>
    <mergeCell ref="T69:T71"/>
    <mergeCell ref="T72:T74"/>
    <mergeCell ref="T21:T23"/>
    <mergeCell ref="T24:T26"/>
    <mergeCell ref="T27:T29"/>
    <mergeCell ref="T30:T32"/>
    <mergeCell ref="T33:T35"/>
    <mergeCell ref="T36:T38"/>
    <mergeCell ref="T39:T41"/>
    <mergeCell ref="T42:T44"/>
    <mergeCell ref="T45:T47"/>
    <mergeCell ref="H46:H49"/>
    <mergeCell ref="I46:I49"/>
    <mergeCell ref="J46:J49"/>
    <mergeCell ref="K46:K49"/>
    <mergeCell ref="L46:L49"/>
    <mergeCell ref="M46:M49"/>
    <mergeCell ref="A46:A49"/>
    <mergeCell ref="B38:B45"/>
    <mergeCell ref="A22:A25"/>
    <mergeCell ref="A26:A29"/>
    <mergeCell ref="A30:A33"/>
    <mergeCell ref="A34:A37"/>
    <mergeCell ref="A38:A41"/>
    <mergeCell ref="A42:A45"/>
    <mergeCell ref="B46:B49"/>
    <mergeCell ref="C46:C49"/>
    <mergeCell ref="D46:D49"/>
    <mergeCell ref="E46:E49"/>
    <mergeCell ref="F46:F49"/>
    <mergeCell ref="G46:G49"/>
    <mergeCell ref="F30:G37"/>
    <mergeCell ref="A6:A9"/>
    <mergeCell ref="A10:A13"/>
    <mergeCell ref="A14:A17"/>
    <mergeCell ref="A18:A21"/>
    <mergeCell ref="I30:J33"/>
    <mergeCell ref="I34:J37"/>
    <mergeCell ref="C42:C45"/>
    <mergeCell ref="D42:D45"/>
    <mergeCell ref="E42:E45"/>
    <mergeCell ref="C38:C41"/>
    <mergeCell ref="D38:D41"/>
    <mergeCell ref="E38:E41"/>
    <mergeCell ref="F38:G45"/>
    <mergeCell ref="H38:H45"/>
    <mergeCell ref="I38:J45"/>
    <mergeCell ref="H30:H33"/>
    <mergeCell ref="C30:C33"/>
    <mergeCell ref="D30:D33"/>
    <mergeCell ref="E30:E33"/>
    <mergeCell ref="H34:H37"/>
    <mergeCell ref="C34:C37"/>
    <mergeCell ref="D34:D37"/>
    <mergeCell ref="E34:E37"/>
    <mergeCell ref="B30:B37"/>
    <mergeCell ref="M6:M13"/>
    <mergeCell ref="H14:I17"/>
    <mergeCell ref="J18:J21"/>
    <mergeCell ref="K18:K21"/>
    <mergeCell ref="L18:L21"/>
    <mergeCell ref="M18:M21"/>
    <mergeCell ref="B18:B21"/>
    <mergeCell ref="C18:C21"/>
    <mergeCell ref="D18:D21"/>
    <mergeCell ref="E18:E21"/>
    <mergeCell ref="F18:G21"/>
    <mergeCell ref="H18:I21"/>
    <mergeCell ref="B14:B17"/>
    <mergeCell ref="C14:C17"/>
    <mergeCell ref="D14:D17"/>
    <mergeCell ref="E14:E17"/>
    <mergeCell ref="F14:G17"/>
    <mergeCell ref="J14:J17"/>
    <mergeCell ref="K14:K17"/>
    <mergeCell ref="L14:L17"/>
    <mergeCell ref="M14:M17"/>
    <mergeCell ref="Q171:Q173"/>
    <mergeCell ref="Q174:Q176"/>
    <mergeCell ref="Q177:Q179"/>
    <mergeCell ref="Q180:Q182"/>
    <mergeCell ref="Q183:Q185"/>
    <mergeCell ref="Q186:Q188"/>
    <mergeCell ref="Q153:Q155"/>
    <mergeCell ref="Q156:Q158"/>
    <mergeCell ref="Q159:Q161"/>
    <mergeCell ref="Q162:Q164"/>
    <mergeCell ref="Q165:Q167"/>
    <mergeCell ref="Q168:Q170"/>
    <mergeCell ref="Q93:Q95"/>
    <mergeCell ref="Q96:Q98"/>
    <mergeCell ref="Q135:Q137"/>
    <mergeCell ref="Q138:Q140"/>
    <mergeCell ref="Q141:Q143"/>
    <mergeCell ref="Q144:Q146"/>
    <mergeCell ref="Q147:Q149"/>
    <mergeCell ref="Q150:Q152"/>
    <mergeCell ref="Q117:Q119"/>
    <mergeCell ref="Q120:Q122"/>
    <mergeCell ref="Q123:Q125"/>
    <mergeCell ref="Q126:Q128"/>
    <mergeCell ref="Q129:Q131"/>
    <mergeCell ref="Q132:Q134"/>
    <mergeCell ref="Q21:Q23"/>
    <mergeCell ref="Q24:Q26"/>
    <mergeCell ref="Q63:Q65"/>
    <mergeCell ref="Q66:Q68"/>
    <mergeCell ref="Q69:Q71"/>
    <mergeCell ref="Q72:Q74"/>
    <mergeCell ref="Q75:Q77"/>
    <mergeCell ref="Q78:Q80"/>
    <mergeCell ref="Q45:Q47"/>
    <mergeCell ref="Q48:Q50"/>
    <mergeCell ref="Q51:Q53"/>
    <mergeCell ref="Q54:Q56"/>
    <mergeCell ref="Q57:Q59"/>
    <mergeCell ref="Q60:Q62"/>
    <mergeCell ref="O138:O140"/>
    <mergeCell ref="O141:O143"/>
    <mergeCell ref="O144:O146"/>
    <mergeCell ref="O81:O83"/>
    <mergeCell ref="P81:P83"/>
    <mergeCell ref="P84:P86"/>
    <mergeCell ref="P87:P89"/>
    <mergeCell ref="P90:P92"/>
    <mergeCell ref="P93:P95"/>
    <mergeCell ref="P96:P98"/>
    <mergeCell ref="P99:P101"/>
    <mergeCell ref="P102:P104"/>
    <mergeCell ref="P105:P107"/>
    <mergeCell ref="P108:P110"/>
    <mergeCell ref="P111:P113"/>
    <mergeCell ref="P114:P116"/>
    <mergeCell ref="P117:P119"/>
    <mergeCell ref="P120:P122"/>
    <mergeCell ref="Q99:Q101"/>
    <mergeCell ref="Q102:Q104"/>
    <mergeCell ref="Q105:Q107"/>
    <mergeCell ref="Q108:Q110"/>
    <mergeCell ref="Q111:Q113"/>
    <mergeCell ref="Q114:Q116"/>
    <mergeCell ref="Q81:Q83"/>
    <mergeCell ref="Q84:Q86"/>
    <mergeCell ref="Q87:Q89"/>
    <mergeCell ref="Q90:Q92"/>
    <mergeCell ref="O84:O86"/>
    <mergeCell ref="O87:O89"/>
    <mergeCell ref="O90:O92"/>
    <mergeCell ref="O93:O95"/>
    <mergeCell ref="O96:O98"/>
    <mergeCell ref="O99:O101"/>
    <mergeCell ref="O66:O68"/>
    <mergeCell ref="O69:O71"/>
    <mergeCell ref="O72:O74"/>
    <mergeCell ref="O75:O77"/>
    <mergeCell ref="O78:O80"/>
    <mergeCell ref="O174:O176"/>
    <mergeCell ref="O177:O179"/>
    <mergeCell ref="O180:O182"/>
    <mergeCell ref="O183:O185"/>
    <mergeCell ref="O186:O188"/>
    <mergeCell ref="O156:O158"/>
    <mergeCell ref="O159:O161"/>
    <mergeCell ref="O162:O164"/>
    <mergeCell ref="O165:O167"/>
    <mergeCell ref="O168:O170"/>
    <mergeCell ref="O171:O173"/>
    <mergeCell ref="O126:O128"/>
    <mergeCell ref="O129:O131"/>
    <mergeCell ref="O132:O134"/>
    <mergeCell ref="O135:O137"/>
    <mergeCell ref="O102:O104"/>
    <mergeCell ref="O105:O107"/>
    <mergeCell ref="O108:O110"/>
    <mergeCell ref="O111:O113"/>
    <mergeCell ref="O114:O116"/>
    <mergeCell ref="O117:O119"/>
    <mergeCell ref="O147:O149"/>
    <mergeCell ref="O150:O152"/>
    <mergeCell ref="O153:O155"/>
    <mergeCell ref="O120:O122"/>
    <mergeCell ref="O123:O125"/>
    <mergeCell ref="S24:S26"/>
    <mergeCell ref="S27:S29"/>
    <mergeCell ref="O48:O50"/>
    <mergeCell ref="O51:O53"/>
    <mergeCell ref="O54:O56"/>
    <mergeCell ref="O57:O59"/>
    <mergeCell ref="O60:O62"/>
    <mergeCell ref="O63:O65"/>
    <mergeCell ref="O30:O32"/>
    <mergeCell ref="O33:O35"/>
    <mergeCell ref="O36:O38"/>
    <mergeCell ref="O39:O41"/>
    <mergeCell ref="O42:O44"/>
    <mergeCell ref="O45:O47"/>
    <mergeCell ref="P57:P59"/>
    <mergeCell ref="P60:P62"/>
    <mergeCell ref="P63:P65"/>
    <mergeCell ref="R63:R65"/>
    <mergeCell ref="Q27:Q29"/>
    <mergeCell ref="Q30:Q32"/>
    <mergeCell ref="Q33:Q35"/>
    <mergeCell ref="Q36:Q38"/>
    <mergeCell ref="Q39:Q41"/>
    <mergeCell ref="Q42:Q44"/>
    <mergeCell ref="O6:O8"/>
    <mergeCell ref="O9:O11"/>
    <mergeCell ref="Q6:Q8"/>
    <mergeCell ref="S6:S8"/>
    <mergeCell ref="S9:S11"/>
    <mergeCell ref="S12:S14"/>
    <mergeCell ref="S15:S17"/>
    <mergeCell ref="S18:S20"/>
    <mergeCell ref="Q9:Q11"/>
    <mergeCell ref="Q12:Q14"/>
    <mergeCell ref="Q15:Q17"/>
    <mergeCell ref="Q18:Q20"/>
    <mergeCell ref="T6:T8"/>
    <mergeCell ref="T9:T11"/>
    <mergeCell ref="T12:T14"/>
    <mergeCell ref="T15:T17"/>
    <mergeCell ref="T18:T20"/>
    <mergeCell ref="U6:U8"/>
    <mergeCell ref="U9:U11"/>
    <mergeCell ref="U12:U14"/>
    <mergeCell ref="U15:U17"/>
    <mergeCell ref="U18:U20"/>
    <mergeCell ref="AA6:AA8"/>
    <mergeCell ref="A82:A85"/>
    <mergeCell ref="A86:A89"/>
    <mergeCell ref="B2:E3"/>
    <mergeCell ref="B6:B13"/>
    <mergeCell ref="C6:C13"/>
    <mergeCell ref="D6:D13"/>
    <mergeCell ref="E6:E13"/>
    <mergeCell ref="B4:G5"/>
    <mergeCell ref="H4:M5"/>
    <mergeCell ref="I6:I13"/>
    <mergeCell ref="H6:H10"/>
    <mergeCell ref="F6:F10"/>
    <mergeCell ref="G6:G13"/>
    <mergeCell ref="J6:J13"/>
    <mergeCell ref="K6:K13"/>
    <mergeCell ref="L6:L13"/>
    <mergeCell ref="O12:O14"/>
    <mergeCell ref="O15:O17"/>
    <mergeCell ref="O18:O20"/>
    <mergeCell ref="O21:O23"/>
    <mergeCell ref="O24:O26"/>
    <mergeCell ref="O27:O29"/>
    <mergeCell ref="S21:S23"/>
    <mergeCell ref="P72:P74"/>
    <mergeCell ref="P75:P77"/>
    <mergeCell ref="P78:P80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62:A165"/>
    <mergeCell ref="H22:I25"/>
    <mergeCell ref="J22:K25"/>
    <mergeCell ref="L22:M25"/>
    <mergeCell ref="H26:I29"/>
    <mergeCell ref="J26:K29"/>
    <mergeCell ref="L26:M29"/>
    <mergeCell ref="K30:M33"/>
    <mergeCell ref="K34:M45"/>
    <mergeCell ref="B22:C25"/>
    <mergeCell ref="B26:C29"/>
    <mergeCell ref="D22:E25"/>
    <mergeCell ref="F22:G25"/>
    <mergeCell ref="D26:E29"/>
    <mergeCell ref="F26:G29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N6:N8"/>
    <mergeCell ref="N9:N11"/>
    <mergeCell ref="N12:N14"/>
    <mergeCell ref="N15:N17"/>
    <mergeCell ref="N18:N20"/>
    <mergeCell ref="N21:N23"/>
    <mergeCell ref="N24:N26"/>
    <mergeCell ref="N27:N29"/>
    <mergeCell ref="N30:N32"/>
    <mergeCell ref="N33:N35"/>
    <mergeCell ref="N36:N38"/>
    <mergeCell ref="N39:N41"/>
    <mergeCell ref="N42:N44"/>
    <mergeCell ref="N45:N47"/>
    <mergeCell ref="N48:N50"/>
    <mergeCell ref="N51:N53"/>
    <mergeCell ref="N54:N56"/>
    <mergeCell ref="N57:N59"/>
    <mergeCell ref="N60:N62"/>
    <mergeCell ref="N63:N65"/>
    <mergeCell ref="N66:N68"/>
    <mergeCell ref="N69:N71"/>
    <mergeCell ref="N72:N74"/>
    <mergeCell ref="N75:N77"/>
    <mergeCell ref="N78:N80"/>
    <mergeCell ref="N81:N83"/>
    <mergeCell ref="N84:N86"/>
    <mergeCell ref="N87:N89"/>
    <mergeCell ref="N90:N92"/>
    <mergeCell ref="N93:N95"/>
    <mergeCell ref="N96:N98"/>
    <mergeCell ref="N99:N101"/>
    <mergeCell ref="N102:N104"/>
    <mergeCell ref="N105:N107"/>
    <mergeCell ref="N108:N110"/>
    <mergeCell ref="N111:N113"/>
    <mergeCell ref="N114:N116"/>
    <mergeCell ref="N117:N119"/>
    <mergeCell ref="N120:N122"/>
    <mergeCell ref="N123:N125"/>
    <mergeCell ref="N126:N128"/>
    <mergeCell ref="N129:N131"/>
    <mergeCell ref="N132:N134"/>
    <mergeCell ref="N135:N137"/>
    <mergeCell ref="N138:N140"/>
    <mergeCell ref="N141:N143"/>
    <mergeCell ref="N144:N146"/>
    <mergeCell ref="N147:N149"/>
    <mergeCell ref="N150:N152"/>
    <mergeCell ref="N153:N155"/>
    <mergeCell ref="N156:N158"/>
    <mergeCell ref="N159:N161"/>
    <mergeCell ref="N162:N164"/>
    <mergeCell ref="N165:N167"/>
    <mergeCell ref="N168:N170"/>
    <mergeCell ref="N171:N173"/>
    <mergeCell ref="N174:N176"/>
    <mergeCell ref="N177:N179"/>
    <mergeCell ref="N180:N182"/>
    <mergeCell ref="N183:N185"/>
    <mergeCell ref="N186:N188"/>
    <mergeCell ref="P6:P8"/>
    <mergeCell ref="P9:P11"/>
    <mergeCell ref="P12:P14"/>
    <mergeCell ref="P15:P17"/>
    <mergeCell ref="P18:P20"/>
    <mergeCell ref="P21:P23"/>
    <mergeCell ref="P24:P26"/>
    <mergeCell ref="P27:P29"/>
    <mergeCell ref="P30:P32"/>
    <mergeCell ref="P33:P35"/>
    <mergeCell ref="P36:P38"/>
    <mergeCell ref="P39:P41"/>
    <mergeCell ref="P42:P44"/>
    <mergeCell ref="P45:P47"/>
    <mergeCell ref="P48:P50"/>
    <mergeCell ref="P51:P53"/>
    <mergeCell ref="P54:P56"/>
    <mergeCell ref="P66:P68"/>
    <mergeCell ref="P69:P71"/>
    <mergeCell ref="P123:P125"/>
    <mergeCell ref="P126:P128"/>
    <mergeCell ref="P129:P131"/>
    <mergeCell ref="P132:P134"/>
    <mergeCell ref="P135:P137"/>
    <mergeCell ref="P138:P140"/>
    <mergeCell ref="P141:P143"/>
    <mergeCell ref="P144:P146"/>
    <mergeCell ref="P147:P149"/>
    <mergeCell ref="P150:P152"/>
    <mergeCell ref="P153:P155"/>
    <mergeCell ref="P156:P158"/>
    <mergeCell ref="P159:P161"/>
    <mergeCell ref="P162:P164"/>
    <mergeCell ref="P165:P167"/>
    <mergeCell ref="P168:P170"/>
    <mergeCell ref="P171:P173"/>
    <mergeCell ref="P174:P176"/>
    <mergeCell ref="P177:P179"/>
    <mergeCell ref="P180:P182"/>
    <mergeCell ref="P183:P185"/>
    <mergeCell ref="P186:P188"/>
    <mergeCell ref="R6:R8"/>
    <mergeCell ref="R9:R11"/>
    <mergeCell ref="R12:R14"/>
    <mergeCell ref="R15:R17"/>
    <mergeCell ref="R18:R20"/>
    <mergeCell ref="R21:R23"/>
    <mergeCell ref="R24:R26"/>
    <mergeCell ref="R27:R29"/>
    <mergeCell ref="R30:R32"/>
    <mergeCell ref="R33:R35"/>
    <mergeCell ref="R36:R38"/>
    <mergeCell ref="R39:R41"/>
    <mergeCell ref="R42:R44"/>
    <mergeCell ref="R45:R47"/>
    <mergeCell ref="R48:R50"/>
    <mergeCell ref="R51:R53"/>
    <mergeCell ref="R54:R56"/>
    <mergeCell ref="R57:R59"/>
    <mergeCell ref="R60:R62"/>
    <mergeCell ref="R66:R68"/>
    <mergeCell ref="R69:R71"/>
    <mergeCell ref="R72:R74"/>
    <mergeCell ref="R75:R77"/>
    <mergeCell ref="R78:R80"/>
    <mergeCell ref="R81:R83"/>
    <mergeCell ref="R84:R86"/>
    <mergeCell ref="R87:R89"/>
    <mergeCell ref="R90:R92"/>
    <mergeCell ref="R93:R95"/>
    <mergeCell ref="R96:R98"/>
    <mergeCell ref="R99:R101"/>
    <mergeCell ref="R102:R104"/>
    <mergeCell ref="R105:R107"/>
    <mergeCell ref="R108:R110"/>
    <mergeCell ref="R111:R113"/>
    <mergeCell ref="R114:R116"/>
    <mergeCell ref="R117:R119"/>
    <mergeCell ref="R120:R122"/>
    <mergeCell ref="R123:R125"/>
    <mergeCell ref="R126:R128"/>
    <mergeCell ref="R129:R131"/>
    <mergeCell ref="R132:R134"/>
    <mergeCell ref="R135:R137"/>
    <mergeCell ref="R138:R140"/>
    <mergeCell ref="R141:R143"/>
    <mergeCell ref="R144:R146"/>
    <mergeCell ref="R147:R149"/>
    <mergeCell ref="R150:R152"/>
    <mergeCell ref="R153:R155"/>
    <mergeCell ref="R156:R158"/>
    <mergeCell ref="R159:R161"/>
    <mergeCell ref="R162:R164"/>
    <mergeCell ref="R165:R167"/>
    <mergeCell ref="R168:R170"/>
    <mergeCell ref="R171:R173"/>
    <mergeCell ref="R174:R176"/>
    <mergeCell ref="R177:R179"/>
    <mergeCell ref="R180:R182"/>
    <mergeCell ref="R183:R185"/>
    <mergeCell ref="R186:R188"/>
    <mergeCell ref="S30:S32"/>
    <mergeCell ref="S33:S35"/>
    <mergeCell ref="S36:S38"/>
    <mergeCell ref="S39:S41"/>
    <mergeCell ref="S42:S44"/>
    <mergeCell ref="S45:S47"/>
    <mergeCell ref="S48:S50"/>
    <mergeCell ref="S51:S53"/>
    <mergeCell ref="S54:S56"/>
    <mergeCell ref="S57:S59"/>
    <mergeCell ref="S60:S62"/>
    <mergeCell ref="S63:S65"/>
    <mergeCell ref="S66:S68"/>
    <mergeCell ref="S69:S71"/>
    <mergeCell ref="S72:S74"/>
    <mergeCell ref="S75:S77"/>
    <mergeCell ref="S78:S80"/>
    <mergeCell ref="S81:S83"/>
    <mergeCell ref="S84:S86"/>
    <mergeCell ref="S87:S89"/>
    <mergeCell ref="S90:S92"/>
    <mergeCell ref="S93:S95"/>
    <mergeCell ref="S96:S98"/>
    <mergeCell ref="S99:S101"/>
    <mergeCell ref="S102:S104"/>
    <mergeCell ref="S105:S107"/>
    <mergeCell ref="S108:S110"/>
    <mergeCell ref="S111:S113"/>
    <mergeCell ref="S114:S116"/>
    <mergeCell ref="S117:S119"/>
    <mergeCell ref="S120:S122"/>
    <mergeCell ref="S123:S125"/>
    <mergeCell ref="S126:S128"/>
    <mergeCell ref="S129:S131"/>
    <mergeCell ref="S132:S134"/>
    <mergeCell ref="S135:S137"/>
    <mergeCell ref="S165:S167"/>
    <mergeCell ref="S168:S170"/>
    <mergeCell ref="S171:S173"/>
    <mergeCell ref="S174:S176"/>
    <mergeCell ref="S177:S179"/>
    <mergeCell ref="S180:S182"/>
    <mergeCell ref="S183:S185"/>
    <mergeCell ref="S186:S188"/>
    <mergeCell ref="S138:S140"/>
    <mergeCell ref="S141:S143"/>
    <mergeCell ref="S144:S146"/>
    <mergeCell ref="S147:S149"/>
    <mergeCell ref="S150:S152"/>
    <mergeCell ref="S153:S155"/>
    <mergeCell ref="S156:S158"/>
    <mergeCell ref="S159:S161"/>
    <mergeCell ref="S162:S164"/>
    <mergeCell ref="AC6:AC8"/>
    <mergeCell ref="AC9:AC11"/>
    <mergeCell ref="AC12:AC14"/>
    <mergeCell ref="AC15:AC17"/>
    <mergeCell ref="AC18:AC20"/>
    <mergeCell ref="AC21:AC23"/>
    <mergeCell ref="AC24:AC26"/>
    <mergeCell ref="AC27:AC29"/>
    <mergeCell ref="AC30:AC32"/>
    <mergeCell ref="AC33:AC35"/>
    <mergeCell ref="AC36:AC38"/>
    <mergeCell ref="AC39:AC41"/>
    <mergeCell ref="AC42:AC44"/>
    <mergeCell ref="AC45:AC47"/>
    <mergeCell ref="AC48:AC50"/>
    <mergeCell ref="AC51:AC53"/>
    <mergeCell ref="AC54:AC56"/>
    <mergeCell ref="AC147:AC149"/>
    <mergeCell ref="AC150:AC152"/>
    <mergeCell ref="AC153:AC155"/>
    <mergeCell ref="AC156:AC158"/>
    <mergeCell ref="AC57:AC59"/>
    <mergeCell ref="AC60:AC62"/>
    <mergeCell ref="AC63:AC65"/>
    <mergeCell ref="AC66:AC68"/>
    <mergeCell ref="AC69:AC71"/>
    <mergeCell ref="AC72:AC74"/>
    <mergeCell ref="AC75:AC77"/>
    <mergeCell ref="AC78:AC80"/>
    <mergeCell ref="AC81:AC83"/>
    <mergeCell ref="AC84:AC86"/>
    <mergeCell ref="AC87:AC89"/>
    <mergeCell ref="AC90:AC92"/>
    <mergeCell ref="AC93:AC95"/>
    <mergeCell ref="AC96:AC98"/>
    <mergeCell ref="AC99:AC101"/>
    <mergeCell ref="AC102:AC104"/>
    <mergeCell ref="AC105:AC107"/>
    <mergeCell ref="B189:D189"/>
    <mergeCell ref="F189:H189"/>
    <mergeCell ref="AC159:AC161"/>
    <mergeCell ref="AC162:AC164"/>
    <mergeCell ref="AC165:AC167"/>
    <mergeCell ref="AC168:AC170"/>
    <mergeCell ref="AC171:AC173"/>
    <mergeCell ref="AC174:AC176"/>
    <mergeCell ref="AC177:AC179"/>
    <mergeCell ref="AC180:AC182"/>
    <mergeCell ref="AC183:AC185"/>
    <mergeCell ref="AC186:AC188"/>
    <mergeCell ref="N4:R5"/>
    <mergeCell ref="T4:U4"/>
    <mergeCell ref="T5:U5"/>
    <mergeCell ref="Y4:Z4"/>
    <mergeCell ref="Y5:Z5"/>
    <mergeCell ref="V4:W4"/>
    <mergeCell ref="AA4:AB4"/>
    <mergeCell ref="AC108:AC110"/>
    <mergeCell ref="AC111:AC113"/>
    <mergeCell ref="AC114:AC116"/>
    <mergeCell ref="AC117:AC119"/>
    <mergeCell ref="AC120:AC122"/>
    <mergeCell ref="AC123:AC125"/>
    <mergeCell ref="AC126:AC128"/>
    <mergeCell ref="AC129:AC131"/>
    <mergeCell ref="AC132:AC134"/>
    <mergeCell ref="AC135:AC137"/>
    <mergeCell ref="AC138:AC140"/>
    <mergeCell ref="AC141:AC143"/>
    <mergeCell ref="AC144:AC146"/>
  </mergeCells>
  <conditionalFormatting sqref="D26:E29">
    <cfRule type="expression" dxfId="498" priority="605">
      <formula>$A$14=1</formula>
    </cfRule>
  </conditionalFormatting>
  <conditionalFormatting sqref="J26:K29">
    <cfRule type="expression" dxfId="497" priority="604">
      <formula>$A$3=1</formula>
    </cfRule>
  </conditionalFormatting>
  <conditionalFormatting sqref="L26:M29">
    <cfRule type="expression" dxfId="496" priority="603">
      <formula>$A$4=1</formula>
    </cfRule>
  </conditionalFormatting>
  <conditionalFormatting sqref="D38:D41">
    <cfRule type="expression" dxfId="495" priority="602">
      <formula>$D$38=$F$38</formula>
    </cfRule>
  </conditionalFormatting>
  <conditionalFormatting sqref="D42:D45">
    <cfRule type="expression" dxfId="494" priority="601">
      <formula>$D$42=$F$38</formula>
    </cfRule>
  </conditionalFormatting>
  <conditionalFormatting sqref="N6:N186">
    <cfRule type="expression" dxfId="493" priority="600">
      <formula>N6=$G$46</formula>
    </cfRule>
  </conditionalFormatting>
  <conditionalFormatting sqref="R6:R188">
    <cfRule type="dataBar" priority="5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{27A77E66-3518-4775-AF75-E3B22B5EF34B}</x14:id>
        </ext>
      </extLst>
    </cfRule>
  </conditionalFormatting>
  <conditionalFormatting sqref="V6:V8">
    <cfRule type="expression" dxfId="492" priority="598">
      <formula>V6=0</formula>
    </cfRule>
  </conditionalFormatting>
  <conditionalFormatting sqref="V9:V11">
    <cfRule type="expression" dxfId="491" priority="597">
      <formula>V9=0</formula>
    </cfRule>
  </conditionalFormatting>
  <conditionalFormatting sqref="V12:V14">
    <cfRule type="expression" dxfId="490" priority="596">
      <formula>V12=0</formula>
    </cfRule>
  </conditionalFormatting>
  <conditionalFormatting sqref="V15:V17">
    <cfRule type="expression" dxfId="489" priority="595">
      <formula>V15=0</formula>
    </cfRule>
  </conditionalFormatting>
  <conditionalFormatting sqref="V18:V20">
    <cfRule type="expression" dxfId="488" priority="594">
      <formula>V18=0</formula>
    </cfRule>
  </conditionalFormatting>
  <conditionalFormatting sqref="V21:V23">
    <cfRule type="expression" dxfId="487" priority="593">
      <formula>V21=0</formula>
    </cfRule>
  </conditionalFormatting>
  <conditionalFormatting sqref="V24:V26">
    <cfRule type="expression" dxfId="486" priority="592">
      <formula>V24=0</formula>
    </cfRule>
  </conditionalFormatting>
  <conditionalFormatting sqref="V27:V29">
    <cfRule type="expression" dxfId="485" priority="591">
      <formula>V27=0</formula>
    </cfRule>
  </conditionalFormatting>
  <conditionalFormatting sqref="V30:V32">
    <cfRule type="expression" dxfId="484" priority="590">
      <formula>V30=0</formula>
    </cfRule>
  </conditionalFormatting>
  <conditionalFormatting sqref="V33:V35">
    <cfRule type="expression" dxfId="483" priority="589">
      <formula>V33=0</formula>
    </cfRule>
  </conditionalFormatting>
  <conditionalFormatting sqref="V36:V38">
    <cfRule type="expression" dxfId="482" priority="588">
      <formula>V36=0</formula>
    </cfRule>
  </conditionalFormatting>
  <conditionalFormatting sqref="V39:V41">
    <cfRule type="expression" dxfId="481" priority="587">
      <formula>V39=0</formula>
    </cfRule>
  </conditionalFormatting>
  <conditionalFormatting sqref="V42:V44">
    <cfRule type="expression" dxfId="480" priority="586">
      <formula>V42=0</formula>
    </cfRule>
  </conditionalFormatting>
  <conditionalFormatting sqref="V45:V47">
    <cfRule type="expression" dxfId="479" priority="585">
      <formula>V45=0</formula>
    </cfRule>
  </conditionalFormatting>
  <conditionalFormatting sqref="V48:V50">
    <cfRule type="expression" dxfId="478" priority="584">
      <formula>V48=0</formula>
    </cfRule>
  </conditionalFormatting>
  <conditionalFormatting sqref="V51:V53">
    <cfRule type="expression" dxfId="477" priority="583">
      <formula>V51=0</formula>
    </cfRule>
  </conditionalFormatting>
  <conditionalFormatting sqref="V54:V56">
    <cfRule type="expression" dxfId="476" priority="582">
      <formula>V54=0</formula>
    </cfRule>
  </conditionalFormatting>
  <conditionalFormatting sqref="V57:V59">
    <cfRule type="expression" dxfId="475" priority="581">
      <formula>V57=0</formula>
    </cfRule>
  </conditionalFormatting>
  <conditionalFormatting sqref="V60:V62">
    <cfRule type="expression" dxfId="474" priority="580">
      <formula>V60=0</formula>
    </cfRule>
  </conditionalFormatting>
  <conditionalFormatting sqref="V63:V65">
    <cfRule type="expression" dxfId="473" priority="579">
      <formula>V63=0</formula>
    </cfRule>
  </conditionalFormatting>
  <conditionalFormatting sqref="V66:V68">
    <cfRule type="expression" dxfId="472" priority="578">
      <formula>V66=0</formula>
    </cfRule>
  </conditionalFormatting>
  <conditionalFormatting sqref="V69:V71">
    <cfRule type="expression" dxfId="471" priority="577">
      <formula>V69=0</formula>
    </cfRule>
  </conditionalFormatting>
  <conditionalFormatting sqref="V72:V74">
    <cfRule type="expression" dxfId="470" priority="576">
      <formula>V72=0</formula>
    </cfRule>
  </conditionalFormatting>
  <conditionalFormatting sqref="V75:V77">
    <cfRule type="expression" dxfId="469" priority="575">
      <formula>V75=0</formula>
    </cfRule>
  </conditionalFormatting>
  <conditionalFormatting sqref="V78:V80">
    <cfRule type="expression" dxfId="468" priority="574">
      <formula>V78=0</formula>
    </cfRule>
  </conditionalFormatting>
  <conditionalFormatting sqref="V81:V83">
    <cfRule type="expression" dxfId="467" priority="573">
      <formula>V81=0</formula>
    </cfRule>
  </conditionalFormatting>
  <conditionalFormatting sqref="V84:V86">
    <cfRule type="expression" dxfId="466" priority="572">
      <formula>V84=0</formula>
    </cfRule>
  </conditionalFormatting>
  <conditionalFormatting sqref="V87:V89">
    <cfRule type="expression" dxfId="465" priority="571">
      <formula>V87=0</formula>
    </cfRule>
  </conditionalFormatting>
  <conditionalFormatting sqref="V90:V92">
    <cfRule type="expression" dxfId="464" priority="570">
      <formula>V90=0</formula>
    </cfRule>
  </conditionalFormatting>
  <conditionalFormatting sqref="V93:V95">
    <cfRule type="expression" dxfId="463" priority="569">
      <formula>V93=0</formula>
    </cfRule>
  </conditionalFormatting>
  <conditionalFormatting sqref="V96:V98">
    <cfRule type="expression" dxfId="462" priority="568">
      <formula>V96=0</formula>
    </cfRule>
  </conditionalFormatting>
  <conditionalFormatting sqref="V99:V101">
    <cfRule type="expression" dxfId="461" priority="567">
      <formula>V99=0</formula>
    </cfRule>
  </conditionalFormatting>
  <conditionalFormatting sqref="V102:V104">
    <cfRule type="expression" dxfId="460" priority="566">
      <formula>V102=0</formula>
    </cfRule>
  </conditionalFormatting>
  <conditionalFormatting sqref="V105:V107">
    <cfRule type="expression" dxfId="459" priority="565">
      <formula>V105=0</formula>
    </cfRule>
  </conditionalFormatting>
  <conditionalFormatting sqref="V108:V110">
    <cfRule type="expression" dxfId="458" priority="564">
      <formula>V108=0</formula>
    </cfRule>
  </conditionalFormatting>
  <conditionalFormatting sqref="V111:V113">
    <cfRule type="expression" dxfId="457" priority="563">
      <formula>V111=0</formula>
    </cfRule>
  </conditionalFormatting>
  <conditionalFormatting sqref="V114:V116">
    <cfRule type="expression" dxfId="456" priority="562">
      <formula>V114=0</formula>
    </cfRule>
  </conditionalFormatting>
  <conditionalFormatting sqref="V117:V119">
    <cfRule type="expression" dxfId="455" priority="561">
      <formula>V117=0</formula>
    </cfRule>
  </conditionalFormatting>
  <conditionalFormatting sqref="V120:V122">
    <cfRule type="expression" dxfId="454" priority="560">
      <formula>V120=0</formula>
    </cfRule>
  </conditionalFormatting>
  <conditionalFormatting sqref="V123:V125">
    <cfRule type="expression" dxfId="453" priority="559">
      <formula>V123=0</formula>
    </cfRule>
  </conditionalFormatting>
  <conditionalFormatting sqref="V126:V128">
    <cfRule type="expression" dxfId="452" priority="558">
      <formula>V126=0</formula>
    </cfRule>
  </conditionalFormatting>
  <conditionalFormatting sqref="V129:V131">
    <cfRule type="expression" dxfId="451" priority="557">
      <formula>V129=0</formula>
    </cfRule>
  </conditionalFormatting>
  <conditionalFormatting sqref="V132:V134">
    <cfRule type="expression" dxfId="450" priority="556">
      <formula>V132=0</formula>
    </cfRule>
  </conditionalFormatting>
  <conditionalFormatting sqref="V135:V137">
    <cfRule type="expression" dxfId="449" priority="555">
      <formula>V135=0</formula>
    </cfRule>
  </conditionalFormatting>
  <conditionalFormatting sqref="V138:V140">
    <cfRule type="expression" dxfId="448" priority="554">
      <formula>V138=0</formula>
    </cfRule>
  </conditionalFormatting>
  <conditionalFormatting sqref="V141:V143">
    <cfRule type="expression" dxfId="447" priority="553">
      <formula>V141=0</formula>
    </cfRule>
  </conditionalFormatting>
  <conditionalFormatting sqref="V144:V146">
    <cfRule type="expression" dxfId="446" priority="552">
      <formula>V144=0</formula>
    </cfRule>
  </conditionalFormatting>
  <conditionalFormatting sqref="V147:V149">
    <cfRule type="expression" dxfId="445" priority="551">
      <formula>V147=0</formula>
    </cfRule>
  </conditionalFormatting>
  <conditionalFormatting sqref="V150:V152">
    <cfRule type="expression" dxfId="444" priority="550">
      <formula>V150=0</formula>
    </cfRule>
  </conditionalFormatting>
  <conditionalFormatting sqref="V153:V155">
    <cfRule type="expression" dxfId="443" priority="549">
      <formula>V153=0</formula>
    </cfRule>
  </conditionalFormatting>
  <conditionalFormatting sqref="V156:V158">
    <cfRule type="expression" dxfId="442" priority="548">
      <formula>V156=0</formula>
    </cfRule>
  </conditionalFormatting>
  <conditionalFormatting sqref="V159:V161">
    <cfRule type="expression" dxfId="441" priority="547">
      <formula>V159=0</formula>
    </cfRule>
  </conditionalFormatting>
  <conditionalFormatting sqref="V162:V164">
    <cfRule type="expression" dxfId="440" priority="546">
      <formula>V162=0</formula>
    </cfRule>
  </conditionalFormatting>
  <conditionalFormatting sqref="V165:V167">
    <cfRule type="expression" dxfId="439" priority="545">
      <formula>V165=0</formula>
    </cfRule>
  </conditionalFormatting>
  <conditionalFormatting sqref="V168:V170">
    <cfRule type="expression" dxfId="438" priority="544">
      <formula>V168=0</formula>
    </cfRule>
  </conditionalFormatting>
  <conditionalFormatting sqref="V171:V173">
    <cfRule type="expression" dxfId="437" priority="543">
      <formula>V171=0</formula>
    </cfRule>
  </conditionalFormatting>
  <conditionalFormatting sqref="V174:V176">
    <cfRule type="expression" dxfId="436" priority="542">
      <formula>V174=0</formula>
    </cfRule>
  </conditionalFormatting>
  <conditionalFormatting sqref="V177:V179">
    <cfRule type="expression" dxfId="435" priority="541">
      <formula>V177=0</formula>
    </cfRule>
  </conditionalFormatting>
  <conditionalFormatting sqref="V180:V182">
    <cfRule type="expression" dxfId="434" priority="540">
      <formula>V180=0</formula>
    </cfRule>
  </conditionalFormatting>
  <conditionalFormatting sqref="V183:V185">
    <cfRule type="expression" dxfId="433" priority="539">
      <formula>V183=0</formula>
    </cfRule>
  </conditionalFormatting>
  <conditionalFormatting sqref="V186:V188">
    <cfRule type="expression" dxfId="432" priority="538">
      <formula>V186=0</formula>
    </cfRule>
  </conditionalFormatting>
  <conditionalFormatting sqref="W6:W8">
    <cfRule type="expression" dxfId="431" priority="537">
      <formula>W6=0</formula>
    </cfRule>
  </conditionalFormatting>
  <conditionalFormatting sqref="W9:W11">
    <cfRule type="expression" dxfId="430" priority="536">
      <formula>W9=0</formula>
    </cfRule>
  </conditionalFormatting>
  <conditionalFormatting sqref="W12:W14">
    <cfRule type="expression" dxfId="429" priority="535">
      <formula>W12=0</formula>
    </cfRule>
  </conditionalFormatting>
  <conditionalFormatting sqref="W15:W17">
    <cfRule type="expression" dxfId="428" priority="534">
      <formula>W15=0</formula>
    </cfRule>
  </conditionalFormatting>
  <conditionalFormatting sqref="W18:W20">
    <cfRule type="expression" dxfId="427" priority="533">
      <formula>W18=0</formula>
    </cfRule>
  </conditionalFormatting>
  <conditionalFormatting sqref="W21:W23">
    <cfRule type="expression" dxfId="426" priority="532">
      <formula>W21=0</formula>
    </cfRule>
  </conditionalFormatting>
  <conditionalFormatting sqref="W24:W26">
    <cfRule type="expression" dxfId="425" priority="531">
      <formula>W24=0</formula>
    </cfRule>
  </conditionalFormatting>
  <conditionalFormatting sqref="W27:W29">
    <cfRule type="expression" dxfId="424" priority="530">
      <formula>W27=0</formula>
    </cfRule>
  </conditionalFormatting>
  <conditionalFormatting sqref="W30:W32">
    <cfRule type="expression" dxfId="423" priority="529">
      <formula>W30=0</formula>
    </cfRule>
  </conditionalFormatting>
  <conditionalFormatting sqref="W33:W35">
    <cfRule type="expression" dxfId="422" priority="528">
      <formula>W33=0</formula>
    </cfRule>
  </conditionalFormatting>
  <conditionalFormatting sqref="W36:W38">
    <cfRule type="expression" dxfId="421" priority="527">
      <formula>W36=0</formula>
    </cfRule>
  </conditionalFormatting>
  <conditionalFormatting sqref="W39:W41">
    <cfRule type="expression" dxfId="420" priority="526">
      <formula>W39=0</formula>
    </cfRule>
  </conditionalFormatting>
  <conditionalFormatting sqref="W42:W44">
    <cfRule type="expression" dxfId="419" priority="525">
      <formula>W42=0</formula>
    </cfRule>
  </conditionalFormatting>
  <conditionalFormatting sqref="W45:W47">
    <cfRule type="expression" dxfId="418" priority="524">
      <formula>W45=0</formula>
    </cfRule>
  </conditionalFormatting>
  <conditionalFormatting sqref="W48:W50">
    <cfRule type="expression" dxfId="417" priority="523">
      <formula>W48=0</formula>
    </cfRule>
  </conditionalFormatting>
  <conditionalFormatting sqref="W51:W53">
    <cfRule type="expression" dxfId="416" priority="522">
      <formula>W51=0</formula>
    </cfRule>
  </conditionalFormatting>
  <conditionalFormatting sqref="W54:W56">
    <cfRule type="expression" dxfId="415" priority="521">
      <formula>W54=0</formula>
    </cfRule>
  </conditionalFormatting>
  <conditionalFormatting sqref="W57:W59">
    <cfRule type="expression" dxfId="414" priority="520">
      <formula>W57=0</formula>
    </cfRule>
  </conditionalFormatting>
  <conditionalFormatting sqref="W60:W62">
    <cfRule type="expression" dxfId="413" priority="519">
      <formula>W60=0</formula>
    </cfRule>
  </conditionalFormatting>
  <conditionalFormatting sqref="W63:W65">
    <cfRule type="expression" dxfId="412" priority="517">
      <formula>W63=0</formula>
    </cfRule>
  </conditionalFormatting>
  <conditionalFormatting sqref="W66:W68">
    <cfRule type="expression" dxfId="411" priority="516">
      <formula>W66=0</formula>
    </cfRule>
  </conditionalFormatting>
  <conditionalFormatting sqref="W69:W71">
    <cfRule type="expression" dxfId="410" priority="515">
      <formula>W69=0</formula>
    </cfRule>
  </conditionalFormatting>
  <conditionalFormatting sqref="W72:W74">
    <cfRule type="expression" dxfId="409" priority="514">
      <formula>W72=0</formula>
    </cfRule>
  </conditionalFormatting>
  <conditionalFormatting sqref="W75:W77">
    <cfRule type="expression" dxfId="408" priority="513">
      <formula>W75=0</formula>
    </cfRule>
  </conditionalFormatting>
  <conditionalFormatting sqref="W78:W80">
    <cfRule type="expression" dxfId="407" priority="512">
      <formula>W78=0</formula>
    </cfRule>
  </conditionalFormatting>
  <conditionalFormatting sqref="W81:W83">
    <cfRule type="expression" dxfId="406" priority="511">
      <formula>W81=0</formula>
    </cfRule>
  </conditionalFormatting>
  <conditionalFormatting sqref="W84:W86">
    <cfRule type="expression" dxfId="405" priority="510">
      <formula>W84=0</formula>
    </cfRule>
  </conditionalFormatting>
  <conditionalFormatting sqref="W87:W89">
    <cfRule type="expression" dxfId="404" priority="509">
      <formula>W87=0</formula>
    </cfRule>
  </conditionalFormatting>
  <conditionalFormatting sqref="W90:W92">
    <cfRule type="expression" dxfId="403" priority="508">
      <formula>W90=0</formula>
    </cfRule>
  </conditionalFormatting>
  <conditionalFormatting sqref="W93:W95">
    <cfRule type="expression" dxfId="402" priority="507">
      <formula>W93=0</formula>
    </cfRule>
  </conditionalFormatting>
  <conditionalFormatting sqref="W96:W98">
    <cfRule type="expression" dxfId="401" priority="506">
      <formula>W96=0</formula>
    </cfRule>
  </conditionalFormatting>
  <conditionalFormatting sqref="W99:W101">
    <cfRule type="expression" dxfId="400" priority="505">
      <formula>W99=0</formula>
    </cfRule>
  </conditionalFormatting>
  <conditionalFormatting sqref="W102:W104">
    <cfRule type="expression" dxfId="399" priority="504">
      <formula>W102=0</formula>
    </cfRule>
  </conditionalFormatting>
  <conditionalFormatting sqref="W105:W107">
    <cfRule type="expression" dxfId="398" priority="503">
      <formula>W105=0</formula>
    </cfRule>
  </conditionalFormatting>
  <conditionalFormatting sqref="W108:W110">
    <cfRule type="expression" dxfId="397" priority="502">
      <formula>W108=0</formula>
    </cfRule>
  </conditionalFormatting>
  <conditionalFormatting sqref="W111:W113">
    <cfRule type="expression" dxfId="396" priority="501">
      <formula>W111=0</formula>
    </cfRule>
  </conditionalFormatting>
  <conditionalFormatting sqref="W114:W116">
    <cfRule type="expression" dxfId="395" priority="500">
      <formula>W114=0</formula>
    </cfRule>
  </conditionalFormatting>
  <conditionalFormatting sqref="W117:W119">
    <cfRule type="expression" dxfId="394" priority="499">
      <formula>W117=0</formula>
    </cfRule>
  </conditionalFormatting>
  <conditionalFormatting sqref="W120:W122">
    <cfRule type="expression" dxfId="393" priority="498">
      <formula>W120=0</formula>
    </cfRule>
  </conditionalFormatting>
  <conditionalFormatting sqref="W123:W125">
    <cfRule type="expression" dxfId="392" priority="497">
      <formula>W123=0</formula>
    </cfRule>
  </conditionalFormatting>
  <conditionalFormatting sqref="W126:W128">
    <cfRule type="expression" dxfId="391" priority="496">
      <formula>W126=0</formula>
    </cfRule>
  </conditionalFormatting>
  <conditionalFormatting sqref="W129:W131">
    <cfRule type="expression" dxfId="390" priority="495">
      <formula>W129=0</formula>
    </cfRule>
  </conditionalFormatting>
  <conditionalFormatting sqref="W132:W134">
    <cfRule type="expression" dxfId="389" priority="494">
      <formula>W132=0</formula>
    </cfRule>
  </conditionalFormatting>
  <conditionalFormatting sqref="W135:W137">
    <cfRule type="expression" dxfId="388" priority="493">
      <formula>W135=0</formula>
    </cfRule>
  </conditionalFormatting>
  <conditionalFormatting sqref="W138:W140">
    <cfRule type="expression" dxfId="387" priority="492">
      <formula>W138=0</formula>
    </cfRule>
  </conditionalFormatting>
  <conditionalFormatting sqref="W141:W143">
    <cfRule type="expression" dxfId="386" priority="491">
      <formula>W141=0</formula>
    </cfRule>
  </conditionalFormatting>
  <conditionalFormatting sqref="W144:W146">
    <cfRule type="expression" dxfId="385" priority="490">
      <formula>W144=0</formula>
    </cfRule>
  </conditionalFormatting>
  <conditionalFormatting sqref="W147:W149">
    <cfRule type="expression" dxfId="384" priority="489">
      <formula>W147=0</formula>
    </cfRule>
  </conditionalFormatting>
  <conditionalFormatting sqref="W150:W152">
    <cfRule type="expression" dxfId="383" priority="488">
      <formula>W150=0</formula>
    </cfRule>
  </conditionalFormatting>
  <conditionalFormatting sqref="W153:W155">
    <cfRule type="expression" dxfId="382" priority="487">
      <formula>W153=0</formula>
    </cfRule>
  </conditionalFormatting>
  <conditionalFormatting sqref="W156:W158">
    <cfRule type="expression" dxfId="381" priority="486">
      <formula>W156=0</formula>
    </cfRule>
  </conditionalFormatting>
  <conditionalFormatting sqref="W159:W161">
    <cfRule type="expression" dxfId="380" priority="485">
      <formula>W159=0</formula>
    </cfRule>
  </conditionalFormatting>
  <conditionalFormatting sqref="W162:W164">
    <cfRule type="expression" dxfId="379" priority="484">
      <formula>W162=0</formula>
    </cfRule>
  </conditionalFormatting>
  <conditionalFormatting sqref="W165:W167">
    <cfRule type="expression" dxfId="378" priority="483">
      <formula>W165=0</formula>
    </cfRule>
  </conditionalFormatting>
  <conditionalFormatting sqref="W168:W170">
    <cfRule type="expression" dxfId="377" priority="482">
      <formula>W168=0</formula>
    </cfRule>
  </conditionalFormatting>
  <conditionalFormatting sqref="W171:W173">
    <cfRule type="expression" dxfId="376" priority="481">
      <formula>W171=0</formula>
    </cfRule>
  </conditionalFormatting>
  <conditionalFormatting sqref="W174:W176">
    <cfRule type="expression" dxfId="375" priority="480">
      <formula>W174=0</formula>
    </cfRule>
  </conditionalFormatting>
  <conditionalFormatting sqref="W177:W179">
    <cfRule type="expression" dxfId="374" priority="479">
      <formula>W177=0</formula>
    </cfRule>
  </conditionalFormatting>
  <conditionalFormatting sqref="W180:W182">
    <cfRule type="expression" dxfId="373" priority="478">
      <formula>W180=0</formula>
    </cfRule>
  </conditionalFormatting>
  <conditionalFormatting sqref="W183:W185">
    <cfRule type="expression" dxfId="372" priority="477">
      <formula>W183=0</formula>
    </cfRule>
  </conditionalFormatting>
  <conditionalFormatting sqref="W186:W188">
    <cfRule type="expression" dxfId="371" priority="476">
      <formula>W186=0</formula>
    </cfRule>
  </conditionalFormatting>
  <conditionalFormatting sqref="W190:X191">
    <cfRule type="expression" dxfId="370" priority="475">
      <formula>W190=0</formula>
    </cfRule>
  </conditionalFormatting>
  <conditionalFormatting sqref="AA6:AA8">
    <cfRule type="expression" dxfId="369" priority="474">
      <formula>AA6=0</formula>
    </cfRule>
  </conditionalFormatting>
  <conditionalFormatting sqref="AB6:AB8">
    <cfRule type="expression" dxfId="368" priority="473">
      <formula>AB6=0</formula>
    </cfRule>
  </conditionalFormatting>
  <conditionalFormatting sqref="AA9:AA11">
    <cfRule type="expression" dxfId="367" priority="472">
      <formula>AA9=0</formula>
    </cfRule>
  </conditionalFormatting>
  <conditionalFormatting sqref="AA12:AA14">
    <cfRule type="expression" dxfId="366" priority="471">
      <formula>AA12=0</formula>
    </cfRule>
  </conditionalFormatting>
  <conditionalFormatting sqref="AA15:AA17">
    <cfRule type="expression" dxfId="365" priority="470">
      <formula>AA15=0</formula>
    </cfRule>
  </conditionalFormatting>
  <conditionalFormatting sqref="AA18:AA20">
    <cfRule type="expression" dxfId="364" priority="469">
      <formula>AA18=0</formula>
    </cfRule>
  </conditionalFormatting>
  <conditionalFormatting sqref="AA21:AA23">
    <cfRule type="expression" dxfId="363" priority="468">
      <formula>AA21=0</formula>
    </cfRule>
  </conditionalFormatting>
  <conditionalFormatting sqref="AA24:AA26">
    <cfRule type="expression" dxfId="362" priority="467">
      <formula>AA24=0</formula>
    </cfRule>
  </conditionalFormatting>
  <conditionalFormatting sqref="AA27:AA29">
    <cfRule type="expression" dxfId="361" priority="466">
      <formula>AA27=0</formula>
    </cfRule>
  </conditionalFormatting>
  <conditionalFormatting sqref="AA30:AA32">
    <cfRule type="expression" dxfId="360" priority="465">
      <formula>AA30=0</formula>
    </cfRule>
  </conditionalFormatting>
  <conditionalFormatting sqref="AA33:AA35">
    <cfRule type="expression" dxfId="359" priority="464">
      <formula>AA33=0</formula>
    </cfRule>
  </conditionalFormatting>
  <conditionalFormatting sqref="AA36:AA38">
    <cfRule type="expression" dxfId="358" priority="463">
      <formula>AA36=0</formula>
    </cfRule>
  </conditionalFormatting>
  <conditionalFormatting sqref="AA39:AA41">
    <cfRule type="expression" dxfId="357" priority="462">
      <formula>AA39=0</formula>
    </cfRule>
  </conditionalFormatting>
  <conditionalFormatting sqref="AA42:AA44">
    <cfRule type="expression" dxfId="356" priority="461">
      <formula>AA42=0</formula>
    </cfRule>
  </conditionalFormatting>
  <conditionalFormatting sqref="AA45:AA47">
    <cfRule type="expression" dxfId="355" priority="460">
      <formula>AA45=0</formula>
    </cfRule>
  </conditionalFormatting>
  <conditionalFormatting sqref="AA48:AA50">
    <cfRule type="expression" dxfId="354" priority="459">
      <formula>AA48=0</formula>
    </cfRule>
  </conditionalFormatting>
  <conditionalFormatting sqref="AA51:AA53">
    <cfRule type="expression" dxfId="353" priority="458">
      <formula>AA51=0</formula>
    </cfRule>
  </conditionalFormatting>
  <conditionalFormatting sqref="AA54:AA56">
    <cfRule type="expression" dxfId="352" priority="457">
      <formula>AA54=0</formula>
    </cfRule>
  </conditionalFormatting>
  <conditionalFormatting sqref="AA57:AA59">
    <cfRule type="expression" dxfId="351" priority="456">
      <formula>AA57=0</formula>
    </cfRule>
  </conditionalFormatting>
  <conditionalFormatting sqref="AA60:AA62">
    <cfRule type="expression" dxfId="350" priority="455">
      <formula>AA60=0</formula>
    </cfRule>
  </conditionalFormatting>
  <conditionalFormatting sqref="AA63:AA65">
    <cfRule type="expression" dxfId="349" priority="454">
      <formula>AA63=0</formula>
    </cfRule>
  </conditionalFormatting>
  <conditionalFormatting sqref="AA66:AA68">
    <cfRule type="expression" dxfId="348" priority="453">
      <formula>AA66=0</formula>
    </cfRule>
  </conditionalFormatting>
  <conditionalFormatting sqref="AA69:AA71">
    <cfRule type="expression" dxfId="347" priority="452">
      <formula>AA69=0</formula>
    </cfRule>
  </conditionalFormatting>
  <conditionalFormatting sqref="AA72:AA74">
    <cfRule type="expression" dxfId="346" priority="451">
      <formula>AA72=0</formula>
    </cfRule>
  </conditionalFormatting>
  <conditionalFormatting sqref="AA75:AA77">
    <cfRule type="expression" dxfId="345" priority="450">
      <formula>AA75=0</formula>
    </cfRule>
  </conditionalFormatting>
  <conditionalFormatting sqref="AA78:AA80">
    <cfRule type="expression" dxfId="344" priority="449">
      <formula>AA78=0</formula>
    </cfRule>
  </conditionalFormatting>
  <conditionalFormatting sqref="AA81:AA83">
    <cfRule type="expression" dxfId="343" priority="448">
      <formula>AA81=0</formula>
    </cfRule>
  </conditionalFormatting>
  <conditionalFormatting sqref="AA84:AA86">
    <cfRule type="expression" dxfId="342" priority="447">
      <formula>AA84=0</formula>
    </cfRule>
  </conditionalFormatting>
  <conditionalFormatting sqref="AA87:AA89">
    <cfRule type="expression" dxfId="341" priority="446">
      <formula>AA87=0</formula>
    </cfRule>
  </conditionalFormatting>
  <conditionalFormatting sqref="AA90:AA92">
    <cfRule type="expression" dxfId="340" priority="445">
      <formula>AA90=0</formula>
    </cfRule>
  </conditionalFormatting>
  <conditionalFormatting sqref="AA93:AA95">
    <cfRule type="expression" dxfId="339" priority="444">
      <formula>AA93=0</formula>
    </cfRule>
  </conditionalFormatting>
  <conditionalFormatting sqref="AA96:AA98">
    <cfRule type="expression" dxfId="338" priority="443">
      <formula>AA96=0</formula>
    </cfRule>
  </conditionalFormatting>
  <conditionalFormatting sqref="AA99:AA101">
    <cfRule type="expression" dxfId="337" priority="442">
      <formula>AA99=0</formula>
    </cfRule>
  </conditionalFormatting>
  <conditionalFormatting sqref="AA102:AA104">
    <cfRule type="expression" dxfId="336" priority="441">
      <formula>AA102=0</formula>
    </cfRule>
  </conditionalFormatting>
  <conditionalFormatting sqref="AA105:AA107">
    <cfRule type="expression" dxfId="335" priority="440">
      <formula>AA105=0</formula>
    </cfRule>
  </conditionalFormatting>
  <conditionalFormatting sqref="AA108:AA110">
    <cfRule type="expression" dxfId="334" priority="439">
      <formula>AA108=0</formula>
    </cfRule>
  </conditionalFormatting>
  <conditionalFormatting sqref="AA111:AA113">
    <cfRule type="expression" dxfId="333" priority="438">
      <formula>AA111=0</formula>
    </cfRule>
  </conditionalFormatting>
  <conditionalFormatting sqref="AA114:AA116">
    <cfRule type="expression" dxfId="332" priority="437">
      <formula>AA114=0</formula>
    </cfRule>
  </conditionalFormatting>
  <conditionalFormatting sqref="AA117:AA119">
    <cfRule type="expression" dxfId="331" priority="436">
      <formula>AA117=0</formula>
    </cfRule>
  </conditionalFormatting>
  <conditionalFormatting sqref="AA120:AA122">
    <cfRule type="expression" dxfId="330" priority="435">
      <formula>AA120=0</formula>
    </cfRule>
  </conditionalFormatting>
  <conditionalFormatting sqref="AA123:AA125">
    <cfRule type="expression" dxfId="329" priority="434">
      <formula>AA123=0</formula>
    </cfRule>
  </conditionalFormatting>
  <conditionalFormatting sqref="AA126:AA128">
    <cfRule type="expression" dxfId="328" priority="433">
      <formula>AA126=0</formula>
    </cfRule>
  </conditionalFormatting>
  <conditionalFormatting sqref="AA129:AA131">
    <cfRule type="expression" dxfId="327" priority="432">
      <formula>AA129=0</formula>
    </cfRule>
  </conditionalFormatting>
  <conditionalFormatting sqref="AA132:AA134">
    <cfRule type="expression" dxfId="326" priority="431">
      <formula>AA132=0</formula>
    </cfRule>
  </conditionalFormatting>
  <conditionalFormatting sqref="AA135:AA137">
    <cfRule type="expression" dxfId="325" priority="430">
      <formula>AA135=0</formula>
    </cfRule>
  </conditionalFormatting>
  <conditionalFormatting sqref="AA138:AA140">
    <cfRule type="expression" dxfId="324" priority="429">
      <formula>AA138=0</formula>
    </cfRule>
  </conditionalFormatting>
  <conditionalFormatting sqref="AA141:AA143">
    <cfRule type="expression" dxfId="323" priority="428">
      <formula>AA141=0</formula>
    </cfRule>
  </conditionalFormatting>
  <conditionalFormatting sqref="AA144:AA146">
    <cfRule type="expression" dxfId="322" priority="427">
      <formula>AA144=0</formula>
    </cfRule>
  </conditionalFormatting>
  <conditionalFormatting sqref="AA147:AA149">
    <cfRule type="expression" dxfId="321" priority="426">
      <formula>AA147=0</formula>
    </cfRule>
  </conditionalFormatting>
  <conditionalFormatting sqref="AA150:AA152">
    <cfRule type="expression" dxfId="320" priority="425">
      <formula>AA150=0</formula>
    </cfRule>
  </conditionalFormatting>
  <conditionalFormatting sqref="AA153:AA155">
    <cfRule type="expression" dxfId="319" priority="424">
      <formula>AA153=0</formula>
    </cfRule>
  </conditionalFormatting>
  <conditionalFormatting sqref="AA156:AA158">
    <cfRule type="expression" dxfId="318" priority="423">
      <formula>AA156=0</formula>
    </cfRule>
  </conditionalFormatting>
  <conditionalFormatting sqref="AA159:AA161">
    <cfRule type="expression" dxfId="317" priority="422">
      <formula>AA159=0</formula>
    </cfRule>
  </conditionalFormatting>
  <conditionalFormatting sqref="AA162:AA164">
    <cfRule type="expression" dxfId="316" priority="421">
      <formula>AA162=0</formula>
    </cfRule>
  </conditionalFormatting>
  <conditionalFormatting sqref="AA165:AA167">
    <cfRule type="expression" dxfId="315" priority="420">
      <formula>AA165=0</formula>
    </cfRule>
  </conditionalFormatting>
  <conditionalFormatting sqref="AA168:AA170">
    <cfRule type="expression" dxfId="314" priority="419">
      <formula>AA168=0</formula>
    </cfRule>
  </conditionalFormatting>
  <conditionalFormatting sqref="AA171:AA173">
    <cfRule type="expression" dxfId="313" priority="418">
      <formula>AA171=0</formula>
    </cfRule>
  </conditionalFormatting>
  <conditionalFormatting sqref="AA174:AA176">
    <cfRule type="expression" dxfId="312" priority="417">
      <formula>AA174=0</formula>
    </cfRule>
  </conditionalFormatting>
  <conditionalFormatting sqref="AA177:AA179">
    <cfRule type="expression" dxfId="311" priority="416">
      <formula>AA177=0</formula>
    </cfRule>
  </conditionalFormatting>
  <conditionalFormatting sqref="AA180:AA182">
    <cfRule type="expression" dxfId="310" priority="415">
      <formula>AA180=0</formula>
    </cfRule>
  </conditionalFormatting>
  <conditionalFormatting sqref="AB186:AB188">
    <cfRule type="expression" dxfId="309" priority="349">
      <formula>AB186=0</formula>
    </cfRule>
  </conditionalFormatting>
  <conditionalFormatting sqref="AA183:AA185">
    <cfRule type="expression" dxfId="308" priority="413">
      <formula>AA183=0</formula>
    </cfRule>
  </conditionalFormatting>
  <conditionalFormatting sqref="AA186:AA188">
    <cfRule type="expression" dxfId="307" priority="411">
      <formula>AA186=0</formula>
    </cfRule>
  </conditionalFormatting>
  <conditionalFormatting sqref="AB9:AB11">
    <cfRule type="expression" dxfId="306" priority="410">
      <formula>AB9=0</formula>
    </cfRule>
  </conditionalFormatting>
  <conditionalFormatting sqref="AB12:AB14">
    <cfRule type="expression" dxfId="305" priority="409">
      <formula>AB12=0</formula>
    </cfRule>
  </conditionalFormatting>
  <conditionalFormatting sqref="AB15:AB17">
    <cfRule type="expression" dxfId="304" priority="408">
      <formula>AB15=0</formula>
    </cfRule>
  </conditionalFormatting>
  <conditionalFormatting sqref="AB18:AB20">
    <cfRule type="expression" dxfId="303" priority="407">
      <formula>AB18=0</formula>
    </cfRule>
  </conditionalFormatting>
  <conditionalFormatting sqref="AB21:AB23">
    <cfRule type="expression" dxfId="302" priority="406">
      <formula>AB21=0</formula>
    </cfRule>
  </conditionalFormatting>
  <conditionalFormatting sqref="AB24:AB26">
    <cfRule type="expression" dxfId="301" priority="405">
      <formula>AB24=0</formula>
    </cfRule>
  </conditionalFormatting>
  <conditionalFormatting sqref="AB27:AB29">
    <cfRule type="expression" dxfId="300" priority="404">
      <formula>AB27=0</formula>
    </cfRule>
  </conditionalFormatting>
  <conditionalFormatting sqref="AB30:AB32">
    <cfRule type="expression" dxfId="299" priority="403">
      <formula>AB30=0</formula>
    </cfRule>
  </conditionalFormatting>
  <conditionalFormatting sqref="AB33:AB35">
    <cfRule type="expression" dxfId="298" priority="402">
      <formula>AB33=0</formula>
    </cfRule>
  </conditionalFormatting>
  <conditionalFormatting sqref="AB36:AB38">
    <cfRule type="expression" dxfId="297" priority="401">
      <formula>AB36=0</formula>
    </cfRule>
  </conditionalFormatting>
  <conditionalFormatting sqref="AB39:AB41">
    <cfRule type="expression" dxfId="296" priority="400">
      <formula>AB39=0</formula>
    </cfRule>
  </conditionalFormatting>
  <conditionalFormatting sqref="AB42:AB44">
    <cfRule type="expression" dxfId="295" priority="399">
      <formula>AB42=0</formula>
    </cfRule>
  </conditionalFormatting>
  <conditionalFormatting sqref="AB45:AB47">
    <cfRule type="expression" dxfId="294" priority="398">
      <formula>AB45=0</formula>
    </cfRule>
  </conditionalFormatting>
  <conditionalFormatting sqref="AB48:AB50">
    <cfRule type="expression" dxfId="293" priority="397">
      <formula>AB48=0</formula>
    </cfRule>
  </conditionalFormatting>
  <conditionalFormatting sqref="AB51:AB53">
    <cfRule type="expression" dxfId="292" priority="396">
      <formula>AB51=0</formula>
    </cfRule>
  </conditionalFormatting>
  <conditionalFormatting sqref="AB54:AB56">
    <cfRule type="expression" dxfId="291" priority="395">
      <formula>AB54=0</formula>
    </cfRule>
  </conditionalFormatting>
  <conditionalFormatting sqref="AB57:AB59">
    <cfRule type="expression" dxfId="290" priority="394">
      <formula>AB57=0</formula>
    </cfRule>
  </conditionalFormatting>
  <conditionalFormatting sqref="AB60:AB62">
    <cfRule type="expression" dxfId="289" priority="393">
      <formula>AB60=0</formula>
    </cfRule>
  </conditionalFormatting>
  <conditionalFormatting sqref="AB63:AB65">
    <cfRule type="expression" dxfId="288" priority="392">
      <formula>AB63=0</formula>
    </cfRule>
  </conditionalFormatting>
  <conditionalFormatting sqref="AB66:AB68">
    <cfRule type="expression" dxfId="287" priority="391">
      <formula>AB66=0</formula>
    </cfRule>
  </conditionalFormatting>
  <conditionalFormatting sqref="AB69:AB71">
    <cfRule type="expression" dxfId="286" priority="390">
      <formula>AB69=0</formula>
    </cfRule>
  </conditionalFormatting>
  <conditionalFormatting sqref="AB72:AB74">
    <cfRule type="expression" dxfId="285" priority="389">
      <formula>AB72=0</formula>
    </cfRule>
  </conditionalFormatting>
  <conditionalFormatting sqref="AB75:AB77">
    <cfRule type="expression" dxfId="284" priority="388">
      <formula>AB75=0</formula>
    </cfRule>
  </conditionalFormatting>
  <conditionalFormatting sqref="AB78:AB80">
    <cfRule type="expression" dxfId="283" priority="387">
      <formula>AB78=0</formula>
    </cfRule>
  </conditionalFormatting>
  <conditionalFormatting sqref="AB81:AB83">
    <cfRule type="expression" dxfId="282" priority="386">
      <formula>AB81=0</formula>
    </cfRule>
  </conditionalFormatting>
  <conditionalFormatting sqref="AB84:AB86">
    <cfRule type="expression" dxfId="281" priority="385">
      <formula>AB84=0</formula>
    </cfRule>
  </conditionalFormatting>
  <conditionalFormatting sqref="AB87:AB89">
    <cfRule type="expression" dxfId="280" priority="384">
      <formula>AB87=0</formula>
    </cfRule>
  </conditionalFormatting>
  <conditionalFormatting sqref="AB90:AB92">
    <cfRule type="expression" dxfId="279" priority="383">
      <formula>AB90=0</formula>
    </cfRule>
  </conditionalFormatting>
  <conditionalFormatting sqref="AB93:AB95">
    <cfRule type="expression" dxfId="278" priority="382">
      <formula>AB93=0</formula>
    </cfRule>
  </conditionalFormatting>
  <conditionalFormatting sqref="AB96:AB98">
    <cfRule type="expression" dxfId="277" priority="381">
      <formula>AB96=0</formula>
    </cfRule>
  </conditionalFormatting>
  <conditionalFormatting sqref="AB99:AB101">
    <cfRule type="expression" dxfId="276" priority="380">
      <formula>AB99=0</formula>
    </cfRule>
  </conditionalFormatting>
  <conditionalFormatting sqref="AB102:AB104">
    <cfRule type="expression" dxfId="275" priority="379">
      <formula>AB102=0</formula>
    </cfRule>
  </conditionalFormatting>
  <conditionalFormatting sqref="AB105:AB107">
    <cfRule type="expression" dxfId="274" priority="378">
      <formula>AB105=0</formula>
    </cfRule>
  </conditionalFormatting>
  <conditionalFormatting sqref="AB108:AB110">
    <cfRule type="expression" dxfId="273" priority="377">
      <formula>AB108=0</formula>
    </cfRule>
  </conditionalFormatting>
  <conditionalFormatting sqref="AB111:AB113">
    <cfRule type="expression" dxfId="272" priority="376">
      <formula>AB111=0</formula>
    </cfRule>
  </conditionalFormatting>
  <conditionalFormatting sqref="AB114:AB116">
    <cfRule type="expression" dxfId="271" priority="375">
      <formula>AB114=0</formula>
    </cfRule>
  </conditionalFormatting>
  <conditionalFormatting sqref="AB117:AB119">
    <cfRule type="expression" dxfId="270" priority="374">
      <formula>AB117=0</formula>
    </cfRule>
  </conditionalFormatting>
  <conditionalFormatting sqref="AB120:AB122">
    <cfRule type="expression" dxfId="269" priority="373">
      <formula>AB120=0</formula>
    </cfRule>
  </conditionalFormatting>
  <conditionalFormatting sqref="AB123:AB125">
    <cfRule type="expression" dxfId="268" priority="372">
      <formula>AB123=0</formula>
    </cfRule>
  </conditionalFormatting>
  <conditionalFormatting sqref="AB126:AB128">
    <cfRule type="expression" dxfId="267" priority="371">
      <formula>AB126=0</formula>
    </cfRule>
  </conditionalFormatting>
  <conditionalFormatting sqref="AB129:AB131">
    <cfRule type="expression" dxfId="266" priority="370">
      <formula>AB129=0</formula>
    </cfRule>
  </conditionalFormatting>
  <conditionalFormatting sqref="AB132:AB134">
    <cfRule type="expression" dxfId="265" priority="369">
      <formula>AB132=0</formula>
    </cfRule>
  </conditionalFormatting>
  <conditionalFormatting sqref="AB135:AB137">
    <cfRule type="expression" dxfId="264" priority="368">
      <formula>AB135=0</formula>
    </cfRule>
  </conditionalFormatting>
  <conditionalFormatting sqref="AB138:AB140">
    <cfRule type="expression" dxfId="263" priority="367">
      <formula>AB138=0</formula>
    </cfRule>
  </conditionalFormatting>
  <conditionalFormatting sqref="AB141:AB143">
    <cfRule type="expression" dxfId="262" priority="366">
      <formula>AB141=0</formula>
    </cfRule>
  </conditionalFormatting>
  <conditionalFormatting sqref="AB144:AB146">
    <cfRule type="expression" dxfId="261" priority="365">
      <formula>AB144=0</formula>
    </cfRule>
  </conditionalFormatting>
  <conditionalFormatting sqref="AB147:AB149">
    <cfRule type="expression" dxfId="260" priority="364">
      <formula>AB147=0</formula>
    </cfRule>
  </conditionalFormatting>
  <conditionalFormatting sqref="AB150:AB152">
    <cfRule type="expression" dxfId="259" priority="363">
      <formula>AB150=0</formula>
    </cfRule>
  </conditionalFormatting>
  <conditionalFormatting sqref="AB153:AB155">
    <cfRule type="expression" dxfId="258" priority="362">
      <formula>AB153=0</formula>
    </cfRule>
  </conditionalFormatting>
  <conditionalFormatting sqref="AB156:AB158">
    <cfRule type="expression" dxfId="257" priority="361">
      <formula>AB156=0</formula>
    </cfRule>
  </conditionalFormatting>
  <conditionalFormatting sqref="AB159:AB161">
    <cfRule type="expression" dxfId="256" priority="360">
      <formula>AB159=0</formula>
    </cfRule>
  </conditionalFormatting>
  <conditionalFormatting sqref="AB162:AB164">
    <cfRule type="expression" dxfId="255" priority="359">
      <formula>AB162=0</formula>
    </cfRule>
  </conditionalFormatting>
  <conditionalFormatting sqref="AB165:AB167">
    <cfRule type="expression" dxfId="254" priority="358">
      <formula>AB165=0</formula>
    </cfRule>
  </conditionalFormatting>
  <conditionalFormatting sqref="AB168:AB170">
    <cfRule type="expression" dxfId="253" priority="357">
      <formula>AB168=0</formula>
    </cfRule>
  </conditionalFormatting>
  <conditionalFormatting sqref="AB171:AB173">
    <cfRule type="expression" dxfId="252" priority="356">
      <formula>AB171=0</formula>
    </cfRule>
  </conditionalFormatting>
  <conditionalFormatting sqref="AB174:AB176">
    <cfRule type="expression" dxfId="251" priority="355">
      <formula>AB174=0</formula>
    </cfRule>
  </conditionalFormatting>
  <conditionalFormatting sqref="AB183:AB185">
    <cfRule type="expression" dxfId="250" priority="350">
      <formula>AB183=0</formula>
    </cfRule>
  </conditionalFormatting>
  <conditionalFormatting sqref="AB177:AB179">
    <cfRule type="expression" dxfId="249" priority="352">
      <formula>AB177=0</formula>
    </cfRule>
  </conditionalFormatting>
  <conditionalFormatting sqref="AB180:AB182">
    <cfRule type="expression" dxfId="248" priority="351">
      <formula>AB180=0</formula>
    </cfRule>
  </conditionalFormatting>
  <conditionalFormatting sqref="AC6:AC8">
    <cfRule type="expression" dxfId="247" priority="284">
      <formula>AC6=0</formula>
    </cfRule>
  </conditionalFormatting>
  <conditionalFormatting sqref="AC9:AC188">
    <cfRule type="expression" dxfId="246" priority="280">
      <formula>AC9=0</formula>
    </cfRule>
  </conditionalFormatting>
  <conditionalFormatting sqref="X6:X8">
    <cfRule type="expression" dxfId="245" priority="278">
      <formula>X6=0</formula>
    </cfRule>
  </conditionalFormatting>
  <conditionalFormatting sqref="X9:X188">
    <cfRule type="expression" dxfId="244" priority="277">
      <formula>X9=0</formula>
    </cfRule>
  </conditionalFormatting>
  <conditionalFormatting sqref="U6:U8">
    <cfRule type="expression" dxfId="243" priority="275">
      <formula>X6=-1</formula>
    </cfRule>
    <cfRule type="expression" dxfId="242" priority="276">
      <formula>X6=1</formula>
    </cfRule>
  </conditionalFormatting>
  <conditionalFormatting sqref="U9:U11">
    <cfRule type="expression" dxfId="241" priority="273">
      <formula>X9=-1</formula>
    </cfRule>
    <cfRule type="expression" dxfId="240" priority="274">
      <formula>X9=1</formula>
    </cfRule>
  </conditionalFormatting>
  <conditionalFormatting sqref="U12:U14">
    <cfRule type="expression" dxfId="239" priority="271">
      <formula>X12=-1</formula>
    </cfRule>
    <cfRule type="expression" dxfId="238" priority="272">
      <formula>X12=1</formula>
    </cfRule>
  </conditionalFormatting>
  <conditionalFormatting sqref="U15:U17">
    <cfRule type="expression" dxfId="237" priority="269">
      <formula>X15=-1</formula>
    </cfRule>
    <cfRule type="expression" dxfId="236" priority="270">
      <formula>X15=1</formula>
    </cfRule>
  </conditionalFormatting>
  <conditionalFormatting sqref="U18:U20">
    <cfRule type="expression" dxfId="235" priority="267">
      <formula>X18=-1</formula>
    </cfRule>
    <cfRule type="expression" dxfId="234" priority="268">
      <formula>X18=1</formula>
    </cfRule>
  </conditionalFormatting>
  <conditionalFormatting sqref="U21:U23">
    <cfRule type="expression" dxfId="233" priority="253">
      <formula>X21=-1</formula>
    </cfRule>
    <cfRule type="expression" dxfId="232" priority="254">
      <formula>X21=1</formula>
    </cfRule>
  </conditionalFormatting>
  <conditionalFormatting sqref="U24:U26">
    <cfRule type="expression" dxfId="231" priority="251">
      <formula>X24=-1</formula>
    </cfRule>
    <cfRule type="expression" dxfId="230" priority="252">
      <formula>X24=1</formula>
    </cfRule>
  </conditionalFormatting>
  <conditionalFormatting sqref="U27:U29">
    <cfRule type="expression" dxfId="229" priority="249">
      <formula>X27=-1</formula>
    </cfRule>
    <cfRule type="expression" dxfId="228" priority="250">
      <formula>X27=1</formula>
    </cfRule>
  </conditionalFormatting>
  <conditionalFormatting sqref="U30:U32">
    <cfRule type="expression" dxfId="227" priority="247">
      <formula>X30=-1</formula>
    </cfRule>
    <cfRule type="expression" dxfId="226" priority="248">
      <formula>X30=1</formula>
    </cfRule>
  </conditionalFormatting>
  <conditionalFormatting sqref="U33:U35">
    <cfRule type="expression" dxfId="225" priority="245">
      <formula>X33=-1</formula>
    </cfRule>
    <cfRule type="expression" dxfId="224" priority="246">
      <formula>X33=1</formula>
    </cfRule>
  </conditionalFormatting>
  <conditionalFormatting sqref="U36:U38">
    <cfRule type="expression" dxfId="223" priority="243">
      <formula>X36=-1</formula>
    </cfRule>
    <cfRule type="expression" dxfId="222" priority="244">
      <formula>X36=1</formula>
    </cfRule>
  </conditionalFormatting>
  <conditionalFormatting sqref="U39:U41">
    <cfRule type="expression" dxfId="221" priority="241">
      <formula>X39=-1</formula>
    </cfRule>
    <cfRule type="expression" dxfId="220" priority="242">
      <formula>X39=1</formula>
    </cfRule>
  </conditionalFormatting>
  <conditionalFormatting sqref="U42:U44">
    <cfRule type="expression" dxfId="219" priority="239">
      <formula>X42=-1</formula>
    </cfRule>
    <cfRule type="expression" dxfId="218" priority="240">
      <formula>X42=1</formula>
    </cfRule>
  </conditionalFormatting>
  <conditionalFormatting sqref="U45:U47">
    <cfRule type="expression" dxfId="217" priority="237">
      <formula>X45=-1</formula>
    </cfRule>
    <cfRule type="expression" dxfId="216" priority="238">
      <formula>X45=1</formula>
    </cfRule>
  </conditionalFormatting>
  <conditionalFormatting sqref="U48:U50">
    <cfRule type="expression" dxfId="215" priority="235">
      <formula>X48=-1</formula>
    </cfRule>
    <cfRule type="expression" dxfId="214" priority="236">
      <formula>X48=1</formula>
    </cfRule>
  </conditionalFormatting>
  <conditionalFormatting sqref="U51:U53">
    <cfRule type="expression" dxfId="213" priority="233">
      <formula>X51=-1</formula>
    </cfRule>
    <cfRule type="expression" dxfId="212" priority="234">
      <formula>X51=1</formula>
    </cfRule>
  </conditionalFormatting>
  <conditionalFormatting sqref="U54:U56">
    <cfRule type="expression" dxfId="211" priority="231">
      <formula>X54=-1</formula>
    </cfRule>
    <cfRule type="expression" dxfId="210" priority="232">
      <formula>X54=1</formula>
    </cfRule>
  </conditionalFormatting>
  <conditionalFormatting sqref="U57:U59">
    <cfRule type="expression" dxfId="209" priority="229">
      <formula>X57=-1</formula>
    </cfRule>
    <cfRule type="expression" dxfId="208" priority="230">
      <formula>X57=1</formula>
    </cfRule>
  </conditionalFormatting>
  <conditionalFormatting sqref="U60:U62">
    <cfRule type="expression" dxfId="207" priority="227">
      <formula>X60=-1</formula>
    </cfRule>
    <cfRule type="expression" dxfId="206" priority="228">
      <formula>X60=1</formula>
    </cfRule>
  </conditionalFormatting>
  <conditionalFormatting sqref="U63:U65">
    <cfRule type="expression" dxfId="205" priority="225">
      <formula>X63=-1</formula>
    </cfRule>
    <cfRule type="expression" dxfId="204" priority="226">
      <formula>X63=1</formula>
    </cfRule>
  </conditionalFormatting>
  <conditionalFormatting sqref="U66:U68">
    <cfRule type="expression" dxfId="203" priority="223">
      <formula>X66=-1</formula>
    </cfRule>
    <cfRule type="expression" dxfId="202" priority="224">
      <formula>X66=1</formula>
    </cfRule>
  </conditionalFormatting>
  <conditionalFormatting sqref="U69:U71">
    <cfRule type="expression" dxfId="201" priority="221">
      <formula>X69=-1</formula>
    </cfRule>
    <cfRule type="expression" dxfId="200" priority="222">
      <formula>X69=1</formula>
    </cfRule>
  </conditionalFormatting>
  <conditionalFormatting sqref="U72:U74">
    <cfRule type="expression" dxfId="199" priority="219">
      <formula>X72=-1</formula>
    </cfRule>
    <cfRule type="expression" dxfId="198" priority="220">
      <formula>X72=1</formula>
    </cfRule>
  </conditionalFormatting>
  <conditionalFormatting sqref="U75:U77">
    <cfRule type="expression" dxfId="197" priority="217">
      <formula>X75=-1</formula>
    </cfRule>
    <cfRule type="expression" dxfId="196" priority="218">
      <formula>X75=1</formula>
    </cfRule>
  </conditionalFormatting>
  <conditionalFormatting sqref="U78:U80">
    <cfRule type="expression" dxfId="195" priority="215">
      <formula>X78=-1</formula>
    </cfRule>
    <cfRule type="expression" dxfId="194" priority="216">
      <formula>X78=1</formula>
    </cfRule>
  </conditionalFormatting>
  <conditionalFormatting sqref="U81:U83">
    <cfRule type="expression" dxfId="193" priority="213">
      <formula>X81=-1</formula>
    </cfRule>
    <cfRule type="expression" dxfId="192" priority="214">
      <formula>X81=1</formula>
    </cfRule>
  </conditionalFormatting>
  <conditionalFormatting sqref="U84:U86">
    <cfRule type="expression" dxfId="191" priority="211">
      <formula>X84=-1</formula>
    </cfRule>
    <cfRule type="expression" dxfId="190" priority="212">
      <formula>X84=1</formula>
    </cfRule>
  </conditionalFormatting>
  <conditionalFormatting sqref="U87:U89">
    <cfRule type="expression" dxfId="189" priority="209">
      <formula>X87=-1</formula>
    </cfRule>
    <cfRule type="expression" dxfId="188" priority="210">
      <formula>X87=1</formula>
    </cfRule>
  </conditionalFormatting>
  <conditionalFormatting sqref="U90:U92">
    <cfRule type="expression" dxfId="187" priority="207">
      <formula>X90=-1</formula>
    </cfRule>
    <cfRule type="expression" dxfId="186" priority="208">
      <formula>X90=1</formula>
    </cfRule>
  </conditionalFormatting>
  <conditionalFormatting sqref="U93:U95">
    <cfRule type="expression" dxfId="185" priority="205">
      <formula>X93=-1</formula>
    </cfRule>
    <cfRule type="expression" dxfId="184" priority="206">
      <formula>X93=1</formula>
    </cfRule>
  </conditionalFormatting>
  <conditionalFormatting sqref="U96:U98">
    <cfRule type="expression" dxfId="183" priority="203">
      <formula>X96=-1</formula>
    </cfRule>
    <cfRule type="expression" dxfId="182" priority="204">
      <formula>X96=1</formula>
    </cfRule>
  </conditionalFormatting>
  <conditionalFormatting sqref="U99:U101">
    <cfRule type="expression" dxfId="181" priority="201">
      <formula>X99=-1</formula>
    </cfRule>
    <cfRule type="expression" dxfId="180" priority="202">
      <formula>X99=1</formula>
    </cfRule>
  </conditionalFormatting>
  <conditionalFormatting sqref="U102:U104">
    <cfRule type="expression" dxfId="179" priority="199">
      <formula>X102=-1</formula>
    </cfRule>
    <cfRule type="expression" dxfId="178" priority="200">
      <formula>X102=1</formula>
    </cfRule>
  </conditionalFormatting>
  <conditionalFormatting sqref="U105:U107">
    <cfRule type="expression" dxfId="177" priority="197">
      <formula>X105=-1</formula>
    </cfRule>
    <cfRule type="expression" dxfId="176" priority="198">
      <formula>X105=1</formula>
    </cfRule>
  </conditionalFormatting>
  <conditionalFormatting sqref="U108:U110">
    <cfRule type="expression" dxfId="175" priority="193">
      <formula>X108=-1</formula>
    </cfRule>
    <cfRule type="expression" dxfId="174" priority="194">
      <formula>X108=1</formula>
    </cfRule>
  </conditionalFormatting>
  <conditionalFormatting sqref="U111:U113">
    <cfRule type="expression" dxfId="173" priority="191">
      <formula>X111=-1</formula>
    </cfRule>
    <cfRule type="expression" dxfId="172" priority="192">
      <formula>X111=1</formula>
    </cfRule>
  </conditionalFormatting>
  <conditionalFormatting sqref="U114:U116">
    <cfRule type="expression" dxfId="171" priority="189">
      <formula>X114=-1</formula>
    </cfRule>
    <cfRule type="expression" dxfId="170" priority="190">
      <formula>X114=1</formula>
    </cfRule>
  </conditionalFormatting>
  <conditionalFormatting sqref="U117:U119">
    <cfRule type="expression" dxfId="169" priority="187">
      <formula>X117=-1</formula>
    </cfRule>
    <cfRule type="expression" dxfId="168" priority="188">
      <formula>X117=1</formula>
    </cfRule>
  </conditionalFormatting>
  <conditionalFormatting sqref="U120:U122">
    <cfRule type="expression" dxfId="167" priority="185">
      <formula>X120=-1</formula>
    </cfRule>
    <cfRule type="expression" dxfId="166" priority="186">
      <formula>X120=1</formula>
    </cfRule>
  </conditionalFormatting>
  <conditionalFormatting sqref="U123:U125">
    <cfRule type="expression" dxfId="165" priority="183">
      <formula>X123=-1</formula>
    </cfRule>
    <cfRule type="expression" dxfId="164" priority="184">
      <formula>X123=1</formula>
    </cfRule>
  </conditionalFormatting>
  <conditionalFormatting sqref="U126:U128">
    <cfRule type="expression" dxfId="163" priority="181">
      <formula>X126=-1</formula>
    </cfRule>
    <cfRule type="expression" dxfId="162" priority="182">
      <formula>X126=1</formula>
    </cfRule>
  </conditionalFormatting>
  <conditionalFormatting sqref="U129:U131">
    <cfRule type="expression" dxfId="161" priority="179">
      <formula>X129=-1</formula>
    </cfRule>
    <cfRule type="expression" dxfId="160" priority="180">
      <formula>X129=1</formula>
    </cfRule>
  </conditionalFormatting>
  <conditionalFormatting sqref="U132:U134">
    <cfRule type="expression" dxfId="159" priority="177">
      <formula>X132=-1</formula>
    </cfRule>
    <cfRule type="expression" dxfId="158" priority="178">
      <formula>X132=1</formula>
    </cfRule>
  </conditionalFormatting>
  <conditionalFormatting sqref="U135:U137">
    <cfRule type="expression" dxfId="157" priority="175">
      <formula>X135=-1</formula>
    </cfRule>
    <cfRule type="expression" dxfId="156" priority="176">
      <formula>X135=1</formula>
    </cfRule>
  </conditionalFormatting>
  <conditionalFormatting sqref="U138:U140">
    <cfRule type="expression" dxfId="155" priority="173">
      <formula>X138=-1</formula>
    </cfRule>
    <cfRule type="expression" dxfId="154" priority="174">
      <formula>X138=1</formula>
    </cfRule>
  </conditionalFormatting>
  <conditionalFormatting sqref="U141:U143">
    <cfRule type="expression" dxfId="153" priority="171">
      <formula>X141=-1</formula>
    </cfRule>
    <cfRule type="expression" dxfId="152" priority="172">
      <formula>X141=1</formula>
    </cfRule>
  </conditionalFormatting>
  <conditionalFormatting sqref="U144:U146">
    <cfRule type="expression" dxfId="151" priority="159">
      <formula>X144=-1</formula>
    </cfRule>
    <cfRule type="expression" dxfId="150" priority="160">
      <formula>X144=1</formula>
    </cfRule>
  </conditionalFormatting>
  <conditionalFormatting sqref="U147:U149">
    <cfRule type="expression" dxfId="149" priority="157">
      <formula>X147=-1</formula>
    </cfRule>
    <cfRule type="expression" dxfId="148" priority="158">
      <formula>X147=1</formula>
    </cfRule>
  </conditionalFormatting>
  <conditionalFormatting sqref="U150:U152">
    <cfRule type="expression" dxfId="147" priority="155">
      <formula>X150=-1</formula>
    </cfRule>
    <cfRule type="expression" dxfId="146" priority="156">
      <formula>X150=1</formula>
    </cfRule>
  </conditionalFormatting>
  <conditionalFormatting sqref="U153:U155">
    <cfRule type="expression" dxfId="145" priority="145">
      <formula>X153=-1</formula>
    </cfRule>
    <cfRule type="expression" dxfId="144" priority="146">
      <formula>X153=1</formula>
    </cfRule>
  </conditionalFormatting>
  <conditionalFormatting sqref="U156:U158">
    <cfRule type="expression" dxfId="143" priority="143">
      <formula>X156=-1</formula>
    </cfRule>
    <cfRule type="expression" dxfId="142" priority="144">
      <formula>X156=1</formula>
    </cfRule>
  </conditionalFormatting>
  <conditionalFormatting sqref="U159:U161">
    <cfRule type="expression" dxfId="141" priority="141">
      <formula>X159=-1</formula>
    </cfRule>
    <cfRule type="expression" dxfId="140" priority="142">
      <formula>X159=1</formula>
    </cfRule>
  </conditionalFormatting>
  <conditionalFormatting sqref="U162:U164">
    <cfRule type="expression" dxfId="139" priority="139">
      <formula>X162=-1</formula>
    </cfRule>
    <cfRule type="expression" dxfId="138" priority="140">
      <formula>X162=1</formula>
    </cfRule>
  </conditionalFormatting>
  <conditionalFormatting sqref="U165:U167">
    <cfRule type="expression" dxfId="137" priority="137">
      <formula>X165=-1</formula>
    </cfRule>
    <cfRule type="expression" dxfId="136" priority="138">
      <formula>X165=1</formula>
    </cfRule>
  </conditionalFormatting>
  <conditionalFormatting sqref="U168:U170">
    <cfRule type="expression" dxfId="135" priority="135">
      <formula>X168=-1</formula>
    </cfRule>
    <cfRule type="expression" dxfId="134" priority="136">
      <formula>X168=1</formula>
    </cfRule>
  </conditionalFormatting>
  <conditionalFormatting sqref="U171:U173">
    <cfRule type="expression" dxfId="133" priority="133">
      <formula>X171=-1</formula>
    </cfRule>
    <cfRule type="expression" dxfId="132" priority="134">
      <formula>X171=1</formula>
    </cfRule>
  </conditionalFormatting>
  <conditionalFormatting sqref="U174:U176">
    <cfRule type="expression" dxfId="131" priority="131">
      <formula>X174=-1</formula>
    </cfRule>
    <cfRule type="expression" dxfId="130" priority="132">
      <formula>X174=1</formula>
    </cfRule>
  </conditionalFormatting>
  <conditionalFormatting sqref="U177:U179">
    <cfRule type="expression" dxfId="129" priority="129">
      <formula>X177=-1</formula>
    </cfRule>
    <cfRule type="expression" dxfId="128" priority="130">
      <formula>X177=1</formula>
    </cfRule>
  </conditionalFormatting>
  <conditionalFormatting sqref="U180:U182">
    <cfRule type="expression" dxfId="127" priority="127">
      <formula>X180=-1</formula>
    </cfRule>
    <cfRule type="expression" dxfId="126" priority="128">
      <formula>X180=1</formula>
    </cfRule>
  </conditionalFormatting>
  <conditionalFormatting sqref="U183:U185">
    <cfRule type="expression" dxfId="125" priority="125">
      <formula>X183=-1</formula>
    </cfRule>
    <cfRule type="expression" dxfId="124" priority="126">
      <formula>X183=1</formula>
    </cfRule>
  </conditionalFormatting>
  <conditionalFormatting sqref="U186:U188">
    <cfRule type="expression" dxfId="123" priority="123">
      <formula>X186=-1</formula>
    </cfRule>
    <cfRule type="expression" dxfId="122" priority="124">
      <formula>X186=1</formula>
    </cfRule>
  </conditionalFormatting>
  <conditionalFormatting sqref="Z6:Z8">
    <cfRule type="expression" dxfId="121" priority="121">
      <formula>AC6=-1</formula>
    </cfRule>
    <cfRule type="expression" dxfId="120" priority="122">
      <formula>AC6=1</formula>
    </cfRule>
  </conditionalFormatting>
  <conditionalFormatting sqref="Z9:Z11">
    <cfRule type="expression" dxfId="119" priority="119">
      <formula>AC9=-1</formula>
    </cfRule>
    <cfRule type="expression" dxfId="118" priority="120">
      <formula>AC9=1</formula>
    </cfRule>
  </conditionalFormatting>
  <conditionalFormatting sqref="Z12:Z14">
    <cfRule type="expression" dxfId="117" priority="117">
      <formula>AC12=-1</formula>
    </cfRule>
    <cfRule type="expression" dxfId="116" priority="118">
      <formula>AC12=1</formula>
    </cfRule>
  </conditionalFormatting>
  <conditionalFormatting sqref="Z15:Z17">
    <cfRule type="expression" dxfId="115" priority="115">
      <formula>AC15=-1</formula>
    </cfRule>
    <cfRule type="expression" dxfId="114" priority="116">
      <formula>AC15=1</formula>
    </cfRule>
  </conditionalFormatting>
  <conditionalFormatting sqref="Z18:Z20">
    <cfRule type="expression" dxfId="113" priority="113">
      <formula>AC18=-1</formula>
    </cfRule>
    <cfRule type="expression" dxfId="112" priority="114">
      <formula>AC18=1</formula>
    </cfRule>
  </conditionalFormatting>
  <conditionalFormatting sqref="Z21:Z23">
    <cfRule type="expression" dxfId="111" priority="111">
      <formula>AC21=-1</formula>
    </cfRule>
    <cfRule type="expression" dxfId="110" priority="112">
      <formula>AC21=1</formula>
    </cfRule>
  </conditionalFormatting>
  <conditionalFormatting sqref="Z24:Z26">
    <cfRule type="expression" dxfId="109" priority="109">
      <formula>AC24=-1</formula>
    </cfRule>
    <cfRule type="expression" dxfId="108" priority="110">
      <formula>AC24=1</formula>
    </cfRule>
  </conditionalFormatting>
  <conditionalFormatting sqref="Z27:Z29">
    <cfRule type="expression" dxfId="107" priority="107">
      <formula>AC27=-1</formula>
    </cfRule>
    <cfRule type="expression" dxfId="106" priority="108">
      <formula>AC27=1</formula>
    </cfRule>
  </conditionalFormatting>
  <conditionalFormatting sqref="Z30:Z32">
    <cfRule type="expression" dxfId="105" priority="105">
      <formula>AC30=-1</formula>
    </cfRule>
    <cfRule type="expression" dxfId="104" priority="106">
      <formula>AC30=1</formula>
    </cfRule>
  </conditionalFormatting>
  <conditionalFormatting sqref="Z33:Z35">
    <cfRule type="expression" dxfId="103" priority="103">
      <formula>AC33=-1</formula>
    </cfRule>
    <cfRule type="expression" dxfId="102" priority="104">
      <formula>AC33=1</formula>
    </cfRule>
  </conditionalFormatting>
  <conditionalFormatting sqref="Z36:Z38">
    <cfRule type="expression" dxfId="101" priority="101">
      <formula>AC36=-1</formula>
    </cfRule>
    <cfRule type="expression" dxfId="100" priority="102">
      <formula>AC36=1</formula>
    </cfRule>
  </conditionalFormatting>
  <conditionalFormatting sqref="Z39:Z41">
    <cfRule type="expression" dxfId="99" priority="99">
      <formula>AC39=-1</formula>
    </cfRule>
    <cfRule type="expression" dxfId="98" priority="100">
      <formula>AC39=1</formula>
    </cfRule>
  </conditionalFormatting>
  <conditionalFormatting sqref="Z42:Z44">
    <cfRule type="expression" dxfId="97" priority="97">
      <formula>AC42=-1</formula>
    </cfRule>
    <cfRule type="expression" dxfId="96" priority="98">
      <formula>AC42=1</formula>
    </cfRule>
  </conditionalFormatting>
  <conditionalFormatting sqref="Z45:Z47">
    <cfRule type="expression" dxfId="95" priority="95">
      <formula>AC45=-1</formula>
    </cfRule>
    <cfRule type="expression" dxfId="94" priority="96">
      <formula>AC45=1</formula>
    </cfRule>
  </conditionalFormatting>
  <conditionalFormatting sqref="Z48:Z50">
    <cfRule type="expression" dxfId="93" priority="93">
      <formula>AC48=-1</formula>
    </cfRule>
    <cfRule type="expression" dxfId="92" priority="94">
      <formula>AC48=1</formula>
    </cfRule>
  </conditionalFormatting>
  <conditionalFormatting sqref="Z51:Z53">
    <cfRule type="expression" dxfId="91" priority="91">
      <formula>AC51=-1</formula>
    </cfRule>
    <cfRule type="expression" dxfId="90" priority="92">
      <formula>AC51=1</formula>
    </cfRule>
  </conditionalFormatting>
  <conditionalFormatting sqref="Z54:Z56">
    <cfRule type="expression" dxfId="89" priority="89">
      <formula>AC54=-1</formula>
    </cfRule>
    <cfRule type="expression" dxfId="88" priority="90">
      <formula>AC54=1</formula>
    </cfRule>
  </conditionalFormatting>
  <conditionalFormatting sqref="Z57:Z59">
    <cfRule type="expression" dxfId="87" priority="87">
      <formula>AC57=-1</formula>
    </cfRule>
    <cfRule type="expression" dxfId="86" priority="88">
      <formula>AC57=1</formula>
    </cfRule>
  </conditionalFormatting>
  <conditionalFormatting sqref="Z60:Z62">
    <cfRule type="expression" dxfId="85" priority="85">
      <formula>AC60=-1</formula>
    </cfRule>
    <cfRule type="expression" dxfId="84" priority="86">
      <formula>AC60=1</formula>
    </cfRule>
  </conditionalFormatting>
  <conditionalFormatting sqref="Z63:Z65">
    <cfRule type="expression" dxfId="83" priority="83">
      <formula>AC63=-1</formula>
    </cfRule>
    <cfRule type="expression" dxfId="82" priority="84">
      <formula>AC63=1</formula>
    </cfRule>
  </conditionalFormatting>
  <conditionalFormatting sqref="Z66:Z68">
    <cfRule type="expression" dxfId="81" priority="81">
      <formula>AC66=-1</formula>
    </cfRule>
    <cfRule type="expression" dxfId="80" priority="82">
      <formula>AC66=1</formula>
    </cfRule>
  </conditionalFormatting>
  <conditionalFormatting sqref="Z69:Z71">
    <cfRule type="expression" dxfId="79" priority="79">
      <formula>AC69=-1</formula>
    </cfRule>
    <cfRule type="expression" dxfId="78" priority="80">
      <formula>AC69=1</formula>
    </cfRule>
  </conditionalFormatting>
  <conditionalFormatting sqref="Z72:Z74">
    <cfRule type="expression" dxfId="77" priority="77">
      <formula>AC72=-1</formula>
    </cfRule>
    <cfRule type="expression" dxfId="76" priority="78">
      <formula>AC72=1</formula>
    </cfRule>
  </conditionalFormatting>
  <conditionalFormatting sqref="Z75:Z77">
    <cfRule type="expression" dxfId="75" priority="75">
      <formula>AC75=-1</formula>
    </cfRule>
    <cfRule type="expression" dxfId="74" priority="76">
      <formula>AC75=1</formula>
    </cfRule>
  </conditionalFormatting>
  <conditionalFormatting sqref="Z78:Z80">
    <cfRule type="expression" dxfId="73" priority="73">
      <formula>AC78=-1</formula>
    </cfRule>
    <cfRule type="expression" dxfId="72" priority="74">
      <formula>AC78=1</formula>
    </cfRule>
  </conditionalFormatting>
  <conditionalFormatting sqref="Z81:Z83">
    <cfRule type="expression" dxfId="71" priority="71">
      <formula>AC81=-1</formula>
    </cfRule>
    <cfRule type="expression" dxfId="70" priority="72">
      <formula>AC81=1</formula>
    </cfRule>
  </conditionalFormatting>
  <conditionalFormatting sqref="Z84:Z86">
    <cfRule type="expression" dxfId="69" priority="69">
      <formula>AC84=-1</formula>
    </cfRule>
    <cfRule type="expression" dxfId="68" priority="70">
      <formula>AC84=1</formula>
    </cfRule>
  </conditionalFormatting>
  <conditionalFormatting sqref="Z87:Z89">
    <cfRule type="expression" dxfId="67" priority="67">
      <formula>AC87=-1</formula>
    </cfRule>
    <cfRule type="expression" dxfId="66" priority="68">
      <formula>AC87=1</formula>
    </cfRule>
  </conditionalFormatting>
  <conditionalFormatting sqref="Z90:Z92">
    <cfRule type="expression" dxfId="65" priority="65">
      <formula>AC90=-1</formula>
    </cfRule>
    <cfRule type="expression" dxfId="64" priority="66">
      <formula>AC90=1</formula>
    </cfRule>
  </conditionalFormatting>
  <conditionalFormatting sqref="Z93:Z95">
    <cfRule type="expression" dxfId="63" priority="63">
      <formula>AC93=-1</formula>
    </cfRule>
    <cfRule type="expression" dxfId="62" priority="64">
      <formula>AC93=1</formula>
    </cfRule>
  </conditionalFormatting>
  <conditionalFormatting sqref="Z96:Z98">
    <cfRule type="expression" dxfId="61" priority="61">
      <formula>AC96=-1</formula>
    </cfRule>
    <cfRule type="expression" dxfId="60" priority="62">
      <formula>AC96=1</formula>
    </cfRule>
  </conditionalFormatting>
  <conditionalFormatting sqref="Z99:Z101">
    <cfRule type="expression" dxfId="59" priority="59">
      <formula>AC99=-1</formula>
    </cfRule>
    <cfRule type="expression" dxfId="58" priority="60">
      <formula>AC99=1</formula>
    </cfRule>
  </conditionalFormatting>
  <conditionalFormatting sqref="Z102:Z104">
    <cfRule type="expression" dxfId="57" priority="57">
      <formula>AC102=-1</formula>
    </cfRule>
    <cfRule type="expression" dxfId="56" priority="58">
      <formula>AC102=1</formula>
    </cfRule>
  </conditionalFormatting>
  <conditionalFormatting sqref="Z105:Z107">
    <cfRule type="expression" dxfId="55" priority="55">
      <formula>AC105=-1</formula>
    </cfRule>
    <cfRule type="expression" dxfId="54" priority="56">
      <formula>AC105=1</formula>
    </cfRule>
  </conditionalFormatting>
  <conditionalFormatting sqref="Z108:Z110">
    <cfRule type="expression" dxfId="53" priority="53">
      <formula>AC108=-1</formula>
    </cfRule>
    <cfRule type="expression" dxfId="52" priority="54">
      <formula>AC108=1</formula>
    </cfRule>
  </conditionalFormatting>
  <conditionalFormatting sqref="Z111:Z113">
    <cfRule type="expression" dxfId="51" priority="51">
      <formula>AC111=-1</formula>
    </cfRule>
    <cfRule type="expression" dxfId="50" priority="52">
      <formula>AC111=1</formula>
    </cfRule>
  </conditionalFormatting>
  <conditionalFormatting sqref="Z114:Z116">
    <cfRule type="expression" dxfId="49" priority="49">
      <formula>AC114=-1</formula>
    </cfRule>
    <cfRule type="expression" dxfId="48" priority="50">
      <formula>AC114=1</formula>
    </cfRule>
  </conditionalFormatting>
  <conditionalFormatting sqref="Z117:Z119">
    <cfRule type="expression" dxfId="47" priority="47">
      <formula>AC117=-1</formula>
    </cfRule>
    <cfRule type="expression" dxfId="46" priority="48">
      <formula>AC117=1</formula>
    </cfRule>
  </conditionalFormatting>
  <conditionalFormatting sqref="Z120:Z122">
    <cfRule type="expression" dxfId="45" priority="45">
      <formula>AC120=-1</formula>
    </cfRule>
    <cfRule type="expression" dxfId="44" priority="46">
      <formula>AC120=1</formula>
    </cfRule>
  </conditionalFormatting>
  <conditionalFormatting sqref="Z123:Z125">
    <cfRule type="expression" dxfId="43" priority="43">
      <formula>AC123=-1</formula>
    </cfRule>
    <cfRule type="expression" dxfId="42" priority="44">
      <formula>AC123=1</formula>
    </cfRule>
  </conditionalFormatting>
  <conditionalFormatting sqref="Z126:Z128">
    <cfRule type="expression" dxfId="41" priority="41">
      <formula>AC126=-1</formula>
    </cfRule>
    <cfRule type="expression" dxfId="40" priority="42">
      <formula>AC126=1</formula>
    </cfRule>
  </conditionalFormatting>
  <conditionalFormatting sqref="Z129:Z131">
    <cfRule type="expression" dxfId="39" priority="39">
      <formula>AC129=-1</formula>
    </cfRule>
    <cfRule type="expression" dxfId="38" priority="40">
      <formula>AC129=1</formula>
    </cfRule>
  </conditionalFormatting>
  <conditionalFormatting sqref="Z132:Z134">
    <cfRule type="expression" dxfId="37" priority="37">
      <formula>AC132=-1</formula>
    </cfRule>
    <cfRule type="expression" dxfId="36" priority="38">
      <formula>AC132=1</formula>
    </cfRule>
  </conditionalFormatting>
  <conditionalFormatting sqref="Z135:Z137">
    <cfRule type="expression" dxfId="35" priority="35">
      <formula>AC135=-1</formula>
    </cfRule>
    <cfRule type="expression" dxfId="34" priority="36">
      <formula>AC135=1</formula>
    </cfRule>
  </conditionalFormatting>
  <conditionalFormatting sqref="Z138:Z140">
    <cfRule type="expression" dxfId="33" priority="33">
      <formula>AC138=-1</formula>
    </cfRule>
    <cfRule type="expression" dxfId="32" priority="34">
      <formula>AC138=1</formula>
    </cfRule>
  </conditionalFormatting>
  <conditionalFormatting sqref="Z141:Z143">
    <cfRule type="expression" dxfId="31" priority="31">
      <formula>AC141=-1</formula>
    </cfRule>
    <cfRule type="expression" dxfId="30" priority="32">
      <formula>AC141=1</formula>
    </cfRule>
  </conditionalFormatting>
  <conditionalFormatting sqref="Z144:Z146">
    <cfRule type="expression" dxfId="29" priority="29">
      <formula>AC144=-1</formula>
    </cfRule>
    <cfRule type="expression" dxfId="28" priority="30">
      <formula>AC144=1</formula>
    </cfRule>
  </conditionalFormatting>
  <conditionalFormatting sqref="Z147:Z149">
    <cfRule type="expression" dxfId="27" priority="27">
      <formula>AC147=-1</formula>
    </cfRule>
    <cfRule type="expression" dxfId="26" priority="28">
      <formula>AC147=1</formula>
    </cfRule>
  </conditionalFormatting>
  <conditionalFormatting sqref="Z150:Z152">
    <cfRule type="expression" dxfId="25" priority="25">
      <formula>AC150=-1</formula>
    </cfRule>
    <cfRule type="expression" dxfId="24" priority="26">
      <formula>AC150=1</formula>
    </cfRule>
  </conditionalFormatting>
  <conditionalFormatting sqref="Z153:Z155">
    <cfRule type="expression" dxfId="23" priority="23">
      <formula>AC153=-1</formula>
    </cfRule>
    <cfRule type="expression" dxfId="22" priority="24">
      <formula>AC153=1</formula>
    </cfRule>
  </conditionalFormatting>
  <conditionalFormatting sqref="Z156:Z158">
    <cfRule type="expression" dxfId="21" priority="21">
      <formula>AC156=-1</formula>
    </cfRule>
    <cfRule type="expression" dxfId="20" priority="22">
      <formula>AC156=1</formula>
    </cfRule>
  </conditionalFormatting>
  <conditionalFormatting sqref="Z159:Z161">
    <cfRule type="expression" dxfId="19" priority="19">
      <formula>AC159=-1</formula>
    </cfRule>
    <cfRule type="expression" dxfId="18" priority="20">
      <formula>AC159=1</formula>
    </cfRule>
  </conditionalFormatting>
  <conditionalFormatting sqref="Z162:Z164">
    <cfRule type="expression" dxfId="17" priority="17">
      <formula>AC162=-1</formula>
    </cfRule>
    <cfRule type="expression" dxfId="16" priority="18">
      <formula>AC162=1</formula>
    </cfRule>
  </conditionalFormatting>
  <conditionalFormatting sqref="Z165:Z167">
    <cfRule type="expression" dxfId="15" priority="15">
      <formula>AC165=-1</formula>
    </cfRule>
    <cfRule type="expression" dxfId="14" priority="16">
      <formula>AC165=1</formula>
    </cfRule>
  </conditionalFormatting>
  <conditionalFormatting sqref="Z168:Z170">
    <cfRule type="expression" dxfId="13" priority="13">
      <formula>AC168=-1</formula>
    </cfRule>
    <cfRule type="expression" dxfId="12" priority="14">
      <formula>AC168=1</formula>
    </cfRule>
  </conditionalFormatting>
  <conditionalFormatting sqref="Z171:Z173">
    <cfRule type="expression" dxfId="11" priority="11">
      <formula>AC171=-1</formula>
    </cfRule>
    <cfRule type="expression" dxfId="10" priority="12">
      <formula>AC171=1</formula>
    </cfRule>
  </conditionalFormatting>
  <conditionalFormatting sqref="Z174:Z176">
    <cfRule type="expression" dxfId="9" priority="9">
      <formula>AC174=-1</formula>
    </cfRule>
    <cfRule type="expression" dxfId="8" priority="10">
      <formula>AC174=1</formula>
    </cfRule>
  </conditionalFormatting>
  <conditionalFormatting sqref="Z177:Z179">
    <cfRule type="expression" dxfId="7" priority="7">
      <formula>AC177=-1</formula>
    </cfRule>
    <cfRule type="expression" dxfId="6" priority="8">
      <formula>AC177=1</formula>
    </cfRule>
  </conditionalFormatting>
  <conditionalFormatting sqref="Z180:Z182">
    <cfRule type="expression" dxfId="5" priority="5">
      <formula>AC180=-1</formula>
    </cfRule>
    <cfRule type="expression" dxfId="4" priority="6">
      <formula>AC180=1</formula>
    </cfRule>
  </conditionalFormatting>
  <conditionalFormatting sqref="Z183:Z185">
    <cfRule type="expression" dxfId="3" priority="3">
      <formula>AC183=-1</formula>
    </cfRule>
    <cfRule type="expression" dxfId="2" priority="4">
      <formula>AC183=1</formula>
    </cfRule>
  </conditionalFormatting>
  <conditionalFormatting sqref="Z186:Z188">
    <cfRule type="expression" dxfId="1" priority="1">
      <formula>AC186=-1</formula>
    </cfRule>
    <cfRule type="expression" dxfId="0" priority="2">
      <formula>AC186=1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A77E66-3518-4775-AF75-E3B22B5EF34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R6:R188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7"/>
          <x14:colorNegative theme="8"/>
          <x14:colorAxis rgb="FF000000"/>
          <x14:colorMarkers theme="7" tint="-0.249977111117893"/>
          <x14:colorFirst theme="7" tint="-0.249977111117893"/>
          <x14:colorLast theme="7" tint="-0.249977111117893"/>
          <x14:colorHigh theme="7" tint="-0.249977111117893"/>
          <x14:colorLow theme="7" tint="-0.249977111117893"/>
          <x14:sparklines>
            <x14:sparkline>
              <xm:f>MainDisplay!A50:A81</xm:f>
              <xm:sqref>K34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MainDisplay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2018-03-01T16:10:02Z</dcterms:created>
  <dcterms:modified xsi:type="dcterms:W3CDTF">2018-03-08T21:26:11Z</dcterms:modified>
</cp:coreProperties>
</file>