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ml.chartshapes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showVerticalScroll="0" xWindow="0" yWindow="0" windowWidth="28800" windowHeight="13950"/>
  </bookViews>
  <sheets>
    <sheet name="CCE" sheetId="2" r:id="rId1"/>
    <sheet name="Calculations" sheetId="3" state="hidden" r:id="rId2"/>
    <sheet name="CCE(2)" sheetId="4" state="hidden" r:id="rId3"/>
  </sheets>
  <calcPr calcId="152511"/>
</workbook>
</file>

<file path=xl/calcChain.xml><?xml version="1.0" encoding="utf-8"?>
<calcChain xmlns="http://schemas.openxmlformats.org/spreadsheetml/2006/main">
  <c r="F64" i="2" l="1"/>
  <c r="B64" i="2"/>
  <c r="D39" i="2"/>
  <c r="H64" i="2"/>
  <c r="AJ2" i="3"/>
  <c r="AJ12" i="3"/>
  <c r="AJ11" i="3" l="1"/>
  <c r="AA13" i="3"/>
  <c r="AA12" i="3"/>
  <c r="E49" i="2"/>
  <c r="D41" i="2"/>
  <c r="F40" i="2"/>
  <c r="B19" i="2"/>
  <c r="F39" i="2"/>
  <c r="S4" i="2"/>
  <c r="E41" i="2"/>
  <c r="V32" i="3"/>
  <c r="F41" i="2"/>
  <c r="E46" i="2"/>
  <c r="F43" i="2"/>
  <c r="B19" i="4"/>
  <c r="Q1" i="3" l="1"/>
  <c r="D49" i="2"/>
  <c r="D46" i="2"/>
  <c r="D43" i="2"/>
  <c r="S36" i="3"/>
  <c r="R35" i="3"/>
  <c r="E43" i="2"/>
  <c r="D40" i="2"/>
  <c r="S35" i="3"/>
  <c r="E40" i="2"/>
  <c r="E39" i="2"/>
  <c r="AE1" i="3"/>
  <c r="B44" i="2"/>
  <c r="A5" i="2" l="1"/>
  <c r="A5" i="4"/>
  <c r="R36" i="3"/>
  <c r="Q2" i="3"/>
  <c r="Q3" i="3"/>
  <c r="A2" i="3" l="1"/>
  <c r="A3" i="3"/>
  <c r="R37" i="3"/>
  <c r="D6" i="2"/>
  <c r="U3" i="3"/>
  <c r="V21" i="3"/>
  <c r="R3" i="3"/>
  <c r="V23" i="3"/>
  <c r="B11" i="2"/>
  <c r="U2" i="3"/>
  <c r="S3" i="3"/>
  <c r="O36" i="3"/>
  <c r="T3" i="3"/>
  <c r="S2" i="3"/>
  <c r="V24" i="3"/>
  <c r="B7" i="2"/>
  <c r="Q4" i="3"/>
  <c r="T2" i="3"/>
  <c r="B2" i="3"/>
  <c r="D17" i="2"/>
  <c r="V25" i="3"/>
  <c r="Q14" i="3"/>
  <c r="V20" i="3"/>
  <c r="R2" i="3"/>
  <c r="B12" i="2"/>
  <c r="Q15" i="3"/>
  <c r="D7" i="2"/>
  <c r="D16" i="2"/>
  <c r="O35" i="3"/>
  <c r="B6" i="2"/>
  <c r="V22" i="3"/>
  <c r="B3" i="3"/>
  <c r="V68" i="2" l="1"/>
  <c r="B12" i="4"/>
  <c r="D7" i="4"/>
  <c r="D17" i="4"/>
  <c r="B7" i="4"/>
  <c r="V66" i="2"/>
  <c r="B53" i="2"/>
  <c r="AC2" i="3"/>
  <c r="AB2" i="3"/>
  <c r="B54" i="2"/>
  <c r="AB3" i="3"/>
  <c r="AC3" i="3"/>
  <c r="A4" i="3"/>
  <c r="C3" i="3"/>
  <c r="R38" i="3"/>
  <c r="C2" i="3"/>
  <c r="B14" i="4"/>
  <c r="D9" i="4"/>
  <c r="B9" i="4"/>
  <c r="D19" i="4"/>
  <c r="S4" i="3"/>
  <c r="E21" i="2"/>
  <c r="B9" i="2"/>
  <c r="D10" i="2"/>
  <c r="D20" i="2"/>
  <c r="T4" i="3"/>
  <c r="U4" i="3"/>
  <c r="B4" i="3"/>
  <c r="B13" i="2"/>
  <c r="B8" i="2"/>
  <c r="R4" i="3"/>
  <c r="D8" i="2"/>
  <c r="E6" i="2"/>
  <c r="E7" i="2"/>
  <c r="Q16" i="3"/>
  <c r="D9" i="2"/>
  <c r="B14" i="2"/>
  <c r="D18" i="2"/>
  <c r="B15" i="2"/>
  <c r="E22" i="2"/>
  <c r="O37" i="3"/>
  <c r="B10" i="2"/>
  <c r="D19" i="2"/>
  <c r="E54" i="2"/>
  <c r="Q5" i="3"/>
  <c r="D53" i="2"/>
  <c r="V69" i="2" l="1"/>
  <c r="U68" i="2"/>
  <c r="E22" i="4"/>
  <c r="E7" i="4"/>
  <c r="O3" i="3"/>
  <c r="M3" i="3"/>
  <c r="J3" i="3"/>
  <c r="I3" i="3"/>
  <c r="K3" i="3"/>
  <c r="F3" i="3"/>
  <c r="H3" i="3"/>
  <c r="D3" i="3"/>
  <c r="N3" i="3"/>
  <c r="G3" i="3"/>
  <c r="E3" i="3"/>
  <c r="L3" i="3"/>
  <c r="O2" i="3"/>
  <c r="L2" i="3"/>
  <c r="F2" i="3"/>
  <c r="D2" i="3"/>
  <c r="H2" i="3"/>
  <c r="K2" i="3"/>
  <c r="N2" i="3"/>
  <c r="I2" i="3"/>
  <c r="J2" i="3"/>
  <c r="M2" i="3"/>
  <c r="G2" i="3"/>
  <c r="E2" i="3"/>
  <c r="U66" i="2"/>
  <c r="AC4" i="3"/>
  <c r="AB4" i="3"/>
  <c r="B55" i="2"/>
  <c r="A5" i="3"/>
  <c r="C4" i="3"/>
  <c r="R39" i="3"/>
  <c r="E24" i="4"/>
  <c r="E9" i="4"/>
  <c r="O38" i="3"/>
  <c r="F54" i="2"/>
  <c r="R5" i="3"/>
  <c r="E25" i="2"/>
  <c r="E53" i="2"/>
  <c r="D54" i="2"/>
  <c r="G55" i="2"/>
  <c r="G53" i="2"/>
  <c r="J11" i="2"/>
  <c r="F27" i="2"/>
  <c r="K11" i="2"/>
  <c r="G54" i="2"/>
  <c r="F7" i="2"/>
  <c r="U5" i="3"/>
  <c r="H15" i="3"/>
  <c r="J17" i="2"/>
  <c r="D14" i="3"/>
  <c r="F6" i="2"/>
  <c r="E11" i="2"/>
  <c r="E24" i="2"/>
  <c r="F53" i="2"/>
  <c r="T5" i="3"/>
  <c r="S5" i="3"/>
  <c r="I11" i="2"/>
  <c r="H11" i="2"/>
  <c r="E8" i="2"/>
  <c r="H54" i="2"/>
  <c r="E9" i="2"/>
  <c r="F26" i="2"/>
  <c r="H16" i="2"/>
  <c r="E10" i="2"/>
  <c r="H53" i="2"/>
  <c r="B5" i="3"/>
  <c r="Q17" i="3"/>
  <c r="E23" i="2"/>
  <c r="G16" i="2"/>
  <c r="F16" i="2"/>
  <c r="F11" i="2"/>
  <c r="G11" i="2"/>
  <c r="K16" i="2"/>
  <c r="Q6" i="3"/>
  <c r="U69" i="2" l="1"/>
  <c r="V70" i="2"/>
  <c r="F27" i="4"/>
  <c r="J17" i="4"/>
  <c r="F7" i="4"/>
  <c r="J4" i="3"/>
  <c r="I4" i="3"/>
  <c r="E4" i="3"/>
  <c r="K4" i="3"/>
  <c r="H4" i="3"/>
  <c r="N4" i="3"/>
  <c r="G4" i="3"/>
  <c r="L4" i="3"/>
  <c r="D4" i="3"/>
  <c r="M4" i="3"/>
  <c r="F4" i="3"/>
  <c r="B56" i="2"/>
  <c r="V5" i="3"/>
  <c r="V11" i="3"/>
  <c r="V7" i="3"/>
  <c r="V6" i="3"/>
  <c r="V8" i="3"/>
  <c r="V9" i="3"/>
  <c r="V3" i="3"/>
  <c r="V10" i="3"/>
  <c r="V4" i="3"/>
  <c r="F49" i="2"/>
  <c r="AB5" i="3"/>
  <c r="AC5" i="3"/>
  <c r="A6" i="3"/>
  <c r="C5" i="3"/>
  <c r="R40" i="3"/>
  <c r="V2" i="3"/>
  <c r="H49" i="2"/>
  <c r="F29" i="4"/>
  <c r="F9" i="4"/>
  <c r="J19" i="4"/>
  <c r="H14" i="3"/>
  <c r="I16" i="2"/>
  <c r="AF3" i="3"/>
  <c r="J19" i="2"/>
  <c r="I17" i="2"/>
  <c r="J18" i="2"/>
  <c r="J20" i="2"/>
  <c r="J12" i="2"/>
  <c r="G16" i="3"/>
  <c r="E16" i="3"/>
  <c r="F12" i="2"/>
  <c r="R6" i="3"/>
  <c r="G15" i="3"/>
  <c r="F28" i="2"/>
  <c r="G12" i="2"/>
  <c r="K12" i="2"/>
  <c r="F21" i="2"/>
  <c r="G6" i="2"/>
  <c r="F30" i="2"/>
  <c r="G17" i="2"/>
  <c r="J15" i="3"/>
  <c r="Q7" i="3"/>
  <c r="T6" i="3"/>
  <c r="AF2" i="3"/>
  <c r="F15" i="3"/>
  <c r="K17" i="2"/>
  <c r="E55" i="2"/>
  <c r="Z5" i="3"/>
  <c r="D12" i="2"/>
  <c r="F10" i="2"/>
  <c r="J14" i="3"/>
  <c r="H17" i="2"/>
  <c r="AF7" i="3"/>
  <c r="H55" i="2"/>
  <c r="J16" i="2"/>
  <c r="K14" i="3"/>
  <c r="E15" i="3"/>
  <c r="G31" i="2"/>
  <c r="H12" i="2"/>
  <c r="I15" i="3"/>
  <c r="E17" i="2"/>
  <c r="F9" i="2"/>
  <c r="E14" i="3"/>
  <c r="F55" i="2"/>
  <c r="I12" i="2"/>
  <c r="F29" i="2"/>
  <c r="G32" i="2"/>
  <c r="Q18" i="3"/>
  <c r="O39" i="3"/>
  <c r="E56" i="2"/>
  <c r="F14" i="3"/>
  <c r="E16" i="2"/>
  <c r="I14" i="3"/>
  <c r="AF6" i="3"/>
  <c r="U6" i="3"/>
  <c r="G7" i="2"/>
  <c r="D11" i="2"/>
  <c r="S6" i="3"/>
  <c r="E12" i="2"/>
  <c r="D55" i="2"/>
  <c r="F8" i="2"/>
  <c r="F17" i="2"/>
  <c r="H21" i="2"/>
  <c r="AF4" i="3"/>
  <c r="G14" i="3"/>
  <c r="D15" i="3"/>
  <c r="K22" i="2"/>
  <c r="J22" i="2"/>
  <c r="B6" i="3"/>
  <c r="AF9" i="3"/>
  <c r="W8" i="3"/>
  <c r="U70" i="2" l="1"/>
  <c r="V71" i="2"/>
  <c r="K22" i="4"/>
  <c r="G32" i="4"/>
  <c r="J22" i="4"/>
  <c r="K12" i="4"/>
  <c r="I12" i="4"/>
  <c r="F17" i="4"/>
  <c r="G7" i="4"/>
  <c r="F12" i="4"/>
  <c r="I17" i="4"/>
  <c r="J12" i="4"/>
  <c r="G17" i="4"/>
  <c r="E17" i="4"/>
  <c r="K17" i="4"/>
  <c r="G12" i="4"/>
  <c r="E12" i="4"/>
  <c r="H17" i="4"/>
  <c r="H12" i="4"/>
  <c r="D12" i="4"/>
  <c r="J5" i="3"/>
  <c r="I5" i="3"/>
  <c r="K5" i="3"/>
  <c r="H5" i="3"/>
  <c r="L5" i="3"/>
  <c r="D5" i="3"/>
  <c r="G5" i="3"/>
  <c r="E5" i="3"/>
  <c r="M5" i="3"/>
  <c r="F5" i="3"/>
  <c r="B58" i="2"/>
  <c r="AC6" i="3"/>
  <c r="AB6" i="3"/>
  <c r="A7" i="3"/>
  <c r="C6" i="3"/>
  <c r="R41" i="3"/>
  <c r="H19" i="4"/>
  <c r="F14" i="4"/>
  <c r="G19" i="4"/>
  <c r="K24" i="4"/>
  <c r="E14" i="4"/>
  <c r="E19" i="4"/>
  <c r="I14" i="4"/>
  <c r="F19" i="4"/>
  <c r="J14" i="4"/>
  <c r="K14" i="4"/>
  <c r="G9" i="4"/>
  <c r="K19" i="4"/>
  <c r="H14" i="4"/>
  <c r="I19" i="4"/>
  <c r="J24" i="4"/>
  <c r="G34" i="4"/>
  <c r="D14" i="4"/>
  <c r="G14" i="4"/>
  <c r="Z4" i="3"/>
  <c r="H37" i="2"/>
  <c r="Y3" i="3"/>
  <c r="W5" i="3"/>
  <c r="Z8" i="3"/>
  <c r="G33" i="2"/>
  <c r="H15" i="2"/>
  <c r="H6" i="2"/>
  <c r="AF8" i="3"/>
  <c r="AF5" i="3"/>
  <c r="X4" i="3"/>
  <c r="I22" i="2"/>
  <c r="F14" i="2"/>
  <c r="J13" i="2"/>
  <c r="H19" i="2"/>
  <c r="G20" i="2"/>
  <c r="AH6" i="3"/>
  <c r="F15" i="2"/>
  <c r="AH3" i="3"/>
  <c r="K20" i="2"/>
  <c r="K13" i="2"/>
  <c r="D14" i="2"/>
  <c r="H13" i="2"/>
  <c r="H27" i="2"/>
  <c r="B7" i="3"/>
  <c r="H56" i="2"/>
  <c r="D56" i="2"/>
  <c r="J21" i="2"/>
  <c r="W4" i="3"/>
  <c r="H18" i="2"/>
  <c r="F13" i="2"/>
  <c r="G14" i="2"/>
  <c r="O40" i="3"/>
  <c r="W9" i="3"/>
  <c r="G19" i="2"/>
  <c r="X9" i="3"/>
  <c r="K21" i="2"/>
  <c r="Z6" i="3"/>
  <c r="Z3" i="3"/>
  <c r="G56" i="2"/>
  <c r="K14" i="2"/>
  <c r="F20" i="2"/>
  <c r="K26" i="2"/>
  <c r="Z7" i="3"/>
  <c r="Y4" i="3"/>
  <c r="W6" i="3"/>
  <c r="J14" i="2"/>
  <c r="F19" i="2"/>
  <c r="I19" i="2"/>
  <c r="E20" i="2"/>
  <c r="Z9" i="3"/>
  <c r="T7" i="3"/>
  <c r="U7" i="3"/>
  <c r="G10" i="2"/>
  <c r="I15" i="2"/>
  <c r="I14" i="2"/>
  <c r="G9" i="2"/>
  <c r="G13" i="2"/>
  <c r="AH8" i="3"/>
  <c r="G21" i="2"/>
  <c r="X3" i="3"/>
  <c r="S7" i="3"/>
  <c r="Y8" i="3"/>
  <c r="K25" i="2"/>
  <c r="H20" i="2"/>
  <c r="X7" i="3"/>
  <c r="E15" i="2"/>
  <c r="AH5" i="3"/>
  <c r="J15" i="2"/>
  <c r="Y9" i="3"/>
  <c r="Y2" i="3"/>
  <c r="X5" i="3"/>
  <c r="I13" i="2"/>
  <c r="E14" i="2"/>
  <c r="E18" i="2"/>
  <c r="Y5" i="3"/>
  <c r="F16" i="3"/>
  <c r="D15" i="2"/>
  <c r="J25" i="2"/>
  <c r="I27" i="2"/>
  <c r="Q19" i="3"/>
  <c r="G8" i="2"/>
  <c r="D13" i="2"/>
  <c r="K19" i="2"/>
  <c r="Y6" i="3"/>
  <c r="J27" i="2"/>
  <c r="F58" i="2"/>
  <c r="D16" i="3"/>
  <c r="W3" i="3"/>
  <c r="K24" i="2"/>
  <c r="J24" i="2"/>
  <c r="H14" i="2"/>
  <c r="K18" i="2"/>
  <c r="X6" i="3"/>
  <c r="F56" i="2"/>
  <c r="G27" i="2"/>
  <c r="G22" i="2"/>
  <c r="H22" i="2"/>
  <c r="W2" i="3"/>
  <c r="AH2" i="3"/>
  <c r="R7" i="3"/>
  <c r="H7" i="2"/>
  <c r="K15" i="2"/>
  <c r="I20" i="2"/>
  <c r="AH9" i="3"/>
  <c r="I18" i="2"/>
  <c r="K23" i="2"/>
  <c r="G18" i="2"/>
  <c r="Y7" i="3"/>
  <c r="X2" i="3"/>
  <c r="Q8" i="3"/>
  <c r="AH7" i="3"/>
  <c r="I16" i="3"/>
  <c r="F22" i="2"/>
  <c r="F18" i="2"/>
  <c r="G34" i="2"/>
  <c r="AH4" i="3"/>
  <c r="G35" i="2"/>
  <c r="W7" i="3"/>
  <c r="X8" i="3"/>
  <c r="G15" i="2"/>
  <c r="H36" i="2"/>
  <c r="E13" i="2"/>
  <c r="E19" i="2"/>
  <c r="Z2" i="3"/>
  <c r="H16" i="3"/>
  <c r="I21" i="2"/>
  <c r="J23" i="2"/>
  <c r="U71" i="2" l="1"/>
  <c r="V72" i="2"/>
  <c r="AI11" i="3"/>
  <c r="I27" i="4"/>
  <c r="G27" i="4"/>
  <c r="J27" i="4"/>
  <c r="H27" i="4"/>
  <c r="H37" i="4"/>
  <c r="G22" i="4"/>
  <c r="I22" i="4"/>
  <c r="H22" i="4"/>
  <c r="F22" i="4"/>
  <c r="H7" i="4"/>
  <c r="AI10" i="3"/>
  <c r="AI7" i="3"/>
  <c r="AI8" i="3"/>
  <c r="AI9" i="3"/>
  <c r="AI5" i="3"/>
  <c r="AI3" i="3"/>
  <c r="AI4" i="3"/>
  <c r="AA2" i="3"/>
  <c r="AE2" i="3" s="1"/>
  <c r="AA3" i="3"/>
  <c r="AE3" i="3" s="1"/>
  <c r="AA4" i="3"/>
  <c r="AE4" i="3" s="1"/>
  <c r="AA5" i="3"/>
  <c r="AE5" i="3" s="1"/>
  <c r="AA6" i="3"/>
  <c r="AE6" i="3" s="1"/>
  <c r="AA10" i="3"/>
  <c r="AA9" i="3"/>
  <c r="AE9" i="3" s="1"/>
  <c r="AA7" i="3"/>
  <c r="AE7" i="3" s="1"/>
  <c r="AA11" i="3"/>
  <c r="AA8" i="3"/>
  <c r="AE8" i="3" s="1"/>
  <c r="AD3" i="3"/>
  <c r="AD10" i="3"/>
  <c r="AD5" i="3"/>
  <c r="AD2" i="3"/>
  <c r="AD6" i="3"/>
  <c r="AD9" i="3"/>
  <c r="AD4" i="3"/>
  <c r="AD7" i="3"/>
  <c r="AD11" i="3"/>
  <c r="AD8" i="3"/>
  <c r="K6" i="3"/>
  <c r="H6" i="3"/>
  <c r="G6" i="3"/>
  <c r="E6" i="3"/>
  <c r="F6" i="3"/>
  <c r="D6" i="3"/>
  <c r="L6" i="3"/>
  <c r="J6" i="3"/>
  <c r="I6" i="3"/>
  <c r="B59" i="2"/>
  <c r="AC7" i="3"/>
  <c r="AB7" i="3"/>
  <c r="A8" i="3"/>
  <c r="C7" i="3"/>
  <c r="R42" i="3"/>
  <c r="AI6" i="3"/>
  <c r="I29" i="4"/>
  <c r="AI2" i="3"/>
  <c r="H39" i="4"/>
  <c r="J29" i="4"/>
  <c r="F24" i="4"/>
  <c r="H9" i="4"/>
  <c r="G29" i="4"/>
  <c r="H24" i="4"/>
  <c r="H29" i="4"/>
  <c r="I24" i="4"/>
  <c r="G24" i="4"/>
  <c r="I41" i="2"/>
  <c r="I25" i="2"/>
  <c r="G17" i="3"/>
  <c r="I28" i="2"/>
  <c r="H39" i="2"/>
  <c r="H26" i="2"/>
  <c r="Q9" i="3"/>
  <c r="H38" i="2"/>
  <c r="I6" i="2"/>
  <c r="I26" i="2"/>
  <c r="I23" i="2"/>
  <c r="G29" i="2"/>
  <c r="G30" i="2"/>
  <c r="H25" i="2"/>
  <c r="F25" i="2"/>
  <c r="I31" i="2"/>
  <c r="D17" i="3"/>
  <c r="I30" i="2"/>
  <c r="E17" i="3"/>
  <c r="E58" i="2"/>
  <c r="F17" i="3"/>
  <c r="H23" i="2"/>
  <c r="G58" i="2"/>
  <c r="R8" i="3"/>
  <c r="J29" i="2"/>
  <c r="I29" i="2"/>
  <c r="H29" i="2"/>
  <c r="J31" i="2"/>
  <c r="G24" i="2"/>
  <c r="H24" i="2"/>
  <c r="S8" i="3"/>
  <c r="J26" i="2"/>
  <c r="D18" i="3"/>
  <c r="O41" i="3"/>
  <c r="I7" i="2"/>
  <c r="H28" i="2"/>
  <c r="K27" i="2"/>
  <c r="H58" i="2"/>
  <c r="H30" i="2"/>
  <c r="H10" i="2"/>
  <c r="H40" i="2"/>
  <c r="H17" i="3"/>
  <c r="J30" i="2"/>
  <c r="F24" i="2"/>
  <c r="I24" i="2"/>
  <c r="B8" i="3"/>
  <c r="K31" i="2"/>
  <c r="G28" i="2"/>
  <c r="F59" i="2"/>
  <c r="Q20" i="3"/>
  <c r="G26" i="2"/>
  <c r="I42" i="2"/>
  <c r="F23" i="2"/>
  <c r="G23" i="2"/>
  <c r="G25" i="2"/>
  <c r="U8" i="3"/>
  <c r="H8" i="2"/>
  <c r="T8" i="3"/>
  <c r="E59" i="2"/>
  <c r="D58" i="2"/>
  <c r="J28" i="2"/>
  <c r="H9" i="2"/>
  <c r="U72" i="2" l="1"/>
  <c r="V73" i="2"/>
  <c r="K27" i="4"/>
  <c r="I42" i="4"/>
  <c r="I7" i="4"/>
  <c r="G7" i="3"/>
  <c r="I7" i="3"/>
  <c r="F7" i="3"/>
  <c r="D7" i="3"/>
  <c r="J7" i="3"/>
  <c r="K7" i="3"/>
  <c r="H7" i="3"/>
  <c r="E7" i="3"/>
  <c r="B60" i="2"/>
  <c r="AC8" i="3"/>
  <c r="AB8" i="3"/>
  <c r="A9" i="3"/>
  <c r="C8" i="3"/>
  <c r="R43" i="3"/>
  <c r="I9" i="4"/>
  <c r="I44" i="4"/>
  <c r="K29" i="4"/>
  <c r="G18" i="3"/>
  <c r="I10" i="2"/>
  <c r="B9" i="3"/>
  <c r="H59" i="2"/>
  <c r="G59" i="2"/>
  <c r="Q10" i="3"/>
  <c r="U9" i="3"/>
  <c r="K32" i="2"/>
  <c r="H32" i="2"/>
  <c r="I9" i="2"/>
  <c r="K30" i="2"/>
  <c r="I43" i="2"/>
  <c r="I44" i="2"/>
  <c r="S9" i="3"/>
  <c r="K29" i="2"/>
  <c r="J47" i="2"/>
  <c r="J32" i="2"/>
  <c r="J37" i="2"/>
  <c r="E18" i="3"/>
  <c r="F18" i="3"/>
  <c r="I45" i="2"/>
  <c r="K28" i="2"/>
  <c r="D59" i="2"/>
  <c r="T9" i="3"/>
  <c r="D19" i="3"/>
  <c r="H31" i="2"/>
  <c r="J6" i="2"/>
  <c r="O42" i="3"/>
  <c r="I32" i="2"/>
  <c r="J46" i="2"/>
  <c r="R9" i="3"/>
  <c r="Q21" i="3"/>
  <c r="J7" i="2"/>
  <c r="I8" i="2"/>
  <c r="K36" i="2"/>
  <c r="G60" i="2"/>
  <c r="U73" i="2" l="1"/>
  <c r="J32" i="4"/>
  <c r="I32" i="4"/>
  <c r="H32" i="4"/>
  <c r="K32" i="4"/>
  <c r="J47" i="4"/>
  <c r="J37" i="4"/>
  <c r="J7" i="4"/>
  <c r="F8" i="3"/>
  <c r="D8" i="3"/>
  <c r="E8" i="3"/>
  <c r="J8" i="3"/>
  <c r="I8" i="3"/>
  <c r="H8" i="3"/>
  <c r="G8" i="3"/>
  <c r="V74" i="2"/>
  <c r="B61" i="2"/>
  <c r="AB9" i="3"/>
  <c r="AC9" i="3"/>
  <c r="A10" i="3"/>
  <c r="C9" i="3"/>
  <c r="R44" i="3"/>
  <c r="J39" i="4"/>
  <c r="K34" i="4"/>
  <c r="J34" i="4"/>
  <c r="J49" i="4"/>
  <c r="J9" i="4"/>
  <c r="I34" i="4"/>
  <c r="H34" i="4"/>
  <c r="U10" i="3"/>
  <c r="J9" i="2"/>
  <c r="K52" i="2"/>
  <c r="H60" i="2"/>
  <c r="S10" i="3"/>
  <c r="T10" i="3"/>
  <c r="J38" i="2"/>
  <c r="I36" i="2"/>
  <c r="J36" i="2"/>
  <c r="J48" i="2"/>
  <c r="K35" i="2"/>
  <c r="J49" i="2"/>
  <c r="H33" i="2"/>
  <c r="J8" i="2"/>
  <c r="D60" i="2"/>
  <c r="F60" i="2"/>
  <c r="B10" i="3"/>
  <c r="J33" i="2"/>
  <c r="J40" i="2"/>
  <c r="K51" i="2"/>
  <c r="O43" i="3"/>
  <c r="E19" i="3"/>
  <c r="I33" i="2"/>
  <c r="R10" i="3"/>
  <c r="E61" i="2"/>
  <c r="I35" i="2"/>
  <c r="K7" i="2"/>
  <c r="E60" i="2"/>
  <c r="I37" i="2"/>
  <c r="I34" i="2"/>
  <c r="F19" i="3"/>
  <c r="G61" i="2"/>
  <c r="K34" i="2"/>
  <c r="K6" i="2"/>
  <c r="J35" i="2"/>
  <c r="K33" i="2"/>
  <c r="K37" i="2"/>
  <c r="H35" i="2"/>
  <c r="J34" i="2"/>
  <c r="D20" i="3"/>
  <c r="Q11" i="3"/>
  <c r="J50" i="2"/>
  <c r="Q22" i="3"/>
  <c r="J10" i="2"/>
  <c r="H34" i="2"/>
  <c r="J39" i="2"/>
  <c r="E20" i="3"/>
  <c r="U74" i="2" l="1"/>
  <c r="I37" i="4"/>
  <c r="K37" i="4"/>
  <c r="K52" i="4"/>
  <c r="K7" i="4"/>
  <c r="F9" i="3"/>
  <c r="D9" i="3"/>
  <c r="E9" i="3"/>
  <c r="I9" i="3"/>
  <c r="H9" i="3"/>
  <c r="G9" i="3"/>
  <c r="V75" i="2"/>
  <c r="B63" i="2"/>
  <c r="AC10" i="3"/>
  <c r="AB10" i="3"/>
  <c r="C10" i="3"/>
  <c r="R45" i="3"/>
  <c r="K9" i="4"/>
  <c r="K54" i="4"/>
  <c r="I39" i="4"/>
  <c r="K39" i="4"/>
  <c r="J41" i="2"/>
  <c r="S11" i="3"/>
  <c r="D63" i="2"/>
  <c r="I38" i="2"/>
  <c r="J42" i="2"/>
  <c r="Q23" i="3"/>
  <c r="I39" i="2"/>
  <c r="K9" i="2"/>
  <c r="F61" i="2"/>
  <c r="O44" i="3"/>
  <c r="K10" i="2"/>
  <c r="R11" i="3"/>
  <c r="H61" i="2"/>
  <c r="K54" i="2"/>
  <c r="K41" i="2"/>
  <c r="K40" i="2"/>
  <c r="K46" i="2"/>
  <c r="K55" i="2"/>
  <c r="Q12" i="3"/>
  <c r="T11" i="3"/>
  <c r="K38" i="2"/>
  <c r="K53" i="2"/>
  <c r="D61" i="2"/>
  <c r="U11" i="3"/>
  <c r="I40" i="2"/>
  <c r="K8" i="2"/>
  <c r="K42" i="2"/>
  <c r="K39" i="2"/>
  <c r="U75" i="2" l="1"/>
  <c r="K42" i="4"/>
  <c r="J42" i="4"/>
  <c r="F10" i="3"/>
  <c r="D10" i="3"/>
  <c r="E10" i="3"/>
  <c r="H10" i="3"/>
  <c r="G10" i="3"/>
  <c r="AB11" i="3"/>
  <c r="AC11" i="3"/>
  <c r="R46" i="3"/>
  <c r="J44" i="4"/>
  <c r="K44" i="4"/>
  <c r="K43" i="2"/>
  <c r="T12" i="3"/>
  <c r="R12" i="3"/>
  <c r="F63" i="2"/>
  <c r="G63" i="2"/>
  <c r="U12" i="3"/>
  <c r="K45" i="2"/>
  <c r="K44" i="2"/>
  <c r="D21" i="3"/>
  <c r="Q13" i="3"/>
  <c r="Q24" i="3"/>
  <c r="H63" i="2"/>
  <c r="J43" i="2"/>
  <c r="O45" i="3"/>
  <c r="J44" i="2"/>
  <c r="J45" i="2"/>
  <c r="S12" i="3"/>
  <c r="K47" i="2"/>
  <c r="E63" i="2"/>
  <c r="K47" i="4" l="1"/>
  <c r="AC12" i="3"/>
  <c r="AB12" i="3"/>
  <c r="K49" i="4"/>
  <c r="S13" i="3"/>
  <c r="T13" i="3"/>
  <c r="R13" i="3"/>
  <c r="K50" i="2"/>
  <c r="U13" i="3"/>
  <c r="Q25" i="3"/>
  <c r="K49" i="2"/>
  <c r="O46" i="3"/>
  <c r="K48" i="2"/>
  <c r="AC13" i="3" l="1"/>
  <c r="AB13" i="3"/>
  <c r="U78" i="2" l="1"/>
</calcChain>
</file>

<file path=xl/sharedStrings.xml><?xml version="1.0" encoding="utf-8"?>
<sst xmlns="http://schemas.openxmlformats.org/spreadsheetml/2006/main" count="51" uniqueCount="30">
  <si>
    <t>Last</t>
  </si>
  <si>
    <t>Bid</t>
  </si>
  <si>
    <t>Ask</t>
  </si>
  <si>
    <t>S</t>
  </si>
  <si>
    <t>Symbol</t>
  </si>
  <si>
    <t>Open</t>
  </si>
  <si>
    <t>High</t>
  </si>
  <si>
    <t>Low</t>
  </si>
  <si>
    <t>Net</t>
  </si>
  <si>
    <t>LastTradeorSettle</t>
  </si>
  <si>
    <t>NetLastQuoteToday</t>
  </si>
  <si>
    <t>NC</t>
  </si>
  <si>
    <t>%NC</t>
  </si>
  <si>
    <t>Designed by Thom Hartle</t>
  </si>
  <si>
    <t>Split B&amp;A</t>
  </si>
  <si>
    <t>T</t>
  </si>
  <si>
    <t>Symbol Check</t>
  </si>
  <si>
    <t xml:space="preserve">  </t>
  </si>
  <si>
    <t>Daily Total Volume</t>
  </si>
  <si>
    <t>Other Markets</t>
  </si>
  <si>
    <t>Chicago</t>
  </si>
  <si>
    <t>Volume</t>
  </si>
  <si>
    <t>KCE</t>
  </si>
  <si>
    <t>SBE</t>
  </si>
  <si>
    <t>CTE</t>
  </si>
  <si>
    <t>CCE</t>
  </si>
  <si>
    <t>OJE</t>
  </si>
  <si>
    <t>New York</t>
  </si>
  <si>
    <t>CQG ICE Cocoa Exchange Traded Spreads Dashboard</t>
  </si>
  <si>
    <t xml:space="preserve">  Copyright ©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</si>
</sst>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0"/>
    <numFmt numFmtId="165" formatCode="0.000"/>
    <numFmt numFmtId="166" formatCode="[$-409]h:mm:ss\ AM/PM;@"/>
    <numFmt numFmtId="167" formatCode="[$-F400]h:mm:ss\ AM/PM"/>
    <numFmt numFmtId="168" formatCode="h:mm;@"/>
  </numFmts>
  <fonts count="22" x14ac:knownFonts="1">
    <font>
      <sz val="11"/>
      <color theme="1"/>
      <name val="Tahoma"/>
      <family val="2"/>
    </font>
    <font>
      <sz val="11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1"/>
      <color theme="1"/>
      <name val="Calibri"/>
      <family val="2"/>
    </font>
    <font>
      <sz val="11"/>
      <color theme="0"/>
      <name val="Century Gothic"/>
      <family val="2"/>
    </font>
    <font>
      <sz val="9.5"/>
      <color theme="0"/>
      <name val="Century Gothic"/>
      <family val="2"/>
    </font>
    <font>
      <sz val="9.5"/>
      <color theme="1"/>
      <name val="Century Gothic"/>
      <family val="2"/>
    </font>
    <font>
      <sz val="16"/>
      <color theme="0"/>
      <name val="Century Gothic"/>
      <family val="2"/>
    </font>
    <font>
      <sz val="18"/>
      <color theme="0"/>
      <name val="Century Gothic"/>
      <family val="2"/>
    </font>
    <font>
      <sz val="24"/>
      <color theme="0"/>
      <name val="Century Gothic"/>
      <family val="2"/>
    </font>
    <font>
      <sz val="8"/>
      <color theme="0"/>
      <name val="Century Gothic"/>
      <family val="2"/>
    </font>
    <font>
      <sz val="22"/>
      <color rgb="FF00B050"/>
      <name val="Century Gothic"/>
      <family val="2"/>
    </font>
    <font>
      <sz val="14"/>
      <color theme="0"/>
      <name val="Century Gothic"/>
      <family val="2"/>
    </font>
    <font>
      <sz val="9.5"/>
      <color theme="1"/>
      <name val="Cambria"/>
      <family val="1"/>
    </font>
    <font>
      <sz val="22"/>
      <color theme="1"/>
      <name val="Cambria"/>
      <family val="1"/>
    </font>
    <font>
      <sz val="11"/>
      <color theme="1"/>
      <name val="Cambria"/>
      <family val="1"/>
    </font>
    <font>
      <sz val="14"/>
      <color theme="1"/>
      <name val="Cambria"/>
      <family val="1"/>
    </font>
    <font>
      <sz val="16"/>
      <color theme="1"/>
      <name val="Cambria"/>
      <family val="1"/>
    </font>
    <font>
      <sz val="18"/>
      <color theme="1"/>
      <name val="Cambria"/>
      <family val="1"/>
    </font>
    <font>
      <sz val="24"/>
      <color theme="1"/>
      <name val="Cambria"/>
      <family val="1"/>
    </font>
    <font>
      <sz val="8"/>
      <color theme="1"/>
      <name val="Cambria"/>
      <family val="1"/>
    </font>
  </fonts>
  <fills count="1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gradientFill degree="90">
        <stop position="0">
          <color theme="1"/>
        </stop>
        <stop position="0.5">
          <color theme="1" tint="0.25098422193060094"/>
        </stop>
        <stop position="1">
          <color theme="1"/>
        </stop>
      </gradientFill>
    </fill>
    <fill>
      <patternFill patternType="solid">
        <fgColor theme="1"/>
        <bgColor auto="1"/>
      </patternFill>
    </fill>
    <fill>
      <gradientFill degree="90">
        <stop position="0">
          <color theme="1" tint="0.25098422193060094"/>
        </stop>
        <stop position="0.5">
          <color theme="1"/>
        </stop>
        <stop position="1">
          <color theme="1" tint="0.25098422193060094"/>
        </stop>
      </gradientFill>
    </fill>
    <fill>
      <gradientFill degree="90">
        <stop position="0">
          <color theme="4"/>
        </stop>
        <stop position="0.5">
          <color theme="0"/>
        </stop>
        <stop position="1">
          <color theme="4"/>
        </stop>
      </gradient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1">
          <color rgb="FFFF0000"/>
        </stop>
      </gradientFill>
    </fill>
    <fill>
      <gradientFill degree="270">
        <stop position="0">
          <color theme="1"/>
        </stop>
        <stop position="1">
          <color rgb="FF00B050"/>
        </stop>
      </gradient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</fills>
  <borders count="30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/>
      <top/>
      <bottom style="medium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/>
      <top/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/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/>
      <right style="thin">
        <color theme="4"/>
      </right>
      <top/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 style="thin">
        <color theme="4"/>
      </left>
      <right/>
      <top/>
      <bottom/>
      <diagonal/>
    </border>
    <border>
      <left style="thin">
        <color theme="3"/>
      </left>
      <right style="thin">
        <color theme="4"/>
      </right>
      <top style="medium">
        <color theme="3"/>
      </top>
      <bottom style="thin">
        <color theme="3"/>
      </bottom>
      <diagonal/>
    </border>
    <border>
      <left style="thin">
        <color theme="3"/>
      </left>
      <right style="thin">
        <color theme="4"/>
      </right>
      <top style="thin">
        <color theme="3"/>
      </top>
      <bottom style="thin">
        <color theme="3"/>
      </bottom>
      <diagonal/>
    </border>
  </borders>
  <cellStyleXfs count="2">
    <xf numFmtId="0" fontId="0" fillId="0" borderId="0"/>
    <xf numFmtId="0" fontId="2" fillId="0" borderId="0"/>
  </cellStyleXfs>
  <cellXfs count="179">
    <xf numFmtId="0" fontId="0" fillId="0" borderId="0" xfId="0"/>
    <xf numFmtId="0" fontId="1" fillId="6" borderId="1" xfId="0" applyFont="1" applyFill="1" applyBorder="1" applyAlignment="1">
      <alignment horizontal="center" shrinkToFit="1"/>
    </xf>
    <xf numFmtId="2" fontId="1" fillId="6" borderId="1" xfId="0" applyNumberFormat="1" applyFont="1" applyFill="1" applyBorder="1" applyAlignment="1">
      <alignment horizontal="center" shrinkToFit="1"/>
    </xf>
    <xf numFmtId="0" fontId="1" fillId="6" borderId="2" xfId="0" applyFont="1" applyFill="1" applyBorder="1" applyAlignment="1">
      <alignment horizontal="center" shrinkToFit="1"/>
    </xf>
    <xf numFmtId="2" fontId="1" fillId="6" borderId="5" xfId="0" applyNumberFormat="1" applyFont="1" applyFill="1" applyBorder="1" applyAlignment="1">
      <alignment horizontal="center" shrinkToFit="1"/>
    </xf>
    <xf numFmtId="0" fontId="1" fillId="6" borderId="5" xfId="0" applyFont="1" applyFill="1" applyBorder="1" applyAlignment="1">
      <alignment horizontal="center" shrinkToFit="1"/>
    </xf>
    <xf numFmtId="0" fontId="6" fillId="2" borderId="0" xfId="0" applyFont="1" applyFill="1" applyAlignment="1">
      <alignment shrinkToFit="1"/>
    </xf>
    <xf numFmtId="0" fontId="6" fillId="2" borderId="0" xfId="0" applyFont="1" applyFill="1"/>
    <xf numFmtId="0" fontId="6" fillId="2" borderId="0" xfId="0" applyFont="1" applyFill="1" applyAlignment="1">
      <alignment horizontal="right"/>
    </xf>
    <xf numFmtId="2" fontId="6" fillId="2" borderId="0" xfId="0" applyNumberFormat="1" applyFont="1" applyFill="1" applyAlignment="1">
      <alignment horizontal="right"/>
    </xf>
    <xf numFmtId="0" fontId="7" fillId="2" borderId="0" xfId="0" applyFont="1" applyFill="1"/>
    <xf numFmtId="0" fontId="6" fillId="2" borderId="13" xfId="0" applyFont="1" applyFill="1" applyBorder="1"/>
    <xf numFmtId="0" fontId="6" fillId="2" borderId="0" xfId="0" applyFont="1" applyFill="1" applyBorder="1"/>
    <xf numFmtId="0" fontId="6" fillId="2" borderId="14" xfId="0" applyFont="1" applyFill="1" applyBorder="1"/>
    <xf numFmtId="0" fontId="6" fillId="2" borderId="25" xfId="0" applyFont="1" applyFill="1" applyBorder="1"/>
    <xf numFmtId="0" fontId="7" fillId="2" borderId="25" xfId="0" applyFont="1" applyFill="1" applyBorder="1"/>
    <xf numFmtId="0" fontId="5" fillId="8" borderId="11" xfId="0" applyFont="1" applyFill="1" applyBorder="1" applyAlignment="1">
      <alignment horizontal="center" shrinkToFit="1"/>
    </xf>
    <xf numFmtId="0" fontId="5" fillId="8" borderId="11" xfId="0" applyFont="1" applyFill="1" applyBorder="1" applyAlignment="1">
      <alignment shrinkToFit="1"/>
    </xf>
    <xf numFmtId="2" fontId="5" fillId="2" borderId="1" xfId="0" applyNumberFormat="1" applyFont="1" applyFill="1" applyBorder="1" applyAlignment="1">
      <alignment horizontal="center" shrinkToFit="1"/>
    </xf>
    <xf numFmtId="3" fontId="5" fillId="2" borderId="1" xfId="0" applyNumberFormat="1" applyFont="1" applyFill="1" applyBorder="1" applyAlignment="1">
      <alignment horizontal="center" shrinkToFit="1"/>
    </xf>
    <xf numFmtId="0" fontId="5" fillId="8" borderId="1" xfId="0" applyFont="1" applyFill="1" applyBorder="1" applyAlignment="1">
      <alignment horizontal="center" shrinkToFit="1"/>
    </xf>
    <xf numFmtId="2" fontId="5" fillId="8" borderId="1" xfId="0" applyNumberFormat="1" applyFont="1" applyFill="1" applyBorder="1" applyAlignment="1">
      <alignment horizontal="center" shrinkToFit="1"/>
    </xf>
    <xf numFmtId="2" fontId="5" fillId="2" borderId="0" xfId="0" applyNumberFormat="1" applyFont="1" applyFill="1" applyBorder="1" applyAlignment="1">
      <alignment horizontal="center" shrinkToFit="1"/>
    </xf>
    <xf numFmtId="2" fontId="5" fillId="2" borderId="0" xfId="0" applyNumberFormat="1" applyFont="1" applyFill="1" applyAlignment="1">
      <alignment horizontal="center" shrinkToFit="1"/>
    </xf>
    <xf numFmtId="0" fontId="5" fillId="2" borderId="0" xfId="0" applyFont="1" applyFill="1" applyAlignment="1">
      <alignment horizontal="center" shrinkToFit="1"/>
    </xf>
    <xf numFmtId="2" fontId="5" fillId="4" borderId="6" xfId="0" applyNumberFormat="1" applyFont="1" applyFill="1" applyBorder="1" applyAlignment="1">
      <alignment horizontal="center" shrinkToFit="1"/>
    </xf>
    <xf numFmtId="1" fontId="5" fillId="4" borderId="6" xfId="0" applyNumberFormat="1" applyFont="1" applyFill="1" applyBorder="1" applyAlignment="1" applyProtection="1">
      <alignment horizontal="center" shrinkToFit="1"/>
    </xf>
    <xf numFmtId="1" fontId="5" fillId="4" borderId="0" xfId="0" applyNumberFormat="1" applyFont="1" applyFill="1" applyBorder="1" applyAlignment="1" applyProtection="1">
      <alignment horizontal="center" shrinkToFit="1"/>
    </xf>
    <xf numFmtId="2" fontId="5" fillId="4" borderId="0" xfId="0" applyNumberFormat="1" applyFont="1" applyFill="1" applyBorder="1" applyAlignment="1">
      <alignment horizontal="center" shrinkToFit="1"/>
    </xf>
    <xf numFmtId="0" fontId="5" fillId="8" borderId="4" xfId="0" applyFont="1" applyFill="1" applyBorder="1" applyAlignment="1">
      <alignment horizontal="center" shrinkToFit="1"/>
    </xf>
    <xf numFmtId="0" fontId="5" fillId="8" borderId="2" xfId="0" applyFont="1" applyFill="1" applyBorder="1" applyAlignment="1">
      <alignment horizontal="center" shrinkToFit="1"/>
    </xf>
    <xf numFmtId="2" fontId="5" fillId="3" borderId="1" xfId="0" applyNumberFormat="1" applyFont="1" applyFill="1" applyBorder="1" applyAlignment="1">
      <alignment horizontal="center" shrinkToFit="1"/>
    </xf>
    <xf numFmtId="0" fontId="5" fillId="3" borderId="1" xfId="0" applyFont="1" applyFill="1" applyBorder="1" applyAlignment="1">
      <alignment horizontal="center" shrinkToFit="1"/>
    </xf>
    <xf numFmtId="0" fontId="5" fillId="2" borderId="1" xfId="0" applyFont="1" applyFill="1" applyBorder="1" applyAlignment="1" applyProtection="1">
      <alignment horizontal="center" shrinkToFit="1"/>
      <protection locked="0"/>
    </xf>
    <xf numFmtId="10" fontId="5" fillId="2" borderId="1" xfId="0" applyNumberFormat="1" applyFont="1" applyFill="1" applyBorder="1" applyAlignment="1">
      <alignment horizontal="center" shrinkToFit="1"/>
    </xf>
    <xf numFmtId="2" fontId="5" fillId="2" borderId="1" xfId="0" applyNumberFormat="1" applyFont="1" applyFill="1" applyBorder="1" applyAlignment="1" applyProtection="1">
      <alignment horizontal="center" shrinkToFit="1"/>
      <protection locked="0"/>
    </xf>
    <xf numFmtId="3" fontId="5" fillId="2" borderId="3" xfId="0" applyNumberFormat="1" applyFont="1" applyFill="1" applyBorder="1" applyAlignment="1">
      <alignment horizontal="center" shrinkToFit="1"/>
    </xf>
    <xf numFmtId="0" fontId="5" fillId="2" borderId="0" xfId="0" applyFont="1" applyFill="1" applyAlignment="1">
      <alignment shrinkToFit="1"/>
    </xf>
    <xf numFmtId="2" fontId="5" fillId="11" borderId="20" xfId="0" applyNumberFormat="1" applyFont="1" applyFill="1" applyBorder="1" applyAlignment="1">
      <alignment horizontal="center" shrinkToFit="1"/>
    </xf>
    <xf numFmtId="2" fontId="8" fillId="12" borderId="1" xfId="0" applyNumberFormat="1" applyFont="1" applyFill="1" applyBorder="1" applyAlignment="1">
      <alignment horizontal="center" vertical="center" shrinkToFit="1"/>
    </xf>
    <xf numFmtId="2" fontId="8" fillId="13" borderId="1" xfId="0" applyNumberFormat="1" applyFont="1" applyFill="1" applyBorder="1" applyAlignment="1">
      <alignment horizontal="center" vertical="center" shrinkToFit="1"/>
    </xf>
    <xf numFmtId="3" fontId="7" fillId="2" borderId="0" xfId="0" applyNumberFormat="1" applyFont="1" applyFill="1"/>
    <xf numFmtId="14" fontId="11" fillId="9" borderId="3" xfId="0" applyNumberFormat="1" applyFont="1" applyFill="1" applyBorder="1" applyAlignment="1">
      <alignment horizontal="center" shrinkToFit="1"/>
    </xf>
    <xf numFmtId="0" fontId="11" fillId="9" borderId="1" xfId="1" applyFont="1" applyFill="1" applyBorder="1" applyAlignment="1">
      <alignment vertical="center" shrinkToFit="1"/>
    </xf>
    <xf numFmtId="2" fontId="5" fillId="4" borderId="1" xfId="0" applyNumberFormat="1" applyFont="1" applyFill="1" applyBorder="1" applyAlignment="1" applyProtection="1">
      <alignment horizontal="center" shrinkToFit="1"/>
    </xf>
    <xf numFmtId="0" fontId="5" fillId="2" borderId="1" xfId="0" applyFont="1" applyFill="1" applyBorder="1" applyAlignment="1">
      <alignment horizontal="center" vertical="center" shrinkToFit="1"/>
    </xf>
    <xf numFmtId="2" fontId="5" fillId="2" borderId="1" xfId="0" applyNumberFormat="1" applyFont="1" applyFill="1" applyBorder="1" applyAlignment="1">
      <alignment horizontal="center" vertical="center" shrinkToFit="1"/>
    </xf>
    <xf numFmtId="1" fontId="5" fillId="2" borderId="1" xfId="0" applyNumberFormat="1" applyFont="1" applyFill="1" applyBorder="1" applyAlignment="1">
      <alignment horizontal="center" vertical="center" shrinkToFit="1"/>
    </xf>
    <xf numFmtId="1" fontId="5" fillId="2" borderId="1" xfId="0" applyNumberFormat="1" applyFont="1" applyFill="1" applyBorder="1" applyAlignment="1">
      <alignment horizontal="center" shrinkToFit="1"/>
    </xf>
    <xf numFmtId="0" fontId="5" fillId="8" borderId="23" xfId="0" applyFont="1" applyFill="1" applyBorder="1" applyAlignment="1">
      <alignment horizontal="center" shrinkToFit="1"/>
    </xf>
    <xf numFmtId="0" fontId="1" fillId="6" borderId="18" xfId="0" applyFont="1" applyFill="1" applyBorder="1" applyAlignment="1">
      <alignment horizontal="center" shrinkToFit="1"/>
    </xf>
    <xf numFmtId="2" fontId="5" fillId="2" borderId="18" xfId="0" applyNumberFormat="1" applyFont="1" applyFill="1" applyBorder="1" applyAlignment="1">
      <alignment horizontal="center" shrinkToFit="1"/>
    </xf>
    <xf numFmtId="3" fontId="5" fillId="2" borderId="18" xfId="0" applyNumberFormat="1" applyFont="1" applyFill="1" applyBorder="1" applyAlignment="1">
      <alignment horizontal="center" shrinkToFit="1"/>
    </xf>
    <xf numFmtId="0" fontId="5" fillId="8" borderId="18" xfId="0" applyFont="1" applyFill="1" applyBorder="1" applyAlignment="1">
      <alignment horizontal="center" shrinkToFit="1"/>
    </xf>
    <xf numFmtId="2" fontId="1" fillId="6" borderId="18" xfId="0" applyNumberFormat="1" applyFont="1" applyFill="1" applyBorder="1" applyAlignment="1">
      <alignment horizontal="center" shrinkToFit="1"/>
    </xf>
    <xf numFmtId="2" fontId="1" fillId="6" borderId="2" xfId="0" applyNumberFormat="1" applyFont="1" applyFill="1" applyBorder="1" applyAlignment="1">
      <alignment horizontal="center" shrinkToFit="1"/>
    </xf>
    <xf numFmtId="0" fontId="5" fillId="4" borderId="27" xfId="0" applyFont="1" applyFill="1" applyBorder="1" applyAlignment="1">
      <alignment horizontal="center" shrinkToFit="1"/>
    </xf>
    <xf numFmtId="0" fontId="5" fillId="4" borderId="0" xfId="0" applyFont="1" applyFill="1" applyBorder="1" applyAlignment="1">
      <alignment horizontal="center" shrinkToFit="1"/>
    </xf>
    <xf numFmtId="0" fontId="1" fillId="4" borderId="27" xfId="0" applyFont="1" applyFill="1" applyBorder="1" applyAlignment="1">
      <alignment horizontal="center" shrinkToFit="1"/>
    </xf>
    <xf numFmtId="0" fontId="1" fillId="4" borderId="0" xfId="0" applyFont="1" applyFill="1" applyBorder="1" applyAlignment="1">
      <alignment horizontal="center" shrinkToFit="1"/>
    </xf>
    <xf numFmtId="2" fontId="5" fillId="4" borderId="27" xfId="0" applyNumberFormat="1" applyFont="1" applyFill="1" applyBorder="1" applyAlignment="1">
      <alignment horizontal="center" shrinkToFit="1"/>
    </xf>
    <xf numFmtId="3" fontId="5" fillId="4" borderId="27" xfId="0" applyNumberFormat="1" applyFont="1" applyFill="1" applyBorder="1" applyAlignment="1">
      <alignment horizontal="center" shrinkToFit="1"/>
    </xf>
    <xf numFmtId="3" fontId="5" fillId="4" borderId="0" xfId="0" applyNumberFormat="1" applyFont="1" applyFill="1" applyBorder="1" applyAlignment="1">
      <alignment horizontal="center" shrinkToFit="1"/>
    </xf>
    <xf numFmtId="2" fontId="1" fillId="4" borderId="27" xfId="0" applyNumberFormat="1" applyFont="1" applyFill="1" applyBorder="1" applyAlignment="1">
      <alignment horizontal="center" shrinkToFit="1"/>
    </xf>
    <xf numFmtId="2" fontId="1" fillId="4" borderId="0" xfId="0" applyNumberFormat="1" applyFont="1" applyFill="1" applyBorder="1" applyAlignment="1">
      <alignment horizontal="center" shrinkToFit="1"/>
    </xf>
    <xf numFmtId="0" fontId="5" fillId="4" borderId="0" xfId="0" applyFont="1" applyFill="1" applyBorder="1" applyAlignment="1">
      <alignment shrinkToFit="1"/>
    </xf>
    <xf numFmtId="0" fontId="5" fillId="2" borderId="0" xfId="0" applyFont="1" applyFill="1" applyBorder="1" applyAlignment="1">
      <alignment shrinkToFit="1"/>
    </xf>
    <xf numFmtId="0" fontId="11" fillId="4" borderId="0" xfId="1" applyFont="1" applyFill="1" applyBorder="1" applyAlignment="1">
      <alignment vertical="center" shrinkToFit="1"/>
    </xf>
    <xf numFmtId="14" fontId="11" fillId="4" borderId="0" xfId="0" applyNumberFormat="1" applyFont="1" applyFill="1" applyBorder="1" applyAlignment="1">
      <alignment horizontal="center" shrinkToFit="1"/>
    </xf>
    <xf numFmtId="0" fontId="6" fillId="2" borderId="0" xfId="0" applyFont="1" applyFill="1" applyBorder="1" applyAlignment="1">
      <alignment shrinkToFit="1"/>
    </xf>
    <xf numFmtId="2" fontId="6" fillId="2" borderId="0" xfId="0" applyNumberFormat="1" applyFont="1" applyFill="1" applyBorder="1" applyAlignment="1">
      <alignment horizontal="right"/>
    </xf>
    <xf numFmtId="0" fontId="5" fillId="2" borderId="13" xfId="0" applyFont="1" applyFill="1" applyBorder="1" applyAlignment="1">
      <alignment horizontal="center" vertical="center" shrinkToFit="1"/>
    </xf>
    <xf numFmtId="2" fontId="5" fillId="2" borderId="13" xfId="0" applyNumberFormat="1" applyFont="1" applyFill="1" applyBorder="1" applyAlignment="1">
      <alignment horizontal="center" vertical="center" shrinkToFit="1"/>
    </xf>
    <xf numFmtId="2" fontId="5" fillId="2" borderId="13" xfId="0" applyNumberFormat="1" applyFont="1" applyFill="1" applyBorder="1" applyAlignment="1">
      <alignment horizontal="center" shrinkToFit="1"/>
    </xf>
    <xf numFmtId="0" fontId="5" fillId="2" borderId="13" xfId="0" applyFont="1" applyFill="1" applyBorder="1" applyAlignment="1">
      <alignment shrinkToFit="1"/>
    </xf>
    <xf numFmtId="0" fontId="5" fillId="4" borderId="13" xfId="0" applyFont="1" applyFill="1" applyBorder="1" applyAlignment="1">
      <alignment shrinkToFit="1"/>
    </xf>
    <xf numFmtId="0" fontId="5" fillId="4" borderId="13" xfId="0" applyFont="1" applyFill="1" applyBorder="1" applyAlignment="1">
      <alignment horizontal="center" shrinkToFit="1"/>
    </xf>
    <xf numFmtId="3" fontId="7" fillId="2" borderId="13" xfId="0" applyNumberFormat="1" applyFont="1" applyFill="1" applyBorder="1"/>
    <xf numFmtId="3" fontId="6" fillId="2" borderId="0" xfId="0" applyNumberFormat="1" applyFont="1" applyFill="1"/>
    <xf numFmtId="2" fontId="5" fillId="2" borderId="28" xfId="0" applyNumberFormat="1" applyFont="1" applyFill="1" applyBorder="1" applyAlignment="1">
      <alignment horizontal="center" shrinkToFit="1"/>
    </xf>
    <xf numFmtId="2" fontId="5" fillId="2" borderId="29" xfId="0" applyNumberFormat="1" applyFont="1" applyFill="1" applyBorder="1" applyAlignment="1">
      <alignment horizontal="center" shrinkToFit="1"/>
    </xf>
    <xf numFmtId="3" fontId="5" fillId="2" borderId="29" xfId="0" applyNumberFormat="1" applyFont="1" applyFill="1" applyBorder="1" applyAlignment="1">
      <alignment horizontal="center" shrinkToFit="1"/>
    </xf>
    <xf numFmtId="2" fontId="5" fillId="2" borderId="25" xfId="0" applyNumberFormat="1" applyFont="1" applyFill="1" applyBorder="1" applyAlignment="1">
      <alignment horizontal="center" shrinkToFit="1"/>
    </xf>
    <xf numFmtId="0" fontId="5" fillId="2" borderId="25" xfId="0" applyFont="1" applyFill="1" applyBorder="1" applyAlignment="1">
      <alignment horizontal="center" shrinkToFit="1"/>
    </xf>
    <xf numFmtId="0" fontId="5" fillId="2" borderId="17" xfId="0" applyFont="1" applyFill="1" applyBorder="1" applyAlignment="1">
      <alignment horizontal="center" shrinkToFit="1"/>
    </xf>
    <xf numFmtId="0" fontId="0" fillId="2" borderId="0" xfId="0" applyFont="1" applyFill="1" applyAlignment="1">
      <alignment horizontal="center"/>
    </xf>
    <xf numFmtId="0" fontId="0" fillId="2" borderId="0" xfId="0" applyFont="1" applyFill="1"/>
    <xf numFmtId="0" fontId="3" fillId="2" borderId="0" xfId="0" applyFont="1" applyFill="1"/>
    <xf numFmtId="2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2" fontId="3" fillId="2" borderId="0" xfId="0" applyNumberFormat="1" applyFont="1" applyFill="1"/>
    <xf numFmtId="2" fontId="0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right"/>
    </xf>
    <xf numFmtId="165" fontId="3" fillId="2" borderId="0" xfId="0" applyNumberFormat="1" applyFont="1" applyFill="1"/>
    <xf numFmtId="2" fontId="0" fillId="2" borderId="0" xfId="0" applyNumberFormat="1" applyFont="1" applyFill="1"/>
    <xf numFmtId="168" fontId="0" fillId="2" borderId="0" xfId="0" applyNumberFormat="1" applyFont="1" applyFill="1"/>
    <xf numFmtId="20" fontId="0" fillId="2" borderId="0" xfId="0" applyNumberFormat="1" applyFont="1" applyFill="1"/>
    <xf numFmtId="0" fontId="0" fillId="2" borderId="0" xfId="0" applyFont="1" applyFill="1" applyAlignment="1">
      <alignment horizontal="right"/>
    </xf>
    <xf numFmtId="0" fontId="4" fillId="2" borderId="0" xfId="0" applyFont="1" applyFill="1" applyAlignment="1">
      <alignment vertical="center"/>
    </xf>
    <xf numFmtId="0" fontId="14" fillId="2" borderId="0" xfId="0" applyFont="1" applyFill="1" applyBorder="1"/>
    <xf numFmtId="0" fontId="14" fillId="2" borderId="0" xfId="0" applyFont="1" applyFill="1" applyBorder="1" applyAlignment="1">
      <alignment shrinkToFit="1"/>
    </xf>
    <xf numFmtId="0" fontId="15" fillId="2" borderId="0" xfId="0" applyFont="1" applyFill="1" applyBorder="1" applyAlignment="1">
      <alignment vertical="center" shrinkToFit="1"/>
    </xf>
    <xf numFmtId="0" fontId="16" fillId="2" borderId="0" xfId="0" applyFont="1" applyFill="1" applyBorder="1" applyAlignment="1">
      <alignment horizontal="center" shrinkToFit="1"/>
    </xf>
    <xf numFmtId="0" fontId="16" fillId="2" borderId="0" xfId="0" applyFont="1" applyFill="1" applyBorder="1" applyAlignment="1">
      <alignment shrinkToFit="1"/>
    </xf>
    <xf numFmtId="0" fontId="14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center" shrinkToFit="1"/>
    </xf>
    <xf numFmtId="2" fontId="14" fillId="2" borderId="0" xfId="0" applyNumberFormat="1" applyFont="1" applyFill="1" applyBorder="1" applyAlignment="1">
      <alignment horizontal="right"/>
    </xf>
    <xf numFmtId="1" fontId="16" fillId="2" borderId="0" xfId="0" applyNumberFormat="1" applyFont="1" applyFill="1" applyBorder="1" applyAlignment="1">
      <alignment horizontal="center" shrinkToFit="1"/>
    </xf>
    <xf numFmtId="3" fontId="16" fillId="2" borderId="0" xfId="0" applyNumberFormat="1" applyFont="1" applyFill="1" applyBorder="1" applyAlignment="1">
      <alignment horizontal="center" shrinkToFit="1"/>
    </xf>
    <xf numFmtId="2" fontId="16" fillId="2" borderId="0" xfId="0" applyNumberFormat="1" applyFont="1" applyFill="1" applyBorder="1" applyAlignment="1" applyProtection="1">
      <alignment horizontal="center" shrinkToFit="1"/>
    </xf>
    <xf numFmtId="1" fontId="16" fillId="2" borderId="0" xfId="0" applyNumberFormat="1" applyFont="1" applyFill="1" applyBorder="1" applyAlignment="1" applyProtection="1">
      <alignment horizontal="center" shrinkToFit="1"/>
    </xf>
    <xf numFmtId="0" fontId="16" fillId="2" borderId="0" xfId="0" applyFont="1" applyFill="1" applyBorder="1" applyAlignment="1" applyProtection="1">
      <alignment horizontal="center" shrinkToFit="1"/>
      <protection locked="0"/>
    </xf>
    <xf numFmtId="2" fontId="16" fillId="2" borderId="0" xfId="0" applyNumberFormat="1" applyFont="1" applyFill="1" applyBorder="1" applyAlignment="1" applyProtection="1">
      <alignment horizontal="center" shrinkToFit="1"/>
      <protection locked="0"/>
    </xf>
    <xf numFmtId="10" fontId="16" fillId="2" borderId="0" xfId="0" applyNumberFormat="1" applyFont="1" applyFill="1" applyBorder="1" applyAlignment="1">
      <alignment horizontal="center" shrinkToFit="1"/>
    </xf>
    <xf numFmtId="2" fontId="18" fillId="2" borderId="0" xfId="0" applyNumberFormat="1" applyFont="1" applyFill="1" applyBorder="1" applyAlignment="1">
      <alignment horizontal="center" vertical="center" shrinkToFit="1"/>
    </xf>
    <xf numFmtId="3" fontId="14" fillId="2" borderId="0" xfId="0" applyNumberFormat="1" applyFont="1" applyFill="1" applyBorder="1"/>
    <xf numFmtId="0" fontId="21" fillId="2" borderId="0" xfId="1" applyFont="1" applyFill="1" applyBorder="1" applyAlignment="1">
      <alignment vertical="center" shrinkToFit="1"/>
    </xf>
    <xf numFmtId="14" fontId="21" fillId="2" borderId="0" xfId="0" applyNumberFormat="1" applyFont="1" applyFill="1" applyBorder="1" applyAlignment="1">
      <alignment horizontal="center" shrinkToFit="1"/>
    </xf>
    <xf numFmtId="1" fontId="8" fillId="12" borderId="1" xfId="0" applyNumberFormat="1" applyFont="1" applyFill="1" applyBorder="1" applyAlignment="1">
      <alignment horizontal="center" vertical="center" shrinkToFit="1"/>
    </xf>
    <xf numFmtId="164" fontId="8" fillId="12" borderId="1" xfId="0" applyNumberFormat="1" applyFont="1" applyFill="1" applyBorder="1" applyAlignment="1">
      <alignment horizontal="center" vertical="center" shrinkToFit="1"/>
    </xf>
    <xf numFmtId="164" fontId="9" fillId="4" borderId="21" xfId="0" applyNumberFormat="1" applyFont="1" applyFill="1" applyBorder="1" applyAlignment="1">
      <alignment horizontal="center" vertical="center" shrinkToFit="1"/>
    </xf>
    <xf numFmtId="164" fontId="9" fillId="4" borderId="7" xfId="0" applyNumberFormat="1" applyFont="1" applyFill="1" applyBorder="1" applyAlignment="1">
      <alignment horizontal="center" vertical="center" shrinkToFit="1"/>
    </xf>
    <xf numFmtId="164" fontId="9" fillId="4" borderId="8" xfId="0" applyNumberFormat="1" applyFont="1" applyFill="1" applyBorder="1" applyAlignment="1">
      <alignment horizontal="center" vertical="center" shrinkToFit="1"/>
    </xf>
    <xf numFmtId="164" fontId="9" fillId="4" borderId="9" xfId="0" applyNumberFormat="1" applyFont="1" applyFill="1" applyBorder="1" applyAlignment="1">
      <alignment horizontal="center" vertical="center" shrinkToFit="1"/>
    </xf>
    <xf numFmtId="164" fontId="9" fillId="4" borderId="0" xfId="0" applyNumberFormat="1" applyFont="1" applyFill="1" applyBorder="1" applyAlignment="1">
      <alignment horizontal="center" vertical="center" shrinkToFit="1"/>
    </xf>
    <xf numFmtId="164" fontId="9" fillId="4" borderId="22" xfId="0" applyNumberFormat="1" applyFont="1" applyFill="1" applyBorder="1" applyAlignment="1">
      <alignment horizontal="center" vertical="center" shrinkToFit="1"/>
    </xf>
    <xf numFmtId="22" fontId="11" fillId="4" borderId="0" xfId="0" applyNumberFormat="1" applyFont="1" applyFill="1" applyBorder="1" applyAlignment="1">
      <alignment horizontal="center" shrinkToFit="1"/>
    </xf>
    <xf numFmtId="0" fontId="11" fillId="4" borderId="0" xfId="1" applyFont="1" applyFill="1" applyBorder="1" applyAlignment="1">
      <alignment horizontal="center" vertical="center" shrinkToFit="1"/>
    </xf>
    <xf numFmtId="0" fontId="11" fillId="4" borderId="0" xfId="0" applyFont="1" applyFill="1" applyBorder="1" applyAlignment="1">
      <alignment horizontal="right" shrinkToFit="1"/>
    </xf>
    <xf numFmtId="22" fontId="11" fillId="9" borderId="1" xfId="0" applyNumberFormat="1" applyFont="1" applyFill="1" applyBorder="1" applyAlignment="1">
      <alignment horizontal="center" shrinkToFit="1"/>
    </xf>
    <xf numFmtId="0" fontId="11" fillId="9" borderId="18" xfId="0" applyFont="1" applyFill="1" applyBorder="1" applyAlignment="1">
      <alignment horizontal="right" shrinkToFit="1"/>
    </xf>
    <xf numFmtId="0" fontId="11" fillId="9" borderId="19" xfId="0" applyFont="1" applyFill="1" applyBorder="1" applyAlignment="1">
      <alignment horizontal="right" shrinkToFit="1"/>
    </xf>
    <xf numFmtId="0" fontId="11" fillId="9" borderId="21" xfId="0" applyFont="1" applyFill="1" applyBorder="1" applyAlignment="1">
      <alignment horizontal="center" shrinkToFit="1"/>
    </xf>
    <xf numFmtId="0" fontId="11" fillId="9" borderId="7" xfId="0" applyFont="1" applyFill="1" applyBorder="1" applyAlignment="1">
      <alignment horizontal="center" shrinkToFit="1"/>
    </xf>
    <xf numFmtId="0" fontId="11" fillId="9" borderId="20" xfId="1" applyFont="1" applyFill="1" applyBorder="1" applyAlignment="1">
      <alignment horizontal="center" vertical="center" shrinkToFit="1"/>
    </xf>
    <xf numFmtId="0" fontId="12" fillId="14" borderId="12" xfId="0" applyFont="1" applyFill="1" applyBorder="1" applyAlignment="1">
      <alignment vertical="center" shrinkToFit="1"/>
    </xf>
    <xf numFmtId="0" fontId="0" fillId="14" borderId="13" xfId="0" applyFill="1" applyBorder="1" applyAlignment="1">
      <alignment vertical="center" shrinkToFit="1"/>
    </xf>
    <xf numFmtId="0" fontId="0" fillId="14" borderId="15" xfId="0" applyFill="1" applyBorder="1" applyAlignment="1">
      <alignment vertical="center" shrinkToFit="1"/>
    </xf>
    <xf numFmtId="0" fontId="0" fillId="14" borderId="16" xfId="0" applyFill="1" applyBorder="1" applyAlignment="1">
      <alignment vertical="center" shrinkToFit="1"/>
    </xf>
    <xf numFmtId="167" fontId="12" fillId="7" borderId="13" xfId="0" applyNumberFormat="1" applyFont="1" applyFill="1" applyBorder="1" applyAlignment="1">
      <alignment horizontal="center" vertical="center" shrinkToFit="1"/>
    </xf>
    <xf numFmtId="167" fontId="12" fillId="7" borderId="14" xfId="0" applyNumberFormat="1" applyFont="1" applyFill="1" applyBorder="1" applyAlignment="1">
      <alignment horizontal="center" vertical="center" shrinkToFit="1"/>
    </xf>
    <xf numFmtId="167" fontId="12" fillId="7" borderId="16" xfId="0" applyNumberFormat="1" applyFont="1" applyFill="1" applyBorder="1" applyAlignment="1">
      <alignment horizontal="center" vertical="center" shrinkToFit="1"/>
    </xf>
    <xf numFmtId="167" fontId="12" fillId="7" borderId="17" xfId="0" applyNumberFormat="1" applyFont="1" applyFill="1" applyBorder="1" applyAlignment="1">
      <alignment horizontal="center" vertical="center" shrinkToFit="1"/>
    </xf>
    <xf numFmtId="0" fontId="12" fillId="7" borderId="13" xfId="0" applyFont="1" applyFill="1" applyBorder="1" applyAlignment="1">
      <alignment horizontal="center" vertical="center" shrinkToFit="1"/>
    </xf>
    <xf numFmtId="0" fontId="12" fillId="7" borderId="16" xfId="0" applyFont="1" applyFill="1" applyBorder="1" applyAlignment="1">
      <alignment horizontal="center" vertical="center" shrinkToFit="1"/>
    </xf>
    <xf numFmtId="0" fontId="11" fillId="4" borderId="0" xfId="0" applyFont="1" applyFill="1" applyBorder="1" applyAlignment="1">
      <alignment horizontal="center" shrinkToFit="1"/>
    </xf>
    <xf numFmtId="166" fontId="13" fillId="10" borderId="26" xfId="0" applyNumberFormat="1" applyFont="1" applyFill="1" applyBorder="1" applyAlignment="1">
      <alignment horizontal="center" vertical="center" shrinkToFit="1"/>
    </xf>
    <xf numFmtId="166" fontId="13" fillId="10" borderId="11" xfId="0" applyNumberFormat="1" applyFont="1" applyFill="1" applyBorder="1" applyAlignment="1">
      <alignment horizontal="center" vertical="center" shrinkToFit="1"/>
    </xf>
    <xf numFmtId="2" fontId="5" fillId="8" borderId="18" xfId="0" applyNumberFormat="1" applyFont="1" applyFill="1" applyBorder="1" applyAlignment="1">
      <alignment horizontal="center" shrinkToFit="1"/>
    </xf>
    <xf numFmtId="2" fontId="5" fillId="8" borderId="19" xfId="0" applyNumberFormat="1" applyFont="1" applyFill="1" applyBorder="1" applyAlignment="1">
      <alignment horizontal="center" shrinkToFit="1"/>
    </xf>
    <xf numFmtId="2" fontId="5" fillId="8" borderId="3" xfId="0" applyNumberFormat="1" applyFont="1" applyFill="1" applyBorder="1" applyAlignment="1">
      <alignment horizontal="center" shrinkToFit="1"/>
    </xf>
    <xf numFmtId="1" fontId="10" fillId="4" borderId="9" xfId="0" applyNumberFormat="1" applyFont="1" applyFill="1" applyBorder="1" applyAlignment="1">
      <alignment horizontal="center" vertical="center" shrinkToFit="1"/>
    </xf>
    <xf numFmtId="1" fontId="10" fillId="4" borderId="0" xfId="0" applyNumberFormat="1" applyFont="1" applyFill="1" applyBorder="1" applyAlignment="1">
      <alignment horizontal="center" vertical="center" shrinkToFit="1"/>
    </xf>
    <xf numFmtId="1" fontId="10" fillId="4" borderId="23" xfId="0" applyNumberFormat="1" applyFont="1" applyFill="1" applyBorder="1" applyAlignment="1">
      <alignment horizontal="center" vertical="center" shrinkToFit="1"/>
    </xf>
    <xf numFmtId="1" fontId="10" fillId="4" borderId="10" xfId="0" applyNumberFormat="1" applyFont="1" applyFill="1" applyBorder="1" applyAlignment="1">
      <alignment horizontal="center" vertical="center" shrinkToFit="1"/>
    </xf>
    <xf numFmtId="2" fontId="5" fillId="5" borderId="1" xfId="0" applyNumberFormat="1" applyFont="1" applyFill="1" applyBorder="1" applyAlignment="1">
      <alignment horizontal="center" shrinkToFit="1"/>
    </xf>
    <xf numFmtId="2" fontId="5" fillId="8" borderId="1" xfId="0" applyNumberFormat="1" applyFont="1" applyFill="1" applyBorder="1" applyAlignment="1">
      <alignment horizontal="center" shrinkToFit="1"/>
    </xf>
    <xf numFmtId="165" fontId="10" fillId="4" borderId="22" xfId="0" applyNumberFormat="1" applyFont="1" applyFill="1" applyBorder="1" applyAlignment="1">
      <alignment horizontal="center" vertical="center" shrinkToFit="1"/>
    </xf>
    <xf numFmtId="165" fontId="10" fillId="4" borderId="24" xfId="0" applyNumberFormat="1" applyFont="1" applyFill="1" applyBorder="1" applyAlignment="1">
      <alignment horizontal="center" vertical="center" shrinkToFit="1"/>
    </xf>
    <xf numFmtId="2" fontId="8" fillId="8" borderId="1" xfId="0" applyNumberFormat="1" applyFont="1" applyFill="1" applyBorder="1" applyAlignment="1">
      <alignment horizontal="center" vertical="center" shrinkToFit="1"/>
    </xf>
    <xf numFmtId="2" fontId="8" fillId="13" borderId="1" xfId="0" applyNumberFormat="1" applyFont="1" applyFill="1" applyBorder="1" applyAlignment="1">
      <alignment horizontal="center" vertical="center" shrinkToFit="1"/>
    </xf>
    <xf numFmtId="1" fontId="8" fillId="13" borderId="1" xfId="0" applyNumberFormat="1" applyFont="1" applyFill="1" applyBorder="1" applyAlignment="1">
      <alignment horizontal="center" vertical="center" shrinkToFit="1"/>
    </xf>
    <xf numFmtId="164" fontId="8" fillId="13" borderId="1" xfId="0" applyNumberFormat="1" applyFont="1" applyFill="1" applyBorder="1" applyAlignment="1">
      <alignment horizontal="center" vertical="center" shrinkToFit="1"/>
    </xf>
    <xf numFmtId="2" fontId="8" fillId="12" borderId="1" xfId="0" applyNumberFormat="1" applyFont="1" applyFill="1" applyBorder="1" applyAlignment="1">
      <alignment horizontal="center" vertical="center" shrinkToFit="1"/>
    </xf>
    <xf numFmtId="22" fontId="21" fillId="2" borderId="0" xfId="0" applyNumberFormat="1" applyFont="1" applyFill="1" applyBorder="1" applyAlignment="1">
      <alignment horizontal="center" shrinkToFit="1"/>
    </xf>
    <xf numFmtId="0" fontId="21" fillId="2" borderId="0" xfId="0" applyFont="1" applyFill="1" applyBorder="1" applyAlignment="1">
      <alignment horizontal="right" shrinkToFit="1"/>
    </xf>
    <xf numFmtId="0" fontId="21" fillId="2" borderId="0" xfId="0" applyFont="1" applyFill="1" applyBorder="1" applyAlignment="1">
      <alignment horizontal="center" shrinkToFit="1"/>
    </xf>
    <xf numFmtId="0" fontId="21" fillId="2" borderId="0" xfId="1" applyFont="1" applyFill="1" applyBorder="1" applyAlignment="1">
      <alignment horizontal="center" vertical="center" shrinkToFit="1"/>
    </xf>
    <xf numFmtId="2" fontId="18" fillId="2" borderId="0" xfId="0" applyNumberFormat="1" applyFont="1" applyFill="1" applyBorder="1" applyAlignment="1">
      <alignment horizontal="center" vertical="center" shrinkToFit="1"/>
    </xf>
    <xf numFmtId="1" fontId="18" fillId="2" borderId="0" xfId="0" applyNumberFormat="1" applyFont="1" applyFill="1" applyBorder="1" applyAlignment="1">
      <alignment horizontal="center" vertical="center" shrinkToFit="1"/>
    </xf>
    <xf numFmtId="164" fontId="18" fillId="2" borderId="0" xfId="0" applyNumberFormat="1" applyFont="1" applyFill="1" applyBorder="1" applyAlignment="1">
      <alignment horizontal="center" vertical="center" shrinkToFit="1"/>
    </xf>
    <xf numFmtId="2" fontId="20" fillId="2" borderId="0" xfId="0" applyNumberFormat="1" applyFont="1" applyFill="1" applyBorder="1" applyAlignment="1">
      <alignment horizontal="center" vertical="center" shrinkToFit="1"/>
    </xf>
    <xf numFmtId="165" fontId="20" fillId="2" borderId="0" xfId="0" applyNumberFormat="1" applyFont="1" applyFill="1" applyBorder="1" applyAlignment="1">
      <alignment horizontal="center" vertical="center" shrinkToFit="1"/>
    </xf>
    <xf numFmtId="164" fontId="19" fillId="2" borderId="0" xfId="0" applyNumberFormat="1" applyFont="1" applyFill="1" applyBorder="1" applyAlignment="1">
      <alignment horizontal="center" vertical="center" shrinkToFit="1"/>
    </xf>
    <xf numFmtId="0" fontId="15" fillId="2" borderId="0" xfId="0" applyFont="1" applyFill="1" applyBorder="1" applyAlignment="1">
      <alignment vertical="center" shrinkToFit="1"/>
    </xf>
    <xf numFmtId="0" fontId="16" fillId="2" borderId="0" xfId="0" applyFont="1" applyFill="1" applyBorder="1" applyAlignment="1">
      <alignment vertical="center" shrinkToFit="1"/>
    </xf>
    <xf numFmtId="167" fontId="15" fillId="2" borderId="0" xfId="0" applyNumberFormat="1" applyFont="1" applyFill="1" applyBorder="1" applyAlignment="1">
      <alignment horizontal="center" vertical="center" shrinkToFit="1"/>
    </xf>
    <xf numFmtId="166" fontId="17" fillId="2" borderId="0" xfId="0" applyNumberFormat="1" applyFont="1" applyFill="1" applyBorder="1" applyAlignment="1">
      <alignment horizontal="center" vertical="center" shrinkToFit="1"/>
    </xf>
    <xf numFmtId="2" fontId="16" fillId="2" borderId="0" xfId="0" applyNumberFormat="1" applyFont="1" applyFill="1" applyBorder="1" applyAlignment="1">
      <alignment horizontal="center" shrinkToFit="1"/>
    </xf>
  </cellXfs>
  <cellStyles count="2">
    <cellStyle name="Normal" xfId="0" builtinId="0"/>
    <cellStyle name="Normal 2" xfId="1"/>
  </cellStyles>
  <dxfs count="268"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</dxf>
    <dxf>
      <font>
        <color rgb="FFFF0000"/>
      </font>
    </dxf>
    <dxf>
      <font>
        <color rgb="FFFFFF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rgb="FFFFFF00"/>
      </font>
    </dxf>
    <dxf>
      <font>
        <color rgb="FFFF0000"/>
      </font>
    </dxf>
    <dxf>
      <font>
        <color rgb="FF00B050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FF0000"/>
      </font>
    </dxf>
  </dxfs>
  <tableStyles count="0" defaultTableStyle="TableStyleMedium2" defaultPivotStyle="PivotStyleLight16"/>
  <colors>
    <mruColors>
      <color rgb="FF00000F"/>
      <color rgb="FF006400"/>
      <color rgb="FF7D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0.04</v>
        <stp/>
        <stp>ContractData</stp>
        <stp>SBE</stp>
        <stp>NetLastQuoteToday</stp>
        <stp/>
        <stp>T</stp>
        <tr r="E39" s="2"/>
      </tp>
      <tp t="s">
        <v>Cocoa (ICE) Calendar Spread 8, Mar 18, Sep 19</v>
        <stp/>
        <stp>ContractData</stp>
        <stp>CCES8H8</stp>
        <stp>LongDescription</stp>
        <tr r="K11" s="2"/>
      </tp>
      <tp>
        <v>-0.35000000000000003</v>
        <stp/>
        <stp>ContractData</stp>
        <stp>KCE</stp>
        <stp>NetLastQuoteToday</stp>
        <stp/>
        <stp>T</stp>
        <tr r="E41" s="2"/>
      </tp>
      <tp t="s">
        <v>Cocoa (ICE) Calendar Spread 4, Dec 18, Sep 19</v>
        <stp/>
        <stp>ContractData</stp>
        <stp>CCES4Z8</stp>
        <stp>LongDescription</stp>
        <tr r="K31" s="2"/>
      </tp>
      <tp t="s">
        <v>Cocoa (ICE) Calendar Spread 4, Sep 18, Jul 19</v>
        <stp/>
        <stp>ContractData</stp>
        <stp>CCES4U8</stp>
        <stp>LongDescription</stp>
        <tr r="J26" s="2"/>
      </tp>
      <tp t="s">
        <v>Cocoa (ICE) Calendar Spread 4, Jul 18, May 19</v>
        <stp/>
        <stp>ContractData</stp>
        <stp>CCES4N8</stp>
        <stp>LongDescription</stp>
        <tr r="I21" s="2"/>
      </tp>
      <tp t="s">
        <v>Cocoa (ICE) Calendar Spread 4, May 18, Mar 19</v>
        <stp/>
        <stp>ContractData</stp>
        <stp>CCES4K8</stp>
        <stp>LongDescription</stp>
        <tr r="H16" s="2"/>
      </tp>
      <tp t="s">
        <v>Cocoa (ICE) Calendar Spread 4, Mar 18, Dec 18</v>
        <stp/>
        <stp>ContractData</stp>
        <stp>CCES4H8</stp>
        <stp>LongDescription</stp>
        <tr r="G11" s="2"/>
      </tp>
      <tp t="s">
        <v>Cocoa (ICE) Calendar Spread 5, Sep 18, Sep 19</v>
        <stp/>
        <stp>ContractData</stp>
        <stp>CCES5U8</stp>
        <stp>LongDescription</stp>
        <tr r="K26" s="2"/>
      </tp>
      <tp t="s">
        <v>Cocoa (ICE) Calendar Spread 5, Jul 18, Jul 19</v>
        <stp/>
        <stp>ContractData</stp>
        <stp>CCES5N8</stp>
        <stp>LongDescription</stp>
        <tr r="J21" s="2"/>
      </tp>
      <tp t="s">
        <v>Cocoa (ICE) Calendar Spread 5, May 18, May 19</v>
        <stp/>
        <stp>ContractData</stp>
        <stp>CCES5K8</stp>
        <stp>LongDescription</stp>
        <tr r="I16" s="2"/>
      </tp>
      <tp t="s">
        <v>Cocoa (ICE) Calendar Spread 5, Mar 18, Mar 19</v>
        <stp/>
        <stp>ContractData</stp>
        <stp>CCES5H8</stp>
        <stp>LongDescription</stp>
        <tr r="H11" s="2"/>
      </tp>
      <tp t="s">
        <v>Cocoa (ICE) Calendar Spread 6, Jul 18, Sep 19</v>
        <stp/>
        <stp>ContractData</stp>
        <stp>CCES6N8</stp>
        <stp>LongDescription</stp>
        <tr r="K21" s="2"/>
      </tp>
      <tp t="s">
        <v>Cocoa (ICE) Calendar Spread 6, May 18, Jul 19</v>
        <stp/>
        <stp>ContractData</stp>
        <stp>CCES6K8</stp>
        <stp>LongDescription</stp>
        <tr r="J16" s="2"/>
      </tp>
      <tp t="s">
        <v>Cocoa (ICE) Calendar Spread 6, Mar 18, May 19</v>
        <stp/>
        <stp>ContractData</stp>
        <stp>CCES6H8</stp>
        <stp>LongDescription</stp>
        <tr r="I11" s="2"/>
      </tp>
      <tp t="s">
        <v>Cocoa (ICE) Calendar Spread 7, May 18, Sep 19</v>
        <stp/>
        <stp>ContractData</stp>
        <stp>CCES7K8</stp>
        <stp>LongDescription</stp>
        <tr r="K16" s="2"/>
      </tp>
      <tp t="s">
        <v>Cocoa (ICE) Calendar Spread 7, Mar 18, Jul 19</v>
        <stp/>
        <stp>ContractData</stp>
        <stp>CCES7H8</stp>
        <stp>LongDescription</stp>
        <tr r="J11" s="2"/>
      </tp>
      <tp>
        <v>-0.75</v>
        <stp/>
        <stp>ContractData</stp>
        <stp>OJE</stp>
        <stp>NetLastQuoteToday</stp>
        <stp/>
        <stp>T</stp>
        <tr r="E43" s="2"/>
      </tp>
      <tp>
        <v>72.97</v>
        <stp/>
        <stp>ContractData</stp>
        <stp>CTE</stp>
        <stp>LastTradeorSettle</stp>
        <stp/>
        <stp>T</stp>
        <tr r="D40" s="2"/>
      </tp>
      <tp t="s">
        <v>Cocoa (ICE) Calendar Spread 1, Dec 18, Mar 19</v>
        <stp/>
        <stp>ContractData</stp>
        <stp>CCES1Z8</stp>
        <stp>LongDescription</stp>
        <tr r="H31" s="2"/>
      </tp>
      <tp t="s">
        <v>Cocoa (ICE) Calendar Spread 1, Sep 18, Dec 18</v>
        <stp/>
        <stp>ContractData</stp>
        <stp>CCES1U8</stp>
        <stp>LongDescription</stp>
        <tr r="G26" s="2"/>
      </tp>
      <tp t="s">
        <v>Cocoa (ICE) Calendar Spread 1, Jul 18, Sep 18</v>
        <stp/>
        <stp>ContractData</stp>
        <stp>CCES1N8</stp>
        <stp>LongDescription</stp>
        <tr r="F21" s="2"/>
      </tp>
      <tp t="s">
        <v>Cocoa (ICE) Calendar Spread 1, Jul 19, Sep 19</v>
        <stp/>
        <stp>ContractData</stp>
        <stp>CCES1N9</stp>
        <stp>LongDescription</stp>
        <tr r="K46" s="2"/>
      </tp>
      <tp t="s">
        <v>Cocoa (ICE) Calendar Spread 1, May 18, Jul 18</v>
        <stp/>
        <stp>ContractData</stp>
        <stp>CCES1K8</stp>
        <stp>LongDescription</stp>
        <tr r="E16" s="2"/>
      </tp>
      <tp t="s">
        <v>Cocoa (ICE) Calendar Spread 1, May 19, Jul 19</v>
        <stp/>
        <stp>ContractData</stp>
        <stp>CCES1K9</stp>
        <stp>LongDescription</stp>
        <tr r="J41" s="2"/>
      </tp>
      <tp t="s">
        <v>Cocoa (ICE) Calendar Spread 1, Mar 18, May 18</v>
        <stp/>
        <stp>ContractData</stp>
        <stp>CCES1H8</stp>
        <stp>LongDescription</stp>
        <tr r="D11" s="2"/>
      </tp>
      <tp t="s">
        <v>Cocoa (ICE) Calendar Spread 1, Mar 19, May 19</v>
        <stp/>
        <stp>ContractData</stp>
        <stp>CCES1H9</stp>
        <stp>LongDescription</stp>
        <tr r="I36" s="2"/>
      </tp>
      <tp t="s">
        <v>Cocoa (ICE) Calendar Spread 2, Dec 18, May 19</v>
        <stp/>
        <stp>ContractData</stp>
        <stp>CCES2Z8</stp>
        <stp>LongDescription</stp>
        <tr r="I31" s="2"/>
      </tp>
      <tp t="s">
        <v>Cocoa (ICE) Calendar Spread 2, Sep 18, Mar 19</v>
        <stp/>
        <stp>ContractData</stp>
        <stp>CCES2U8</stp>
        <stp>LongDescription</stp>
        <tr r="H26" s="2"/>
      </tp>
      <tp t="s">
        <v>Cocoa (ICE) Calendar Spread 2, Jul 18, Dec 18</v>
        <stp/>
        <stp>ContractData</stp>
        <stp>CCES2N8</stp>
        <stp>LongDescription</stp>
        <tr r="G21" s="2"/>
      </tp>
      <tp t="s">
        <v>Cocoa (ICE) Calendar Spread 2, May 18, Sep 18</v>
        <stp/>
        <stp>ContractData</stp>
        <stp>CCES2K8</stp>
        <stp>LongDescription</stp>
        <tr r="F16" s="2"/>
      </tp>
      <tp t="s">
        <v>Cocoa (ICE) Calendar Spread 2, May 19, Sep 19</v>
        <stp/>
        <stp>ContractData</stp>
        <stp>CCES2K9</stp>
        <stp>LongDescription</stp>
        <tr r="K41" s="2"/>
      </tp>
      <tp t="s">
        <v>Cocoa (ICE) Calendar Spread 2, Mar 18, Jul 18</v>
        <stp/>
        <stp>ContractData</stp>
        <stp>CCES2H8</stp>
        <stp>LongDescription</stp>
        <tr r="E11" s="2"/>
      </tp>
      <tp t="s">
        <v>Cocoa (ICE) Calendar Spread 2, Mar 19, Jul 19</v>
        <stp/>
        <stp>ContractData</stp>
        <stp>CCES2H9</stp>
        <stp>LongDescription</stp>
        <tr r="J36" s="2"/>
      </tp>
      <tp t="s">
        <v>Cocoa (ICE) Calendar Spread 3, Dec 18, Jul 19</v>
        <stp/>
        <stp>ContractData</stp>
        <stp>CCES3Z8</stp>
        <stp>LongDescription</stp>
        <tr r="J31" s="2"/>
      </tp>
      <tp t="s">
        <v>Cocoa (ICE) Calendar Spread 3, Sep 18, May 19</v>
        <stp/>
        <stp>ContractData</stp>
        <stp>CCES3U8</stp>
        <stp>LongDescription</stp>
        <tr r="I26" s="2"/>
      </tp>
      <tp t="s">
        <v>Cocoa (ICE) Calendar Spread 3, Jul 18, Mar 19</v>
        <stp/>
        <stp>ContractData</stp>
        <stp>CCES3N8</stp>
        <stp>LongDescription</stp>
        <tr r="H21" s="2"/>
      </tp>
      <tp t="s">
        <v>Cocoa (ICE) Calendar Spread 3, May 18, Dec 18</v>
        <stp/>
        <stp>ContractData</stp>
        <stp>CCES3K8</stp>
        <stp>LongDescription</stp>
        <tr r="G16" s="2"/>
      </tp>
      <tp t="s">
        <v>Cocoa (ICE) Calendar Spread 3, Mar 18, Sep 18</v>
        <stp/>
        <stp>ContractData</stp>
        <stp>CCES3H8</stp>
        <stp>LongDescription</stp>
        <tr r="F11" s="2"/>
      </tp>
      <tp t="s">
        <v>Cocoa (ICE) Calendar Spread 3, Mar 19, Sep 19</v>
        <stp/>
        <stp>ContractData</stp>
        <stp>CCES3H9</stp>
        <stp>LongDescription</stp>
        <tr r="K36" s="2"/>
      </tp>
      <tp>
        <v>2010</v>
        <stp/>
        <stp>ContractData</stp>
        <stp>CCEN8</stp>
        <stp>Low</stp>
        <stp/>
        <stp>T</stp>
        <tr r="F55" s="2"/>
        <tr r="F55" s="2"/>
      </tp>
      <tp t="s">
        <v/>
        <stp/>
        <stp>ContractData</stp>
        <stp>CCEN9</stp>
        <stp>Low</stp>
        <stp/>
        <stp>T</stp>
        <tr r="F61" s="2"/>
      </tp>
      <tp>
        <v>1997</v>
        <stp/>
        <stp>ContractData</stp>
        <stp>CCEK8</stp>
        <stp>Low</stp>
        <stp/>
        <stp>T</stp>
        <tr r="F54" s="2"/>
        <tr r="F54" s="2"/>
      </tp>
      <tp t="s">
        <v/>
        <stp/>
        <stp>ContractData</stp>
        <stp>CCEK9</stp>
        <stp>Low</stp>
        <stp/>
        <stp>T</stp>
        <tr r="F60" s="2"/>
      </tp>
      <tp>
        <v>1997</v>
        <stp/>
        <stp>ContractData</stp>
        <stp>CCEH8</stp>
        <stp>Low</stp>
        <stp/>
        <stp>T</stp>
        <tr r="F53" s="2"/>
        <tr r="F53" s="2"/>
      </tp>
      <tp>
        <v>2062</v>
        <stp/>
        <stp>ContractData</stp>
        <stp>CCEH9</stp>
        <stp>Low</stp>
        <stp/>
        <stp>T</stp>
        <tr r="F59" s="2"/>
        <tr r="F59" s="2"/>
      </tp>
      <tp>
        <v>2042</v>
        <stp/>
        <stp>ContractData</stp>
        <stp>CCEZ8</stp>
        <stp>Low</stp>
        <stp/>
        <stp>T</stp>
        <tr r="F58" s="2"/>
        <tr r="F58" s="2"/>
      </tp>
      <tp>
        <v>2024</v>
        <stp/>
        <stp>ContractData</stp>
        <stp>CCEU8</stp>
        <stp>Low</stp>
        <stp/>
        <stp>T</stp>
        <tr r="F56" s="2"/>
        <tr r="F56" s="2"/>
      </tp>
      <tp>
        <v>2100</v>
        <stp/>
        <stp>ContractData</stp>
        <stp>CCEU9</stp>
        <stp>Low</stp>
        <stp/>
        <stp>T</stp>
        <tr r="F63" s="2"/>
        <tr r="F63" s="2"/>
      </tp>
      <tp>
        <v>2029</v>
        <stp/>
        <stp>ContractData</stp>
        <stp>CCEU8</stp>
        <stp>Ask</stp>
        <stp/>
        <stp>T</stp>
        <tr r="F8" s="2"/>
        <tr r="F28" s="2"/>
        <tr r="T5" s="3"/>
      </tp>
      <tp>
        <v>2104</v>
        <stp/>
        <stp>ContractData</stp>
        <stp>CCEU9</stp>
        <stp>Ask</stp>
        <stp/>
        <stp>T</stp>
        <tr r="K8" s="2"/>
        <tr r="K53" s="2"/>
        <tr r="T10" s="3"/>
      </tp>
      <tp>
        <v>2047</v>
        <stp/>
        <stp>ContractData</stp>
        <stp>CCEZ8</stp>
        <stp>Ask</stp>
        <stp/>
        <stp>T</stp>
        <tr r="G8" s="2"/>
        <tr r="G33" s="2"/>
        <tr r="T6" s="3"/>
      </tp>
      <tp>
        <v>2002</v>
        <stp/>
        <stp>ContractData</stp>
        <stp>CCEK8</stp>
        <stp>Ask</stp>
        <stp/>
        <stp>T</stp>
        <tr r="D18" s="2"/>
        <tr r="D8" s="2"/>
        <tr r="T3" s="3"/>
      </tp>
      <tp>
        <v>2080</v>
        <stp/>
        <stp>ContractData</stp>
        <stp>CCEK9</stp>
        <stp>Ask</stp>
        <stp/>
        <stp>T</stp>
        <tr r="I8" s="2"/>
        <tr r="I43" s="2"/>
        <tr r="T8" s="3"/>
      </tp>
      <tp>
        <v>2001</v>
        <stp/>
        <stp>ContractData</stp>
        <stp>CCEH8</stp>
        <stp>Ask</stp>
        <stp/>
        <stp>T</stp>
        <tr r="B8" s="2"/>
        <tr r="B13" s="2"/>
        <tr r="T2" s="3"/>
      </tp>
      <tp>
        <v>2065</v>
        <stp/>
        <stp>ContractData</stp>
        <stp>CCEH9</stp>
        <stp>Ask</stp>
        <stp/>
        <stp>T</stp>
        <tr r="H8" s="2"/>
        <tr r="H38" s="2"/>
        <tr r="T7" s="3"/>
      </tp>
      <tp>
        <v>2014</v>
        <stp/>
        <stp>ContractData</stp>
        <stp>CCEN8</stp>
        <stp>Ask</stp>
        <stp/>
        <stp>T</stp>
        <tr r="E23" s="2"/>
        <tr r="E8" s="2"/>
        <tr r="T4" s="3"/>
      </tp>
      <tp>
        <v>2093</v>
        <stp/>
        <stp>ContractData</stp>
        <stp>CCEN9</stp>
        <stp>Ask</stp>
        <stp/>
        <stp>T</stp>
        <tr r="J8" s="2"/>
        <tr r="J48" s="2"/>
        <tr r="T9" s="3"/>
      </tp>
      <tp>
        <v>2062</v>
        <stp/>
        <stp>ContractData</stp>
        <stp>CCEH9</stp>
        <stp>Bid</stp>
        <stp/>
        <stp>T</stp>
        <tr r="H9" s="2"/>
        <tr r="H39" s="2"/>
        <tr r="S7" s="3"/>
      </tp>
      <tp>
        <v>2000</v>
        <stp/>
        <stp>ContractData</stp>
        <stp>CCEH8</stp>
        <stp>Bid</stp>
        <stp/>
        <stp>T</stp>
        <tr r="B14" s="2"/>
        <tr r="B9" s="2"/>
        <tr r="S2" s="3"/>
      </tp>
      <tp>
        <v>2075</v>
        <stp/>
        <stp>ContractData</stp>
        <stp>CCEK9</stp>
        <stp>Bid</stp>
        <stp/>
        <stp>T</stp>
        <tr r="I44" s="2"/>
        <tr r="I9" s="2"/>
        <tr r="S8" s="3"/>
      </tp>
      <tp>
        <v>2001</v>
        <stp/>
        <stp>ContractData</stp>
        <stp>CCEK8</stp>
        <stp>Bid</stp>
        <stp/>
        <stp>T</stp>
        <tr r="D19" s="2"/>
        <tr r="D9" s="2"/>
        <tr r="S3" s="3"/>
      </tp>
      <tp>
        <v>2088</v>
        <stp/>
        <stp>ContractData</stp>
        <stp>CCEN9</stp>
        <stp>Bid</stp>
        <stp/>
        <stp>T</stp>
        <tr r="J49" s="2"/>
        <tr r="J9" s="2"/>
        <tr r="S9" s="3"/>
      </tp>
      <tp>
        <v>2012</v>
        <stp/>
        <stp>ContractData</stp>
        <stp>CCEN8</stp>
        <stp>Bid</stp>
        <stp/>
        <stp>T</stp>
        <tr r="E9" s="2"/>
        <tr r="E24" s="2"/>
        <tr r="S4" s="3"/>
      </tp>
      <tp>
        <v>2045</v>
        <stp/>
        <stp>ContractData</stp>
        <stp>CCEZ8</stp>
        <stp>Bid</stp>
        <stp/>
        <stp>T</stp>
        <tr r="G34" s="2"/>
        <tr r="G9" s="2"/>
        <tr r="S6" s="3"/>
      </tp>
      <tp>
        <v>2100</v>
        <stp/>
        <stp>ContractData</stp>
        <stp>CCEU9</stp>
        <stp>Bid</stp>
        <stp/>
        <stp>T</stp>
        <tr r="K54" s="2"/>
        <tr r="K9" s="2"/>
        <tr r="S10" s="3"/>
      </tp>
      <tp>
        <v>2027</v>
        <stp/>
        <stp>ContractData</stp>
        <stp>CCEU8</stp>
        <stp>Bid</stp>
        <stp/>
        <stp>T</stp>
        <tr r="F29" s="2"/>
        <tr r="F9" s="2"/>
        <tr r="S5" s="3"/>
      </tp>
      <tp>
        <v>-0.32</v>
        <stp/>
        <stp>ContractData</stp>
        <stp>CTE</stp>
        <stp>NetLastQuoteToday</stp>
        <stp/>
        <stp>T</stp>
        <tr r="E40" s="2"/>
      </tp>
      <tp>
        <v>161.85</v>
        <stp/>
        <stp>ContractData</stp>
        <stp>OJE</stp>
        <stp>LastTradeorSettle</stp>
        <stp/>
        <stp>T</stp>
        <tr r="D43" s="2"/>
      </tp>
      <tp>
        <v>15.02</v>
        <stp/>
        <stp>ContractData</stp>
        <stp>SBE</stp>
        <stp>LastTradeorSettle</stp>
        <stp/>
        <stp>T</stp>
        <tr r="D39" s="2"/>
      </tp>
      <tp>
        <v>129.25</v>
        <stp/>
        <stp>ContractData</stp>
        <stp>KCE</stp>
        <stp>LastTradeorSettle</stp>
        <stp/>
        <stp>T</stp>
        <tr r="D41" s="2"/>
      </tp>
      <tp>
        <v>43174</v>
        <stp/>
        <stp>ContractData</stp>
        <stp>CCE</stp>
        <stp>ExpirationDate</stp>
        <tr r="H64" s="2"/>
      </tp>
      <tp>
        <v>0.38</v>
        <stp/>
        <stp>ContractData</stp>
        <stp>S.CCE</stp>
        <stp>NetLastQuoteToday</stp>
        <stp/>
        <stp>T</stp>
        <tr r="U13" s="3"/>
        <tr r="U12" s="3"/>
        <tr r="U11" s="3"/>
      </tp>
      <tp>
        <v>-43</v>
        <stp/>
        <stp>ContractData</stp>
        <stp>CCEN8</stp>
        <stp>NetLastTradeToday</stp>
        <stp/>
        <stp>T</stp>
        <tr r="H55" s="2"/>
      </tp>
      <tp t="s">
        <v/>
        <stp/>
        <stp>ContractData</stp>
        <stp>CCEN9</stp>
        <stp>NetLastTradeToday</stp>
        <stp/>
        <stp>T</stp>
        <tr r="H61" s="2"/>
      </tp>
      <tp>
        <v>-41</v>
        <stp/>
        <stp>ContractData</stp>
        <stp>CCEH8</stp>
        <stp>NetLastTradeToday</stp>
        <stp/>
        <stp>T</stp>
        <tr r="H53" s="2"/>
      </tp>
      <tp>
        <v>-40</v>
        <stp/>
        <stp>ContractData</stp>
        <stp>CCEH9</stp>
        <stp>NetLastTradeToday</stp>
        <stp/>
        <stp>T</stp>
        <tr r="H59" s="2"/>
      </tp>
      <tp>
        <v>-43</v>
        <stp/>
        <stp>ContractData</stp>
        <stp>CCEK8</stp>
        <stp>NetLastTradeToday</stp>
        <stp/>
        <stp>T</stp>
        <tr r="H54" s="2"/>
      </tp>
      <tp t="s">
        <v/>
        <stp/>
        <stp>ContractData</stp>
        <stp>CCEK9</stp>
        <stp>NetLastTradeToday</stp>
        <stp/>
        <stp>T</stp>
        <tr r="H60" s="2"/>
      </tp>
      <tp>
        <v>2042</v>
        <stp/>
        <stp>ContractData</stp>
        <stp>CCEZ8</stp>
        <stp>LastTradeorSettle</stp>
        <stp/>
        <stp>T</stp>
        <tr r="R6" s="3"/>
        <tr r="R6" s="3"/>
      </tp>
      <tp>
        <v>-103</v>
        <stp/>
        <stp>ContractData</stp>
        <stp>CCES8H8</stp>
        <stp>Bid</stp>
        <stp/>
        <stp>T</stp>
        <tr r="K14" s="2"/>
        <tr r="Y9" s="3"/>
      </tp>
      <tp>
        <v>-99</v>
        <stp/>
        <stp>ContractData</stp>
        <stp>CCES8H8</stp>
        <stp>Ask</stp>
        <stp/>
        <stp>T</stp>
        <tr r="K13" s="2"/>
        <tr r="Z9" s="3"/>
      </tp>
      <tp>
        <v>-66</v>
        <stp/>
        <stp>ContractData</stp>
        <stp>CCES4N8</stp>
        <stp>Bid</stp>
        <stp/>
        <stp>T</stp>
        <tr r="I24" s="2"/>
      </tp>
      <tp>
        <v>-63</v>
        <stp/>
        <stp>ContractData</stp>
        <stp>CCES4K8</stp>
        <stp>Bid</stp>
        <stp/>
        <stp>T</stp>
        <tr r="H19" s="2"/>
      </tp>
      <tp>
        <v>-46</v>
        <stp/>
        <stp>ContractData</stp>
        <stp>CCES4H8</stp>
        <stp>Bid</stp>
        <stp/>
        <stp>T</stp>
        <tr r="G14" s="2"/>
        <tr r="Y5" s="3"/>
      </tp>
      <tp>
        <v>-57</v>
        <stp/>
        <stp>ContractData</stp>
        <stp>CCES4Z8</stp>
        <stp>Bid</stp>
        <stp/>
        <stp>T</stp>
        <tr r="K34" s="2"/>
      </tp>
      <tp>
        <v>-64</v>
        <stp/>
        <stp>ContractData</stp>
        <stp>CCES4U8</stp>
        <stp>Bid</stp>
        <stp/>
        <stp>T</stp>
        <tr r="J29" s="2"/>
      </tp>
      <tp>
        <v>-87</v>
        <stp/>
        <stp>ContractData</stp>
        <stp>CCES7H8</stp>
        <stp>Ask</stp>
        <stp/>
        <stp>T</stp>
        <tr r="J13" s="2"/>
        <tr r="Z8" s="3"/>
      </tp>
      <tp>
        <v>-98</v>
        <stp/>
        <stp>ContractData</stp>
        <stp>CCES7K8</stp>
        <stp>Ask</stp>
        <stp/>
        <stp>T</stp>
        <tr r="K18" s="2"/>
      </tp>
      <tp>
        <v>-79</v>
        <stp/>
        <stp>ContractData</stp>
        <stp>CCES5N8</stp>
        <stp>Bid</stp>
        <stp/>
        <stp>T</stp>
        <tr r="J24" s="2"/>
      </tp>
      <tp>
        <v>-78</v>
        <stp/>
        <stp>ContractData</stp>
        <stp>CCES5K8</stp>
        <stp>Bid</stp>
        <stp/>
        <stp>T</stp>
        <tr r="I19" s="2"/>
      </tp>
      <tp>
        <v>-64</v>
        <stp/>
        <stp>ContractData</stp>
        <stp>CCES5H8</stp>
        <stp>Bid</stp>
        <stp/>
        <stp>T</stp>
        <tr r="H14" s="2"/>
        <tr r="Y6" s="3"/>
      </tp>
      <tp>
        <v>-86</v>
        <stp/>
        <stp>ContractData</stp>
        <stp>CCES6N8</stp>
        <stp>Ask</stp>
        <stp/>
        <stp>T</stp>
        <tr r="K23" s="2"/>
      </tp>
      <tp>
        <v>-75</v>
        <stp/>
        <stp>ContractData</stp>
        <stp>CCES5U8</stp>
        <stp>Bid</stp>
        <stp/>
        <stp>T</stp>
        <tr r="K29" s="2"/>
      </tp>
      <tp>
        <v>-74</v>
        <stp/>
        <stp>ContractData</stp>
        <stp>CCES6H8</stp>
        <stp>Ask</stp>
        <stp/>
        <stp>T</stp>
        <tr r="I13" s="2"/>
        <tr r="Z7" s="3"/>
      </tp>
      <tp>
        <v>-87</v>
        <stp/>
        <stp>ContractData</stp>
        <stp>CCES6K8</stp>
        <stp>Ask</stp>
        <stp/>
        <stp>T</stp>
        <tr r="J18" s="2"/>
      </tp>
      <tp>
        <v>-90</v>
        <stp/>
        <stp>ContractData</stp>
        <stp>CCES6N8</stp>
        <stp>Bid</stp>
        <stp/>
        <stp>T</stp>
        <tr r="K24" s="2"/>
      </tp>
      <tp>
        <v>-72</v>
        <stp/>
        <stp>ContractData</stp>
        <stp>CCES5U8</stp>
        <stp>Ask</stp>
        <stp/>
        <stp>T</stp>
        <tr r="K28" s="2"/>
      </tp>
      <tp>
        <v>-91</v>
        <stp/>
        <stp>ContractData</stp>
        <stp>CCES6K8</stp>
        <stp>Bid</stp>
        <stp/>
        <stp>T</stp>
        <tr r="J19" s="2"/>
      </tp>
      <tp>
        <v>-79</v>
        <stp/>
        <stp>ContractData</stp>
        <stp>CCES6H8</stp>
        <stp>Bid</stp>
        <stp/>
        <stp>T</stp>
        <tr r="I14" s="2"/>
        <tr r="Y7" s="3"/>
      </tp>
      <tp>
        <v>-75</v>
        <stp/>
        <stp>ContractData</stp>
        <stp>CCES5N8</stp>
        <stp>Ask</stp>
        <stp/>
        <stp>T</stp>
        <tr r="J23" s="2"/>
      </tp>
      <tp>
        <v>-61</v>
        <stp/>
        <stp>ContractData</stp>
        <stp>CCES5H8</stp>
        <stp>Ask</stp>
        <stp/>
        <stp>T</stp>
        <tr r="Z6" s="3"/>
        <tr r="H13" s="2"/>
      </tp>
      <tp>
        <v>-74</v>
        <stp/>
        <stp>ContractData</stp>
        <stp>CCES5K8</stp>
        <stp>Ask</stp>
        <stp/>
        <stp>T</stp>
        <tr r="I18" s="2"/>
      </tp>
      <tp>
        <v>-61</v>
        <stp/>
        <stp>ContractData</stp>
        <stp>CCES4U8</stp>
        <stp>Ask</stp>
        <stp/>
        <stp>T</stp>
        <tr r="J28" s="2"/>
      </tp>
      <tp>
        <v>-102</v>
        <stp/>
        <stp>ContractData</stp>
        <stp>CCES7K8</stp>
        <stp>Bid</stp>
        <stp/>
        <stp>T</stp>
        <tr r="K19" s="2"/>
      </tp>
      <tp>
        <v>-92</v>
        <stp/>
        <stp>ContractData</stp>
        <stp>CCES7H8</stp>
        <stp>Bid</stp>
        <stp/>
        <stp>T</stp>
        <tr r="J14" s="2"/>
        <tr r="Y8" s="3"/>
      </tp>
      <tp>
        <v>-54</v>
        <stp/>
        <stp>ContractData</stp>
        <stp>CCES4Z8</stp>
        <stp>Ask</stp>
        <stp/>
        <stp>T</stp>
        <tr r="K33" s="2"/>
      </tp>
      <tp>
        <v>-62</v>
        <stp/>
        <stp>ContractData</stp>
        <stp>CCES4N8</stp>
        <stp>Ask</stp>
        <stp/>
        <stp>T</stp>
        <tr r="I23" s="2"/>
      </tp>
      <tp>
        <v>-44</v>
        <stp/>
        <stp>ContractData</stp>
        <stp>CCES4H8</stp>
        <stp>Ask</stp>
        <stp/>
        <stp>T</stp>
        <tr r="G13" s="2"/>
        <tr r="Z5" s="3"/>
      </tp>
      <tp>
        <v>-61</v>
        <stp/>
        <stp>ContractData</stp>
        <stp>CCES4K8</stp>
        <stp>Ask</stp>
        <stp/>
        <stp>T</stp>
        <tr r="H18" s="2"/>
      </tp>
      <tp>
        <v>-48</v>
        <stp/>
        <stp>ContractData</stp>
        <stp>CCES3U8</stp>
        <stp>Ask</stp>
        <stp/>
        <stp>T</stp>
        <tr r="I28" s="2"/>
      </tp>
      <tp>
        <v>-43</v>
        <stp/>
        <stp>ContractData</stp>
        <stp>CCES3Z8</stp>
        <stp>Ask</stp>
        <stp/>
        <stp>T</stp>
        <tr r="J33" s="2"/>
      </tp>
      <tp>
        <v>-49</v>
        <stp/>
        <stp>ContractData</stp>
        <stp>CCES3N8</stp>
        <stp>Ask</stp>
        <stp/>
        <stp>T</stp>
        <tr r="H23" s="2"/>
      </tp>
      <tp>
        <v>-26</v>
        <stp/>
        <stp>ContractData</stp>
        <stp>CCES3H8</stp>
        <stp>Ask</stp>
        <stp/>
        <stp>T</stp>
        <tr r="F13" s="2"/>
        <tr r="Z4" s="3"/>
      </tp>
      <tp>
        <v>-37</v>
        <stp/>
        <stp>ContractData</stp>
        <stp>CCES3H9</stp>
        <stp>Ask</stp>
        <stp/>
        <stp>T</stp>
        <tr r="K38" s="2"/>
      </tp>
      <tp>
        <v>-44</v>
        <stp/>
        <stp>ContractData</stp>
        <stp>CCES3K8</stp>
        <stp>Ask</stp>
        <stp/>
        <stp>T</stp>
        <tr r="G18" s="2"/>
      </tp>
      <tp>
        <v>-12</v>
        <stp/>
        <stp>ContractData</stp>
        <stp>CCES1N9</stp>
        <stp>Bid</stp>
        <stp/>
        <stp>T</stp>
        <tr r="K49" s="2"/>
      </tp>
      <tp>
        <v>-15</v>
        <stp/>
        <stp>ContractData</stp>
        <stp>CCES1N8</stp>
        <stp>Bid</stp>
        <stp/>
        <stp>T</stp>
        <tr r="F24" s="2"/>
      </tp>
      <tp>
        <v>-35</v>
        <stp/>
        <stp>ContractData</stp>
        <stp>CCES2U8</stp>
        <stp>Ask</stp>
        <stp/>
        <stp>T</stp>
        <tr r="H28" s="2"/>
      </tp>
      <tp>
        <v>-14</v>
        <stp/>
        <stp>ContractData</stp>
        <stp>CCES1K9</stp>
        <stp>Bid</stp>
        <stp/>
        <stp>T</stp>
        <tr r="J44" s="2"/>
      </tp>
      <tp>
        <v>-12</v>
        <stp/>
        <stp>ContractData</stp>
        <stp>CCES1K8</stp>
        <stp>Bid</stp>
        <stp/>
        <stp>T</stp>
        <tr r="E19" s="2"/>
      </tp>
      <tp>
        <v>-15</v>
        <stp/>
        <stp>ContractData</stp>
        <stp>CCES1H9</stp>
        <stp>Bid</stp>
        <stp/>
        <stp>T</stp>
        <tr r="I39" s="2"/>
      </tp>
      <tp>
        <v>-1</v>
        <stp/>
        <stp>ContractData</stp>
        <stp>CCES1H8</stp>
        <stp>Bid</stp>
        <stp/>
        <stp>T</stp>
        <tr r="D14" s="2"/>
        <tr r="Y2" s="3"/>
      </tp>
      <tp>
        <v>-30</v>
        <stp/>
        <stp>ContractData</stp>
        <stp>CCES2Z8</stp>
        <stp>Ask</stp>
        <stp/>
        <stp>T</stp>
        <tr r="I33" s="2"/>
      </tp>
      <tp>
        <v>-18</v>
        <stp/>
        <stp>ContractData</stp>
        <stp>CCES1Z8</stp>
        <stp>Bid</stp>
        <stp/>
        <stp>T</stp>
        <tr r="H34" s="2"/>
      </tp>
      <tp>
        <v>-32</v>
        <stp/>
        <stp>ContractData</stp>
        <stp>CCES2N8</stp>
        <stp>Ask</stp>
        <stp/>
        <stp>T</stp>
        <tr r="G23" s="2"/>
      </tp>
      <tp>
        <v>-19</v>
        <stp/>
        <stp>ContractData</stp>
        <stp>CCES1U8</stp>
        <stp>Bid</stp>
        <stp/>
        <stp>T</stp>
        <tr r="G29" s="2"/>
      </tp>
      <tp>
        <v>-12</v>
        <stp/>
        <stp>ContractData</stp>
        <stp>CCES2H8</stp>
        <stp>Ask</stp>
        <stp/>
        <stp>T</stp>
        <tr r="E13" s="2"/>
        <tr r="Z3" s="3"/>
      </tp>
      <tp>
        <v>-26</v>
        <stp/>
        <stp>ContractData</stp>
        <stp>CCES2H9</stp>
        <stp>Ask</stp>
        <stp/>
        <stp>T</stp>
        <tr r="J38" s="2"/>
      </tp>
      <tp>
        <v>-26</v>
        <stp/>
        <stp>ContractData</stp>
        <stp>CCES2K8</stp>
        <stp>Ask</stp>
        <stp/>
        <stp>T</stp>
        <tr r="F18" s="2"/>
      </tp>
      <tp>
        <v>-24</v>
        <stp/>
        <stp>ContractData</stp>
        <stp>CCES2K9</stp>
        <stp>Ask</stp>
        <stp/>
        <stp>T</stp>
        <tr r="K43" s="2"/>
      </tp>
      <tp>
        <v>-34</v>
        <stp/>
        <stp>ContractData</stp>
        <stp>CCES2N8</stp>
        <stp>Bid</stp>
        <stp/>
        <stp>T</stp>
        <tr r="G24" s="2"/>
      </tp>
      <tp>
        <v>-18</v>
        <stp/>
        <stp>ContractData</stp>
        <stp>CCES1U8</stp>
        <stp>Ask</stp>
        <stp/>
        <stp>T</stp>
        <tr r="G28" s="2"/>
      </tp>
      <tp>
        <v>-26</v>
        <stp/>
        <stp>ContractData</stp>
        <stp>CCES2K9</stp>
        <stp>Bid</stp>
        <stp/>
        <stp>T</stp>
        <tr r="K44" s="2"/>
      </tp>
      <tp>
        <v>-27</v>
        <stp/>
        <stp>ContractData</stp>
        <stp>CCES2K8</stp>
        <stp>Bid</stp>
        <stp/>
        <stp>T</stp>
        <tr r="F19" s="2"/>
      </tp>
      <tp>
        <v>-28</v>
        <stp/>
        <stp>ContractData</stp>
        <stp>CCES2H9</stp>
        <stp>Bid</stp>
        <stp/>
        <stp>T</stp>
        <tr r="J39" s="2"/>
      </tp>
      <tp>
        <v>-13</v>
        <stp/>
        <stp>ContractData</stp>
        <stp>CCES2H8</stp>
        <stp>Bid</stp>
        <stp/>
        <stp>T</stp>
        <tr r="E14" s="2"/>
        <tr r="Y3" s="3"/>
      </tp>
      <tp>
        <v>-17</v>
        <stp/>
        <stp>ContractData</stp>
        <stp>CCES1Z8</stp>
        <stp>Ask</stp>
        <stp/>
        <stp>T</stp>
        <tr r="H33" s="2"/>
      </tp>
      <tp>
        <v>-33</v>
        <stp/>
        <stp>ContractData</stp>
        <stp>CCES2Z8</stp>
        <stp>Bid</stp>
        <stp/>
        <stp>T</stp>
        <tr r="I34" s="2"/>
      </tp>
      <tp>
        <v>-14</v>
        <stp/>
        <stp>ContractData</stp>
        <stp>CCES1N8</stp>
        <stp>Ask</stp>
        <stp/>
        <stp>T</stp>
        <tr r="F23" s="2"/>
      </tp>
      <tp>
        <v>-11</v>
        <stp/>
        <stp>ContractData</stp>
        <stp>CCES1N9</stp>
        <stp>Ask</stp>
        <stp/>
        <stp>T</stp>
        <tr r="K48" s="2"/>
      </tp>
      <tp>
        <v>-37</v>
        <stp/>
        <stp>ContractData</stp>
        <stp>CCES2U8</stp>
        <stp>Bid</stp>
        <stp/>
        <stp>T</stp>
        <tr r="H29" s="2"/>
      </tp>
      <tp>
        <v>0</v>
        <stp/>
        <stp>ContractData</stp>
        <stp>CCES1H8</stp>
        <stp>Ask</stp>
        <stp/>
        <stp>T</stp>
        <tr r="D13" s="2"/>
        <tr r="Z2" s="3"/>
      </tp>
      <tp>
        <v>-13</v>
        <stp/>
        <stp>ContractData</stp>
        <stp>CCES1H9</stp>
        <stp>Ask</stp>
        <stp/>
        <stp>T</stp>
        <tr r="I38" s="2"/>
      </tp>
      <tp>
        <v>-11</v>
        <stp/>
        <stp>ContractData</stp>
        <stp>CCES1K8</stp>
        <stp>Ask</stp>
        <stp/>
        <stp>T</stp>
        <tr r="E18" s="2"/>
      </tp>
      <tp>
        <v>-13</v>
        <stp/>
        <stp>ContractData</stp>
        <stp>CCES1K9</stp>
        <stp>Ask</stp>
        <stp/>
        <stp>T</stp>
        <tr r="J43" s="2"/>
      </tp>
      <tp>
        <v>-52</v>
        <stp/>
        <stp>ContractData</stp>
        <stp>CCES3N8</stp>
        <stp>Bid</stp>
        <stp/>
        <stp>T</stp>
        <tr r="H24" s="2"/>
      </tp>
      <tp>
        <v>-45</v>
        <stp/>
        <stp>ContractData</stp>
        <stp>CCES3K8</stp>
        <stp>Bid</stp>
        <stp/>
        <stp>T</stp>
        <tr r="G19" s="2"/>
      </tp>
      <tp>
        <v>-40</v>
        <stp/>
        <stp>ContractData</stp>
        <stp>CCES3H9</stp>
        <stp>Bid</stp>
        <stp/>
        <stp>T</stp>
        <tr r="K39" s="2"/>
      </tp>
      <tp>
        <v>-28</v>
        <stp/>
        <stp>ContractData</stp>
        <stp>CCES3H8</stp>
        <stp>Bid</stp>
        <stp/>
        <stp>T</stp>
        <tr r="F14" s="2"/>
        <tr r="Y4" s="3"/>
      </tp>
      <tp>
        <v>-46</v>
        <stp/>
        <stp>ContractData</stp>
        <stp>CCES3Z8</stp>
        <stp>Bid</stp>
        <stp/>
        <stp>T</stp>
        <tr r="J34" s="2"/>
      </tp>
      <tp>
        <v>-51</v>
        <stp/>
        <stp>ContractData</stp>
        <stp>CCES3U8</stp>
        <stp>Bid</stp>
        <stp/>
        <stp>T</stp>
        <tr r="I29" s="2"/>
      </tp>
      <tp>
        <v>128</v>
        <stp/>
        <stp>ContractData</stp>
        <stp>CCES5U8</stp>
        <stp>Bate</stp>
        <tr r="H17" s="3"/>
      </tp>
      <tp>
        <v>128</v>
        <stp/>
        <stp>ContractData</stp>
        <stp>CCES4U8</stp>
        <stp>Bate</stp>
        <tr r="G17" s="3"/>
      </tp>
      <tp>
        <v>0</v>
        <stp/>
        <stp>ContractData</stp>
        <stp>CCES1U8</stp>
        <stp>Bate</stp>
        <tr r="D17" s="3"/>
      </tp>
      <tp>
        <v>128</v>
        <stp/>
        <stp>ContractData</stp>
        <stp>CCES3U8</stp>
        <stp>Bate</stp>
        <tr r="F17" s="3"/>
      </tp>
      <tp>
        <v>64</v>
        <stp/>
        <stp>ContractData</stp>
        <stp>CCES2U8</stp>
        <stp>Bate</stp>
        <tr r="E17" s="3"/>
      </tp>
      <tp>
        <v>2024</v>
        <stp/>
        <stp>ContractData</stp>
        <stp>CCEU8</stp>
        <stp>LastTradeorSettle</stp>
        <stp/>
        <stp>T</stp>
        <tr r="R5" s="3"/>
        <tr r="R5" s="3"/>
      </tp>
      <tp>
        <v>2100</v>
        <stp/>
        <stp>ContractData</stp>
        <stp>CCEU9</stp>
        <stp>LastTradeorSettle</stp>
        <stp/>
        <stp>T</stp>
        <tr r="R10" s="3"/>
        <tr r="R10" s="3"/>
      </tp>
      <tp>
        <v>-42</v>
        <stp/>
        <stp>ContractData</stp>
        <stp>CCEK8</stp>
        <stp>NetLastQuoteToday</stp>
        <stp/>
        <stp>T</stp>
        <tr r="U3" s="3"/>
      </tp>
      <tp>
        <v>-40</v>
        <stp/>
        <stp>ContractData</stp>
        <stp>CCEK9</stp>
        <stp>NetLastQuoteToday</stp>
        <stp/>
        <stp>T</stp>
        <tr r="U8" s="3"/>
      </tp>
      <tp t="s">
        <v>MAR</v>
        <stp/>
        <stp>ContractData</stp>
        <stp>CCE?</stp>
        <stp>ContractMonth</stp>
        <tr r="R35" s="3"/>
      </tp>
      <tp>
        <v>128</v>
        <stp/>
        <stp>ContractData</stp>
        <stp>CCES4Z8</stp>
        <stp>Bate</stp>
        <tr r="G18" s="3"/>
      </tp>
      <tp>
        <v>64</v>
        <stp/>
        <stp>ContractData</stp>
        <stp>CCES1Z8</stp>
        <stp>Bate</stp>
        <tr r="D18" s="3"/>
      </tp>
      <tp>
        <v>128</v>
        <stp/>
        <stp>ContractData</stp>
        <stp>CCES3Z8</stp>
        <stp>Bate</stp>
        <tr r="F18" s="3"/>
      </tp>
      <tp>
        <v>128</v>
        <stp/>
        <stp>ContractData</stp>
        <stp>CCES2Z8</stp>
        <stp>Bate</stp>
        <tr r="E18" s="3"/>
      </tp>
      <tp t="s">
        <v>Cocoa (ICE), Dec 18</v>
        <stp/>
        <stp>ContractData</stp>
        <stp>CCEZ8</stp>
        <stp>LongDescription</stp>
        <tr r="O39" s="3"/>
        <tr r="G31" s="2"/>
        <tr r="G6" s="2"/>
      </tp>
      <tp t="s">
        <v>Cocoa (ICE), Sep 18</v>
        <stp/>
        <stp>ContractData</stp>
        <stp>CCEU8</stp>
        <stp>LongDescription</stp>
        <tr r="F26" s="2"/>
        <tr r="F6" s="2"/>
        <tr r="O38" s="3"/>
      </tp>
      <tp t="s">
        <v>Cocoa (ICE), Sep 19</v>
        <stp/>
        <stp>ContractData</stp>
        <stp>CCEU9</stp>
        <stp>LongDescription</stp>
        <tr r="K6" s="2"/>
        <tr r="O43" s="3"/>
        <tr r="K51" s="2"/>
      </tp>
      <tp t="s">
        <v>Cocoa (ICE), Mar 18</v>
        <stp/>
        <stp>ContractData</stp>
        <stp>CCEH8</stp>
        <stp>LongDescription</stp>
        <tr r="B6" s="2"/>
        <tr r="O35" s="3"/>
        <tr r="B11" s="2"/>
      </tp>
      <tp t="s">
        <v>Cocoa (ICE), Mar 19</v>
        <stp/>
        <stp>ContractData</stp>
        <stp>CCEH9</stp>
        <stp>LongDescription</stp>
        <tr r="H36" s="2"/>
        <tr r="O40" s="3"/>
        <tr r="H6" s="2"/>
      </tp>
      <tp t="s">
        <v>Cocoa (ICE), May 18</v>
        <stp/>
        <stp>ContractData</stp>
        <stp>CCEK8</stp>
        <stp>LongDescription</stp>
        <tr r="D16" s="2"/>
        <tr r="O36" s="3"/>
        <tr r="D6" s="2"/>
      </tp>
      <tp t="s">
        <v>Cocoa (ICE), May 19</v>
        <stp/>
        <stp>ContractData</stp>
        <stp>CCEK9</stp>
        <stp>LongDescription</stp>
        <tr r="O41" s="3"/>
        <tr r="I6" s="2"/>
        <tr r="I41" s="2"/>
      </tp>
      <tp t="s">
        <v>Cocoa (ICE), Jul 18</v>
        <stp/>
        <stp>ContractData</stp>
        <stp>CCEN8</stp>
        <stp>LongDescription</stp>
        <tr r="O37" s="3"/>
        <tr r="E6" s="2"/>
        <tr r="E21" s="2"/>
      </tp>
      <tp t="s">
        <v>Cocoa (ICE), Jul 19</v>
        <stp/>
        <stp>ContractData</stp>
        <stp>CCEN9</stp>
        <stp>LongDescription</stp>
        <tr r="J46" s="2"/>
        <tr r="O42" s="3"/>
        <tr r="J6" s="2"/>
      </tp>
      <tp>
        <v>-41</v>
        <stp/>
        <stp>ContractData</stp>
        <stp>CCEH8</stp>
        <stp>NetLastQuoteToday</stp>
        <stp/>
        <stp>T</stp>
        <tr r="U2" s="3"/>
      </tp>
      <tp>
        <v>-40</v>
        <stp/>
        <stp>ContractData</stp>
        <stp>CCEH9</stp>
        <stp>NetLastQuoteToday</stp>
        <stp/>
        <stp>T</stp>
        <tr r="U7" s="3"/>
      </tp>
      <tp t="s">
        <v>Coca-Cola European Partners plc</v>
        <stp/>
        <stp>ContractData</stp>
        <stp>S.CCE</stp>
        <stp>LongDescription</stp>
        <tr r="O46" s="3"/>
        <tr r="O45" s="3"/>
        <tr r="O44" s="3"/>
      </tp>
      <tp>
        <v>-42</v>
        <stp/>
        <stp>ContractData</stp>
        <stp>CCEN8</stp>
        <stp>NetLastQuoteToday</stp>
        <stp/>
        <stp>T</stp>
        <tr r="U4" s="3"/>
      </tp>
      <tp>
        <v>-41</v>
        <stp/>
        <stp>ContractData</stp>
        <stp>CCEN9</stp>
        <stp>NetLastQuoteToday</stp>
        <stp/>
        <stp>T</stp>
        <tr r="U9" s="3"/>
      </tp>
      <tp t="s">
        <v/>
        <stp/>
        <stp>StudyData</stp>
        <stp>EP</stp>
        <stp>OI</stp>
        <stp>OIType=commodityoi</stp>
        <stp>OI</stp>
        <stp>ADC</stp>
        <stp>0</stp>
        <stp>ALL</stp>
        <stp/>
        <stp/>
        <stp>TRUE</stp>
        <stp>T</stp>
        <tr r="V32" s="3"/>
      </tp>
      <tp>
        <v>2011</v>
        <stp/>
        <stp>ContractData</stp>
        <stp>CCEN8</stp>
        <stp>LastTradeorSettle</stp>
        <stp/>
        <stp>T</stp>
        <tr r="R4" s="3"/>
        <tr r="R4" s="3"/>
      </tp>
      <tp t="s">
        <v/>
        <stp/>
        <stp>ContractData</stp>
        <stp>CCEN9</stp>
        <stp>LastTradeorSettle</stp>
        <stp/>
        <stp>T</stp>
        <tr r="R9" s="3"/>
      </tp>
      <tp>
        <v>2000</v>
        <stp/>
        <stp>ContractData</stp>
        <stp>CCEH8</stp>
        <stp>LastTradeorSettle</stp>
        <stp/>
        <stp>T</stp>
        <tr r="R2" s="3"/>
        <tr r="R2" s="3"/>
      </tp>
      <tp>
        <v>2062</v>
        <stp/>
        <stp>ContractData</stp>
        <stp>CCEH9</stp>
        <stp>LastTradeorSettle</stp>
        <stp/>
        <stp>T</stp>
        <tr r="R7" s="3"/>
        <tr r="R7" s="3"/>
      </tp>
      <tp>
        <v>2000</v>
        <stp/>
        <stp>ContractData</stp>
        <stp>CCEK8</stp>
        <stp>LastTradeorSettle</stp>
        <stp/>
        <stp>T</stp>
        <tr r="R3" s="3"/>
        <tr r="R3" s="3"/>
      </tp>
      <tp t="s">
        <v/>
        <stp/>
        <stp>ContractData</stp>
        <stp>CCEK9</stp>
        <stp>LastTradeorSettle</stp>
        <stp/>
        <stp>T</stp>
        <tr r="R8" s="3"/>
      </tp>
      <tp>
        <v>-42</v>
        <stp/>
        <stp>ContractData</stp>
        <stp>CCEU8</stp>
        <stp>NetLastQuoteToday</stp>
        <stp/>
        <stp>T</stp>
        <tr r="U5" s="3"/>
      </tp>
      <tp>
        <v>-41</v>
        <stp/>
        <stp>ContractData</stp>
        <stp>CCEU9</stp>
        <stp>NetLastQuoteToday</stp>
        <stp/>
        <stp>T</stp>
        <tr r="U10" s="3"/>
      </tp>
      <tp>
        <v>-44</v>
        <stp/>
        <stp>ContractData</stp>
        <stp>CCEZ8</stp>
        <stp>NetLastTradeToday</stp>
        <stp/>
        <stp>T</stp>
        <tr r="H58" s="2"/>
      </tp>
      <tp>
        <v>-45</v>
        <stp/>
        <stp>ContractData</stp>
        <stp>CCEU8</stp>
        <stp>NetLastTradeToday</stp>
        <stp/>
        <stp>T</stp>
        <tr r="H56" s="2"/>
      </tp>
      <tp>
        <v>-41</v>
        <stp/>
        <stp>ContractData</stp>
        <stp>CCEU9</stp>
        <stp>NetLastTradeToday</stp>
        <stp/>
        <stp>T</stp>
        <tr r="H63" s="2"/>
      </tp>
      <tp>
        <v>-41</v>
        <stp/>
        <stp>ContractData</stp>
        <stp>CCEZ8</stp>
        <stp>NetLastQuoteToday</stp>
        <stp/>
        <stp>T</stp>
        <tr r="U6" s="3"/>
      </tp>
      <tp>
        <v>128</v>
        <stp/>
        <stp>ContractData</stp>
        <stp>CCES1K9</stp>
        <stp>Bate</stp>
        <tr r="D20" s="3"/>
      </tp>
      <tp>
        <v>64</v>
        <stp/>
        <stp>ContractData</stp>
        <stp>CCES2K9</stp>
        <stp>Bate</stp>
        <tr r="E20" s="3"/>
      </tp>
      <tp>
        <v>128</v>
        <stp/>
        <stp>ContractData</stp>
        <stp>CCES5K8</stp>
        <stp>Bate</stp>
        <tr r="H15" s="3"/>
      </tp>
      <tp>
        <v>128</v>
        <stp/>
        <stp>ContractData</stp>
        <stp>CCES4K8</stp>
        <stp>Bate</stp>
        <tr r="G15" s="3"/>
      </tp>
      <tp>
        <v>128</v>
        <stp/>
        <stp>ContractData</stp>
        <stp>CCES7K8</stp>
        <stp>Bate</stp>
        <tr r="J15" s="3"/>
      </tp>
      <tp>
        <v>128</v>
        <stp/>
        <stp>ContractData</stp>
        <stp>CCES6K8</stp>
        <stp>Bate</stp>
        <tr r="I15" s="3"/>
      </tp>
      <tp>
        <v>0</v>
        <stp/>
        <stp>ContractData</stp>
        <stp>CCES1K8</stp>
        <stp>Bate</stp>
        <tr r="D15" s="3"/>
      </tp>
      <tp>
        <v>128</v>
        <stp/>
        <stp>ContractData</stp>
        <stp>CCES3K8</stp>
        <stp>Bate</stp>
        <tr r="F15" s="3"/>
      </tp>
      <tp>
        <v>128</v>
        <stp/>
        <stp>ContractData</stp>
        <stp>CCES2K8</stp>
        <stp>Bate</stp>
        <tr r="E15" s="3"/>
      </tp>
      <tp>
        <v>43947</v>
        <stp/>
        <stp>StudyData</stp>
        <stp>CCEH8</stp>
        <stp>VolOI</stp>
        <stp/>
        <stp>Vol</stp>
        <stp/>
        <stp>-1</stp>
        <stp>all</stp>
        <stp/>
        <stp/>
        <stp/>
        <stp>T</stp>
        <tr r="V21" s="3"/>
      </tp>
      <tp>
        <v>51803</v>
        <stp/>
        <stp>StudyData</stp>
        <stp>CCEH8</stp>
        <stp>VolOI</stp>
        <stp/>
        <stp>Vol</stp>
        <stp/>
        <stp>-2</stp>
        <stp>all</stp>
        <stp/>
        <stp/>
        <stp/>
        <stp>T</stp>
        <tr r="V22" s="3"/>
      </tp>
      <tp>
        <v>47824</v>
        <stp/>
        <stp>StudyData</stp>
        <stp>CCEH8</stp>
        <stp>VolOI</stp>
        <stp/>
        <stp>Vol</stp>
        <stp/>
        <stp>-3</stp>
        <stp>all</stp>
        <stp/>
        <stp/>
        <stp/>
        <stp>T</stp>
        <tr r="V23" s="3"/>
      </tp>
      <tp>
        <v>41979</v>
        <stp/>
        <stp>StudyData</stp>
        <stp>CCEH8</stp>
        <stp>VolOI</stp>
        <stp/>
        <stp>Vol</stp>
        <stp/>
        <stp>-4</stp>
        <stp>all</stp>
        <stp/>
        <stp/>
        <stp/>
        <stp>T</stp>
        <tr r="V24" s="3"/>
      </tp>
      <tp>
        <v>30512</v>
        <stp/>
        <stp>StudyData</stp>
        <stp>CCEH8</stp>
        <stp>VolOI</stp>
        <stp/>
        <stp>Vol</stp>
        <stp/>
        <stp>-5</stp>
        <stp>all</stp>
        <stp/>
        <stp/>
        <stp/>
        <stp>T</stp>
        <tr r="V25" s="3"/>
      </tp>
      <tp>
        <v>128</v>
        <stp/>
        <stp>ContractData</stp>
        <stp>CCES1H9</stp>
        <stp>Bate</stp>
        <tr r="D19" s="3"/>
      </tp>
      <tp>
        <v>128</v>
        <stp/>
        <stp>ContractData</stp>
        <stp>CCES3H9</stp>
        <stp>Bate</stp>
        <tr r="F19" s="3"/>
      </tp>
      <tp>
        <v>0</v>
        <stp/>
        <stp>ContractData</stp>
        <stp>CCES2H9</stp>
        <stp>Bate</stp>
        <tr r="E19" s="3"/>
      </tp>
      <tp>
        <v>128</v>
        <stp/>
        <stp>ContractData</stp>
        <stp>CCES8H8</stp>
        <stp>Bate</stp>
        <tr r="K14" s="3"/>
      </tp>
      <tp>
        <v>128</v>
        <stp/>
        <stp>ContractData</stp>
        <stp>CCES5H8</stp>
        <stp>Bate</stp>
        <tr r="H14" s="3"/>
      </tp>
      <tp>
        <v>128</v>
        <stp/>
        <stp>ContractData</stp>
        <stp>CCES4H8</stp>
        <stp>Bate</stp>
        <tr r="G14" s="3"/>
      </tp>
      <tp>
        <v>128</v>
        <stp/>
        <stp>ContractData</stp>
        <stp>CCES7H8</stp>
        <stp>Bate</stp>
        <tr r="J14" s="3"/>
      </tp>
      <tp>
        <v>128</v>
        <stp/>
        <stp>ContractData</stp>
        <stp>CCES6H8</stp>
        <stp>Bate</stp>
        <tr r="I14" s="3"/>
      </tp>
      <tp>
        <v>128</v>
        <stp/>
        <stp>ContractData</stp>
        <stp>CCES1H8</stp>
        <stp>Bate</stp>
        <tr r="D14" s="3"/>
      </tp>
      <tp>
        <v>128</v>
        <stp/>
        <stp>ContractData</stp>
        <stp>CCES3H8</stp>
        <stp>Bate</stp>
        <tr r="F14" s="3"/>
      </tp>
      <tp>
        <v>128</v>
        <stp/>
        <stp>ContractData</stp>
        <stp>CCES2H8</stp>
        <stp>Bate</stp>
        <tr r="E14" s="3"/>
      </tp>
      <tp t="s">
        <v>Cocoa (ICE), Mar 18</v>
        <stp/>
        <stp>ContractData</stp>
        <stp>CCE</stp>
        <stp>LongDescription</stp>
        <tr r="B44" s="2"/>
      </tp>
      <tp>
        <v>64</v>
        <stp/>
        <stp>ContractData</stp>
        <stp>CCES1N9</stp>
        <stp>Bate</stp>
        <tr r="D21" s="3"/>
      </tp>
      <tp>
        <v>128</v>
        <stp/>
        <stp>ContractData</stp>
        <stp>CCES5N8</stp>
        <stp>Bate</stp>
        <tr r="H16" s="3"/>
      </tp>
      <tp>
        <v>128</v>
        <stp/>
        <stp>ContractData</stp>
        <stp>CCES4N8</stp>
        <stp>Bate</stp>
        <tr r="G16" s="3"/>
      </tp>
      <tp>
        <v>128</v>
        <stp/>
        <stp>ContractData</stp>
        <stp>CCES6N8</stp>
        <stp>Bate</stp>
        <tr r="I16" s="3"/>
      </tp>
      <tp>
        <v>16</v>
        <stp/>
        <stp>ContractData</stp>
        <stp>CCES1N8</stp>
        <stp>Bate</stp>
        <tr r="D16" s="3"/>
      </tp>
      <tp>
        <v>64</v>
        <stp/>
        <stp>ContractData</stp>
        <stp>CCES3N8</stp>
        <stp>Bate</stp>
        <tr r="F16" s="3"/>
      </tp>
      <tp>
        <v>128</v>
        <stp/>
        <stp>ContractData</stp>
        <stp>CCES2N8</stp>
        <stp>Bate</stp>
        <tr r="E16" s="3"/>
      </tp>
      <tp>
        <v>40.130000000000003</v>
        <stp/>
        <stp>ContractData</stp>
        <stp>S.CCE</stp>
        <stp>LastTradeorSettle</stp>
        <stp/>
        <stp>T</stp>
        <tr r="R13" s="3"/>
        <tr r="R13" s="3"/>
        <tr r="R12" s="3"/>
        <tr r="R12" s="3"/>
        <tr r="R11" s="3"/>
        <tr r="R11" s="3"/>
      </tp>
      <tp t="s">
        <v>CCES3N8</v>
        <stp/>
        <stp>ContractData</stp>
        <stp>CCES3N8</stp>
        <stp>Symbol</stp>
        <tr r="H22" s="2"/>
      </tp>
      <tp t="s">
        <v>CCES3K8</v>
        <stp/>
        <stp>ContractData</stp>
        <stp>CCES3K8</stp>
        <stp>Symbol</stp>
        <tr r="G17" s="2"/>
      </tp>
      <tp t="s">
        <v>CCES3H8</v>
        <stp/>
        <stp>ContractData</stp>
        <stp>CCES3H8</stp>
        <stp>Symbol</stp>
        <tr r="F12" s="2"/>
      </tp>
      <tp t="s">
        <v>CCES3H9</v>
        <stp/>
        <stp>ContractData</stp>
        <stp>CCES3H9</stp>
        <stp>Symbol</stp>
        <tr r="K37" s="2"/>
      </tp>
      <tp t="s">
        <v>CCES3U8</v>
        <stp/>
        <stp>ContractData</stp>
        <stp>CCES3U8</stp>
        <stp>Symbol</stp>
        <tr r="I27" s="2"/>
      </tp>
      <tp t="s">
        <v>CCES3Z8</v>
        <stp/>
        <stp>ContractData</stp>
        <stp>CCES3Z8</stp>
        <stp>Symbol</stp>
        <tr r="J32" s="2"/>
      </tp>
      <tp t="s">
        <v>CCES2N8</v>
        <stp/>
        <stp>ContractData</stp>
        <stp>CCES2N8</stp>
        <stp>Symbol</stp>
        <tr r="G22" s="2"/>
      </tp>
      <tp t="s">
        <v>CCES2K8</v>
        <stp/>
        <stp>ContractData</stp>
        <stp>CCES2K8</stp>
        <stp>Symbol</stp>
        <tr r="F17" s="2"/>
      </tp>
      <tp t="s">
        <v>CCES2K9</v>
        <stp/>
        <stp>ContractData</stp>
        <stp>CCES2K9</stp>
        <stp>Symbol</stp>
        <tr r="K42" s="2"/>
      </tp>
      <tp t="s">
        <v>CCES2H8</v>
        <stp/>
        <stp>ContractData</stp>
        <stp>CCES2H8</stp>
        <stp>Symbol</stp>
        <tr r="E12" s="2"/>
      </tp>
      <tp t="s">
        <v>CCES2H9</v>
        <stp/>
        <stp>ContractData</stp>
        <stp>CCES2H9</stp>
        <stp>Symbol</stp>
        <tr r="J37" s="2"/>
      </tp>
      <tp t="s">
        <v>CCES2U8</v>
        <stp/>
        <stp>ContractData</stp>
        <stp>CCES2U8</stp>
        <stp>Symbol</stp>
        <tr r="H27" s="2"/>
      </tp>
      <tp t="s">
        <v>CCES2Z8</v>
        <stp/>
        <stp>ContractData</stp>
        <stp>CCES2Z8</stp>
        <stp>Symbol</stp>
        <tr r="I32" s="2"/>
      </tp>
      <tp t="s">
        <v>CCES1N8</v>
        <stp/>
        <stp>ContractData</stp>
        <stp>CCES1N8</stp>
        <stp>Symbol</stp>
        <tr r="F22" s="2"/>
      </tp>
      <tp t="s">
        <v>CCES1N9</v>
        <stp/>
        <stp>ContractData</stp>
        <stp>CCES1N9</stp>
        <stp>Symbol</stp>
        <tr r="K47" s="2"/>
      </tp>
      <tp t="s">
        <v>CCES1K8</v>
        <stp/>
        <stp>ContractData</stp>
        <stp>CCES1K8</stp>
        <stp>Symbol</stp>
        <tr r="E17" s="2"/>
      </tp>
      <tp t="s">
        <v>CCES1K9</v>
        <stp/>
        <stp>ContractData</stp>
        <stp>CCES1K9</stp>
        <stp>Symbol</stp>
        <tr r="J42" s="2"/>
      </tp>
      <tp t="s">
        <v>CCES1H8</v>
        <stp/>
        <stp>ContractData</stp>
        <stp>CCES1H8</stp>
        <stp>Symbol</stp>
        <tr r="D12" s="2"/>
      </tp>
      <tp t="s">
        <v>CCES1H9</v>
        <stp/>
        <stp>ContractData</stp>
        <stp>CCES1H9</stp>
        <stp>Symbol</stp>
        <tr r="I37" s="2"/>
      </tp>
      <tp t="s">
        <v>CCES1U8</v>
        <stp/>
        <stp>ContractData</stp>
        <stp>CCES1U8</stp>
        <stp>Symbol</stp>
        <tr r="G27" s="2"/>
      </tp>
      <tp t="s">
        <v>CCES1Z8</v>
        <stp/>
        <stp>ContractData</stp>
        <stp>CCES1Z8</stp>
        <stp>Symbol</stp>
        <tr r="H32" s="2"/>
      </tp>
      <tp t="s">
        <v>CCES7K8</v>
        <stp/>
        <stp>ContractData</stp>
        <stp>CCES7K8</stp>
        <stp>Symbol</stp>
        <tr r="K17" s="2"/>
      </tp>
      <tp t="s">
        <v>CCES7H8</v>
        <stp/>
        <stp>ContractData</stp>
        <stp>CCES7H8</stp>
        <stp>Symbol</stp>
        <tr r="J12" s="2"/>
      </tp>
      <tp t="s">
        <v>CCES6N8</v>
        <stp/>
        <stp>ContractData</stp>
        <stp>CCES6N8</stp>
        <stp>Symbol</stp>
        <tr r="K22" s="2"/>
      </tp>
      <tp t="s">
        <v>CCES6K8</v>
        <stp/>
        <stp>ContractData</stp>
        <stp>CCES6K8</stp>
        <stp>Symbol</stp>
        <tr r="J17" s="2"/>
      </tp>
      <tp t="s">
        <v>CCES6H8</v>
        <stp/>
        <stp>ContractData</stp>
        <stp>CCES6H8</stp>
        <stp>Symbol</stp>
        <tr r="I12" s="2"/>
      </tp>
      <tp t="s">
        <v>CCES5N8</v>
        <stp/>
        <stp>ContractData</stp>
        <stp>CCES5N8</stp>
        <stp>Symbol</stp>
        <tr r="J22" s="2"/>
      </tp>
      <tp t="s">
        <v>CCES5K8</v>
        <stp/>
        <stp>ContractData</stp>
        <stp>CCES5K8</stp>
        <stp>Symbol</stp>
        <tr r="I17" s="2"/>
      </tp>
      <tp t="s">
        <v>CCES5H8</v>
        <stp/>
        <stp>ContractData</stp>
        <stp>CCES5H8</stp>
        <stp>Symbol</stp>
        <tr r="H12" s="2"/>
      </tp>
      <tp t="s">
        <v>CCES5U8</v>
        <stp/>
        <stp>ContractData</stp>
        <stp>CCES5U8</stp>
        <stp>Symbol</stp>
        <tr r="K27" s="2"/>
      </tp>
      <tp t="s">
        <v>CCES4N8</v>
        <stp/>
        <stp>ContractData</stp>
        <stp>CCES4N8</stp>
        <stp>Symbol</stp>
        <tr r="I22" s="2"/>
      </tp>
      <tp t="s">
        <v>CCES4K8</v>
        <stp/>
        <stp>ContractData</stp>
        <stp>CCES4K8</stp>
        <stp>Symbol</stp>
        <tr r="H17" s="2"/>
      </tp>
      <tp t="s">
        <v>CCES4H8</v>
        <stp/>
        <stp>ContractData</stp>
        <stp>CCES4H8</stp>
        <stp>Symbol</stp>
        <tr r="G12" s="2"/>
      </tp>
      <tp t="s">
        <v>CCES4U8</v>
        <stp/>
        <stp>ContractData</stp>
        <stp>CCES4U8</stp>
        <stp>Symbol</stp>
        <tr r="J27" s="2"/>
      </tp>
      <tp t="s">
        <v>CCES4Z8</v>
        <stp/>
        <stp>ContractData</stp>
        <stp>CCES4Z8</stp>
        <stp>Symbol</stp>
        <tr r="K32" s="2"/>
      </tp>
      <tp t="s">
        <v>CCES8H8</v>
        <stp/>
        <stp>ContractData</stp>
        <stp>CCES8H8</stp>
        <stp>Symbol</stp>
        <tr r="K12" s="2"/>
      </tp>
      <tp>
        <v>64</v>
        <stp/>
        <stp>ContractData</stp>
        <stp>CCEU9</stp>
        <stp>Bate</stp>
        <tr r="Q22" s="3"/>
      </tp>
      <tp>
        <v>64</v>
        <stp/>
        <stp>ContractData</stp>
        <stp>CCEU8</stp>
        <stp>Bate</stp>
        <tr r="Q17" s="3"/>
      </tp>
      <tp>
        <v>1505</v>
        <stp/>
        <stp>ContractData</stp>
        <stp>CCEN8</stp>
        <stp>T_CVol</stp>
        <tr r="E10" s="2"/>
        <tr r="E25" s="2"/>
      </tp>
      <tp>
        <v>15</v>
        <stp/>
        <stp>ContractData</stp>
        <stp>CCEN9</stp>
        <stp>T_CVol</stp>
        <tr r="J10" s="2"/>
        <tr r="J50" s="2"/>
      </tp>
      <tp>
        <v>4451</v>
        <stp/>
        <stp>ContractData</stp>
        <stp>CCEK8</stp>
        <stp>T_CVol</stp>
        <tr r="D20" s="2"/>
        <tr r="D10" s="2"/>
      </tp>
      <tp>
        <v>0</v>
        <stp/>
        <stp>ContractData</stp>
        <stp>CCEK9</stp>
        <stp>T_CVol</stp>
        <tr r="I45" s="2"/>
        <tr r="I10" s="2"/>
      </tp>
      <tp>
        <v>15330</v>
        <stp/>
        <stp>ContractData</stp>
        <stp>CCEH8</stp>
        <stp>T_CVol</stp>
        <tr r="B10" s="2"/>
        <tr r="B15" s="2"/>
      </tp>
      <tp>
        <v>316</v>
        <stp/>
        <stp>ContractData</stp>
        <stp>CCEH9</stp>
        <stp>T_CVol</stp>
        <tr r="H40" s="2"/>
        <tr r="H10" s="2"/>
      </tp>
      <tp>
        <v>813</v>
        <stp/>
        <stp>ContractData</stp>
        <stp>CCEU8</stp>
        <stp>T_CVol</stp>
        <tr r="F10" s="2"/>
        <tr r="F30" s="2"/>
      </tp>
      <tp>
        <v>28</v>
        <stp/>
        <stp>ContractData</stp>
        <stp>CCEU9</stp>
        <stp>T_CVol</stp>
        <tr r="K55" s="2"/>
        <tr r="K10" s="2"/>
      </tp>
      <tp>
        <v>677</v>
        <stp/>
        <stp>ContractData</stp>
        <stp>CCEZ8</stp>
        <stp>T_CVol</stp>
        <tr r="G35" s="2"/>
        <tr r="G10" s="2"/>
      </tp>
      <tp>
        <v>2045</v>
        <stp/>
        <stp>ContractData</stp>
        <stp>CCEZ8</stp>
        <stp>Close</stp>
        <stp/>
        <stp>T</stp>
        <tr r="G58" s="2"/>
        <tr r="G58" s="2"/>
      </tp>
      <tp>
        <v>23135</v>
        <stp/>
        <stp>StudyData</stp>
        <stp>CCEH8</stp>
        <stp>VolOI</stp>
        <stp/>
        <stp>Vol</stp>
        <stp/>
        <stp/>
        <stp>all</stp>
        <stp/>
        <stp/>
        <stp/>
        <stp>T</stp>
        <tr r="V20" s="3"/>
      </tp>
      <tp>
        <v>2100</v>
        <stp/>
        <stp>ContractData</stp>
        <stp>CCEU9</stp>
        <stp>Close</stp>
        <stp/>
        <stp>T</stp>
        <tr r="G63" s="2"/>
        <tr r="G63" s="2"/>
      </tp>
      <tp>
        <v>2027</v>
        <stp/>
        <stp>ContractData</stp>
        <stp>CCEU8</stp>
        <stp>Close</stp>
        <stp/>
        <stp>T</stp>
        <tr r="G56" s="2"/>
        <tr r="G56" s="2"/>
      </tp>
      <tp>
        <v>1</v>
        <stp/>
        <stp>ContractData</stp>
        <stp>CCES8H8</stp>
        <stp>NetLastQuoteToday</stp>
        <stp/>
        <stp>T</stp>
        <tr r="X9" s="3"/>
      </tp>
      <tp>
        <v>2</v>
        <stp/>
        <stp>ContractData</stp>
        <stp>CCES1H8</stp>
        <stp>NetLastQuoteToday</stp>
        <stp/>
        <stp>T</stp>
        <tr r="X2" s="3"/>
      </tp>
      <tp>
        <v>1</v>
        <stp/>
        <stp>ContractData</stp>
        <stp>CCES2H8</stp>
        <stp>NetLastQuoteToday</stp>
        <stp/>
        <stp>T</stp>
        <tr r="X3" s="3"/>
      </tp>
      <tp>
        <v>2</v>
        <stp/>
        <stp>ContractData</stp>
        <stp>CCES3H8</stp>
        <stp>NetLastQuoteToday</stp>
        <stp/>
        <stp>T</stp>
        <tr r="X4" s="3"/>
      </tp>
      <tp>
        <v>1</v>
        <stp/>
        <stp>ContractData</stp>
        <stp>CCES4H8</stp>
        <stp>NetLastQuoteToday</stp>
        <stp/>
        <stp>T</stp>
        <tr r="X5" s="3"/>
      </tp>
      <tp>
        <v>0</v>
        <stp/>
        <stp>ContractData</stp>
        <stp>CCES5H8</stp>
        <stp>NetLastQuoteToday</stp>
        <stp/>
        <stp>T</stp>
        <tr r="X6" s="3"/>
      </tp>
      <tp>
        <v>0</v>
        <stp/>
        <stp>ContractData</stp>
        <stp>CCES6H8</stp>
        <stp>NetLastQuoteToday</stp>
        <stp/>
        <stp>T</stp>
        <tr r="X7" s="3"/>
      </tp>
      <tp>
        <v>1</v>
        <stp/>
        <stp>ContractData</stp>
        <stp>CCES7H8</stp>
        <stp>NetLastQuoteToday</stp>
        <stp/>
        <stp>T</stp>
        <tr r="X8" s="3"/>
      </tp>
      <tp>
        <v>64</v>
        <stp/>
        <stp>ContractData</stp>
        <stp>CCEZ8</stp>
        <stp>Bate</stp>
        <tr r="Q18" s="3"/>
      </tp>
      <tp>
        <v>2062</v>
        <stp/>
        <stp>ContractData</stp>
        <stp>CCEH9</stp>
        <stp>Close</stp>
        <stp/>
        <stp>T</stp>
        <tr r="G59" s="2"/>
        <tr r="G59" s="2"/>
      </tp>
      <tp>
        <v>2000</v>
        <stp/>
        <stp>ContractData</stp>
        <stp>CCEH8</stp>
        <stp>Close</stp>
        <stp/>
        <stp>T</stp>
        <tr r="G53" s="2"/>
        <tr r="G53" s="2"/>
      </tp>
      <tp>
        <v>2075</v>
        <stp/>
        <stp>ContractData</stp>
        <stp>CCEK9</stp>
        <stp>Close</stp>
        <stp/>
        <stp>T</stp>
        <tr r="G60" s="2"/>
        <tr r="G60" s="2"/>
      </tp>
      <tp>
        <v>2001</v>
        <stp/>
        <stp>ContractData</stp>
        <stp>CCEK8</stp>
        <stp>Close</stp>
        <stp/>
        <stp>T</stp>
        <tr r="G54" s="2"/>
        <tr r="G54" s="2"/>
      </tp>
      <tp>
        <v>-12</v>
        <stp/>
        <stp>ContractData</stp>
        <stp>CCES2H8</stp>
        <stp>LastTradeorSettle</stp>
        <stp/>
        <stp>T</stp>
        <tr r="W3" s="3"/>
        <tr r="W3" s="3"/>
      </tp>
      <tp>
        <v>-27</v>
        <stp/>
        <stp>ContractData</stp>
        <stp>CCES3H8</stp>
        <stp>LastTradeorSettle</stp>
        <stp/>
        <stp>T</stp>
        <tr r="W4" s="3"/>
        <tr r="W4" s="3"/>
      </tp>
      <tp>
        <v>-1</v>
        <stp/>
        <stp>ContractData</stp>
        <stp>CCES1H8</stp>
        <stp>LastTradeorSettle</stp>
        <stp/>
        <stp>T</stp>
        <tr r="W2" s="3"/>
        <tr r="W2" s="3"/>
      </tp>
      <tp t="s">
        <v/>
        <stp/>
        <stp>ContractData</stp>
        <stp>CCES6H8</stp>
        <stp>LastTradeorSettle</stp>
        <stp/>
        <stp>T</stp>
        <tr r="W7" s="3"/>
      </tp>
      <tp t="s">
        <v/>
        <stp/>
        <stp>ContractData</stp>
        <stp>CCES7H8</stp>
        <stp>LastTradeorSettle</stp>
        <stp/>
        <stp>T</stp>
        <tr r="W8" s="3"/>
      </tp>
      <tp>
        <v>-46</v>
        <stp/>
        <stp>ContractData</stp>
        <stp>CCES4H8</stp>
        <stp>LastTradeorSettle</stp>
        <stp/>
        <stp>T</stp>
        <tr r="W5" s="3"/>
        <tr r="W5" s="3"/>
      </tp>
      <tp>
        <v>-64</v>
        <stp/>
        <stp>ContractData</stp>
        <stp>CCES5H8</stp>
        <stp>LastTradeorSettle</stp>
        <stp/>
        <stp>T</stp>
        <tr r="W6" s="3"/>
        <tr r="W6" s="3"/>
      </tp>
      <tp t="s">
        <v/>
        <stp/>
        <stp>ContractData</stp>
        <stp>CCES8H8</stp>
        <stp>LastTradeorSettle</stp>
        <stp/>
        <stp>T</stp>
        <tr r="W9" s="3"/>
      </tp>
      <tp>
        <v>43073.415300925924</v>
        <stp/>
        <stp>SystemInfo</stp>
        <stp>Linetime</stp>
        <tr r="B19" s="4"/>
        <tr r="S4" s="2"/>
        <tr r="B19" s="2"/>
        <tr r="AJ2" s="3"/>
      </tp>
      <tp>
        <v>16</v>
        <stp/>
        <stp>ContractData</stp>
        <stp>S.CCE</stp>
        <stp>Bate</stp>
        <tr r="Q25" s="3"/>
        <tr r="Q24" s="3"/>
        <tr r="Q23" s="3"/>
      </tp>
      <tp>
        <v>2088</v>
        <stp/>
        <stp>ContractData</stp>
        <stp>CCEN9</stp>
        <stp>Close</stp>
        <stp/>
        <stp>T</stp>
        <tr r="G61" s="2"/>
        <tr r="G61" s="2"/>
      </tp>
      <tp>
        <v>2012</v>
        <stp/>
        <stp>ContractData</stp>
        <stp>CCEN8</stp>
        <stp>Close</stp>
        <stp/>
        <stp>T</stp>
        <tr r="G55" s="2"/>
        <tr r="G55" s="2"/>
      </tp>
      <tp>
        <v>17</v>
        <stp/>
        <stp>ContractData</stp>
        <stp>CCE</stp>
        <stp>VolumeLastAsk</stp>
        <tr r="D46" s="2"/>
      </tp>
      <tp>
        <v>2120</v>
        <stp/>
        <stp>ContractData</stp>
        <stp>CCEN9</stp>
        <stp>Y_Open</stp>
        <stp/>
        <stp>T</stp>
        <tr r="D61" s="2"/>
      </tp>
      <tp>
        <v>2107</v>
        <stp/>
        <stp>ContractData</stp>
        <stp>CCEK9</stp>
        <stp>Y_Open</stp>
        <stp/>
        <stp>T</stp>
        <tr r="D60" s="2"/>
      </tp>
      <tp>
        <v>64</v>
        <stp/>
        <stp>ContractData</stp>
        <stp>CCEN9</stp>
        <stp>Bate</stp>
        <tr r="Q21" s="3"/>
      </tp>
      <tp>
        <v>64</v>
        <stp/>
        <stp>ContractData</stp>
        <stp>CCEN8</stp>
        <stp>Bate</stp>
        <tr r="Q16" s="3"/>
      </tp>
      <tp>
        <v>10</v>
        <stp/>
        <stp>ContractData</stp>
        <stp>CCE</stp>
        <stp>VolumeLastBid</stp>
        <tr r="D49" s="2"/>
      </tp>
      <tp t="s">
        <v>Cocoa (ICE) Calendar Spread 8, Mar 18, Sep 19</v>
        <stp/>
        <stp>ContractData</stp>
        <stp>CCES8H8</stp>
        <stp>LongDescription</stp>
        <stp/>
        <stp>T</stp>
        <tr r="AF9" s="3"/>
      </tp>
      <tp t="s">
        <v>Cocoa (ICE) Calendar Spread 5, Mar 18, Mar 19</v>
        <stp/>
        <stp>ContractData</stp>
        <stp>CCES5H8</stp>
        <stp>LongDescription</stp>
        <stp/>
        <stp>T</stp>
        <tr r="AF6" s="3"/>
      </tp>
      <tp t="s">
        <v>Cocoa (ICE) Calendar Spread 4, Mar 18, Dec 18</v>
        <stp/>
        <stp>ContractData</stp>
        <stp>CCES4H8</stp>
        <stp>LongDescription</stp>
        <stp/>
        <stp>T</stp>
        <tr r="AF5" s="3"/>
      </tp>
      <tp t="s">
        <v>Cocoa (ICE) Calendar Spread 7, Mar 18, Jul 19</v>
        <stp/>
        <stp>ContractData</stp>
        <stp>CCES7H8</stp>
        <stp>LongDescription</stp>
        <stp/>
        <stp>T</stp>
        <tr r="AF8" s="3"/>
      </tp>
      <tp t="s">
        <v>Cocoa (ICE) Calendar Spread 6, Mar 18, May 19</v>
        <stp/>
        <stp>ContractData</stp>
        <stp>CCES6H8</stp>
        <stp>LongDescription</stp>
        <stp/>
        <stp>T</stp>
        <tr r="AF7" s="3"/>
      </tp>
      <tp t="s">
        <v>Cocoa (ICE) Calendar Spread 1, Mar 18, May 18</v>
        <stp/>
        <stp>ContractData</stp>
        <stp>CCES1H8</stp>
        <stp>LongDescription</stp>
        <stp/>
        <stp>T</stp>
        <tr r="AF2" s="3"/>
      </tp>
      <tp t="s">
        <v>Cocoa (ICE) Calendar Spread 3, Mar 18, Sep 18</v>
        <stp/>
        <stp>ContractData</stp>
        <stp>CCES3H8</stp>
        <stp>LongDescription</stp>
        <stp/>
        <stp>T</stp>
        <tr r="AF4" s="3"/>
      </tp>
      <tp t="s">
        <v>Cocoa (ICE) Calendar Spread 2, Mar 18, Jul 18</v>
        <stp/>
        <stp>ContractData</stp>
        <stp>CCES2H8</stp>
        <stp>LongDescription</stp>
        <stp/>
        <stp>T</stp>
        <tr r="AF3" s="3"/>
      </tp>
      <tp>
        <v>64</v>
        <stp/>
        <stp>ContractData</stp>
        <stp>CCEH9</stp>
        <stp>Bate</stp>
        <tr r="Q19" s="3"/>
      </tp>
      <tp>
        <v>64</v>
        <stp/>
        <stp>ContractData</stp>
        <stp>CCEH8</stp>
        <stp>Bate</stp>
        <tr r="Q14" s="3"/>
      </tp>
      <tp t="s">
        <v>CCEH8</v>
        <stp/>
        <stp>ContractData</stp>
        <stp>CCE?1?</stp>
        <stp>Symbol</stp>
        <tr r="S35" s="3"/>
      </tp>
      <tp t="s">
        <v>S.CCE</v>
        <stp/>
        <stp>ContractData</stp>
        <stp>CCE?12</stp>
        <stp>Symbol</stp>
        <tr r="Q12" s="3"/>
      </tp>
      <tp t="s">
        <v>S.CCE</v>
        <stp/>
        <stp>ContractData</stp>
        <stp>CCE?13</stp>
        <stp>Symbol</stp>
        <tr r="Q13" s="3"/>
      </tp>
      <tp t="s">
        <v>CCEU9</v>
        <stp/>
        <stp>ContractData</stp>
        <stp>CCE?10</stp>
        <stp>Symbol</stp>
        <tr r="Q10" s="3"/>
      </tp>
      <tp t="s">
        <v>S.CCE</v>
        <stp/>
        <stp>ContractData</stp>
        <stp>CCE?11</stp>
        <stp>Symbol</stp>
        <tr r="Q11" s="3"/>
      </tp>
      <tp>
        <v>2115</v>
        <stp/>
        <stp>ContractData</stp>
        <stp>CCEK9</stp>
        <stp>Y_High</stp>
        <stp/>
        <stp>T</stp>
        <tr r="E60" s="2"/>
      </tp>
      <tp>
        <v>2129</v>
        <stp/>
        <stp>ContractData</stp>
        <stp>CCEN9</stp>
        <stp>Y_High</stp>
        <stp/>
        <stp>T</stp>
        <tr r="E61" s="2"/>
      </tp>
      <tp>
        <v>64</v>
        <stp/>
        <stp>ContractData</stp>
        <stp>CCEK9</stp>
        <stp>Bate</stp>
        <tr r="Q20" s="3"/>
      </tp>
      <tp>
        <v>64</v>
        <stp/>
        <stp>ContractData</stp>
        <stp>CCEK8</stp>
        <stp>Bate</stp>
        <tr r="Q15" s="3"/>
      </tp>
      <tp>
        <v>2107</v>
        <stp/>
        <stp>ContractData</stp>
        <stp>CCEK9</stp>
        <stp>Y_Low</stp>
        <stp/>
        <stp>T</stp>
        <tr r="F60" s="2"/>
      </tp>
      <tp t="s">
        <v/>
        <stp/>
        <stp>ContractData</stp>
        <stp>CCE</stp>
        <stp>T_Settlement</stp>
        <stp/>
        <stp>T</stp>
        <tr r="AE1" s="3"/>
        <tr r="AJ12" s="3"/>
      </tp>
      <tp>
        <v>2120</v>
        <stp/>
        <stp>ContractData</stp>
        <stp>CCEN9</stp>
        <stp>Y_Low</stp>
        <stp/>
        <stp>T</stp>
        <tr r="F61" s="2"/>
      </tp>
      <tp>
        <v>2000</v>
        <stp/>
        <stp>ContractData</stp>
        <stp>CCE</stp>
        <stp>Bid</stp>
        <stp/>
        <stp>T</stp>
        <tr r="E49" s="2"/>
      </tp>
      <tp>
        <v>2001</v>
        <stp/>
        <stp>ContractData</stp>
        <stp>CCE</stp>
        <stp>Ask</stp>
        <stp/>
        <stp>T</stp>
        <tr r="E46" s="2"/>
      </tp>
      <tp>
        <v>2084</v>
        <stp/>
        <stp>ContractData</stp>
        <stp>CCEZ8</stp>
        <stp>High</stp>
        <stp/>
        <stp>T</stp>
        <tr r="E58" s="2"/>
        <tr r="E58" s="2"/>
      </tp>
      <tp>
        <v>2063</v>
        <stp/>
        <stp>ContractData</stp>
        <stp>CCEU8</stp>
        <stp>High</stp>
        <stp/>
        <stp>T</stp>
        <tr r="E56" s="2"/>
        <tr r="E56" s="2"/>
      </tp>
      <tp>
        <v>2106</v>
        <stp/>
        <stp>ContractData</stp>
        <stp>CCEU9</stp>
        <stp>High</stp>
        <stp/>
        <stp>T</stp>
        <tr r="E63" s="2"/>
        <tr r="E63" s="2"/>
      </tp>
      <tp>
        <v>2050</v>
        <stp/>
        <stp>ContractData</stp>
        <stp>CCEN8</stp>
        <stp>High</stp>
        <stp/>
        <stp>T</stp>
        <tr r="E55" s="2"/>
        <tr r="E55" s="2"/>
      </tp>
      <tp t="s">
        <v/>
        <stp/>
        <stp>ContractData</stp>
        <stp>CCEN9</stp>
        <stp>High</stp>
        <stp/>
        <stp>T</stp>
        <tr r="E61" s="2"/>
      </tp>
      <tp>
        <v>2039</v>
        <stp/>
        <stp>ContractData</stp>
        <stp>CCEH8</stp>
        <stp>High</stp>
        <stp/>
        <stp>T</stp>
        <tr r="E53" s="2"/>
        <tr r="E53" s="2"/>
      </tp>
      <tp>
        <v>2096</v>
        <stp/>
        <stp>ContractData</stp>
        <stp>CCEH9</stp>
        <stp>High</stp>
        <stp/>
        <stp>T</stp>
        <tr r="E59" s="2"/>
        <tr r="E59" s="2"/>
      </tp>
      <tp>
        <v>2037</v>
        <stp/>
        <stp>ContractData</stp>
        <stp>CCEK8</stp>
        <stp>High</stp>
        <stp/>
        <stp>T</stp>
        <tr r="E54" s="2"/>
        <tr r="E54" s="2"/>
      </tp>
      <tp t="s">
        <v/>
        <stp/>
        <stp>ContractData</stp>
        <stp>CCEK9</stp>
        <stp>High</stp>
        <stp/>
        <stp>T</stp>
        <tr r="E60" s="2"/>
      </tp>
      <tp>
        <v>318</v>
        <stp/>
        <stp>ContractData</stp>
        <stp>CCES4H8</stp>
        <stp>T_CVol</stp>
        <tr r="G15" s="2"/>
      </tp>
      <tp>
        <v>5</v>
        <stp/>
        <stp>ContractData</stp>
        <stp>CCES4K8</stp>
        <stp>T_CVol</stp>
        <tr r="H20" s="2"/>
      </tp>
      <tp>
        <v>0</v>
        <stp/>
        <stp>ContractData</stp>
        <stp>CCES4N8</stp>
        <stp>T_CVol</stp>
        <tr r="I25" s="2"/>
      </tp>
      <tp>
        <v>0</v>
        <stp/>
        <stp>ContractData</stp>
        <stp>CCES4U8</stp>
        <stp>T_CVol</stp>
        <tr r="J30" s="2"/>
      </tp>
      <tp>
        <v>0</v>
        <stp/>
        <stp>ContractData</stp>
        <stp>CCES4Z8</stp>
        <stp>T_CVol</stp>
        <tr r="K35" s="2"/>
      </tp>
      <tp>
        <v>26</v>
        <stp/>
        <stp>ContractData</stp>
        <stp>CCES5H8</stp>
        <stp>T_CVol</stp>
        <tr r="H15" s="2"/>
      </tp>
      <tp>
        <v>0</v>
        <stp/>
        <stp>ContractData</stp>
        <stp>CCES5K8</stp>
        <stp>T_CVol</stp>
        <tr r="I20" s="2"/>
      </tp>
      <tp>
        <v>0</v>
        <stp/>
        <stp>ContractData</stp>
        <stp>CCES5N8</stp>
        <stp>T_CVol</stp>
        <tr r="J25" s="2"/>
      </tp>
      <tp>
        <v>15</v>
        <stp/>
        <stp>ContractData</stp>
        <stp>CCES5U8</stp>
        <stp>T_CVol</stp>
        <tr r="K30" s="2"/>
      </tp>
      <tp>
        <v>0</v>
        <stp/>
        <stp>ContractData</stp>
        <stp>CCES6H8</stp>
        <stp>T_CVol</stp>
        <tr r="I15" s="2"/>
      </tp>
      <tp>
        <v>0</v>
        <stp/>
        <stp>ContractData</stp>
        <stp>CCES6K8</stp>
        <stp>T_CVol</stp>
        <tr r="J20" s="2"/>
      </tp>
      <tp>
        <v>0</v>
        <stp/>
        <stp>ContractData</stp>
        <stp>CCES6N8</stp>
        <stp>T_CVol</stp>
        <tr r="K25" s="2"/>
      </tp>
      <tp>
        <v>0</v>
        <stp/>
        <stp>ContractData</stp>
        <stp>CCES7H8</stp>
        <stp>T_CVol</stp>
        <tr r="J15" s="2"/>
      </tp>
      <tp>
        <v>0</v>
        <stp/>
        <stp>ContractData</stp>
        <stp>CCES7K8</stp>
        <stp>T_CVol</stp>
        <tr r="K20" s="2"/>
      </tp>
      <tp>
        <v>2402</v>
        <stp/>
        <stp>ContractData</stp>
        <stp>CCES1H8</stp>
        <stp>T_CVol</stp>
        <tr r="D15" s="2"/>
      </tp>
      <tp>
        <v>0</v>
        <stp/>
        <stp>ContractData</stp>
        <stp>CCES1H9</stp>
        <stp>T_CVol</stp>
        <tr r="I40" s="2"/>
      </tp>
      <tp>
        <v>721</v>
        <stp/>
        <stp>ContractData</stp>
        <stp>CCES1K8</stp>
        <stp>T_CVol</stp>
        <tr r="E20" s="2"/>
      </tp>
      <tp>
        <v>0</v>
        <stp/>
        <stp>ContractData</stp>
        <stp>CCES1K9</stp>
        <stp>T_CVol</stp>
        <tr r="J45" s="2"/>
      </tp>
      <tp>
        <v>467</v>
        <stp/>
        <stp>ContractData</stp>
        <stp>CCES1N8</stp>
        <stp>T_CVol</stp>
        <tr r="F25" s="2"/>
      </tp>
      <tp>
        <v>0</v>
        <stp/>
        <stp>ContractData</stp>
        <stp>CCES1N9</stp>
        <stp>T_CVol</stp>
        <tr r="K50" s="2"/>
      </tp>
      <tp>
        <v>191</v>
        <stp/>
        <stp>ContractData</stp>
        <stp>CCES1U8</stp>
        <stp>T_CVol</stp>
        <tr r="G30" s="2"/>
      </tp>
      <tp>
        <v>68</v>
        <stp/>
        <stp>ContractData</stp>
        <stp>CCES1Z8</stp>
        <stp>T_CVol</stp>
        <tr r="H35" s="2"/>
      </tp>
      <tp>
        <v>353</v>
        <stp/>
        <stp>ContractData</stp>
        <stp>CCES2H8</stp>
        <stp>T_CVol</stp>
        <tr r="E15" s="2"/>
      </tp>
      <tp>
        <v>15</v>
        <stp/>
        <stp>ContractData</stp>
        <stp>CCES2H9</stp>
        <stp>T_CVol</stp>
        <tr r="J40" s="2"/>
      </tp>
      <tp>
        <v>127</v>
        <stp/>
        <stp>ContractData</stp>
        <stp>CCES2K8</stp>
        <stp>T_CVol</stp>
        <tr r="F20" s="2"/>
      </tp>
      <tp>
        <v>0</v>
        <stp/>
        <stp>ContractData</stp>
        <stp>CCES2K9</stp>
        <stp>T_CVol</stp>
        <tr r="K45" s="2"/>
      </tp>
      <tp>
        <v>101</v>
        <stp/>
        <stp>ContractData</stp>
        <stp>CCES2N8</stp>
        <stp>T_CVol</stp>
        <tr r="G25" s="2"/>
      </tp>
      <tp>
        <v>246</v>
        <stp/>
        <stp>ContractData</stp>
        <stp>CCES2U8</stp>
        <stp>T_CVol</stp>
        <tr r="H30" s="2"/>
      </tp>
      <tp>
        <v>0</v>
        <stp/>
        <stp>ContractData</stp>
        <stp>CCES2Z8</stp>
        <stp>T_CVol</stp>
        <tr r="I35" s="2"/>
      </tp>
      <tp>
        <v>25</v>
        <stp/>
        <stp>ContractData</stp>
        <stp>CCES3H8</stp>
        <stp>T_CVol</stp>
        <tr r="F15" s="2"/>
      </tp>
      <tp>
        <v>13</v>
        <stp/>
        <stp>ContractData</stp>
        <stp>CCES3H9</stp>
        <stp>T_CVol</stp>
        <tr r="K40" s="2"/>
      </tp>
      <tp>
        <v>165</v>
        <stp/>
        <stp>ContractData</stp>
        <stp>CCES3K8</stp>
        <stp>T_CVol</stp>
        <tr r="G20" s="2"/>
      </tp>
      <tp>
        <v>17</v>
        <stp/>
        <stp>ContractData</stp>
        <stp>CCES3N8</stp>
        <stp>T_CVol</stp>
        <tr r="H25" s="2"/>
      </tp>
      <tp>
        <v>0</v>
        <stp/>
        <stp>ContractData</stp>
        <stp>CCES3U8</stp>
        <stp>T_CVol</stp>
        <tr r="I30" s="2"/>
      </tp>
      <tp>
        <v>0</v>
        <stp/>
        <stp>ContractData</stp>
        <stp>CCES3Z8</stp>
        <stp>T_CVol</stp>
        <tr r="J35" s="2"/>
      </tp>
      <tp>
        <v>0</v>
        <stp/>
        <stp>ContractData</stp>
        <stp>CCES8H8</stp>
        <stp>T_CVol</stp>
        <tr r="K15" s="2"/>
      </tp>
      <tp t="s">
        <v>SEP</v>
        <stp/>
        <stp>ContractData</stp>
        <stp>CCEU8</stp>
        <stp>ContractMonth</stp>
        <tr r="B5" s="3"/>
      </tp>
      <tp t="s">
        <v>DEC</v>
        <stp/>
        <stp>ContractData</stp>
        <stp>CCEZ8</stp>
        <stp>ContractMonth</stp>
        <tr r="B6" s="3"/>
      </tp>
      <tp t="s">
        <v>JUL</v>
        <stp/>
        <stp>ContractData</stp>
        <stp>CCEN8</stp>
        <stp>ContractMonth</stp>
        <tr r="B4" s="3"/>
      </tp>
      <tp t="s">
        <v>MAR</v>
        <stp/>
        <stp>ContractData</stp>
        <stp>CCEH8</stp>
        <stp>ContractMonth</stp>
        <tr r="B2" s="3"/>
      </tp>
      <tp t="s">
        <v>MAY</v>
        <stp/>
        <stp>ContractData</stp>
        <stp>CCEK8</stp>
        <stp>ContractMonth</stp>
        <tr r="B3" s="3"/>
      </tp>
      <tp>
        <v>-100</v>
        <stp/>
        <stp>StudyData</stp>
        <stp>CCES8H8</stp>
        <stp>FG</stp>
        <stp/>
        <stp>Close</stp>
        <stp>D</stp>
        <stp/>
        <stp>all</stp>
        <stp/>
        <stp/>
        <stp/>
        <stp>T</stp>
        <tr r="AH9" s="3"/>
      </tp>
      <tp>
        <v>-1</v>
        <stp/>
        <stp>StudyData</stp>
        <stp>CCES1H8</stp>
        <stp>FG</stp>
        <stp/>
        <stp>Close</stp>
        <stp>D</stp>
        <stp/>
        <stp>all</stp>
        <stp/>
        <stp/>
        <stp/>
        <stp>T</stp>
        <tr r="AH2" s="3"/>
      </tp>
      <tp>
        <v>-27</v>
        <stp/>
        <stp>StudyData</stp>
        <stp>CCES3H8</stp>
        <stp>FG</stp>
        <stp/>
        <stp>Close</stp>
        <stp>D</stp>
        <stp/>
        <stp>all</stp>
        <stp/>
        <stp/>
        <stp/>
        <stp>T</stp>
        <tr r="AH4" s="3"/>
      </tp>
      <tp>
        <v>-12</v>
        <stp/>
        <stp>StudyData</stp>
        <stp>CCES2H8</stp>
        <stp>FG</stp>
        <stp/>
        <stp>Close</stp>
        <stp>D</stp>
        <stp/>
        <stp>all</stp>
        <stp/>
        <stp/>
        <stp/>
        <stp>T</stp>
        <tr r="AH3" s="3"/>
      </tp>
      <tp>
        <v>-64</v>
        <stp/>
        <stp>StudyData</stp>
        <stp>CCES5H8</stp>
        <stp>FG</stp>
        <stp/>
        <stp>Close</stp>
        <stp>D</stp>
        <stp/>
        <stp>all</stp>
        <stp/>
        <stp/>
        <stp/>
        <stp>T</stp>
        <tr r="AH6" s="3"/>
      </tp>
      <tp>
        <v>-46</v>
        <stp/>
        <stp>StudyData</stp>
        <stp>CCES4H8</stp>
        <stp>FG</stp>
        <stp/>
        <stp>Close</stp>
        <stp>D</stp>
        <stp/>
        <stp>all</stp>
        <stp/>
        <stp/>
        <stp/>
        <stp>T</stp>
        <tr r="AH5" s="3"/>
      </tp>
      <tp>
        <v>-88</v>
        <stp/>
        <stp>StudyData</stp>
        <stp>CCES7H8</stp>
        <stp>FG</stp>
        <stp/>
        <stp>Close</stp>
        <stp>D</stp>
        <stp/>
        <stp>all</stp>
        <stp/>
        <stp/>
        <stp/>
        <stp>T</stp>
        <tr r="AH8" s="3"/>
      </tp>
      <tp>
        <v>-74</v>
        <stp/>
        <stp>StudyData</stp>
        <stp>CCES6H8</stp>
        <stp>FG</stp>
        <stp/>
        <stp>Close</stp>
        <stp>D</stp>
        <stp/>
        <stp>all</stp>
        <stp/>
        <stp/>
        <stp/>
        <stp>T</stp>
        <tr r="AH7" s="3"/>
      </tp>
      <tp t="s">
        <v>SEP</v>
        <stp/>
        <stp>ContractData</stp>
        <stp>CCEU9</stp>
        <stp>ContractMonth</stp>
        <tr r="B10" s="3"/>
      </tp>
      <tp t="s">
        <v>JUL</v>
        <stp/>
        <stp>ContractData</stp>
        <stp>CCEN9</stp>
        <stp>ContractMonth</stp>
        <tr r="B9" s="3"/>
      </tp>
      <tp t="s">
        <v>MAR</v>
        <stp/>
        <stp>ContractData</stp>
        <stp>CCEH9</stp>
        <stp>ContractMonth</stp>
        <tr r="B7" s="3"/>
      </tp>
      <tp t="s">
        <v>MAY</v>
        <stp/>
        <stp>ContractData</stp>
        <stp>CCEK9</stp>
        <stp>ContractMonth</stp>
        <tr r="B8" s="3"/>
      </tp>
      <tp>
        <v>2046</v>
        <stp/>
        <stp>ContractData</stp>
        <stp>CCEN8</stp>
        <stp>Open</stp>
        <stp/>
        <stp>T</stp>
        <tr r="D55" s="2"/>
        <tr r="D55" s="2"/>
      </tp>
      <tp t="s">
        <v/>
        <stp/>
        <stp>ContractData</stp>
        <stp>CCEN9</stp>
        <stp>Open</stp>
        <stp/>
        <stp>T</stp>
        <tr r="D61" s="2"/>
      </tp>
      <tp>
        <v>2033</v>
        <stp/>
        <stp>ContractData</stp>
        <stp>CCEH8</stp>
        <stp>Open</stp>
        <stp/>
        <stp>T</stp>
        <tr r="D53" s="2"/>
        <tr r="D53" s="2"/>
      </tp>
      <tp>
        <v>2096</v>
        <stp/>
        <stp>ContractData</stp>
        <stp>CCEH9</stp>
        <stp>Open</stp>
        <stp/>
        <stp>T</stp>
        <tr r="D59" s="2"/>
        <tr r="D59" s="2"/>
      </tp>
      <tp>
        <v>2036</v>
        <stp/>
        <stp>ContractData</stp>
        <stp>CCEK8</stp>
        <stp>Open</stp>
        <stp/>
        <stp>T</stp>
        <tr r="D54" s="2"/>
        <tr r="D54" s="2"/>
      </tp>
      <tp t="s">
        <v/>
        <stp/>
        <stp>ContractData</stp>
        <stp>CCEK9</stp>
        <stp>Open</stp>
        <stp/>
        <stp>T</stp>
        <tr r="D60" s="2"/>
      </tp>
      <tp>
        <v>2061</v>
        <stp/>
        <stp>ContractData</stp>
        <stp>CCEU8</stp>
        <stp>Open</stp>
        <stp/>
        <stp>T</stp>
        <tr r="D56" s="2"/>
        <tr r="D56" s="2"/>
      </tp>
      <tp>
        <v>2106</v>
        <stp/>
        <stp>ContractData</stp>
        <stp>CCEU9</stp>
        <stp>Open</stp>
        <stp/>
        <stp>T</stp>
        <tr r="D63" s="2"/>
        <tr r="D63" s="2"/>
      </tp>
      <tp>
        <v>2084</v>
        <stp/>
        <stp>ContractData</stp>
        <stp>CCEZ8</stp>
        <stp>Open</stp>
        <stp/>
        <stp>T</stp>
        <tr r="D58" s="2"/>
        <tr r="D58" s="2"/>
      </tp>
      <tp t="s">
        <v>CCEH8</v>
        <stp/>
        <stp>ContractData</stp>
        <stp>CCEH8</stp>
        <stp>Symbol</stp>
        <tr r="B12" s="2"/>
        <tr r="B7" s="2"/>
      </tp>
      <tp t="s">
        <v>CCEH9</v>
        <stp/>
        <stp>ContractData</stp>
        <stp>CCEH9</stp>
        <stp>Symbol</stp>
        <tr r="H7" s="2"/>
        <tr r="H37" s="2"/>
      </tp>
      <tp t="s">
        <v>CCEK8</v>
        <stp/>
        <stp>ContractData</stp>
        <stp>CCEK8</stp>
        <stp>Symbol</stp>
        <tr r="D7" s="2"/>
        <tr r="D17" s="2"/>
      </tp>
      <tp t="s">
        <v>CCEK9</v>
        <stp/>
        <stp>ContractData</stp>
        <stp>CCEK9</stp>
        <stp>Symbol</stp>
        <tr r="I42" s="2"/>
        <tr r="I7" s="2"/>
      </tp>
      <tp t="s">
        <v>CCEN8</v>
        <stp/>
        <stp>ContractData</stp>
        <stp>CCEN8</stp>
        <stp>Symbol</stp>
        <tr r="E22" s="2"/>
        <tr r="E7" s="2"/>
      </tp>
      <tp t="s">
        <v>CCEN9</v>
        <stp/>
        <stp>ContractData</stp>
        <stp>CCEN9</stp>
        <stp>Symbol</stp>
        <tr r="J7" s="2"/>
        <tr r="J47" s="2"/>
      </tp>
      <tp t="s">
        <v>CCEU8</v>
        <stp/>
        <stp>ContractData</stp>
        <stp>CCEU8</stp>
        <stp>Symbol</stp>
        <tr r="F7" s="2"/>
        <tr r="F27" s="2"/>
      </tp>
      <tp t="s">
        <v>CCEU9</v>
        <stp/>
        <stp>ContractData</stp>
        <stp>CCEU9</stp>
        <stp>Symbol</stp>
        <tr r="K7" s="2"/>
        <tr r="K52" s="2"/>
      </tp>
      <tp t="s">
        <v>CCEZ8</v>
        <stp/>
        <stp>ContractData</stp>
        <stp>CCEZ8</stp>
        <stp>Symbol</stp>
        <tr r="G7" s="2"/>
        <tr r="G32" s="2"/>
      </tp>
      <tp t="s">
        <v>CCEH8</v>
        <stp/>
        <stp>ContractData</stp>
        <stp>CCE?2</stp>
        <stp>Symbol</stp>
        <tr r="Q2" s="3"/>
        <tr r="S36" s="3"/>
      </tp>
      <tp t="s">
        <v>CCEK8</v>
        <stp/>
        <stp>ContractData</stp>
        <stp>CCE?3</stp>
        <stp>Symbol</stp>
        <tr r="Q3" s="3"/>
      </tp>
      <tp t="s">
        <v>CCEZ8</v>
        <stp/>
        <stp>ContractData</stp>
        <stp>CCE?6</stp>
        <stp>Symbol</stp>
        <tr r="Q6" s="3"/>
      </tp>
      <tp t="s">
        <v>CCEH9</v>
        <stp/>
        <stp>ContractData</stp>
        <stp>CCE?7</stp>
        <stp>Symbol</stp>
        <tr r="Q7" s="3"/>
      </tp>
      <tp t="s">
        <v>CCEN8</v>
        <stp/>
        <stp>ContractData</stp>
        <stp>CCE?4</stp>
        <stp>Symbol</stp>
        <tr r="Q4" s="3"/>
      </tp>
      <tp t="s">
        <v>CCEU8</v>
        <stp/>
        <stp>ContractData</stp>
        <stp>CCE?5</stp>
        <stp>Symbol</stp>
        <tr r="Q5" s="3"/>
      </tp>
      <tp t="s">
        <v>CCEK9</v>
        <stp/>
        <stp>ContractData</stp>
        <stp>CCE?8</stp>
        <stp>Symbol</stp>
        <tr r="Q8" s="3"/>
      </tp>
      <tp t="s">
        <v>CCEN9</v>
        <stp/>
        <stp>ContractData</stp>
        <stp>CCE?9</stp>
        <stp>Symbol</stp>
        <tr r="Q9" s="3"/>
      </tp>
      <tp>
        <v>-0.4366812227074236</v>
        <stp/>
        <stp>ContractData</stp>
        <stp>CTE</stp>
        <stp>PerCentNetLastQuote</stp>
        <stp/>
        <stp>T</stp>
        <tr r="F40" s="2"/>
      </tp>
      <tp>
        <v>-0.27016595908915475</v>
        <stp/>
        <stp>ContractData</stp>
        <stp>KCE</stp>
        <stp>PerCentNetLastQuote</stp>
        <stp/>
        <stp>T</stp>
        <tr r="F41" s="2"/>
      </tp>
      <tp>
        <v>-0.46097111247695144</v>
        <stp/>
        <stp>ContractData</stp>
        <stp>OJE</stp>
        <stp>PerCentNetLastQuote</stp>
        <stp/>
        <stp>T</stp>
        <tr r="F43" s="2"/>
      </tp>
      <tp>
        <v>2115</v>
        <stp/>
        <stp>ContractData</stp>
        <stp>CCEK9</stp>
        <stp>Y_Settlement</stp>
        <stp/>
        <stp>T</stp>
        <tr r="R8" s="3"/>
      </tp>
      <tp>
        <v>0.26702269692923897</v>
        <stp/>
        <stp>ContractData</stp>
        <stp>SBE</stp>
        <stp>PerCentNetLastQuote</stp>
        <stp/>
        <stp>T</stp>
        <tr r="F39" s="2"/>
      </tp>
      <tp>
        <v>2129</v>
        <stp/>
        <stp>ContractData</stp>
        <stp>CCEN9</stp>
        <stp>Y_Settlement</stp>
        <stp/>
        <stp>T</stp>
        <tr r="R9" s="3"/>
      </tp>
      <tp t="s">
        <v>DEC</v>
        <stp/>
        <stp>ContractData</stp>
        <stp>CCE?1</stp>
        <stp>ContractMonth</stp>
        <tr r="R35" s="3"/>
      </tp>
      <tp>
        <v>40.119999999999997</v>
        <stp/>
        <stp>ContractData</stp>
        <stp>S.CCE</stp>
        <stp>Bid</stp>
        <stp/>
        <stp>T</stp>
        <tr r="S13" s="3"/>
        <tr r="S12" s="3"/>
        <tr r="S11" s="3"/>
      </tp>
      <tp>
        <v>40.130000000000003</v>
        <stp/>
        <stp>ContractData</stp>
        <stp>S.CCE</stp>
        <stp>Ask</stp>
        <stp/>
        <stp>T</stp>
        <tr r="T13" s="3"/>
        <tr r="T12" s="3"/>
        <tr r="T11" s="3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volatileDependencies" Target="volatileDependencie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410750485457608E-2"/>
          <c:y val="0.27357582305265599"/>
          <c:w val="0.90879627851396627"/>
          <c:h val="0.56300642288633329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" sourceLinked="0"/>
            <c:spPr>
              <a:noFill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Calculations!$U$2:$U$10</c:f>
              <c:numCache>
                <c:formatCode>0.000</c:formatCode>
                <c:ptCount val="9"/>
                <c:pt idx="0">
                  <c:v>-41</c:v>
                </c:pt>
                <c:pt idx="1">
                  <c:v>-42</c:v>
                </c:pt>
                <c:pt idx="2">
                  <c:v>-42</c:v>
                </c:pt>
                <c:pt idx="3">
                  <c:v>-42</c:v>
                </c:pt>
                <c:pt idx="4">
                  <c:v>-41</c:v>
                </c:pt>
                <c:pt idx="5">
                  <c:v>-40</c:v>
                </c:pt>
                <c:pt idx="6">
                  <c:v>-40</c:v>
                </c:pt>
                <c:pt idx="7">
                  <c:v>-41</c:v>
                </c:pt>
                <c:pt idx="8">
                  <c:v>-41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0A2-404F-9829-BCBF8CF02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7472832"/>
        <c:axId val="227475632"/>
      </c:barChart>
      <c:catAx>
        <c:axId val="227472832"/>
        <c:scaling>
          <c:orientation val="minMax"/>
        </c:scaling>
        <c:delete val="1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crossAx val="227475632"/>
        <c:crosses val="autoZero"/>
        <c:auto val="1"/>
        <c:lblAlgn val="ctr"/>
        <c:lblOffset val="100"/>
        <c:noMultiLvlLbl val="0"/>
      </c:catAx>
      <c:valAx>
        <c:axId val="227475632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0.000" sourceLinked="1"/>
        <c:majorTickMark val="out"/>
        <c:minorTickMark val="none"/>
        <c:tickLblPos val="nextTo"/>
        <c:crossAx val="227472832"/>
        <c:crosses val="autoZero"/>
        <c:crossBetween val="between"/>
      </c:valAx>
      <c:spPr>
        <a:solidFill>
          <a:schemeClr val="tx1"/>
        </a:solidFill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7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293516631275484E-2"/>
          <c:y val="4.8887024082021016E-2"/>
          <c:w val="0.90525268533874781"/>
          <c:h val="0.86235110444883034"/>
        </c:manualLayout>
      </c:layout>
      <c:lineChart>
        <c:grouping val="standard"/>
        <c:varyColors val="0"/>
        <c:ser>
          <c:idx val="0"/>
          <c:order val="0"/>
          <c:spPr>
            <a:ln w="15875"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circle"/>
            <c:size val="7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1270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trendline>
            <c:spPr>
              <a:ln w="15875">
                <a:noFill/>
              </a:ln>
            </c:spPr>
            <c:trendlineType val="poly"/>
            <c:order val="2"/>
            <c:dispRSqr val="0"/>
            <c:dispEq val="0"/>
          </c:trendline>
          <c:cat>
            <c:strRef>
              <c:f>Calculations!$O$35:$O$43</c:f>
              <c:strCache>
                <c:ptCount val="9"/>
                <c:pt idx="0">
                  <c:v>Mar 18</c:v>
                </c:pt>
                <c:pt idx="1">
                  <c:v>May 18</c:v>
                </c:pt>
                <c:pt idx="2">
                  <c:v>Jul 18</c:v>
                </c:pt>
                <c:pt idx="3">
                  <c:v>Sep 18</c:v>
                </c:pt>
                <c:pt idx="4">
                  <c:v>Dec 18</c:v>
                </c:pt>
                <c:pt idx="5">
                  <c:v>Mar 19</c:v>
                </c:pt>
                <c:pt idx="6">
                  <c:v>May 19</c:v>
                </c:pt>
                <c:pt idx="7">
                  <c:v>Jul 19</c:v>
                </c:pt>
                <c:pt idx="8">
                  <c:v>Sep 19</c:v>
                </c:pt>
              </c:strCache>
            </c:strRef>
          </c:cat>
          <c:val>
            <c:numRef>
              <c:f>Calculations!$AB$2:$AB$10</c:f>
              <c:numCache>
                <c:formatCode>0.000</c:formatCode>
                <c:ptCount val="9"/>
                <c:pt idx="0">
                  <c:v>2000</c:v>
                </c:pt>
                <c:pt idx="1">
                  <c:v>2001.5</c:v>
                </c:pt>
                <c:pt idx="2">
                  <c:v>2013</c:v>
                </c:pt>
                <c:pt idx="3">
                  <c:v>2028</c:v>
                </c:pt>
                <c:pt idx="4">
                  <c:v>2046</c:v>
                </c:pt>
                <c:pt idx="5">
                  <c:v>2062</c:v>
                </c:pt>
                <c:pt idx="6">
                  <c:v>2077.5</c:v>
                </c:pt>
                <c:pt idx="7">
                  <c:v>2090.5</c:v>
                </c:pt>
                <c:pt idx="8">
                  <c:v>2100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38-4ED2-8230-6E1CBE94C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480112"/>
        <c:axId val="227477312"/>
      </c:lineChart>
      <c:catAx>
        <c:axId val="227480112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 baseline="0"/>
            </a:pPr>
            <a:endParaRPr lang="en-US"/>
          </a:p>
        </c:txPr>
        <c:crossAx val="227477312"/>
        <c:crosses val="autoZero"/>
        <c:auto val="1"/>
        <c:lblAlgn val="ctr"/>
        <c:lblOffset val="100"/>
        <c:noMultiLvlLbl val="0"/>
      </c:catAx>
      <c:valAx>
        <c:axId val="227477312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solidFill>
              <a:schemeClr val="accent1"/>
            </a:solidFill>
            <a:prstDash val="dash"/>
          </a:ln>
        </c:spPr>
        <c:txPr>
          <a:bodyPr/>
          <a:lstStyle/>
          <a:p>
            <a:pPr>
              <a:defRPr sz="900" baseline="0"/>
            </a:pPr>
            <a:endParaRPr lang="en-US"/>
          </a:p>
        </c:txPr>
        <c:crossAx val="227480112"/>
        <c:crosses val="autoZero"/>
        <c:crossBetween val="between"/>
      </c:valAx>
      <c:spPr>
        <a:solidFill>
          <a:schemeClr val="tx1"/>
        </a:solidFill>
        <a:ln w="12700">
          <a:noFill/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9050">
      <a:noFill/>
    </a:ln>
  </c:spPr>
  <c:txPr>
    <a:bodyPr/>
    <a:lstStyle/>
    <a:p>
      <a:pPr>
        <a:defRPr sz="7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341144632906551E-2"/>
          <c:y val="4.4371096089944058E-2"/>
          <c:w val="0.91088733979937109"/>
          <c:h val="0.87748241513432346"/>
        </c:manualLayout>
      </c:layout>
      <c:lineChart>
        <c:grouping val="standard"/>
        <c:varyColors val="0"/>
        <c:ser>
          <c:idx val="0"/>
          <c:order val="0"/>
          <c:spPr>
            <a:ln w="19050"/>
          </c:spPr>
          <c:marker>
            <c:symbol val="circle"/>
            <c:size val="7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trendline>
            <c:spPr>
              <a:ln w="15875">
                <a:noFill/>
              </a:ln>
            </c:spPr>
            <c:trendlineType val="poly"/>
            <c:order val="2"/>
            <c:dispRSqr val="0"/>
            <c:dispEq val="0"/>
          </c:trendline>
          <c:cat>
            <c:strRef>
              <c:f>Calculations!$AF$2:$AF$9</c:f>
              <c:strCache>
                <c:ptCount val="8"/>
                <c:pt idx="0">
                  <c:v>Mar 18, May 18</c:v>
                </c:pt>
                <c:pt idx="1">
                  <c:v>Mar 18, Jul 18</c:v>
                </c:pt>
                <c:pt idx="2">
                  <c:v>Mar 18, Sep 18</c:v>
                </c:pt>
                <c:pt idx="3">
                  <c:v>Mar 18, Dec 18</c:v>
                </c:pt>
                <c:pt idx="4">
                  <c:v>Mar 18, Mar 19</c:v>
                </c:pt>
                <c:pt idx="5">
                  <c:v>Mar 18, May 19</c:v>
                </c:pt>
                <c:pt idx="6">
                  <c:v>Mar 18, Jul 19</c:v>
                </c:pt>
                <c:pt idx="7">
                  <c:v>Mar 18, Sep 19</c:v>
                </c:pt>
              </c:strCache>
            </c:strRef>
          </c:cat>
          <c:val>
            <c:numRef>
              <c:f>Calculations!$AE$2:$AE$9</c:f>
              <c:numCache>
                <c:formatCode>0.00</c:formatCode>
                <c:ptCount val="8"/>
                <c:pt idx="0">
                  <c:v>-0.5</c:v>
                </c:pt>
                <c:pt idx="1">
                  <c:v>-12.5</c:v>
                </c:pt>
                <c:pt idx="2">
                  <c:v>-27</c:v>
                </c:pt>
                <c:pt idx="3">
                  <c:v>-45</c:v>
                </c:pt>
                <c:pt idx="4">
                  <c:v>-62.5</c:v>
                </c:pt>
                <c:pt idx="5">
                  <c:v>-76.5</c:v>
                </c:pt>
                <c:pt idx="6">
                  <c:v>-89.5</c:v>
                </c:pt>
                <c:pt idx="7">
                  <c:v>-101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73B-4A24-BE0F-7DC4837F52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481792"/>
        <c:axId val="227482352"/>
      </c:lineChart>
      <c:catAx>
        <c:axId val="227481792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low"/>
        <c:spPr>
          <a:ln>
            <a:solidFill>
              <a:schemeClr val="tx2"/>
            </a:solidFill>
          </a:ln>
        </c:spPr>
        <c:txPr>
          <a:bodyPr/>
          <a:lstStyle/>
          <a:p>
            <a:pPr>
              <a:defRPr sz="900" baseline="0"/>
            </a:pPr>
            <a:endParaRPr lang="en-US"/>
          </a:p>
        </c:txPr>
        <c:crossAx val="227482352"/>
        <c:crosses val="autoZero"/>
        <c:auto val="1"/>
        <c:lblAlgn val="ctr"/>
        <c:lblOffset val="100"/>
        <c:noMultiLvlLbl val="0"/>
      </c:catAx>
      <c:valAx>
        <c:axId val="227482352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solidFill>
              <a:schemeClr val="tx2"/>
            </a:solidFill>
          </a:ln>
        </c:spPr>
        <c:txPr>
          <a:bodyPr/>
          <a:lstStyle/>
          <a:p>
            <a:pPr>
              <a:defRPr sz="900" baseline="0"/>
            </a:pPr>
            <a:endParaRPr lang="en-US"/>
          </a:p>
        </c:txPr>
        <c:crossAx val="227481792"/>
        <c:crosses val="autoZero"/>
        <c:crossBetween val="between"/>
      </c:valAx>
      <c:spPr>
        <a:solidFill>
          <a:schemeClr val="tx1"/>
        </a:solidFill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 cmpd="sng">
      <a:noFill/>
    </a:ln>
  </c:spPr>
  <c:txPr>
    <a:bodyPr/>
    <a:lstStyle/>
    <a:p>
      <a:pPr>
        <a:defRPr sz="7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947167894335785E-2"/>
          <c:y val="0.27517359239599909"/>
          <c:w val="0.91323480622269881"/>
          <c:h val="0.50604395293425175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Calculations!$AI$2:$AI$9</c:f>
              <c:numCache>
                <c:formatCode>General</c:formatCode>
                <c:ptCount val="8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AD1-4515-9385-D2B38682E7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5296464"/>
        <c:axId val="192165552"/>
      </c:barChart>
      <c:catAx>
        <c:axId val="225296464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majorTickMark val="out"/>
        <c:minorTickMark val="none"/>
        <c:tickLblPos val="none"/>
        <c:spPr>
          <a:ln>
            <a:solidFill>
              <a:schemeClr val="accent1"/>
            </a:solidFill>
            <a:prstDash val="dash"/>
          </a:ln>
        </c:spPr>
        <c:crossAx val="192165552"/>
        <c:crosses val="autoZero"/>
        <c:auto val="1"/>
        <c:lblAlgn val="ctr"/>
        <c:lblOffset val="100"/>
        <c:noMultiLvlLbl val="0"/>
      </c:catAx>
      <c:valAx>
        <c:axId val="192165552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chemeClr val="accent1"/>
            </a:solidFill>
            <a:prstDash val="dash"/>
          </a:ln>
        </c:spPr>
        <c:crossAx val="225296464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  <a:prstDash val="dash"/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7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  <a:ln>
              <a:solidFill>
                <a:schemeClr val="tx2"/>
              </a:solidFill>
            </a:ln>
          </c:spPr>
          <c:invertIfNegative val="0"/>
          <c:cat>
            <c:strRef>
              <c:f>Calculations!$U$20:$U$25</c:f>
              <c:strCache>
                <c:ptCount val="6"/>
                <c:pt idx="0">
                  <c:v>T</c:v>
                </c:pt>
                <c:pt idx="1">
                  <c:v>-1</c:v>
                </c:pt>
                <c:pt idx="2">
                  <c:v>-2</c:v>
                </c:pt>
                <c:pt idx="3">
                  <c:v>-3</c:v>
                </c:pt>
                <c:pt idx="4">
                  <c:v>-4</c:v>
                </c:pt>
                <c:pt idx="5">
                  <c:v>-5</c:v>
                </c:pt>
              </c:strCache>
            </c:strRef>
          </c:cat>
          <c:val>
            <c:numRef>
              <c:f>Calculations!$V$20:$V$25</c:f>
              <c:numCache>
                <c:formatCode>General</c:formatCode>
                <c:ptCount val="6"/>
                <c:pt idx="0">
                  <c:v>23135</c:v>
                </c:pt>
                <c:pt idx="1">
                  <c:v>43947</c:v>
                </c:pt>
                <c:pt idx="2">
                  <c:v>51803</c:v>
                </c:pt>
                <c:pt idx="3">
                  <c:v>47824</c:v>
                </c:pt>
                <c:pt idx="4">
                  <c:v>41979</c:v>
                </c:pt>
                <c:pt idx="5">
                  <c:v>30512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D6C-455C-ABEC-870EEB2DE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20"/>
        <c:axId val="231990432"/>
        <c:axId val="231990992"/>
      </c:barChart>
      <c:catAx>
        <c:axId val="231990432"/>
        <c:scaling>
          <c:orientation val="maxMin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crossAx val="231990992"/>
        <c:crosses val="autoZero"/>
        <c:auto val="1"/>
        <c:lblAlgn val="ctr"/>
        <c:lblOffset val="100"/>
        <c:noMultiLvlLbl val="0"/>
      </c:catAx>
      <c:valAx>
        <c:axId val="231990992"/>
        <c:scaling>
          <c:orientation val="minMax"/>
        </c:scaling>
        <c:delete val="0"/>
        <c:axPos val="r"/>
        <c:majorGridlines>
          <c:spPr>
            <a:ln>
              <a:solidFill>
                <a:schemeClr val="tx2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baseline="0">
                <a:latin typeface="Century Gothic" panose="020B0502020202020204" pitchFamily="34" charset="0"/>
              </a:defRPr>
            </a:pPr>
            <a:endParaRPr lang="en-US"/>
          </a:p>
        </c:txPr>
        <c:crossAx val="231990432"/>
        <c:crosses val="autoZero"/>
        <c:crossBetween val="between"/>
      </c:valAx>
      <c:spPr>
        <a:solidFill>
          <a:schemeClr val="tx1"/>
        </a:solidFill>
        <a:ln>
          <a:solidFill>
            <a:schemeClr val="tx2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9050">
      <a:noFill/>
    </a:ln>
  </c:spPr>
  <c:txPr>
    <a:bodyPr/>
    <a:lstStyle/>
    <a:p>
      <a:pPr>
        <a:defRPr sz="7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482117256351362E-2"/>
          <c:y val="8.890140033649975E-2"/>
          <c:w val="0.94424024728001432"/>
          <c:h val="0.6363812529050926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0" i="0" baseline="0">
                    <a:latin typeface="Century Gothic" panose="020B0502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CCE!$V$66:$V$75</c:f>
              <c:strCache>
                <c:ptCount val="9"/>
                <c:pt idx="0">
                  <c:v>Mar 18</c:v>
                </c:pt>
                <c:pt idx="1">
                  <c:v>May 18</c:v>
                </c:pt>
                <c:pt idx="2">
                  <c:v>Jul 18</c:v>
                </c:pt>
                <c:pt idx="3">
                  <c:v>Sep 18</c:v>
                </c:pt>
                <c:pt idx="4">
                  <c:v>Dec 18</c:v>
                </c:pt>
                <c:pt idx="5">
                  <c:v>Mar 19</c:v>
                </c:pt>
                <c:pt idx="6">
                  <c:v>May 19</c:v>
                </c:pt>
                <c:pt idx="7">
                  <c:v>Jul 19</c:v>
                </c:pt>
                <c:pt idx="8">
                  <c:v>Sep 19</c:v>
                </c:pt>
              </c:strCache>
            </c:strRef>
          </c:cat>
          <c:val>
            <c:numRef>
              <c:f>CCE!$U$66:$U$75</c:f>
              <c:numCache>
                <c:formatCode>#,##0</c:formatCode>
                <c:ptCount val="9"/>
                <c:pt idx="0">
                  <c:v>15330</c:v>
                </c:pt>
                <c:pt idx="1">
                  <c:v>4451</c:v>
                </c:pt>
                <c:pt idx="2">
                  <c:v>1505</c:v>
                </c:pt>
                <c:pt idx="3">
                  <c:v>813</c:v>
                </c:pt>
                <c:pt idx="4">
                  <c:v>677</c:v>
                </c:pt>
                <c:pt idx="5">
                  <c:v>316</c:v>
                </c:pt>
                <c:pt idx="6">
                  <c:v>0</c:v>
                </c:pt>
                <c:pt idx="7">
                  <c:v>15</c:v>
                </c:pt>
                <c:pt idx="8">
                  <c:v>28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8F3-4784-A1FF-3A5872A88F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1993232"/>
        <c:axId val="231993792"/>
      </c:barChart>
      <c:catAx>
        <c:axId val="231993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prstDash val="dash"/>
          </a:ln>
        </c:spPr>
        <c:txPr>
          <a:bodyPr/>
          <a:lstStyle/>
          <a:p>
            <a:pPr>
              <a:defRPr sz="650" b="0" i="0" baseline="0">
                <a:latin typeface="Century Gothic" panose="020B0502020202020204" pitchFamily="34" charset="0"/>
              </a:defRPr>
            </a:pPr>
            <a:endParaRPr lang="en-US"/>
          </a:p>
        </c:txPr>
        <c:crossAx val="231993792"/>
        <c:crosses val="autoZero"/>
        <c:auto val="1"/>
        <c:lblAlgn val="ctr"/>
        <c:lblOffset val="100"/>
        <c:noMultiLvlLbl val="0"/>
      </c:catAx>
      <c:valAx>
        <c:axId val="231993792"/>
        <c:scaling>
          <c:orientation val="minMax"/>
        </c:scaling>
        <c:delete val="1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#,##0" sourceLinked="1"/>
        <c:majorTickMark val="out"/>
        <c:minorTickMark val="none"/>
        <c:tickLblPos val="nextTo"/>
        <c:crossAx val="231993232"/>
        <c:crosses val="autoZero"/>
        <c:crossBetween val="between"/>
      </c:valAx>
      <c:spPr>
        <a:solidFill>
          <a:schemeClr val="tx1"/>
        </a:solidFill>
        <a:ln w="3175">
          <a:solidFill>
            <a:schemeClr val="accent1"/>
          </a:solidFill>
          <a:prstDash val="dash"/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600" baseline="0">
          <a:solidFill>
            <a:schemeClr val="bg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chart" Target="../charts/chart3.xml"/><Relationship Id="rId7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85725</xdr:colOff>
      <xdr:row>25</xdr:row>
      <xdr:rowOff>64188</xdr:rowOff>
    </xdr:from>
    <xdr:to>
      <xdr:col>21</xdr:col>
      <xdr:colOff>19050</xdr:colOff>
      <xdr:row>33</xdr:row>
      <xdr:rowOff>8698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5</xdr:row>
      <xdr:rowOff>32904</xdr:rowOff>
    </xdr:from>
    <xdr:to>
      <xdr:col>21</xdr:col>
      <xdr:colOff>9526</xdr:colOff>
      <xdr:row>27</xdr:row>
      <xdr:rowOff>76200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104774</xdr:colOff>
      <xdr:row>38</xdr:row>
      <xdr:rowOff>90054</xdr:rowOff>
    </xdr:from>
    <xdr:to>
      <xdr:col>21</xdr:col>
      <xdr:colOff>114299</xdr:colOff>
      <xdr:row>60</xdr:row>
      <xdr:rowOff>9525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1028700</xdr:colOff>
      <xdr:row>59</xdr:row>
      <xdr:rowOff>38100</xdr:rowOff>
    </xdr:from>
    <xdr:to>
      <xdr:col>20</xdr:col>
      <xdr:colOff>666750</xdr:colOff>
      <xdr:row>65</xdr:row>
      <xdr:rowOff>57150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11</xdr:col>
      <xdr:colOff>533400</xdr:colOff>
      <xdr:row>25</xdr:row>
      <xdr:rowOff>112302</xdr:rowOff>
    </xdr:from>
    <xdr:ext cx="7486650" cy="218073"/>
    <xdr:sp macro="" textlink="">
      <xdr:nvSpPr>
        <xdr:cNvPr id="17" name="TextBox 16"/>
        <xdr:cNvSpPr txBox="1"/>
      </xdr:nvSpPr>
      <xdr:spPr>
        <a:xfrm>
          <a:off x="9944100" y="3465102"/>
          <a:ext cx="7486650" cy="2180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8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xdr:txBody>
    </xdr:sp>
    <xdr:clientData/>
  </xdr:oneCellAnchor>
  <xdr:twoCellAnchor>
    <xdr:from>
      <xdr:col>1</xdr:col>
      <xdr:colOff>2381</xdr:colOff>
      <xdr:row>28</xdr:row>
      <xdr:rowOff>69272</xdr:rowOff>
    </xdr:from>
    <xdr:to>
      <xdr:col>4</xdr:col>
      <xdr:colOff>917863</xdr:colOff>
      <xdr:row>34</xdr:row>
      <xdr:rowOff>140493</xdr:rowOff>
    </xdr:to>
    <xdr:graphicFrame macro="">
      <xdr:nvGraphicFramePr>
        <xdr:cNvPr id="18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276225</xdr:colOff>
      <xdr:row>33</xdr:row>
      <xdr:rowOff>38100</xdr:rowOff>
    </xdr:from>
    <xdr:to>
      <xdr:col>20</xdr:col>
      <xdr:colOff>628650</xdr:colOff>
      <xdr:row>38</xdr:row>
      <xdr:rowOff>116045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oneCellAnchor>
    <xdr:from>
      <xdr:col>11</xdr:col>
      <xdr:colOff>533400</xdr:colOff>
      <xdr:row>32</xdr:row>
      <xdr:rowOff>66673</xdr:rowOff>
    </xdr:from>
    <xdr:ext cx="7505700" cy="202428"/>
    <xdr:sp macro="" textlink="">
      <xdr:nvSpPr>
        <xdr:cNvPr id="12" name="TextBox 11"/>
        <xdr:cNvSpPr txBox="1"/>
      </xdr:nvSpPr>
      <xdr:spPr>
        <a:xfrm>
          <a:off x="9944100" y="4276723"/>
          <a:ext cx="7505700" cy="202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700" b="0" baseline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CCE Daily Volume</a:t>
          </a:r>
          <a:endParaRPr lang="en-US" sz="700" b="0">
            <a:solidFill>
              <a:schemeClr val="bg1"/>
            </a:solidFill>
            <a:latin typeface="Century Gothic" panose="020B0502020202020204" pitchFamily="34" charset="0"/>
            <a:cs typeface="Tahoma" pitchFamily="34" charset="0"/>
          </a:endParaRPr>
        </a:p>
      </xdr:txBody>
    </xdr:sp>
    <xdr:clientData/>
  </xdr:oneCellAnchor>
  <xdr:twoCellAnchor editAs="oneCell">
    <xdr:from>
      <xdr:col>3</xdr:col>
      <xdr:colOff>47625</xdr:colOff>
      <xdr:row>3</xdr:row>
      <xdr:rowOff>190500</xdr:rowOff>
    </xdr:from>
    <xdr:to>
      <xdr:col>3</xdr:col>
      <xdr:colOff>946406</xdr:colOff>
      <xdr:row>4</xdr:row>
      <xdr:rowOff>153145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525" y="304800"/>
          <a:ext cx="898781" cy="210295"/>
        </a:xfrm>
        <a:prstGeom prst="rect">
          <a:avLst/>
        </a:prstGeom>
      </xdr:spPr>
    </xdr:pic>
    <xdr:clientData/>
  </xdr:twoCellAnchor>
  <xdr:oneCellAnchor>
    <xdr:from>
      <xdr:col>11</xdr:col>
      <xdr:colOff>95250</xdr:colOff>
      <xdr:row>39</xdr:row>
      <xdr:rowOff>104775</xdr:rowOff>
    </xdr:from>
    <xdr:ext cx="8191500" cy="231666"/>
    <xdr:sp macro="" textlink="">
      <xdr:nvSpPr>
        <xdr:cNvPr id="15" name="TextBox 14"/>
        <xdr:cNvSpPr txBox="1"/>
      </xdr:nvSpPr>
      <xdr:spPr>
        <a:xfrm>
          <a:off x="9505950" y="5343525"/>
          <a:ext cx="8191500" cy="2316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9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Mid-point</a:t>
          </a:r>
          <a:r>
            <a:rPr lang="en-US" sz="900" b="0" baseline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 of Bid &amp; Ask or Today's Settlement</a:t>
          </a:r>
          <a:endParaRPr lang="en-US" sz="900" b="0">
            <a:solidFill>
              <a:schemeClr val="bg1"/>
            </a:solidFill>
            <a:latin typeface="Century Gothic" panose="020B0502020202020204" pitchFamily="34" charset="0"/>
            <a:cs typeface="Tahoma" pitchFamily="34" charset="0"/>
          </a:endParaRPr>
        </a:p>
      </xdr:txBody>
    </xdr:sp>
    <xdr:clientData/>
  </xdr:oneCellAnchor>
  <xdr:oneCellAnchor>
    <xdr:from>
      <xdr:col>4</xdr:col>
      <xdr:colOff>142875</xdr:colOff>
      <xdr:row>64</xdr:row>
      <xdr:rowOff>38100</xdr:rowOff>
    </xdr:from>
    <xdr:ext cx="481992" cy="114286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286000" y="9220200"/>
          <a:ext cx="481992" cy="114286"/>
        </a:xfrm>
        <a:prstGeom prst="rect">
          <a:avLst/>
        </a:prstGeom>
      </xdr:spPr>
    </xdr:pic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0.01045</cdr:x>
      <cdr:y>0.07366</cdr:y>
    </cdr:from>
    <cdr:to>
      <cdr:x>1</cdr:x>
      <cdr:y>0.20461</cdr:y>
    </cdr:to>
    <cdr:sp macro="" textlink="">
      <cdr:nvSpPr>
        <cdr:cNvPr id="3" name="TextBox 16"/>
        <cdr:cNvSpPr txBox="1"/>
      </cdr:nvSpPr>
      <cdr:spPr>
        <a:xfrm xmlns:a="http://schemas.openxmlformats.org/drawingml/2006/main">
          <a:off x="86298" y="64547"/>
          <a:ext cx="8171877" cy="114751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7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W79"/>
  <sheetViews>
    <sheetView showGridLines="0" showRowColHeaders="0" tabSelected="1" zoomScaleNormal="100" workbookViewId="0">
      <selection activeCell="D39" sqref="D39"/>
    </sheetView>
  </sheetViews>
  <sheetFormatPr defaultColWidth="9" defaultRowHeight="13.5" x14ac:dyDescent="0.25"/>
  <cols>
    <col min="1" max="1" width="0.875" style="7" customWidth="1"/>
    <col min="2" max="2" width="13.625" style="6" customWidth="1"/>
    <col min="3" max="3" width="10.75" style="6" hidden="1" customWidth="1"/>
    <col min="4" max="14" width="13.625" style="6" customWidth="1"/>
    <col min="15" max="15" width="13.625" style="7" customWidth="1"/>
    <col min="16" max="16384" width="9" style="7"/>
  </cols>
  <sheetData>
    <row r="1" spans="1:23" ht="3" customHeight="1" x14ac:dyDescent="0.25"/>
    <row r="2" spans="1:23" ht="3" customHeight="1" x14ac:dyDescent="0.25"/>
    <row r="3" spans="1:23" ht="3" customHeight="1" x14ac:dyDescent="0.25">
      <c r="U3" s="12"/>
    </row>
    <row r="4" spans="1:23" ht="20.100000000000001" customHeight="1" x14ac:dyDescent="0.25">
      <c r="B4" s="135"/>
      <c r="C4" s="136"/>
      <c r="D4" s="136"/>
      <c r="E4" s="136"/>
      <c r="F4" s="143" t="s">
        <v>28</v>
      </c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39">
        <f>RTD("cqg.rtd", ,"SystemInfo", "Linetime")+1/24</f>
        <v>43073.456967592589</v>
      </c>
      <c r="T4" s="139"/>
      <c r="U4" s="140"/>
    </row>
    <row r="5" spans="1:23" ht="20.100000000000001" customHeight="1" x14ac:dyDescent="0.25">
      <c r="A5" s="7">
        <f>Calculations!AJ11</f>
        <v>1</v>
      </c>
      <c r="B5" s="137"/>
      <c r="C5" s="138"/>
      <c r="D5" s="138"/>
      <c r="E5" s="138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1"/>
      <c r="T5" s="141"/>
      <c r="U5" s="142"/>
    </row>
    <row r="6" spans="1:23" ht="14.1" customHeight="1" x14ac:dyDescent="0.3">
      <c r="B6" s="16" t="str">
        <f>RIGHT(RTD("cqg.rtd", ,"ContractData",Calculations!Q2, "LongDescription"),6)</f>
        <v>Mar 18</v>
      </c>
      <c r="C6" s="17"/>
      <c r="D6" s="16" t="str">
        <f>RIGHT(RTD("cqg.rtd", ,"ContractData",Calculations!Q3, "LongDescription"),6)</f>
        <v>May 18</v>
      </c>
      <c r="E6" s="16" t="str">
        <f>RIGHT(RTD("cqg.rtd", ,"ContractData",Calculations!Q4, "LongDescription"),6)</f>
        <v>Jul 18</v>
      </c>
      <c r="F6" s="16" t="str">
        <f>RIGHT(RTD("cqg.rtd", ,"ContractData",Calculations!Q5, "LongDescription"),6)</f>
        <v>Sep 18</v>
      </c>
      <c r="G6" s="16" t="str">
        <f>RIGHT(RTD("cqg.rtd", ,"ContractData",Calculations!Q6, "LongDescription"),6)</f>
        <v>Dec 18</v>
      </c>
      <c r="H6" s="16" t="str">
        <f>RIGHT(RTD("cqg.rtd", ,"ContractData",Calculations!Q7, "LongDescription"),6)</f>
        <v>Mar 19</v>
      </c>
      <c r="I6" s="16" t="str">
        <f>RIGHT(RTD("cqg.rtd", ,"ContractData",Calculations!Q8, "LongDescription"),6)</f>
        <v>May 19</v>
      </c>
      <c r="J6" s="16" t="str">
        <f>RIGHT(RTD("cqg.rtd", ,"ContractData",Calculations!Q9, "LongDescription"),6)</f>
        <v>Jul 19</v>
      </c>
      <c r="K6" s="49" t="str">
        <f>RIGHT(RTD("cqg.rtd", ,"ContractData",Calculations!Q10, "LongDescription"),6)</f>
        <v>Sep 19</v>
      </c>
      <c r="L6" s="56"/>
      <c r="M6" s="57"/>
      <c r="N6" s="57"/>
      <c r="U6" s="13"/>
    </row>
    <row r="7" spans="1:23" ht="15" hidden="1" customHeight="1" x14ac:dyDescent="0.3">
      <c r="B7" s="1" t="str">
        <f>RTD("cqg.rtd", ,"ContractData",Calculations!Q2, "Symbol")</f>
        <v>CCEH8</v>
      </c>
      <c r="C7" s="1"/>
      <c r="D7" s="1" t="str">
        <f>RTD("cqg.rtd", ,"ContractData",Calculations!Q3, "Symbol")</f>
        <v>CCEK8</v>
      </c>
      <c r="E7" s="1" t="str">
        <f>RTD("cqg.rtd", ,"ContractData",Calculations!Q4, "Symbol")</f>
        <v>CCEN8</v>
      </c>
      <c r="F7" s="1" t="str">
        <f>RTD("cqg.rtd", ,"ContractData",Calculations!Q5, "Symbol")</f>
        <v>CCEU8</v>
      </c>
      <c r="G7" s="1" t="str">
        <f>RTD("cqg.rtd", ,"ContractData",Calculations!Q6, "Symbol")</f>
        <v>CCEZ8</v>
      </c>
      <c r="H7" s="1" t="str">
        <f>RTD("cqg.rtd", ,"ContractData",Calculations!Q7, "Symbol")</f>
        <v>CCEH9</v>
      </c>
      <c r="I7" s="1" t="str">
        <f>RTD("cqg.rtd", ,"ContractData",Calculations!Q8, "Symbol")</f>
        <v>CCEK9</v>
      </c>
      <c r="J7" s="1" t="str">
        <f>RTD("cqg.rtd", ,"ContractData",Calculations!Q9, "Symbol")</f>
        <v>CCEN9</v>
      </c>
      <c r="K7" s="50" t="str">
        <f>RTD("cqg.rtd", ,"ContractData",Calculations!Q10, "Symbol")</f>
        <v>CCEU9</v>
      </c>
      <c r="L7" s="58"/>
      <c r="M7" s="59"/>
      <c r="N7" s="59"/>
      <c r="O7" s="8"/>
      <c r="U7" s="14"/>
    </row>
    <row r="8" spans="1:23" ht="14.1" customHeight="1" x14ac:dyDescent="0.3">
      <c r="B8" s="18" t="str">
        <f>IF($A$5=2,"",TEXT(RTD("cqg.rtd",,"ContractData",B7,Calculations!$T$1,,"T"),"#")&amp;" "&amp;"A")</f>
        <v>2001 A</v>
      </c>
      <c r="C8" s="18"/>
      <c r="D8" s="18" t="str">
        <f>IF($A$5=2,"",TEXT(RTD("cqg.rtd",,"ContractData",D7,Calculations!$T$1,,"T"),"#")&amp;" "&amp;"A")</f>
        <v>2002 A</v>
      </c>
      <c r="E8" s="18" t="str">
        <f>IF($A$5=2,"",TEXT(RTD("cqg.rtd",,"ContractData",E7,Calculations!$T$1,,"T"),"#")&amp;" "&amp;"A")</f>
        <v>2014 A</v>
      </c>
      <c r="F8" s="18" t="str">
        <f>IF($A$5=2,"",TEXT(RTD("cqg.rtd",,"ContractData",F7,Calculations!$T$1,,"T"),"#")&amp;" "&amp;"A")</f>
        <v>2029 A</v>
      </c>
      <c r="G8" s="18" t="str">
        <f>IF($A$5=2,"",TEXT(RTD("cqg.rtd",,"ContractData",G7,Calculations!$T$1,,"T"),"#")&amp;" "&amp;"A")</f>
        <v>2047 A</v>
      </c>
      <c r="H8" s="18" t="str">
        <f>IF($A$5=2,"",TEXT(RTD("cqg.rtd",,"ContractData",H7,Calculations!$T$1,,"T"),"#")&amp;" "&amp;"A")</f>
        <v>2065 A</v>
      </c>
      <c r="I8" s="18" t="str">
        <f>IF($A$5=2,"",TEXT(RTD("cqg.rtd",,"ContractData",I7,Calculations!$T$1,,"T"),"#")&amp;" "&amp;"A")</f>
        <v>2080 A</v>
      </c>
      <c r="J8" s="18" t="str">
        <f>IF($A$5=2,"",TEXT(RTD("cqg.rtd",,"ContractData",J7,Calculations!$T$1,,"T"),"#")&amp;" "&amp;"A")</f>
        <v>2093 A</v>
      </c>
      <c r="K8" s="51" t="str">
        <f>IF($A$5=2,"",TEXT(RTD("cqg.rtd",,"ContractData",K7,Calculations!$T$1,,"T"),"#")&amp;" "&amp;"A")</f>
        <v>2104 A</v>
      </c>
      <c r="L8" s="60"/>
      <c r="M8" s="28"/>
      <c r="N8" s="28"/>
      <c r="O8" s="9"/>
      <c r="U8" s="14"/>
    </row>
    <row r="9" spans="1:23" ht="14.1" customHeight="1" x14ac:dyDescent="0.3">
      <c r="B9" s="18" t="str">
        <f>IF($A$5=2,TEXT(RTD("cqg.rtd",,"ContractData",B7,"Settlement",,"T"),"#")&amp;" "&amp;"S",TEXT(RTD("cqg.rtd",,"ContractData",B7,Calculations!$S$1,,"T"),"#")&amp;" "&amp;"B")</f>
        <v>2000 B</v>
      </c>
      <c r="C9" s="18"/>
      <c r="D9" s="18" t="str">
        <f>IF($A$5=2,TEXT(RTD("cqg.rtd",,"ContractData",D7,"Settlement",,"T"),"#")&amp;" "&amp;"S",TEXT(RTD("cqg.rtd",,"ContractData",D7,Calculations!$S$1,,"T"),"#")&amp;" "&amp;"B")</f>
        <v>2001 B</v>
      </c>
      <c r="E9" s="18" t="str">
        <f>IF($A$5=2,TEXT(RTD("cqg.rtd",,"ContractData",E7,"Settlement",,"T"),"#")&amp;" "&amp;"S",TEXT(RTD("cqg.rtd",,"ContractData",E7,Calculations!$S$1,,"T"),"#")&amp;" "&amp;"B")</f>
        <v>2012 B</v>
      </c>
      <c r="F9" s="18" t="str">
        <f>IF($A$5=2,TEXT(RTD("cqg.rtd",,"ContractData",F7,"Settlement",,"T"),"#")&amp;" "&amp;"S",TEXT(RTD("cqg.rtd",,"ContractData",F7,Calculations!$S$1,,"T"),"#")&amp;" "&amp;"B")</f>
        <v>2027 B</v>
      </c>
      <c r="G9" s="18" t="str">
        <f>IF($A$5=2,TEXT(RTD("cqg.rtd",,"ContractData",G7,"Settlement",,"T"),"#")&amp;" "&amp;"S",TEXT(RTD("cqg.rtd",,"ContractData",G7,Calculations!$S$1,,"T"),"#")&amp;" "&amp;"B")</f>
        <v>2045 B</v>
      </c>
      <c r="H9" s="18" t="str">
        <f>IF($A$5=2,TEXT(RTD("cqg.rtd",,"ContractData",H7,"Settlement",,"T"),"#")&amp;" "&amp;"S",TEXT(RTD("cqg.rtd",,"ContractData",H7,Calculations!$S$1,,"T"),"#")&amp;" "&amp;"B")</f>
        <v>2062 B</v>
      </c>
      <c r="I9" s="18" t="str">
        <f>IF($A$5=2,TEXT(RTD("cqg.rtd",,"ContractData",I7,"Settlement",,"T"),"#")&amp;" "&amp;"S",TEXT(RTD("cqg.rtd",,"ContractData",I7,Calculations!$S$1,,"T"),"#")&amp;" "&amp;"B")</f>
        <v>2075 B</v>
      </c>
      <c r="J9" s="18" t="str">
        <f>IF($A$5=2,TEXT(RTD("cqg.rtd",,"ContractData",J7,"Settlement",,"T"),"#")&amp;" "&amp;"S",TEXT(RTD("cqg.rtd",,"ContractData",J7,Calculations!$S$1,,"T"),"#")&amp;" "&amp;"B")</f>
        <v>2088 B</v>
      </c>
      <c r="K9" s="51" t="str">
        <f>IF($A$5=2,TEXT(RTD("cqg.rtd",,"ContractData",K7,"Settlement",,"T"),"#")&amp;" "&amp;"S",TEXT(RTD("cqg.rtd",,"ContractData",K7,Calculations!$S$1,,"T"),"#")&amp;" "&amp;"B")</f>
        <v>2100 B</v>
      </c>
      <c r="L9" s="60"/>
      <c r="M9" s="28"/>
      <c r="N9" s="28"/>
      <c r="O9" s="9"/>
      <c r="U9" s="14"/>
    </row>
    <row r="10" spans="1:23" ht="14.1" customHeight="1" x14ac:dyDescent="0.3">
      <c r="B10" s="19">
        <f>RTD("cqg.rtd", ,"ContractData",B7,"T_CVol")</f>
        <v>15330</v>
      </c>
      <c r="C10" s="18"/>
      <c r="D10" s="19">
        <f>RTD("cqg.rtd", ,"ContractData",D7,"T_CVol")</f>
        <v>4451</v>
      </c>
      <c r="E10" s="19">
        <f>RTD("cqg.rtd", ,"ContractData",E7,"T_CVol")</f>
        <v>1505</v>
      </c>
      <c r="F10" s="19">
        <f>RTD("cqg.rtd", ,"ContractData",F7,"T_CVol")</f>
        <v>813</v>
      </c>
      <c r="G10" s="19">
        <f>RTD("cqg.rtd", ,"ContractData",G7,"T_CVol")</f>
        <v>677</v>
      </c>
      <c r="H10" s="19">
        <f>RTD("cqg.rtd",,"ContractData",H7,"T_CVol")</f>
        <v>316</v>
      </c>
      <c r="I10" s="19">
        <f>RTD("cqg.rtd", ,"ContractData",I7,"T_CVol")</f>
        <v>0</v>
      </c>
      <c r="J10" s="19">
        <f>RTD("cqg.rtd", ,"ContractData",J7,"T_CVol")</f>
        <v>15</v>
      </c>
      <c r="K10" s="52">
        <f>RTD("cqg.rtd", ,"ContractData",K7,"T_CVol")</f>
        <v>28</v>
      </c>
      <c r="L10" s="61"/>
      <c r="M10" s="62"/>
      <c r="N10" s="62"/>
      <c r="O10" s="9"/>
      <c r="U10" s="14"/>
    </row>
    <row r="11" spans="1:23" ht="14.1" customHeight="1" x14ac:dyDescent="0.3">
      <c r="B11" s="20" t="str">
        <f>RIGHT(RTD("cqg.rtd", ,"ContractData",Calculations!Q2, "LongDescription"),6)</f>
        <v>Mar 18</v>
      </c>
      <c r="C11" s="21"/>
      <c r="D11" s="20" t="str">
        <f>RIGHT(RTD("cqg.rtd", ,"ContractData",Calculations!D2, "LongDescription"),15)</f>
        <v xml:space="preserve"> Mar 18, May 18</v>
      </c>
      <c r="E11" s="20" t="str">
        <f>RIGHT(RTD("cqg.rtd", ,"ContractData",Calculations!E2, "LongDescription"),15)</f>
        <v xml:space="preserve"> Mar 18, Jul 18</v>
      </c>
      <c r="F11" s="20" t="str">
        <f>RIGHT(RTD("cqg.rtd", ,"ContractData",Calculations!F2, "LongDescription"),15)</f>
        <v xml:space="preserve"> Mar 18, Sep 18</v>
      </c>
      <c r="G11" s="20" t="str">
        <f>RIGHT(RTD("cqg.rtd", ,"ContractData",Calculations!G2, "LongDescription"),15)</f>
        <v xml:space="preserve"> Mar 18, Dec 18</v>
      </c>
      <c r="H11" s="20" t="str">
        <f>RIGHT(RTD("cqg.rtd", ,"ContractData",Calculations!H2, "LongDescription"),15)</f>
        <v xml:space="preserve"> Mar 18, Mar 19</v>
      </c>
      <c r="I11" s="20" t="str">
        <f>RIGHT(RTD("cqg.rtd", ,"ContractData",Calculations!I2, "LongDescription"),15)</f>
        <v xml:space="preserve"> Mar 18, May 19</v>
      </c>
      <c r="J11" s="20" t="str">
        <f>RIGHT(RTD("cqg.rtd", ,"ContractData",Calculations!J2, "LongDescription"),15)</f>
        <v xml:space="preserve"> Mar 18, Jul 19</v>
      </c>
      <c r="K11" s="53" t="str">
        <f>RIGHT(RTD("cqg.rtd", ,"ContractData",Calculations!K2, "LongDescription"),15)</f>
        <v xml:space="preserve"> Mar 18, Sep 19</v>
      </c>
      <c r="L11" s="56"/>
      <c r="M11" s="57"/>
      <c r="N11" s="57"/>
      <c r="O11" s="9"/>
      <c r="U11" s="14"/>
    </row>
    <row r="12" spans="1:23" ht="15" hidden="1" customHeight="1" x14ac:dyDescent="0.3">
      <c r="B12" s="1" t="str">
        <f>RTD("cqg.rtd", ,"ContractData",Calculations!Q2, "Symbol")</f>
        <v>CCEH8</v>
      </c>
      <c r="C12" s="1"/>
      <c r="D12" s="1" t="str">
        <f>RTD("cqg.rtd", ,"ContractData",Calculations!D2, "Symbol")</f>
        <v>CCES1H8</v>
      </c>
      <c r="E12" s="1" t="str">
        <f>RTD("cqg.rtd", ,"ContractData",Calculations!E2, "Symbol")</f>
        <v>CCES2H8</v>
      </c>
      <c r="F12" s="1" t="str">
        <f>RTD("cqg.rtd", ,"ContractData",Calculations!F2, "Symbol")</f>
        <v>CCES3H8</v>
      </c>
      <c r="G12" s="1" t="str">
        <f>RTD("cqg.rtd", ,"ContractData",Calculations!G2, "Symbol")</f>
        <v>CCES4H8</v>
      </c>
      <c r="H12" s="1" t="str">
        <f>RTD("cqg.rtd", ,"ContractData",Calculations!H2, "Symbol")</f>
        <v>CCES5H8</v>
      </c>
      <c r="I12" s="1" t="str">
        <f>RTD("cqg.rtd", ,"ContractData",Calculations!I2, "Symbol")</f>
        <v>CCES6H8</v>
      </c>
      <c r="J12" s="1" t="str">
        <f>RTD("cqg.rtd", ,"ContractData",Calculations!J2, "Symbol")</f>
        <v>CCES7H8</v>
      </c>
      <c r="K12" s="50" t="str">
        <f>RTD("cqg.rtd", ,"ContractData",Calculations!K2, "Symbol")</f>
        <v>CCES8H8</v>
      </c>
      <c r="L12" s="58"/>
      <c r="M12" s="59"/>
      <c r="N12" s="59"/>
      <c r="O12" s="8"/>
      <c r="U12" s="14"/>
    </row>
    <row r="13" spans="1:23" ht="14.1" customHeight="1" x14ac:dyDescent="0.3">
      <c r="B13" s="18" t="str">
        <f>IF($A$5=2,"",TEXT(RTD("cqg.rtd",,"ContractData",B12,Calculations!$T$1,,"T"),"#")&amp;" "&amp;"A")</f>
        <v>2001 A</v>
      </c>
      <c r="C13" s="18"/>
      <c r="D13" s="18" t="str">
        <f>IF($A$5=2,"",TEXT(RTD("cqg.rtd",,"ContractData",D12,Calculations!$T$1,,"T"),"#")&amp;" "&amp;"A")</f>
        <v xml:space="preserve"> A</v>
      </c>
      <c r="E13" s="18" t="str">
        <f>IF($A$5=2,"",TEXT(RTD("cqg.rtd",,"ContractData",E12,Calculations!$T$1,,"T"),"#")&amp;" "&amp;"A")</f>
        <v>-12 A</v>
      </c>
      <c r="F13" s="18" t="str">
        <f>IF($A$5=2,"",TEXT(RTD("cqg.rtd",,"ContractData",F12,Calculations!$T$1,,"T"),"#")&amp;" "&amp;"A")</f>
        <v>-26 A</v>
      </c>
      <c r="G13" s="18" t="str">
        <f>IF($A$5=2,"",TEXT(RTD("cqg.rtd",,"ContractData",G12,Calculations!$T$1,,"T"),"#")&amp;" "&amp;"A")</f>
        <v>-44 A</v>
      </c>
      <c r="H13" s="18" t="str">
        <f>IF($A$5=2,"",TEXT(RTD("cqg.rtd",,"ContractData",H12,Calculations!$T$1,,"T"),"#")&amp;" "&amp;"A")</f>
        <v>-61 A</v>
      </c>
      <c r="I13" s="18" t="str">
        <f>IF($A$5=2,"",TEXT(RTD("cqg.rtd",,"ContractData",I12,Calculations!$T$1,,"T"),"#")&amp;" "&amp;"A")</f>
        <v>-74 A</v>
      </c>
      <c r="J13" s="18" t="str">
        <f>IF($A$5=2,"",TEXT(RTD("cqg.rtd",,"ContractData",J12,Calculations!$T$1,,"T"),"#")&amp;" "&amp;"A")</f>
        <v>-87 A</v>
      </c>
      <c r="K13" s="51" t="str">
        <f>IF($A$5=2,"",TEXT(RTD("cqg.rtd",,"ContractData",K12,Calculations!$T$1,,"T"),"#")&amp;" "&amp;"A")</f>
        <v>-99 A</v>
      </c>
      <c r="L13" s="60"/>
      <c r="M13" s="28"/>
      <c r="N13" s="28"/>
      <c r="O13" s="9"/>
      <c r="U13" s="14"/>
      <c r="W13" s="7" t="s">
        <v>17</v>
      </c>
    </row>
    <row r="14" spans="1:23" ht="14.1" customHeight="1" x14ac:dyDescent="0.3">
      <c r="B14" s="18" t="str">
        <f>IF($A$5=2,TEXT(RTD("cqg.rtd",,"ContractData",B12,"Settlement",,"T"),"#")&amp;" "&amp;"S",TEXT(RTD("cqg.rtd",,"ContractData",B12,Calculations!$S$1,,"T"),"#")&amp;" "&amp;"B")</f>
        <v>2000 B</v>
      </c>
      <c r="C14" s="18"/>
      <c r="D14" s="18" t="str">
        <f>IF($A$5=2,TEXT(RTD("cqg.rtd",,"ContractData",D12,"Settlement",,"T"),"#")&amp;" "&amp;"S",TEXT(RTD("cqg.rtd",,"ContractData",D12,Calculations!$S$1,,"T"),"#")&amp;" "&amp;"B")</f>
        <v>-1 B</v>
      </c>
      <c r="E14" s="18" t="str">
        <f>IF($A$5=2,TEXT(RTD("cqg.rtd",,"ContractData",E12,"Settlement",,"T"),"#")&amp;" "&amp;"S",TEXT(RTD("cqg.rtd",,"ContractData",E12,Calculations!$S$1,,"T"),"#")&amp;" "&amp;"B")</f>
        <v>-13 B</v>
      </c>
      <c r="F14" s="18" t="str">
        <f>IF($A$5=2,TEXT(RTD("cqg.rtd",,"ContractData",F12,"Settlement",,"T"),"#")&amp;" "&amp;"S",TEXT(RTD("cqg.rtd",,"ContractData",F12,Calculations!$S$1,,"T"),"#")&amp;" "&amp;"B")</f>
        <v>-28 B</v>
      </c>
      <c r="G14" s="18" t="str">
        <f>IF($A$5=2,TEXT(RTD("cqg.rtd",,"ContractData",G12,"Settlement",,"T"),"#")&amp;" "&amp;"S",TEXT(RTD("cqg.rtd",,"ContractData",G12,Calculations!$S$1,,"T"),"#")&amp;" "&amp;"B")</f>
        <v>-46 B</v>
      </c>
      <c r="H14" s="18" t="str">
        <f>IF($A$5=2,TEXT(RTD("cqg.rtd",,"ContractData",H12,"Settlement",,"T"),"#")&amp;" "&amp;"S",TEXT(RTD("cqg.rtd",,"ContractData",H12,Calculations!$S$1,,"T"),"#")&amp;" "&amp;"B")</f>
        <v>-64 B</v>
      </c>
      <c r="I14" s="18" t="str">
        <f>IF($A$5=2,TEXT(RTD("cqg.rtd",,"ContractData",I12,"Settlement",,"T"),"#")&amp;" "&amp;"S",TEXT(RTD("cqg.rtd",,"ContractData",I12,Calculations!$S$1,,"T"),"#")&amp;" "&amp;"B")</f>
        <v>-79 B</v>
      </c>
      <c r="J14" s="18" t="str">
        <f>IF($A$5=2,TEXT(RTD("cqg.rtd",,"ContractData",J12,"Settlement",,"T"),"#")&amp;" "&amp;"S",TEXT(RTD("cqg.rtd",,"ContractData",J12,Calculations!$S$1,,"T"),"#")&amp;" "&amp;"B")</f>
        <v>-92 B</v>
      </c>
      <c r="K14" s="51" t="str">
        <f>IF($A$5=2,TEXT(RTD("cqg.rtd",,"ContractData",K12,"Settlement",,"T"),"#")&amp;" "&amp;"S",TEXT(RTD("cqg.rtd",,"ContractData",K12,Calculations!$S$1,,"T"),"#")&amp;" "&amp;"B")</f>
        <v>-103 B</v>
      </c>
      <c r="L14" s="60"/>
      <c r="M14" s="28"/>
      <c r="N14" s="28"/>
      <c r="O14" s="9"/>
      <c r="U14" s="14"/>
    </row>
    <row r="15" spans="1:23" ht="14.1" customHeight="1" x14ac:dyDescent="0.3">
      <c r="B15" s="19">
        <f>RTD("cqg.rtd", ,"ContractData",B12,"T_CVol")</f>
        <v>15330</v>
      </c>
      <c r="C15" s="19"/>
      <c r="D15" s="19">
        <f>RTD("cqg.rtd", ,"ContractData",D12,"T_CVol")</f>
        <v>2402</v>
      </c>
      <c r="E15" s="19">
        <f>RTD("cqg.rtd", ,"ContractData",E12,"T_CVol")</f>
        <v>353</v>
      </c>
      <c r="F15" s="19">
        <f>RTD("cqg.rtd", ,"ContractData",F12,"T_CVol")</f>
        <v>25</v>
      </c>
      <c r="G15" s="19">
        <f>RTD("cqg.rtd", ,"ContractData",G12,"T_CVol")</f>
        <v>318</v>
      </c>
      <c r="H15" s="19">
        <f>RTD("cqg.rtd", ,"ContractData",H12,"T_CVol")</f>
        <v>26</v>
      </c>
      <c r="I15" s="19">
        <f>RTD("cqg.rtd", ,"ContractData",I12,"T_CVol")</f>
        <v>0</v>
      </c>
      <c r="J15" s="19">
        <f>RTD("cqg.rtd", ,"ContractData",J12,"T_CVol")</f>
        <v>0</v>
      </c>
      <c r="K15" s="52">
        <f>RTD("cqg.rtd", ,"ContractData",K12,"T_CVol")</f>
        <v>0</v>
      </c>
      <c r="L15" s="61"/>
      <c r="M15" s="62"/>
      <c r="N15" s="62"/>
      <c r="O15" s="9"/>
      <c r="U15" s="14"/>
    </row>
    <row r="16" spans="1:23" ht="14.1" customHeight="1" x14ac:dyDescent="0.3">
      <c r="B16" s="22"/>
      <c r="C16" s="22"/>
      <c r="D16" s="20" t="str">
        <f>RIGHT(RTD("cqg.rtd", ,"ContractData",Calculations!Q3, "LongDescription"),6)</f>
        <v>May 18</v>
      </c>
      <c r="E16" s="20" t="str">
        <f>RIGHT(RTD("cqg.rtd", ,"ContractData",Calculations!D3, "LongDescription"),15)</f>
        <v xml:space="preserve"> May 18, Jul 18</v>
      </c>
      <c r="F16" s="20" t="str">
        <f>RIGHT(RTD("cqg.rtd", ,"ContractData",Calculations!E3, "LongDescription"),15)</f>
        <v xml:space="preserve"> May 18, Sep 18</v>
      </c>
      <c r="G16" s="20" t="str">
        <f>RIGHT(RTD("cqg.rtd", ,"ContractData",Calculations!F3, "LongDescription"),15)</f>
        <v xml:space="preserve"> May 18, Dec 18</v>
      </c>
      <c r="H16" s="20" t="str">
        <f>RIGHT(RTD("cqg.rtd", ,"ContractData",Calculations!G3, "LongDescription"),15)</f>
        <v xml:space="preserve"> May 18, Mar 19</v>
      </c>
      <c r="I16" s="20" t="str">
        <f>RIGHT(RTD("cqg.rtd", ,"ContractData",Calculations!H3, "LongDescription"),15)</f>
        <v xml:space="preserve"> May 18, May 19</v>
      </c>
      <c r="J16" s="20" t="str">
        <f>RIGHT(RTD("cqg.rtd", ,"ContractData",Calculations!I3, "LongDescription"),15)</f>
        <v xml:space="preserve"> May 18, Jul 19</v>
      </c>
      <c r="K16" s="53" t="str">
        <f>RIGHT(RTD("cqg.rtd", ,"ContractData",Calculations!J3, "LongDescription"),15)</f>
        <v xml:space="preserve"> May 18, Sep 19</v>
      </c>
      <c r="L16" s="56"/>
      <c r="M16" s="57"/>
      <c r="N16" s="57"/>
      <c r="O16" s="9"/>
      <c r="U16" s="14"/>
    </row>
    <row r="17" spans="2:21" ht="15" hidden="1" customHeight="1" x14ac:dyDescent="0.3">
      <c r="B17" s="23"/>
      <c r="C17" s="24"/>
      <c r="D17" s="1" t="str">
        <f>RTD("cqg.rtd", ,"ContractData", Calculations!Q3, "Symbol")</f>
        <v>CCEK8</v>
      </c>
      <c r="E17" s="1" t="str">
        <f>RTD("cqg.rtd", ,"ContractData",Calculations!D3, "Symbol")</f>
        <v>CCES1K8</v>
      </c>
      <c r="F17" s="1" t="str">
        <f>RTD("cqg.rtd", ,"ContractData",Calculations!E3, "Symbol")</f>
        <v>CCES2K8</v>
      </c>
      <c r="G17" s="1" t="str">
        <f>RTD("cqg.rtd", ,"ContractData",Calculations!F3, "Symbol")</f>
        <v>CCES3K8</v>
      </c>
      <c r="H17" s="1" t="str">
        <f>RTD("cqg.rtd", ,"ContractData",Calculations!G3, "Symbol")</f>
        <v>CCES4K8</v>
      </c>
      <c r="I17" s="1" t="str">
        <f>RTD("cqg.rtd", ,"ContractData",Calculations!H3, "Symbol")</f>
        <v>CCES5K8</v>
      </c>
      <c r="J17" s="1" t="str">
        <f>RTD("cqg.rtd", ,"ContractData",Calculations!I3, "Symbol")</f>
        <v>CCES6K8</v>
      </c>
      <c r="K17" s="50" t="str">
        <f>RTD("cqg.rtd", ,"ContractData",Calculations!J3, "Symbol")</f>
        <v>CCES7K8</v>
      </c>
      <c r="L17" s="58"/>
      <c r="M17" s="59"/>
      <c r="N17" s="59"/>
      <c r="O17" s="8"/>
      <c r="U17" s="14"/>
    </row>
    <row r="18" spans="2:21" ht="14.1" customHeight="1" x14ac:dyDescent="0.3">
      <c r="B18" s="38" t="s">
        <v>27</v>
      </c>
      <c r="C18" s="23"/>
      <c r="D18" s="18" t="str">
        <f>IF($A$5=2,"",TEXT(RTD("cqg.rtd",,"ContractData",D17,Calculations!$T$1,,"T"),"#")&amp;" "&amp;"A")</f>
        <v>2002 A</v>
      </c>
      <c r="E18" s="18" t="str">
        <f>IF($A$5=2,"",TEXT(RTD("cqg.rtd",,"ContractData",E17,Calculations!$T$1,,"T"),"#")&amp;" "&amp;"A")</f>
        <v>-11 A</v>
      </c>
      <c r="F18" s="18" t="str">
        <f>IF($A$5=2,"",TEXT(RTD("cqg.rtd",,"ContractData",F17,Calculations!$T$1,,"T"),"#")&amp;" "&amp;"A")</f>
        <v>-26 A</v>
      </c>
      <c r="G18" s="18" t="str">
        <f>IF($A$5=2,"",TEXT(RTD("cqg.rtd",,"ContractData",G17,Calculations!$T$1,,"T"),"#")&amp;" "&amp;"A")</f>
        <v>-44 A</v>
      </c>
      <c r="H18" s="18" t="str">
        <f>IF($A$5=2,"",TEXT(RTD("cqg.rtd",,"ContractData",H17,Calculations!$T$1,,"T"),"#")&amp;" "&amp;"A")</f>
        <v>-61 A</v>
      </c>
      <c r="I18" s="18" t="str">
        <f>IF($A$5=2,"",TEXT(RTD("cqg.rtd",,"ContractData",I17,Calculations!$T$1,,"T"),"#")&amp;" "&amp;"A")</f>
        <v>-74 A</v>
      </c>
      <c r="J18" s="18" t="str">
        <f>IF($A$5=2,"",TEXT(RTD("cqg.rtd",,"ContractData",J17,Calculations!$T$1,,"T"),"#")&amp;" "&amp;"A")</f>
        <v>-87 A</v>
      </c>
      <c r="K18" s="51" t="str">
        <f>IF($A$5=2,"",TEXT(RTD("cqg.rtd",,"ContractData",K17,Calculations!$T$1,,"T"),"#")&amp;" "&amp;"A")</f>
        <v>-98 A</v>
      </c>
      <c r="L18" s="60"/>
      <c r="M18" s="28"/>
      <c r="N18" s="28"/>
      <c r="O18" s="9"/>
      <c r="U18" s="14"/>
    </row>
    <row r="19" spans="2:21" ht="14.1" customHeight="1" x14ac:dyDescent="0.3">
      <c r="B19" s="146">
        <f>RTD("cqg.rtd", ,"SystemInfo", "Linetime")+1/24</f>
        <v>43073.456967592589</v>
      </c>
      <c r="C19" s="23"/>
      <c r="D19" s="18" t="str">
        <f>IF($A$5=2,TEXT(RTD("cqg.rtd",,"ContractData",D17,"Settlement",,"T"),"#")&amp;" "&amp;"S",TEXT(RTD("cqg.rtd",,"ContractData",D17,Calculations!$S$1,,"T"),"#")&amp;" "&amp;"B")</f>
        <v>2001 B</v>
      </c>
      <c r="E19" s="18" t="str">
        <f>IF($A$5=2,TEXT(RTD("cqg.rtd",,"ContractData",E17,"Settlement",,"T"),"#")&amp;" "&amp;"S",TEXT(RTD("cqg.rtd",,"ContractData",E17,Calculations!$S$1,,"T"),"#")&amp;" "&amp;"B")</f>
        <v>-12 B</v>
      </c>
      <c r="F19" s="18" t="str">
        <f>IF($A$5=2,TEXT(RTD("cqg.rtd",,"ContractData",F17,"Settlement",,"T"),"#")&amp;" "&amp;"S",TEXT(RTD("cqg.rtd",,"ContractData",F17,Calculations!$S$1,,"T"),"#")&amp;" "&amp;"B")</f>
        <v>-27 B</v>
      </c>
      <c r="G19" s="18" t="str">
        <f>IF($A$5=2,TEXT(RTD("cqg.rtd",,"ContractData",G17,"Settlement",,"T"),"#")&amp;" "&amp;"S",TEXT(RTD("cqg.rtd",,"ContractData",G17,Calculations!$S$1,,"T"),"#")&amp;" "&amp;"B")</f>
        <v>-45 B</v>
      </c>
      <c r="H19" s="18" t="str">
        <f>IF($A$5=2,TEXT(RTD("cqg.rtd",,"ContractData",H17,"Settlement",,"T"),"#")&amp;" "&amp;"S",TEXT(RTD("cqg.rtd",,"ContractData",H17,Calculations!$S$1,,"T"),"#")&amp;" "&amp;"B")</f>
        <v>-63 B</v>
      </c>
      <c r="I19" s="18" t="str">
        <f>IF($A$5=2,TEXT(RTD("cqg.rtd",,"ContractData",I17,"Settlement",,"T"),"#")&amp;" "&amp;"S",TEXT(RTD("cqg.rtd",,"ContractData",I17,Calculations!$S$1,,"T"),"#")&amp;" "&amp;"B")</f>
        <v>-78 B</v>
      </c>
      <c r="J19" s="18" t="str">
        <f>IF($A$5=2,TEXT(RTD("cqg.rtd",,"ContractData",J17,"Settlement",,"T"),"#")&amp;" "&amp;"S",TEXT(RTD("cqg.rtd",,"ContractData",J17,Calculations!$S$1,,"T"),"#")&amp;" "&amp;"B")</f>
        <v>-91 B</v>
      </c>
      <c r="K19" s="51" t="str">
        <f>IF($A$5=2,TEXT(RTD("cqg.rtd",,"ContractData",K17,"Settlement",,"T"),"#")&amp;" "&amp;"S",TEXT(RTD("cqg.rtd",,"ContractData",K17,Calculations!$S$1,,"T"),"#")&amp;" "&amp;"B")</f>
        <v>-102 B</v>
      </c>
      <c r="L19" s="60"/>
      <c r="M19" s="28"/>
      <c r="N19" s="28"/>
      <c r="O19" s="9"/>
      <c r="U19" s="14"/>
    </row>
    <row r="20" spans="2:21" ht="14.1" customHeight="1" x14ac:dyDescent="0.3">
      <c r="B20" s="147"/>
      <c r="C20" s="23"/>
      <c r="D20" s="19">
        <f>RTD("cqg.rtd", ,"ContractData",D17,"T_CVol")</f>
        <v>4451</v>
      </c>
      <c r="E20" s="19">
        <f>RTD("cqg.rtd", ,"ContractData",E17,"T_CVol")</f>
        <v>721</v>
      </c>
      <c r="F20" s="19">
        <f>RTD("cqg.rtd", ,"ContractData",F17,"T_CVol")</f>
        <v>127</v>
      </c>
      <c r="G20" s="19">
        <f>RTD("cqg.rtd", ,"ContractData",G17,"T_CVol")</f>
        <v>165</v>
      </c>
      <c r="H20" s="19">
        <f>RTD("cqg.rtd", ,"ContractData",H17,"T_CVol")</f>
        <v>5</v>
      </c>
      <c r="I20" s="19">
        <f>RTD("cqg.rtd", ,"ContractData",I17,"T_CVol")</f>
        <v>0</v>
      </c>
      <c r="J20" s="19">
        <f>RTD("cqg.rtd", ,"ContractData",J17,"T_CVol")</f>
        <v>0</v>
      </c>
      <c r="K20" s="52">
        <f>RTD("cqg.rtd", ,"ContractData",K17,"T_CVol")</f>
        <v>0</v>
      </c>
      <c r="L20" s="61"/>
      <c r="M20" s="62"/>
      <c r="N20" s="62"/>
      <c r="O20" s="9"/>
      <c r="U20" s="14"/>
    </row>
    <row r="21" spans="2:21" ht="14.1" customHeight="1" x14ac:dyDescent="0.3">
      <c r="B21" s="23"/>
      <c r="C21" s="23"/>
      <c r="D21" s="22"/>
      <c r="E21" s="20" t="str">
        <f>RIGHT(RTD("cqg.rtd", ,"ContractData",Calculations!Q4, "LongDescription"),6)</f>
        <v>Jul 18</v>
      </c>
      <c r="F21" s="20" t="str">
        <f>RIGHT(RTD("cqg.rtd", ,"ContractData",Calculations!D4, "LongDescription"),15)</f>
        <v xml:space="preserve"> Jul 18, Sep 18</v>
      </c>
      <c r="G21" s="20" t="str">
        <f>RIGHT(RTD("cqg.rtd", ,"ContractData",Calculations!E4, "LongDescription"),15)</f>
        <v xml:space="preserve"> Jul 18, Dec 18</v>
      </c>
      <c r="H21" s="20" t="str">
        <f>RIGHT(RTD("cqg.rtd", ,"ContractData",Calculations!F4, "LongDescription"),15)</f>
        <v xml:space="preserve"> Jul 18, Mar 19</v>
      </c>
      <c r="I21" s="20" t="str">
        <f>RIGHT(RTD("cqg.rtd", ,"ContractData",Calculations!G4, "LongDescription"),15)</f>
        <v xml:space="preserve"> Jul 18, May 19</v>
      </c>
      <c r="J21" s="20" t="str">
        <f>RIGHT(RTD("cqg.rtd", ,"ContractData",Calculations!H4, "LongDescription"),15)</f>
        <v xml:space="preserve"> Jul 18, Jul 19</v>
      </c>
      <c r="K21" s="53" t="str">
        <f>RIGHT(RTD("cqg.rtd", ,"ContractData",Calculations!I4, "LongDescription"),15)</f>
        <v xml:space="preserve"> Jul 18, Sep 19</v>
      </c>
      <c r="L21" s="56"/>
      <c r="M21" s="57"/>
      <c r="N21" s="57"/>
      <c r="O21" s="9"/>
      <c r="U21" s="14"/>
    </row>
    <row r="22" spans="2:21" ht="15" hidden="1" customHeight="1" x14ac:dyDescent="0.3">
      <c r="B22" s="23"/>
      <c r="C22" s="24"/>
      <c r="D22" s="23"/>
      <c r="E22" s="1" t="str">
        <f>RTD("cqg.rtd", ,"ContractData",Calculations!Q4, "Symbol")</f>
        <v>CCEN8</v>
      </c>
      <c r="F22" s="2" t="str">
        <f>RTD("cqg.rtd", ,"ContractData",Calculations!D4, "Symbol")</f>
        <v>CCES1N8</v>
      </c>
      <c r="G22" s="2" t="str">
        <f>RTD("cqg.rtd", ,"ContractData",Calculations!E4, "Symbol")</f>
        <v>CCES2N8</v>
      </c>
      <c r="H22" s="2" t="str">
        <f>RTD("cqg.rtd", ,"ContractData",Calculations!F4, "Symbol")</f>
        <v>CCES3N8</v>
      </c>
      <c r="I22" s="2" t="str">
        <f>RTD("cqg.rtd", ,"ContractData",Calculations!G4, "Symbol")</f>
        <v>CCES4N8</v>
      </c>
      <c r="J22" s="2" t="str">
        <f>RTD("cqg.rtd", ,"ContractData",Calculations!H4, "Symbol")</f>
        <v>CCES5N8</v>
      </c>
      <c r="K22" s="54" t="str">
        <f>RTD("cqg.rtd", ,"ContractData",Calculations!I4, "Symbol")</f>
        <v>CCES6N8</v>
      </c>
      <c r="L22" s="63"/>
      <c r="M22" s="64"/>
      <c r="N22" s="64"/>
      <c r="O22" s="8"/>
      <c r="U22" s="14"/>
    </row>
    <row r="23" spans="2:21" ht="14.1" customHeight="1" x14ac:dyDescent="0.3">
      <c r="B23" s="23"/>
      <c r="C23" s="23"/>
      <c r="D23" s="23"/>
      <c r="E23" s="18" t="str">
        <f>IF($A$5=2,"",TEXT(RTD("cqg.rtd",,"ContractData",E22,Calculations!$T$1,,"T"),"#")&amp;" "&amp;"A")</f>
        <v>2014 A</v>
      </c>
      <c r="F23" s="18" t="str">
        <f>IF($A$5=2,"",TEXT(RTD("cqg.rtd",,"ContractData",F22,Calculations!$T$1,,"T"),"#")&amp;" "&amp;"A")</f>
        <v>-14 A</v>
      </c>
      <c r="G23" s="18" t="str">
        <f>IF($A$5=2,"",TEXT(RTD("cqg.rtd",,"ContractData",G22,Calculations!$T$1,,"T"),"#")&amp;" "&amp;"A")</f>
        <v>-32 A</v>
      </c>
      <c r="H23" s="18" t="str">
        <f>IF($A$5=2,"",TEXT(RTD("cqg.rtd",,"ContractData",H22,Calculations!$T$1,,"T"),"#")&amp;" "&amp;"A")</f>
        <v>-49 A</v>
      </c>
      <c r="I23" s="18" t="str">
        <f>IF($A$5=2,"",TEXT(RTD("cqg.rtd",,"ContractData",I22,Calculations!$T$1,,"T"),"#")&amp;" "&amp;"A")</f>
        <v>-62 A</v>
      </c>
      <c r="J23" s="18" t="str">
        <f>IF($A$5=2,"",TEXT(RTD("cqg.rtd",,"ContractData",J22,Calculations!$T$1,,"T"),"#")&amp;" "&amp;"A")</f>
        <v>-75 A</v>
      </c>
      <c r="K23" s="51" t="str">
        <f>IF($A$5=2,"",TEXT(RTD("cqg.rtd",,"ContractData",K22,Calculations!$T$1,,"T"),"#")&amp;" "&amp;"A")</f>
        <v>-86 A</v>
      </c>
      <c r="L23" s="60"/>
      <c r="M23" s="28"/>
      <c r="N23" s="28"/>
      <c r="O23" s="9"/>
      <c r="U23" s="14"/>
    </row>
    <row r="24" spans="2:21" ht="14.1" customHeight="1" x14ac:dyDescent="0.3">
      <c r="B24" s="21" t="s">
        <v>4</v>
      </c>
      <c r="C24" s="23"/>
      <c r="D24" s="25"/>
      <c r="E24" s="18" t="str">
        <f>IF($A$5=2,TEXT(RTD("cqg.rtd",,"ContractData",E22,"Settlement",,"T"),"#")&amp;" "&amp;"S",TEXT(RTD("cqg.rtd",,"ContractData",E22,Calculations!$S$1,,"T"),"#")&amp;" "&amp;"B")</f>
        <v>2012 B</v>
      </c>
      <c r="F24" s="18" t="str">
        <f>IF($A$5=2,TEXT(RTD("cqg.rtd",,"ContractData",F22,"Settlement",,"T"),"#")&amp;" "&amp;"S",TEXT(RTD("cqg.rtd",,"ContractData",F22,Calculations!$S$1,,"T"),"#")&amp;" "&amp;"B")</f>
        <v>-15 B</v>
      </c>
      <c r="G24" s="18" t="str">
        <f>IF($A$5=2,TEXT(RTD("cqg.rtd",,"ContractData",G22,"Settlement",,"T"),"#")&amp;" "&amp;"S",TEXT(RTD("cqg.rtd",,"ContractData",G22,Calculations!$S$1,,"T"),"#")&amp;" "&amp;"B")</f>
        <v>-34 B</v>
      </c>
      <c r="H24" s="18" t="str">
        <f>IF($A$5=2,TEXT(RTD("cqg.rtd",,"ContractData",H22,"Settlement",,"T"),"#")&amp;" "&amp;"S",TEXT(RTD("cqg.rtd",,"ContractData",H22,Calculations!$S$1,,"T"),"#")&amp;" "&amp;"B")</f>
        <v>-52 B</v>
      </c>
      <c r="I24" s="18" t="str">
        <f>IF($A$5=2,TEXT(RTD("cqg.rtd",,"ContractData",I22,"Settlement",,"T"),"#")&amp;" "&amp;"S",TEXT(RTD("cqg.rtd",,"ContractData",I22,Calculations!$S$1,,"T"),"#")&amp;" "&amp;"B")</f>
        <v>-66 B</v>
      </c>
      <c r="J24" s="18" t="str">
        <f>IF($A$5=2,TEXT(RTD("cqg.rtd",,"ContractData",J22,"Settlement",,"T"),"#")&amp;" "&amp;"S",TEXT(RTD("cqg.rtd",,"ContractData",J22,Calculations!$S$1,,"T"),"#")&amp;" "&amp;"B")</f>
        <v>-79 B</v>
      </c>
      <c r="K24" s="51" t="str">
        <f>IF($A$5=2,TEXT(RTD("cqg.rtd",,"ContractData",K22,"Settlement",,"T"),"#")&amp;" "&amp;"S",TEXT(RTD("cqg.rtd",,"ContractData",K22,Calculations!$S$1,,"T"),"#")&amp;" "&amp;"B")</f>
        <v>-90 B</v>
      </c>
      <c r="L24" s="60"/>
      <c r="M24" s="28"/>
      <c r="N24" s="28"/>
      <c r="O24" s="9"/>
      <c r="U24" s="14"/>
    </row>
    <row r="25" spans="2:21" ht="14.1" customHeight="1" x14ac:dyDescent="0.3">
      <c r="B25" s="44" t="s">
        <v>25</v>
      </c>
      <c r="C25" s="23"/>
      <c r="D25" s="26"/>
      <c r="E25" s="19">
        <f>RTD("cqg.rtd", ,"ContractData",E22,"T_CVol")</f>
        <v>1505</v>
      </c>
      <c r="F25" s="19">
        <f>RTD("cqg.rtd", ,"ContractData",F22,"T_CVol")</f>
        <v>467</v>
      </c>
      <c r="G25" s="19">
        <f>RTD("cqg.rtd", ,"ContractData",G22,"T_CVol")</f>
        <v>101</v>
      </c>
      <c r="H25" s="19">
        <f>RTD("cqg.rtd", ,"ContractData",H22,"T_CVol")</f>
        <v>17</v>
      </c>
      <c r="I25" s="19">
        <f>RTD("cqg.rtd", ,"ContractData",I22,"T_CVol")</f>
        <v>0</v>
      </c>
      <c r="J25" s="19">
        <f>RTD("cqg.rtd", ,"ContractData",J22,"T_CVol")</f>
        <v>0</v>
      </c>
      <c r="K25" s="52">
        <f>RTD("cqg.rtd", ,"ContractData",K22,"T_CVol")</f>
        <v>0</v>
      </c>
      <c r="L25" s="61"/>
      <c r="M25" s="62"/>
      <c r="N25" s="62"/>
      <c r="O25" s="9"/>
      <c r="U25" s="14"/>
    </row>
    <row r="26" spans="2:21" ht="14.1" customHeight="1" x14ac:dyDescent="0.3">
      <c r="B26" s="27"/>
      <c r="C26" s="23"/>
      <c r="D26" s="27"/>
      <c r="E26" s="22"/>
      <c r="F26" s="20" t="str">
        <f>RIGHT(RTD("cqg.rtd", ,"ContractData",Calculations!Q5, "LongDescription"),6)</f>
        <v>Sep 18</v>
      </c>
      <c r="G26" s="20" t="str">
        <f>RIGHT(RTD("cqg.rtd", ,"ContractData",Calculations!D5, "LongDescription"),15)</f>
        <v xml:space="preserve"> Sep 18, Dec 18</v>
      </c>
      <c r="H26" s="20" t="str">
        <f>RIGHT(RTD("cqg.rtd", ,"ContractData",Calculations!E5, "LongDescription"),15)</f>
        <v xml:space="preserve"> Sep 18, Mar 19</v>
      </c>
      <c r="I26" s="20" t="str">
        <f>RIGHT(RTD("cqg.rtd", ,"ContractData",Calculations!F5, "LongDescription"),15)</f>
        <v xml:space="preserve"> Sep 18, May 19</v>
      </c>
      <c r="J26" s="20" t="str">
        <f>RIGHT(RTD("cqg.rtd", ,"ContractData",Calculations!G5, "LongDescription"),15)</f>
        <v xml:space="preserve"> Sep 18, Jul 19</v>
      </c>
      <c r="K26" s="53" t="str">
        <f>RIGHT(RTD("cqg.rtd", ,"ContractData",Calculations!H5, "LongDescription"),15)</f>
        <v xml:space="preserve"> Sep 18, Sep 19</v>
      </c>
      <c r="L26" s="56"/>
      <c r="M26" s="57"/>
      <c r="N26" s="57"/>
      <c r="O26" s="9"/>
      <c r="U26" s="14"/>
    </row>
    <row r="27" spans="2:21" ht="15" hidden="1" customHeight="1" x14ac:dyDescent="0.3">
      <c r="B27" s="28"/>
      <c r="C27" s="28"/>
      <c r="D27" s="28"/>
      <c r="E27" s="28"/>
      <c r="F27" s="1" t="str">
        <f>RTD("cqg.rtd", ,"ContractData",Calculations!Q5, "Symbol")</f>
        <v>CCEU8</v>
      </c>
      <c r="G27" s="2" t="str">
        <f>RTD("cqg.rtd", ,"ContractData",Calculations!D5, "Symbol")</f>
        <v>CCES1U8</v>
      </c>
      <c r="H27" s="2" t="str">
        <f>RTD("cqg.rtd", ,"ContractData",Calculations!E5, "Symbol")</f>
        <v>CCES2U8</v>
      </c>
      <c r="I27" s="2" t="str">
        <f>RTD("cqg.rtd", ,"ContractData",Calculations!F5, "Symbol")</f>
        <v>CCES3U8</v>
      </c>
      <c r="J27" s="2" t="str">
        <f>RTD("cqg.rtd", ,"ContractData",Calculations!G5, "Symbol")</f>
        <v>CCES4U8</v>
      </c>
      <c r="K27" s="54" t="str">
        <f>RTD("cqg.rtd", ,"ContractData",Calculations!H5, "Symbol")</f>
        <v>CCES5U8</v>
      </c>
      <c r="L27" s="63"/>
      <c r="M27" s="64"/>
      <c r="N27" s="64"/>
      <c r="O27" s="8"/>
      <c r="U27" s="14"/>
    </row>
    <row r="28" spans="2:21" ht="14.1" customHeight="1" x14ac:dyDescent="0.3">
      <c r="B28" s="148" t="s">
        <v>18</v>
      </c>
      <c r="C28" s="149"/>
      <c r="D28" s="149"/>
      <c r="E28" s="150"/>
      <c r="F28" s="18" t="str">
        <f>IF($A$5=2,"",TEXT(RTD("cqg.rtd",,"ContractData",F27,Calculations!$T$1,,"T"),"#")&amp;" "&amp;"A")</f>
        <v>2029 A</v>
      </c>
      <c r="G28" s="18" t="str">
        <f>IF($A$5=2,"",TEXT(RTD("cqg.rtd",,"ContractData",G27,Calculations!$T$1,,"T"),"#")&amp;" "&amp;"A")</f>
        <v>-18 A</v>
      </c>
      <c r="H28" s="18" t="str">
        <f>IF($A$5=2,"",TEXT(RTD("cqg.rtd",,"ContractData",H27,Calculations!$T$1,,"T"),"#")&amp;" "&amp;"A")</f>
        <v>-35 A</v>
      </c>
      <c r="I28" s="18" t="str">
        <f>IF($A$5=2,"",TEXT(RTD("cqg.rtd",,"ContractData",I27,Calculations!$T$1,,"T"),"#")&amp;" "&amp;"A")</f>
        <v>-48 A</v>
      </c>
      <c r="J28" s="18" t="str">
        <f>IF($A$5=2,"",TEXT(RTD("cqg.rtd",,"ContractData",J27,Calculations!$T$1,,"T"),"#")&amp;" "&amp;"A")</f>
        <v>-61 A</v>
      </c>
      <c r="K28" s="51" t="str">
        <f>IF($A$5=2,"",TEXT(RTD("cqg.rtd",,"ContractData",K27,Calculations!$T$1,,"T"),"#")&amp;" "&amp;"A")</f>
        <v>-72 A</v>
      </c>
      <c r="L28" s="60"/>
      <c r="M28" s="28"/>
      <c r="N28" s="28"/>
      <c r="O28" s="9"/>
      <c r="U28" s="14"/>
    </row>
    <row r="29" spans="2:21" ht="14.1" customHeight="1" x14ac:dyDescent="0.3">
      <c r="B29" s="23"/>
      <c r="C29" s="23"/>
      <c r="D29" s="23"/>
      <c r="E29" s="23"/>
      <c r="F29" s="18" t="str">
        <f>IF($A$5=2,TEXT(RTD("cqg.rtd",,"ContractData",F27,"Settlement",,"T"),"#")&amp;" "&amp;"S",TEXT(RTD("cqg.rtd",,"ContractData",F27,Calculations!$S$1,,"T"),"#")&amp;" "&amp;"B")</f>
        <v>2027 B</v>
      </c>
      <c r="G29" s="18" t="str">
        <f>IF($A$5=2,TEXT(RTD("cqg.rtd",,"ContractData",G27,"Settlement",,"T"),"#")&amp;" "&amp;"S",TEXT(RTD("cqg.rtd",,"ContractData",G27,Calculations!$S$1,,"T"),"#")&amp;" "&amp;"B")</f>
        <v>-19 B</v>
      </c>
      <c r="H29" s="18" t="str">
        <f>IF($A$5=2,TEXT(RTD("cqg.rtd",,"ContractData",H27,"Settlement",,"T"),"#")&amp;" "&amp;"S",TEXT(RTD("cqg.rtd",,"ContractData",H27,Calculations!$S$1,,"T"),"#")&amp;" "&amp;"B")</f>
        <v>-37 B</v>
      </c>
      <c r="I29" s="18" t="str">
        <f>IF($A$5=2,TEXT(RTD("cqg.rtd",,"ContractData",I27,"Settlement",,"T"),"#")&amp;" "&amp;"S",TEXT(RTD("cqg.rtd",,"ContractData",I27,Calculations!$S$1,,"T"),"#")&amp;" "&amp;"B")</f>
        <v>-51 B</v>
      </c>
      <c r="J29" s="18" t="str">
        <f>IF($A$5=2,TEXT(RTD("cqg.rtd",,"ContractData",J27,"Settlement",,"T"),"#")&amp;" "&amp;"S",TEXT(RTD("cqg.rtd",,"ContractData",J27,Calculations!$S$1,,"T"),"#")&amp;" "&amp;"B")</f>
        <v>-64 B</v>
      </c>
      <c r="K29" s="51" t="str">
        <f>IF($A$5=2,TEXT(RTD("cqg.rtd",,"ContractData",K27,"Settlement",,"T"),"#")&amp;" "&amp;"S",TEXT(RTD("cqg.rtd",,"ContractData",K27,Calculations!$S$1,,"T"),"#")&amp;" "&amp;"B")</f>
        <v>-75 B</v>
      </c>
      <c r="L29" s="60"/>
      <c r="M29" s="28"/>
      <c r="N29" s="28"/>
      <c r="O29" s="9"/>
      <c r="U29" s="14"/>
    </row>
    <row r="30" spans="2:21" ht="14.1" customHeight="1" x14ac:dyDescent="0.3">
      <c r="B30" s="24"/>
      <c r="C30" s="23"/>
      <c r="D30" s="23"/>
      <c r="E30" s="23"/>
      <c r="F30" s="19">
        <f>RTD("cqg.rtd", ,"ContractData",F27,"T_CVol")</f>
        <v>813</v>
      </c>
      <c r="G30" s="19">
        <f>RTD("cqg.rtd", ,"ContractData",G27,"T_CVol")</f>
        <v>191</v>
      </c>
      <c r="H30" s="19">
        <f>RTD("cqg.rtd", ,"ContractData",H27,"T_CVol")</f>
        <v>246</v>
      </c>
      <c r="I30" s="19">
        <f>RTD("cqg.rtd", ,"ContractData",I27,"T_CVol")</f>
        <v>0</v>
      </c>
      <c r="J30" s="19">
        <f>RTD("cqg.rtd", ,"ContractData",J27,"T_CVol")</f>
        <v>0</v>
      </c>
      <c r="K30" s="52">
        <f>RTD("cqg.rtd", ,"ContractData",K27,"T_CVol")</f>
        <v>15</v>
      </c>
      <c r="L30" s="61"/>
      <c r="M30" s="62"/>
      <c r="N30" s="62"/>
      <c r="O30" s="9"/>
      <c r="U30" s="14"/>
    </row>
    <row r="31" spans="2:21" ht="14.1" customHeight="1" thickBot="1" x14ac:dyDescent="0.35">
      <c r="B31" s="24"/>
      <c r="C31" s="23"/>
      <c r="D31" s="23"/>
      <c r="E31" s="23"/>
      <c r="F31" s="22"/>
      <c r="G31" s="29" t="str">
        <f>RIGHT(RTD("cqg.rtd", ,"ContractData",Calculations!Q6, "LongDescription"),6)</f>
        <v>Dec 18</v>
      </c>
      <c r="H31" s="29" t="str">
        <f>RIGHT(RTD("cqg.rtd", ,"ContractData",Calculations!D6, "LongDescription"),15)</f>
        <v xml:space="preserve"> Dec 18, Mar 19</v>
      </c>
      <c r="I31" s="29" t="str">
        <f>RIGHT(RTD("cqg.rtd", ,"ContractData",Calculations!E6, "LongDescription"),15)</f>
        <v xml:space="preserve"> Dec 18, May 19</v>
      </c>
      <c r="J31" s="29" t="str">
        <f>RIGHT(RTD("cqg.rtd", ,"ContractData",Calculations!F6, "LongDescription"),15)</f>
        <v xml:space="preserve"> Dec 18, Jul 19</v>
      </c>
      <c r="K31" s="29" t="str">
        <f>RIGHT(RTD("cqg.rtd", ,"ContractData",Calculations!G6, "LongDescription"),15)</f>
        <v xml:space="preserve"> Dec 18, Sep 19</v>
      </c>
      <c r="L31" s="56"/>
      <c r="M31" s="57"/>
      <c r="N31" s="57"/>
      <c r="O31" s="9"/>
      <c r="U31" s="14"/>
    </row>
    <row r="32" spans="2:21" ht="15" hidden="1" customHeight="1" thickBot="1" x14ac:dyDescent="0.35">
      <c r="B32" s="23"/>
      <c r="C32" s="24"/>
      <c r="D32" s="24"/>
      <c r="E32" s="24"/>
      <c r="F32" s="24"/>
      <c r="G32" s="3" t="str">
        <f>RTD("cqg.rtd", ,"ContractData",Calculations!Q6, "Symbol")</f>
        <v>CCEZ8</v>
      </c>
      <c r="H32" s="4" t="str">
        <f>RTD("cqg.rtd", ,"ContractData",Calculations!D6, "Symbol")</f>
        <v>CCES1Z8</v>
      </c>
      <c r="I32" s="4" t="str">
        <f>RTD("cqg.rtd", ,"ContractData",Calculations!E6, "Symbol")</f>
        <v>CCES2Z8</v>
      </c>
      <c r="J32" s="4" t="str">
        <f>RTD("cqg.rtd", ,"ContractData",Calculations!F6, "Symbol")</f>
        <v>CCES3Z8</v>
      </c>
      <c r="K32" s="55" t="str">
        <f>RTD("cqg.rtd", ,"ContractData",Calculations!G6, "Symbol")</f>
        <v>CCES4Z8</v>
      </c>
      <c r="L32" s="63"/>
      <c r="M32" s="64"/>
      <c r="N32" s="64"/>
      <c r="O32" s="8"/>
      <c r="U32" s="14"/>
    </row>
    <row r="33" spans="2:21" ht="14.1" customHeight="1" x14ac:dyDescent="0.3">
      <c r="B33" s="24"/>
      <c r="C33" s="23"/>
      <c r="D33" s="23"/>
      <c r="E33" s="23"/>
      <c r="F33" s="24"/>
      <c r="G33" s="18" t="str">
        <f>IF($A$5=2,"",TEXT(RTD("cqg.rtd",,"ContractData",G32,Calculations!$T$1,,"T"),"#")&amp;" "&amp;"A")</f>
        <v>2047 A</v>
      </c>
      <c r="H33" s="18" t="str">
        <f>IF($A$5=2,"",TEXT(RTD("cqg.rtd",,"ContractData",H32,Calculations!$T$1,,"T"),"#")&amp;" "&amp;"A")</f>
        <v>-17 A</v>
      </c>
      <c r="I33" s="18" t="str">
        <f>IF($A$5=2,"",TEXT(RTD("cqg.rtd",,"ContractData",I32,Calculations!$T$1,,"T"),"#")&amp;" "&amp;"A")</f>
        <v>-30 A</v>
      </c>
      <c r="J33" s="18" t="str">
        <f>IF($A$5=2,"",TEXT(RTD("cqg.rtd",,"ContractData",J32,Calculations!$T$1,,"T"),"#")&amp;" "&amp;"A")</f>
        <v>-43 A</v>
      </c>
      <c r="K33" s="51" t="str">
        <f>IF($A$5=2,"",TEXT(RTD("cqg.rtd",,"ContractData",K32,Calculations!$T$1,,"T"),"#")&amp;" "&amp;"A")</f>
        <v>-54 A</v>
      </c>
      <c r="L33" s="60"/>
      <c r="M33" s="28"/>
      <c r="N33" s="28"/>
      <c r="O33" s="9"/>
      <c r="U33" s="14"/>
    </row>
    <row r="34" spans="2:21" ht="14.1" customHeight="1" x14ac:dyDescent="0.3">
      <c r="B34" s="24"/>
      <c r="C34" s="23"/>
      <c r="D34" s="23"/>
      <c r="E34" s="23"/>
      <c r="F34" s="24"/>
      <c r="G34" s="18" t="str">
        <f>IF($A$5=2,TEXT(RTD("cqg.rtd",,"ContractData",G32,"Settlement",,"T"),"#")&amp;" "&amp;"S",TEXT(RTD("cqg.rtd",,"ContractData",G32,Calculations!$S$1,,"T"),"#")&amp;" "&amp;"B")</f>
        <v>2045 B</v>
      </c>
      <c r="H34" s="18" t="str">
        <f>IF($A$5=2,TEXT(RTD("cqg.rtd",,"ContractData",H32,"Settlement",,"T"),"#")&amp;" "&amp;"S",TEXT(RTD("cqg.rtd",,"ContractData",H32,Calculations!$S$1,,"T"),"#")&amp;" "&amp;"B")</f>
        <v>-18 B</v>
      </c>
      <c r="I34" s="18" t="str">
        <f>IF($A$5=2,TEXT(RTD("cqg.rtd",,"ContractData",I32,"Settlement",,"T"),"#")&amp;" "&amp;"S",TEXT(RTD("cqg.rtd",,"ContractData",I32,Calculations!$S$1,,"T"),"#")&amp;" "&amp;"B")</f>
        <v>-33 B</v>
      </c>
      <c r="J34" s="18" t="str">
        <f>IF($A$5=2,TEXT(RTD("cqg.rtd",,"ContractData",J32,"Settlement",,"T"),"#")&amp;" "&amp;"S",TEXT(RTD("cqg.rtd",,"ContractData",J32,Calculations!$S$1,,"T"),"#")&amp;" "&amp;"B")</f>
        <v>-46 B</v>
      </c>
      <c r="K34" s="51" t="str">
        <f>IF($A$5=2,TEXT(RTD("cqg.rtd",,"ContractData",K32,"Settlement",,"T"),"#")&amp;" "&amp;"S",TEXT(RTD("cqg.rtd",,"ContractData",K32,Calculations!$S$1,,"T"),"#")&amp;" "&amp;"B")</f>
        <v>-57 B</v>
      </c>
      <c r="L34" s="60"/>
      <c r="M34" s="28"/>
      <c r="N34" s="28"/>
      <c r="O34" s="9"/>
      <c r="U34" s="14"/>
    </row>
    <row r="35" spans="2:21" ht="14.1" customHeight="1" thickBot="1" x14ac:dyDescent="0.35">
      <c r="B35" s="28"/>
      <c r="C35" s="28"/>
      <c r="D35" s="28"/>
      <c r="E35" s="28"/>
      <c r="F35" s="24"/>
      <c r="G35" s="19">
        <f>RTD("cqg.rtd", ,"ContractData",G32,"T_CVol")</f>
        <v>677</v>
      </c>
      <c r="H35" s="19">
        <f>RTD("cqg.rtd", ,"ContractData",H32,"T_CVol")</f>
        <v>68</v>
      </c>
      <c r="I35" s="19">
        <f>RTD("cqg.rtd", ,"ContractData",I32,"T_CVol")</f>
        <v>0</v>
      </c>
      <c r="J35" s="19">
        <f>RTD("cqg.rtd", ,"ContractData",J32,"T_CVol")</f>
        <v>0</v>
      </c>
      <c r="K35" s="52">
        <f>RTD("cqg.rtd", ,"ContractData",K32,"T_CVol")</f>
        <v>0</v>
      </c>
      <c r="L35" s="61"/>
      <c r="M35" s="62"/>
      <c r="N35" s="62"/>
      <c r="O35" s="70"/>
      <c r="P35" s="12"/>
      <c r="Q35" s="12"/>
      <c r="R35" s="12"/>
      <c r="S35" s="12"/>
      <c r="T35" s="12"/>
      <c r="U35" s="14"/>
    </row>
    <row r="36" spans="2:21" ht="14.1" customHeight="1" thickBot="1" x14ac:dyDescent="0.35">
      <c r="B36" s="156" t="s">
        <v>19</v>
      </c>
      <c r="C36" s="156"/>
      <c r="D36" s="156"/>
      <c r="E36" s="156"/>
      <c r="F36" s="156"/>
      <c r="G36" s="22"/>
      <c r="H36" s="30" t="str">
        <f>RIGHT(RTD("cqg.rtd", ,"ContractData",Calculations!Q7, "LongDescription"),6)</f>
        <v>Mar 19</v>
      </c>
      <c r="I36" s="30" t="str">
        <f>RIGHT(RTD("cqg.rtd", ,"ContractData",Calculations!D7, "LongDescription"),15)</f>
        <v xml:space="preserve"> Mar 19, May 19</v>
      </c>
      <c r="J36" s="30" t="str">
        <f>RIGHT(RTD("cqg.rtd", ,"ContractData",Calculations!E7, "LongDescription"),15)</f>
        <v xml:space="preserve"> Mar 19, Jul 19</v>
      </c>
      <c r="K36" s="30" t="str">
        <f>RIGHT(RTD("cqg.rtd", ,"ContractData",Calculations!F7, "LongDescription"),15)</f>
        <v xml:space="preserve"> Mar 19, Sep 19</v>
      </c>
      <c r="L36" s="56"/>
      <c r="M36" s="57"/>
      <c r="N36" s="57"/>
      <c r="O36" s="9"/>
      <c r="U36" s="14"/>
    </row>
    <row r="37" spans="2:21" ht="15" hidden="1" customHeight="1" thickBot="1" x14ac:dyDescent="0.35">
      <c r="B37" s="155"/>
      <c r="C37" s="155"/>
      <c r="D37" s="155"/>
      <c r="E37" s="155"/>
      <c r="F37" s="155"/>
      <c r="G37" s="24"/>
      <c r="H37" s="3" t="str">
        <f>RTD("cqg.rtd", ,"ContractData",Calculations!Q7, "Symbol")</f>
        <v>CCEH9</v>
      </c>
      <c r="I37" s="5" t="str">
        <f>RTD("cqg.rtd", ,"ContractData",Calculations!D7, "Symbol")</f>
        <v>CCES1H9</v>
      </c>
      <c r="J37" s="5" t="str">
        <f>RTD("cqg.rtd", ,"ContractData",Calculations!E7, "Symbol")</f>
        <v>CCES2H9</v>
      </c>
      <c r="K37" s="3" t="str">
        <f>RTD("cqg.rtd", ,"ContractData",Calculations!F7, "Symbol")</f>
        <v>CCES3H9</v>
      </c>
      <c r="L37" s="58"/>
      <c r="M37" s="59"/>
      <c r="N37" s="59"/>
      <c r="O37" s="8"/>
      <c r="U37" s="14"/>
    </row>
    <row r="38" spans="2:21" ht="14.1" customHeight="1" x14ac:dyDescent="0.3">
      <c r="B38" s="31" t="s">
        <v>4</v>
      </c>
      <c r="C38" s="32"/>
      <c r="D38" s="32" t="s">
        <v>0</v>
      </c>
      <c r="E38" s="32" t="s">
        <v>11</v>
      </c>
      <c r="F38" s="32" t="s">
        <v>12</v>
      </c>
      <c r="G38" s="23"/>
      <c r="H38" s="18" t="str">
        <f>IF($A$5=2,"",TEXT(RTD("cqg.rtd",,"ContractData",H37,Calculations!$T$1,,"T"),"#")&amp;" "&amp;"A")</f>
        <v>2065 A</v>
      </c>
      <c r="I38" s="18" t="str">
        <f>IF($A$5=2,"",TEXT(RTD("cqg.rtd",,"ContractData",I37,Calculations!$T$1,,"T"),"#")&amp;" "&amp;"A")</f>
        <v>-13 A</v>
      </c>
      <c r="J38" s="18" t="str">
        <f>IF($A$5=2,"",TEXT(RTD("cqg.rtd",,"ContractData",J37,Calculations!$T$1,,"T"),"#")&amp;" "&amp;"A")</f>
        <v>-26 A</v>
      </c>
      <c r="K38" s="51" t="str">
        <f>IF($A$5=2,"",TEXT(RTD("cqg.rtd",,"ContractData",K37,Calculations!$T$1,,"T"),"#")&amp;" "&amp;"A")</f>
        <v>-37 A</v>
      </c>
      <c r="L38" s="60"/>
      <c r="M38" s="28"/>
      <c r="N38" s="28"/>
      <c r="O38" s="9"/>
      <c r="U38" s="14"/>
    </row>
    <row r="39" spans="2:21" ht="14.1" customHeight="1" x14ac:dyDescent="0.3">
      <c r="B39" s="33" t="s">
        <v>23</v>
      </c>
      <c r="C39" s="35"/>
      <c r="D39" s="35">
        <f>RTD("cqg.rtd", ,"ContractData",B39,Calculations!$R$1,,"T")</f>
        <v>15.02</v>
      </c>
      <c r="E39" s="35">
        <f>RTD("cqg.rtd", ,"ContractData", B39, "NetLastQuoteToday",,"T")</f>
        <v>0.04</v>
      </c>
      <c r="F39" s="34">
        <f>IFERROR(RTD("cqg.rtd", ,"ContractData",B39, "PerCentNetLastQuote",,"T")/100,"")</f>
        <v>2.6702269692923898E-3</v>
      </c>
      <c r="G39" s="23"/>
      <c r="H39" s="18" t="str">
        <f>IF($A$5=2,TEXT(RTD("cqg.rtd",,"ContractData",H37,"Settlement",,"T"),"#")&amp;" "&amp;"S",TEXT(RTD("cqg.rtd",,"ContractData",H37,Calculations!$S$1,,"T"),"#")&amp;" "&amp;"B")</f>
        <v>2062 B</v>
      </c>
      <c r="I39" s="18" t="str">
        <f>IF($A$5=2,TEXT(RTD("cqg.rtd",,"ContractData",I37,"Settlement",,"T"),"#")&amp;" "&amp;"S",TEXT(RTD("cqg.rtd",,"ContractData",I37,Calculations!$S$1,,"T"),"#")&amp;" "&amp;"B")</f>
        <v>-15 B</v>
      </c>
      <c r="J39" s="18" t="str">
        <f>IF($A$5=2,TEXT(RTD("cqg.rtd",,"ContractData",J37,"Settlement",,"T"),"#")&amp;" "&amp;"S",TEXT(RTD("cqg.rtd",,"ContractData",J37,Calculations!$S$1,,"T"),"#")&amp;" "&amp;"B")</f>
        <v>-28 B</v>
      </c>
      <c r="K39" s="51" t="str">
        <f>IF($A$5=2,TEXT(RTD("cqg.rtd",,"ContractData",K37,"Settlement",,"T"),"#")&amp;" "&amp;"S",TEXT(RTD("cqg.rtd",,"ContractData",K37,Calculations!$S$1,,"T"),"#")&amp;" "&amp;"B")</f>
        <v>-40 B</v>
      </c>
      <c r="L39" s="60"/>
      <c r="M39" s="28"/>
      <c r="N39" s="28"/>
      <c r="O39" s="9"/>
      <c r="U39" s="14"/>
    </row>
    <row r="40" spans="2:21" ht="14.1" customHeight="1" thickBot="1" x14ac:dyDescent="0.35">
      <c r="B40" s="33" t="s">
        <v>24</v>
      </c>
      <c r="C40" s="33"/>
      <c r="D40" s="35">
        <f>RTD("cqg.rtd", ,"ContractData",B40,Calculations!$R$1,,"T")</f>
        <v>72.97</v>
      </c>
      <c r="E40" s="35">
        <f>RTD("cqg.rtd", ,"ContractData", B40, "NetLastQuoteToday",,"T")</f>
        <v>-0.32</v>
      </c>
      <c r="F40" s="34">
        <f>IFERROR(RTD("cqg.rtd", ,"ContractData",B40, "PerCentNetLastQuote",,"T")/100,"")</f>
        <v>-4.3668122270742356E-3</v>
      </c>
      <c r="G40" s="23"/>
      <c r="H40" s="19">
        <f>RTD("cqg.rtd", ,"ContractData",H37,"T_CVol")</f>
        <v>316</v>
      </c>
      <c r="I40" s="19">
        <f>RTD("cqg.rtd", ,"ContractData",I37,"T_CVol")</f>
        <v>0</v>
      </c>
      <c r="J40" s="19">
        <f>RTD("cqg.rtd", ,"ContractData",J37,"T_CVol")</f>
        <v>15</v>
      </c>
      <c r="K40" s="52">
        <f>RTD("cqg.rtd", ,"ContractData",K37,"T_CVol")</f>
        <v>13</v>
      </c>
      <c r="L40" s="61"/>
      <c r="M40" s="62"/>
      <c r="N40" s="62"/>
      <c r="O40" s="9"/>
      <c r="U40" s="14"/>
    </row>
    <row r="41" spans="2:21" ht="14.1" customHeight="1" thickBot="1" x14ac:dyDescent="0.35">
      <c r="B41" s="35" t="s">
        <v>22</v>
      </c>
      <c r="C41" s="33"/>
      <c r="D41" s="35">
        <f>RTD("cqg.rtd", ,"ContractData",B41,Calculations!$R$1,,"T")</f>
        <v>129.25</v>
      </c>
      <c r="E41" s="35">
        <f>RTD("cqg.rtd", ,"ContractData", B41, "NetLastQuoteToday",,"T")</f>
        <v>-0.35000000000000003</v>
      </c>
      <c r="F41" s="34">
        <f>IFERROR(RTD("cqg.rtd", ,"ContractData",B41, "PerCentNetLastQuote",,"T")/100,"")</f>
        <v>-2.7016595908915474E-3</v>
      </c>
      <c r="G41" s="23"/>
      <c r="H41" s="22"/>
      <c r="I41" s="30" t="str">
        <f>RIGHT(RTD("cqg.rtd", ,"ContractData",Calculations!Q8, "LongDescription"),6)</f>
        <v>May 19</v>
      </c>
      <c r="J41" s="30" t="str">
        <f>RIGHT(RTD("cqg.rtd", ,"ContractData",Calculations!D8, "LongDescription"),15)</f>
        <v xml:space="preserve"> May 19, Jul 19</v>
      </c>
      <c r="K41" s="30" t="str">
        <f>RIGHT(RTD("cqg.rtd", ,"ContractData",Calculations!E8, "LongDescription"),15)</f>
        <v xml:space="preserve"> May 19, Sep 19</v>
      </c>
      <c r="L41" s="56"/>
      <c r="M41" s="57"/>
      <c r="N41" s="57"/>
      <c r="O41" s="9"/>
      <c r="U41" s="14"/>
    </row>
    <row r="42" spans="2:21" ht="15" hidden="1" customHeight="1" thickBot="1" x14ac:dyDescent="0.35">
      <c r="B42" s="35"/>
      <c r="C42" s="35"/>
      <c r="D42" s="35"/>
      <c r="E42" s="35"/>
      <c r="F42" s="34"/>
      <c r="G42" s="23"/>
      <c r="H42" s="24"/>
      <c r="I42" s="3" t="str">
        <f>RTD("cqg.rtd", ,"ContractData",Calculations!Q8, "Symbol")</f>
        <v>CCEK9</v>
      </c>
      <c r="J42" s="5" t="str">
        <f>RTD("cqg.rtd", ,"ContractData",Calculations!D8, "Symbol")</f>
        <v>CCES1K9</v>
      </c>
      <c r="K42" s="3" t="str">
        <f>RTD("cqg.rtd", ,"ContractData",Calculations!E8, "Symbol")</f>
        <v>CCES2K9</v>
      </c>
      <c r="L42" s="58"/>
      <c r="M42" s="59"/>
      <c r="N42" s="59"/>
      <c r="U42" s="14"/>
    </row>
    <row r="43" spans="2:21" ht="14.1" customHeight="1" x14ac:dyDescent="0.3">
      <c r="B43" s="33" t="s">
        <v>26</v>
      </c>
      <c r="C43" s="35"/>
      <c r="D43" s="35">
        <f>RTD("cqg.rtd", ,"ContractData",B43,Calculations!$R$1,,"T")</f>
        <v>161.85</v>
      </c>
      <c r="E43" s="35">
        <f>RTD("cqg.rtd", ,"ContractData", B43, "NetLastQuoteToday",,"T")</f>
        <v>-0.75</v>
      </c>
      <c r="F43" s="34">
        <f>IFERROR(RTD("cqg.rtd", ,"ContractData",B43, "PerCentNetLastQuote",,"T")/100,"")</f>
        <v>-4.609711124769514E-3</v>
      </c>
      <c r="G43" s="24"/>
      <c r="H43" s="24"/>
      <c r="I43" s="18" t="str">
        <f>IF($A$5=2,"",TEXT(RTD("cqg.rtd",,"ContractData",I42,Calculations!$T$1,,"T"),"#")&amp;" "&amp;"A")</f>
        <v>2080 A</v>
      </c>
      <c r="J43" s="18" t="str">
        <f>IF($A$5=2,"",TEXT(RTD("cqg.rtd",,"ContractData",J42,Calculations!$T$1,,"T"),"#")&amp;" "&amp;"A")</f>
        <v>-13 A</v>
      </c>
      <c r="K43" s="51" t="str">
        <f>IF($A$5=2,"",TEXT(RTD("cqg.rtd",,"ContractData",K42,Calculations!$T$1,,"T"),"#")&amp;" "&amp;"A")</f>
        <v>-24 A</v>
      </c>
      <c r="L43" s="60"/>
      <c r="M43" s="28"/>
      <c r="N43" s="28"/>
      <c r="U43" s="14"/>
    </row>
    <row r="44" spans="2:21" ht="14.1" customHeight="1" x14ac:dyDescent="0.3">
      <c r="B44" s="159" t="str">
        <f>RTD("cqg.rtd", ,"ContractData", B25, "LongDescription")</f>
        <v>Cocoa (ICE), Mar 18</v>
      </c>
      <c r="C44" s="159"/>
      <c r="D44" s="159"/>
      <c r="E44" s="159"/>
      <c r="F44" s="159"/>
      <c r="G44" s="159"/>
      <c r="H44" s="159"/>
      <c r="I44" s="18" t="str">
        <f>IF($A$5=2,TEXT(RTD("cqg.rtd",,"ContractData",I42,"Settlement",,"T"),"#")&amp;" "&amp;"S",TEXT(RTD("cqg.rtd",,"ContractData",I42,Calculations!$S$1,,"T"),"#")&amp;" "&amp;"B")</f>
        <v>2075 B</v>
      </c>
      <c r="J44" s="18" t="str">
        <f>IF($A$5=2,TEXT(RTD("cqg.rtd",,"ContractData",J42,"Settlement",,"T"),"#")&amp;" "&amp;"S",TEXT(RTD("cqg.rtd",,"ContractData",J42,Calculations!$S$1,,"T"),"#")&amp;" "&amp;"B")</f>
        <v>-14 B</v>
      </c>
      <c r="K44" s="51" t="str">
        <f>IF($A$5=2,TEXT(RTD("cqg.rtd",,"ContractData",K42,"Settlement",,"T"),"#")&amp;" "&amp;"S",TEXT(RTD("cqg.rtd",,"ContractData",K42,Calculations!$S$1,,"T"),"#")&amp;" "&amp;"B")</f>
        <v>-26 B</v>
      </c>
      <c r="L44" s="60"/>
      <c r="M44" s="28"/>
      <c r="N44" s="28"/>
      <c r="U44" s="14"/>
    </row>
    <row r="45" spans="2:21" ht="14.1" customHeight="1" thickBot="1" x14ac:dyDescent="0.35">
      <c r="B45" s="159"/>
      <c r="C45" s="159"/>
      <c r="D45" s="159"/>
      <c r="E45" s="159"/>
      <c r="F45" s="159"/>
      <c r="G45" s="159"/>
      <c r="H45" s="159"/>
      <c r="I45" s="36">
        <f>RTD("cqg.rtd", ,"ContractData",I42,"T_CVol")</f>
        <v>0</v>
      </c>
      <c r="J45" s="19">
        <f>RTD("cqg.rtd", ,"ContractData",J42,"T_CVol")</f>
        <v>0</v>
      </c>
      <c r="K45" s="52">
        <f>RTD("cqg.rtd", ,"ContractData",K42,"T_CVol")</f>
        <v>0</v>
      </c>
      <c r="L45" s="61"/>
      <c r="M45" s="62"/>
      <c r="N45" s="62"/>
      <c r="U45" s="14"/>
    </row>
    <row r="46" spans="2:21" ht="14.1" customHeight="1" thickBot="1" x14ac:dyDescent="0.35">
      <c r="B46" s="163" t="s">
        <v>2</v>
      </c>
      <c r="C46" s="39"/>
      <c r="D46" s="118">
        <f>RTD("cqg.rtd",,"ContractData",B25,"VolumeLastAsk")</f>
        <v>17</v>
      </c>
      <c r="E46" s="119" t="str">
        <f>TEXT(RTD("cqg.rtd",,"ContractData",B25,"Ask",,"T"),"#")</f>
        <v>2001</v>
      </c>
      <c r="F46" s="120" t="s">
        <v>0</v>
      </c>
      <c r="G46" s="121"/>
      <c r="H46" s="122"/>
      <c r="I46" s="22"/>
      <c r="J46" s="30" t="str">
        <f>RIGHT(RTD("cqg.rtd", ,"ContractData",Calculations!Q9, "LongDescription"),6)</f>
        <v>Jul 19</v>
      </c>
      <c r="K46" s="30" t="str">
        <f>RIGHT(RTD("cqg.rtd", ,"ContractData",Calculations!D9, "LongDescription"),15)</f>
        <v xml:space="preserve"> Jul 19, Sep 19</v>
      </c>
      <c r="L46" s="56"/>
      <c r="M46" s="57"/>
      <c r="N46" s="57"/>
      <c r="U46" s="14"/>
    </row>
    <row r="47" spans="2:21" ht="15" hidden="1" customHeight="1" thickBot="1" x14ac:dyDescent="0.35">
      <c r="B47" s="163"/>
      <c r="C47" s="39"/>
      <c r="D47" s="118"/>
      <c r="E47" s="119"/>
      <c r="F47" s="123"/>
      <c r="G47" s="124"/>
      <c r="H47" s="125"/>
      <c r="I47" s="24"/>
      <c r="J47" s="3" t="str">
        <f>RTD("cqg.rtd", ,"ContractData",Calculations!Q9, "Symbol")</f>
        <v>CCEN9</v>
      </c>
      <c r="K47" s="3" t="str">
        <f>RTD("cqg.rtd", ,"ContractData",Calculations!D9, "Symbol")</f>
        <v>CCES1N9</v>
      </c>
      <c r="L47" s="58"/>
      <c r="M47" s="59"/>
      <c r="N47" s="59"/>
      <c r="U47" s="14"/>
    </row>
    <row r="48" spans="2:21" ht="14.1" customHeight="1" x14ac:dyDescent="0.3">
      <c r="B48" s="163"/>
      <c r="C48" s="39"/>
      <c r="D48" s="118"/>
      <c r="E48" s="119"/>
      <c r="F48" s="123"/>
      <c r="G48" s="124"/>
      <c r="H48" s="125"/>
      <c r="I48" s="24"/>
      <c r="J48" s="18" t="str">
        <f>IF($A$5=2,"",TEXT(RTD("cqg.rtd",,"ContractData",J47,Calculations!$T$1,,"T"),"#")&amp;" "&amp;"A")</f>
        <v>2093 A</v>
      </c>
      <c r="K48" s="51" t="str">
        <f>IF($A$5=2,"",TEXT(RTD("cqg.rtd",,"ContractData",K47,Calculations!$T$1,,"T"),"#")&amp;" "&amp;"A")</f>
        <v>-11 A</v>
      </c>
      <c r="L48" s="60"/>
      <c r="M48" s="28"/>
      <c r="N48" s="28"/>
      <c r="U48" s="14"/>
    </row>
    <row r="49" spans="2:21" ht="13.5" customHeight="1" x14ac:dyDescent="0.3">
      <c r="B49" s="160" t="s">
        <v>1</v>
      </c>
      <c r="C49" s="40"/>
      <c r="D49" s="161">
        <f>RTD("cqg.rtd",,"ContractData",B25,"VolumeLastBid")</f>
        <v>10</v>
      </c>
      <c r="E49" s="162" t="str">
        <f>TEXT(RTD("cqg.rtd",,"ContractData",B25,"Bid",,"T"),"#")</f>
        <v>2000</v>
      </c>
      <c r="F49" s="151">
        <f>G53</f>
        <v>2000</v>
      </c>
      <c r="G49" s="152"/>
      <c r="H49" s="157" t="str">
        <f>IF(AND(H53&gt;0,H53&lt;&gt;""),"+"&amp;TEXT(RTD("cqg.rtd",,"ContractData",B53,"NEtChange",,"T"),"#"),TEXT(H53,"#"))</f>
        <v>-41</v>
      </c>
      <c r="I49" s="24"/>
      <c r="J49" s="18" t="str">
        <f>IF($A$5=2,TEXT(RTD("cqg.rtd",,"ContractData",J47,"Settlement",,"T"),"#")&amp;" "&amp;"S",TEXT(RTD("cqg.rtd",,"ContractData",J47,Calculations!$S$1,,"T"),"#")&amp;" "&amp;"B")</f>
        <v>2088 B</v>
      </c>
      <c r="K49" s="51" t="str">
        <f>IF($A$5=2,TEXT(RTD("cqg.rtd",,"ContractData",K47,"Settlement",,"T"),"#")&amp;" "&amp;"S",TEXT(RTD("cqg.rtd",,"ContractData",K47,Calculations!$S$1,,"T"),"#")&amp;" "&amp;"B")</f>
        <v>-12 B</v>
      </c>
      <c r="L49" s="60"/>
      <c r="M49" s="28"/>
      <c r="N49" s="28"/>
      <c r="U49" s="14"/>
    </row>
    <row r="50" spans="2:21" ht="14.1" customHeight="1" thickBot="1" x14ac:dyDescent="0.35">
      <c r="B50" s="160"/>
      <c r="C50" s="40"/>
      <c r="D50" s="161"/>
      <c r="E50" s="162"/>
      <c r="F50" s="153"/>
      <c r="G50" s="154"/>
      <c r="H50" s="158"/>
      <c r="I50" s="24"/>
      <c r="J50" s="19">
        <f>RTD("cqg.rtd", ,"ContractData",J47,"T_CVol")</f>
        <v>15</v>
      </c>
      <c r="K50" s="52">
        <f>RTD("cqg.rtd", ,"ContractData",K47,"T_CVol")</f>
        <v>0</v>
      </c>
      <c r="L50" s="61"/>
      <c r="M50" s="62"/>
      <c r="N50" s="62"/>
      <c r="U50" s="14"/>
    </row>
    <row r="51" spans="2:21" ht="14.1" customHeight="1" thickBot="1" x14ac:dyDescent="0.35">
      <c r="B51" s="21" t="s">
        <v>4</v>
      </c>
      <c r="C51" s="20"/>
      <c r="D51" s="20" t="s">
        <v>5</v>
      </c>
      <c r="E51" s="20" t="s">
        <v>6</v>
      </c>
      <c r="F51" s="20" t="s">
        <v>7</v>
      </c>
      <c r="G51" s="20" t="s">
        <v>0</v>
      </c>
      <c r="H51" s="20" t="s">
        <v>8</v>
      </c>
      <c r="I51" s="24"/>
      <c r="J51" s="22"/>
      <c r="K51" s="30" t="str">
        <f>RIGHT(RTD("cqg.rtd", ,"ContractData",Calculations!Q10, "LongDescription"),6)</f>
        <v>Sep 19</v>
      </c>
      <c r="L51" s="56"/>
      <c r="M51" s="57"/>
      <c r="N51" s="57"/>
      <c r="U51" s="14"/>
    </row>
    <row r="52" spans="2:21" ht="15" hidden="1" customHeight="1" thickBot="1" x14ac:dyDescent="0.35">
      <c r="B52" s="31" t="s">
        <v>4</v>
      </c>
      <c r="C52" s="32"/>
      <c r="D52" s="32" t="s">
        <v>5</v>
      </c>
      <c r="E52" s="32" t="s">
        <v>6</v>
      </c>
      <c r="F52" s="32" t="s">
        <v>7</v>
      </c>
      <c r="G52" s="32" t="s">
        <v>0</v>
      </c>
      <c r="H52" s="32" t="s">
        <v>8</v>
      </c>
      <c r="I52" s="24"/>
      <c r="J52" s="24"/>
      <c r="K52" s="3" t="str">
        <f>RTD("cqg.rtd", ,"ContractData",Calculations!Q10, "Symbol")</f>
        <v>CCEU9</v>
      </c>
      <c r="L52" s="58"/>
      <c r="M52" s="59"/>
      <c r="N52" s="59"/>
      <c r="U52" s="14"/>
    </row>
    <row r="53" spans="2:21" ht="14.1" customHeight="1" x14ac:dyDescent="0.3">
      <c r="B53" s="45" t="str">
        <f>B7</f>
        <v>CCEH8</v>
      </c>
      <c r="C53" s="46"/>
      <c r="D53" s="47">
        <f>IF(RTD("cqg.rtd",,"ContractData",B53,"Open",,"T")="",RTD("cqg.rtd",,"ContractData",B53,"Y_Open",,"T"),RTD("cqg.rtd",,"ContractData",B53,"Open",,"T"))</f>
        <v>2033</v>
      </c>
      <c r="E53" s="47">
        <f>IF(RTD("cqg.rtd",,"ContractData",B53,"High",,"T")="",RTD("cqg.rtd",,"ContractData",B53,"Y_High",,"T"),RTD("cqg.rtd",,"ContractData",B53,"High",,"T"))</f>
        <v>2039</v>
      </c>
      <c r="F53" s="47">
        <f>IF(RTD("cqg.rtd",,"ContractData",B53,"Low",,"T")="",RTD("cqg.rtd",,"ContractData",B53,"Y_Low",,"T"),RTD("cqg.rtd",,"ContractData",B53,"Low",,"T"))</f>
        <v>1997</v>
      </c>
      <c r="G53" s="47">
        <f>IF(RTD("cqg.rtd",,"ContractData",B53,"Close",,"T")="",RTD("cqg.rtd",,"ContractData",B53,"Y_Close",,"T"),RTD("cqg.rtd",,"ContractData",B53,"Close",,"T"))</f>
        <v>2000</v>
      </c>
      <c r="H53" s="48">
        <f>RTD("cqg.rtd",,"ContractData",B53,"NetLastTradeToday",,"T")</f>
        <v>-41</v>
      </c>
      <c r="I53" s="24"/>
      <c r="J53" s="24"/>
      <c r="K53" s="79" t="str">
        <f>IF($A$5=2,"",TEXT(RTD("cqg.rtd",,"ContractData",K52,Calculations!$T$1,,"T"),"#")&amp;" "&amp;"A")</f>
        <v>2104 A</v>
      </c>
      <c r="L53" s="28"/>
      <c r="M53" s="28"/>
      <c r="N53" s="28"/>
      <c r="U53" s="14"/>
    </row>
    <row r="54" spans="2:21" ht="14.1" customHeight="1" x14ac:dyDescent="0.3">
      <c r="B54" s="45" t="str">
        <f>D7</f>
        <v>CCEK8</v>
      </c>
      <c r="C54" s="46"/>
      <c r="D54" s="47">
        <f>IF(RTD("cqg.rtd",,"ContractData",B54,"Open",,"T")="",RTD("cqg.rtd",,"ContractData",B54,"Y_Open",,"T"),RTD("cqg.rtd",,"ContractData",B54,"Open",,"T"))</f>
        <v>2036</v>
      </c>
      <c r="E54" s="47">
        <f>IF(RTD("cqg.rtd",,"ContractData",B54,"High",,"T")="",RTD("cqg.rtd",,"ContractData",B54,"Y_High",,"T"),RTD("cqg.rtd",,"ContractData",B54,"High",,"T"))</f>
        <v>2037</v>
      </c>
      <c r="F54" s="47">
        <f>IF(RTD("cqg.rtd",,"ContractData",B54,"Low",,"T")="",RTD("cqg.rtd",,"ContractData",B54,"Y_Low",,"T"),RTD("cqg.rtd",,"ContractData",B54,"Low",,"T"))</f>
        <v>1997</v>
      </c>
      <c r="G54" s="47">
        <f>IF(RTD("cqg.rtd",,"ContractData",B54,"Close",,"T")="",RTD("cqg.rtd",,"ContractData",B54,"Y_Close",,"T"),RTD("cqg.rtd",,"ContractData",B54,"Close",,"T"))</f>
        <v>2001</v>
      </c>
      <c r="H54" s="48">
        <f>RTD("cqg.rtd",,"ContractData",B54,"NetLastTradeToday",,"T")</f>
        <v>-43</v>
      </c>
      <c r="I54" s="24"/>
      <c r="J54" s="24"/>
      <c r="K54" s="80" t="str">
        <f>IF($A$5=2,TEXT(RTD("cqg.rtd",,"ContractData",K52,"Settlement",,"T"),"#")&amp;" "&amp;"S",TEXT(RTD("cqg.rtd",,"ContractData",K52,Calculations!$S$1,,"T"),"#")&amp;" "&amp;"B")</f>
        <v>2100 B</v>
      </c>
      <c r="L54" s="28"/>
      <c r="M54" s="28"/>
      <c r="N54" s="28"/>
      <c r="U54" s="14"/>
    </row>
    <row r="55" spans="2:21" ht="14.1" customHeight="1" x14ac:dyDescent="0.3">
      <c r="B55" s="45" t="str">
        <f>E7</f>
        <v>CCEN8</v>
      </c>
      <c r="C55" s="46"/>
      <c r="D55" s="47">
        <f>IF(RTD("cqg.rtd",,"ContractData",B55,"Open",,"T")="",RTD("cqg.rtd",,"ContractData",B55,"Y_Open",,"T"),RTD("cqg.rtd",,"ContractData",B55,"Open",,"T"))</f>
        <v>2046</v>
      </c>
      <c r="E55" s="47">
        <f>IF(RTD("cqg.rtd",,"ContractData",B55,"High",,"T")="",RTD("cqg.rtd",,"ContractData",B55,"Y_High",,"T"),RTD("cqg.rtd",,"ContractData",B55,"High",,"T"))</f>
        <v>2050</v>
      </c>
      <c r="F55" s="47">
        <f>IF(RTD("cqg.rtd",,"ContractData",B55,"Low",,"T")="",RTD("cqg.rtd",,"ContractData",B55,"Y_Low",,"T"),RTD("cqg.rtd",,"ContractData",B55,"Low",,"T"))</f>
        <v>2010</v>
      </c>
      <c r="G55" s="47">
        <f>IF(RTD("cqg.rtd",,"ContractData",B55,"Close",,"T")="",RTD("cqg.rtd",,"ContractData",B55,"Y_Close",,"T"),RTD("cqg.rtd",,"ContractData",B55,"Close",,"T"))</f>
        <v>2012</v>
      </c>
      <c r="H55" s="48">
        <f>RTD("cqg.rtd",,"ContractData",B55,"NetLastTradeToday",,"T")</f>
        <v>-43</v>
      </c>
      <c r="I55" s="24"/>
      <c r="J55" s="24"/>
      <c r="K55" s="81">
        <f>RTD("cqg.rtd", ,"ContractData",K52,"T_CVol")</f>
        <v>28</v>
      </c>
      <c r="L55" s="62"/>
      <c r="M55" s="62"/>
      <c r="N55" s="62"/>
      <c r="U55" s="14"/>
    </row>
    <row r="56" spans="2:21" ht="14.1" customHeight="1" x14ac:dyDescent="0.3">
      <c r="B56" s="46" t="str">
        <f>F7</f>
        <v>CCEU8</v>
      </c>
      <c r="C56" s="46"/>
      <c r="D56" s="47">
        <f>IF(RTD("cqg.rtd",,"ContractData",B56,"Open",,"T")="",RTD("cqg.rtd",,"ContractData",B56,"Y_Open",,"T"),RTD("cqg.rtd",,"ContractData",B56,"Open",,"T"))</f>
        <v>2061</v>
      </c>
      <c r="E56" s="47">
        <f>IF(RTD("cqg.rtd",,"ContractData",B56,"High",,"T")="",RTD("cqg.rtd",,"ContractData",B56,"Y_High",,"T"),RTD("cqg.rtd",,"ContractData",B56,"High",,"T"))</f>
        <v>2063</v>
      </c>
      <c r="F56" s="47">
        <f>IF(RTD("cqg.rtd",,"ContractData",B56,"Low",,"T")="",RTD("cqg.rtd",,"ContractData",B56,"Y_Low",,"T"),RTD("cqg.rtd",,"ContractData",B56,"Low",,"T"))</f>
        <v>2024</v>
      </c>
      <c r="G56" s="47">
        <f>IF(RTD("cqg.rtd",,"ContractData",B56,"Close",,"T")="",RTD("cqg.rtd",,"ContractData",B56,"Y_Close",,"T"),RTD("cqg.rtd",,"ContractData",B56,"Close",,"T"))</f>
        <v>2027</v>
      </c>
      <c r="H56" s="48">
        <f>RTD("cqg.rtd",,"ContractData",B56,"NetLastTradeToday",,"T")</f>
        <v>-45</v>
      </c>
      <c r="I56" s="24"/>
      <c r="J56" s="24"/>
      <c r="K56" s="82"/>
      <c r="L56" s="57"/>
      <c r="M56" s="57"/>
      <c r="N56" s="57"/>
      <c r="U56" s="14"/>
    </row>
    <row r="57" spans="2:21" ht="15" hidden="1" customHeight="1" thickBot="1" x14ac:dyDescent="0.35">
      <c r="B57" s="45"/>
      <c r="C57" s="45"/>
      <c r="D57" s="47"/>
      <c r="E57" s="47"/>
      <c r="F57" s="47"/>
      <c r="G57" s="47"/>
      <c r="H57" s="48"/>
      <c r="I57" s="24"/>
      <c r="J57" s="24"/>
      <c r="K57" s="83"/>
      <c r="L57" s="59"/>
      <c r="M57" s="59"/>
      <c r="N57" s="59"/>
      <c r="U57" s="14"/>
    </row>
    <row r="58" spans="2:21" ht="14.1" customHeight="1" x14ac:dyDescent="0.3">
      <c r="B58" s="45" t="str">
        <f>G7</f>
        <v>CCEZ8</v>
      </c>
      <c r="C58" s="46"/>
      <c r="D58" s="47">
        <f>IF(RTD("cqg.rtd",,"ContractData",B58,"Open",,"T")="",RTD("cqg.rtd",,"ContractData",B58,"Y_Open",,"T"),RTD("cqg.rtd",,"ContractData",B58,"Open",,"T"))</f>
        <v>2084</v>
      </c>
      <c r="E58" s="47">
        <f>IF(RTD("cqg.rtd",,"ContractData",B58,"High",,"T")="",RTD("cqg.rtd",,"ContractData",B58,"Y_High",,"T"),RTD("cqg.rtd",,"ContractData",B58,"High",,"T"))</f>
        <v>2084</v>
      </c>
      <c r="F58" s="47">
        <f>IF(RTD("cqg.rtd",,"ContractData",B58,"Low",,"T")="",RTD("cqg.rtd",,"ContractData",B58,"Y_Low",,"T"),RTD("cqg.rtd",,"ContractData",B58,"Low",,"T"))</f>
        <v>2042</v>
      </c>
      <c r="G58" s="47">
        <f>IF(RTD("cqg.rtd",,"ContractData",B58,"Close",,"T")="",RTD("cqg.rtd",,"ContractData",B58,"Y_Close",,"T"),RTD("cqg.rtd",,"ContractData",B58,"Close",,"T"))</f>
        <v>2045</v>
      </c>
      <c r="H58" s="48">
        <f>RTD("cqg.rtd",,"ContractData",B58,"NetLastTradeToday",,"T")</f>
        <v>-44</v>
      </c>
      <c r="I58" s="24"/>
      <c r="J58" s="24"/>
      <c r="K58" s="83"/>
      <c r="L58" s="28"/>
      <c r="M58" s="28"/>
      <c r="N58" s="28"/>
      <c r="U58" s="14"/>
    </row>
    <row r="59" spans="2:21" ht="14.1" customHeight="1" x14ac:dyDescent="0.3">
      <c r="B59" s="45" t="str">
        <f>H7</f>
        <v>CCEH9</v>
      </c>
      <c r="C59" s="46"/>
      <c r="D59" s="47">
        <f>IF(RTD("cqg.rtd",,"ContractData",B59,"Open",,"T")="",RTD("cqg.rtd",,"ContractData",B59,"Y_Open",,"T"),RTD("cqg.rtd",,"ContractData",B59,"Open",,"T"))</f>
        <v>2096</v>
      </c>
      <c r="E59" s="47">
        <f>IF(RTD("cqg.rtd",,"ContractData",B59,"High",,"T")="",RTD("cqg.rtd",,"ContractData",B59,"Y_High",,"T"),RTD("cqg.rtd",,"ContractData",B59,"High",,"T"))</f>
        <v>2096</v>
      </c>
      <c r="F59" s="47">
        <f>IF(RTD("cqg.rtd",,"ContractData",B59,"Low",,"T")="",RTD("cqg.rtd",,"ContractData",B59,"Y_Low",,"T"),RTD("cqg.rtd",,"ContractData",B59,"Low",,"T"))</f>
        <v>2062</v>
      </c>
      <c r="G59" s="47">
        <f>IF(RTD("cqg.rtd",,"ContractData",B59,"Close",,"T")="",RTD("cqg.rtd",,"ContractData",B59,"Y_Close",,"T"),RTD("cqg.rtd",,"ContractData",B59,"Close",,"T"))</f>
        <v>2062</v>
      </c>
      <c r="H59" s="48">
        <f>RTD("cqg.rtd",,"ContractData",B59,"NetLastTradeToday",,"T")</f>
        <v>-40</v>
      </c>
      <c r="I59" s="24"/>
      <c r="J59" s="24"/>
      <c r="K59" s="83"/>
      <c r="L59" s="28"/>
      <c r="M59" s="28"/>
      <c r="N59" s="28"/>
      <c r="U59" s="14"/>
    </row>
    <row r="60" spans="2:21" ht="14.1" customHeight="1" x14ac:dyDescent="0.3">
      <c r="B60" s="46" t="str">
        <f>I7</f>
        <v>CCEK9</v>
      </c>
      <c r="C60" s="46"/>
      <c r="D60" s="47">
        <f>IF(RTD("cqg.rtd",,"ContractData",B60,"Open",,"T")="",RTD("cqg.rtd",,"ContractData",B60,"Y_Open",,"T"),RTD("cqg.rtd",,"ContractData",B60,"Open",,"T"))</f>
        <v>2107</v>
      </c>
      <c r="E60" s="47">
        <f>IF(RTD("cqg.rtd",,"ContractData",B60,"High",,"T")="",RTD("cqg.rtd",,"ContractData",B60,"Y_High",,"T"),RTD("cqg.rtd",,"ContractData",B60,"High",,"T"))</f>
        <v>2115</v>
      </c>
      <c r="F60" s="47">
        <f>IF(RTD("cqg.rtd",,"ContractData",B60,"Low",,"T")="",RTD("cqg.rtd",,"ContractData",B60,"Y_Low",,"T"),RTD("cqg.rtd",,"ContractData",B60,"Low",,"T"))</f>
        <v>2107</v>
      </c>
      <c r="G60" s="47">
        <f>IF(RTD("cqg.rtd",,"ContractData",B60,"Close",,"T")="",RTD("cqg.rtd",,"ContractData",B60,"Y_Close",,"T"),RTD("cqg.rtd",,"ContractData",B60,"Close",,"T"))</f>
        <v>2075</v>
      </c>
      <c r="H60" s="48" t="str">
        <f>RTD("cqg.rtd",,"ContractData",B60,"NetLastTradeToday",,"T")</f>
        <v/>
      </c>
      <c r="I60" s="24"/>
      <c r="J60" s="24"/>
      <c r="K60" s="83"/>
      <c r="L60" s="62"/>
      <c r="M60" s="62"/>
      <c r="N60" s="62"/>
      <c r="U60" s="14"/>
    </row>
    <row r="61" spans="2:21" ht="14.1" customHeight="1" x14ac:dyDescent="0.3">
      <c r="B61" s="45" t="str">
        <f>J7</f>
        <v>CCEN9</v>
      </c>
      <c r="C61" s="45"/>
      <c r="D61" s="47">
        <f>IF(RTD("cqg.rtd",,"ContractData",B61,"Open",,"T")="",RTD("cqg.rtd",,"ContractData",B61,"Y_Open",,"T"),RTD("cqg.rtd",,"ContractData",B61,"Open",,"T"))</f>
        <v>2120</v>
      </c>
      <c r="E61" s="47">
        <f>IF(RTD("cqg.rtd",,"ContractData",B61,"High",,"T")="",RTD("cqg.rtd",,"ContractData",B61,"Y_High",,"T"),RTD("cqg.rtd",,"ContractData",B61,"High",,"T"))</f>
        <v>2129</v>
      </c>
      <c r="F61" s="47">
        <f>IF(RTD("cqg.rtd",,"ContractData",B61,"Low",,"T")="",RTD("cqg.rtd",,"ContractData",B61,"Y_Low",,"T"),RTD("cqg.rtd",,"ContractData",B61,"Low",,"T"))</f>
        <v>2120</v>
      </c>
      <c r="G61" s="47">
        <f>IF(RTD("cqg.rtd",,"ContractData",B61,"Close",,"T")="",RTD("cqg.rtd",,"ContractData",B61,"Y_Close",,"T"),RTD("cqg.rtd",,"ContractData",B61,"Close",,"T"))</f>
        <v>2088</v>
      </c>
      <c r="H61" s="48" t="str">
        <f>RTD("cqg.rtd",,"ContractData",B61,"NetLastTradeToday",,"T")</f>
        <v/>
      </c>
      <c r="I61" s="24"/>
      <c r="J61" s="24"/>
      <c r="K61" s="83"/>
      <c r="L61" s="28"/>
      <c r="M61" s="57"/>
      <c r="N61" s="57"/>
      <c r="U61" s="14"/>
    </row>
    <row r="62" spans="2:21" ht="15" hidden="1" customHeight="1" thickBot="1" x14ac:dyDescent="0.35">
      <c r="B62" s="45"/>
      <c r="C62" s="45"/>
      <c r="D62" s="47"/>
      <c r="E62" s="47"/>
      <c r="F62" s="47"/>
      <c r="G62" s="47"/>
      <c r="H62" s="48"/>
      <c r="I62" s="24"/>
      <c r="J62" s="24"/>
      <c r="K62" s="83"/>
      <c r="L62" s="57"/>
      <c r="M62" s="59"/>
      <c r="N62" s="59"/>
      <c r="U62" s="14"/>
    </row>
    <row r="63" spans="2:21" ht="14.1" customHeight="1" x14ac:dyDescent="0.3">
      <c r="B63" s="45" t="str">
        <f>K7</f>
        <v>CCEU9</v>
      </c>
      <c r="C63" s="46"/>
      <c r="D63" s="47">
        <f>IF(RTD("cqg.rtd",,"ContractData",B63,"Open",,"T")="",RTD("cqg.rtd",,"ContractData",B63,"Y_Open",,"T"),RTD("cqg.rtd",,"ContractData",B63,"Open",,"T"))</f>
        <v>2106</v>
      </c>
      <c r="E63" s="47">
        <f>IF(RTD("cqg.rtd",,"ContractData",B63,"High",,"T")="",RTD("cqg.rtd",,"ContractData",B63,"Y_High",,"T"),RTD("cqg.rtd",,"ContractData",B63,"High",,"T"))</f>
        <v>2106</v>
      </c>
      <c r="F63" s="47">
        <f>IF(RTD("cqg.rtd",,"ContractData",B63,"Low",,"T")="",RTD("cqg.rtd",,"ContractData",B63,"Y_Low",,"T"),RTD("cqg.rtd",,"ContractData",B63,"Low",,"T"))</f>
        <v>2100</v>
      </c>
      <c r="G63" s="47">
        <f>IF(RTD("cqg.rtd",,"ContractData",B63,"Close",,"T")="",RTD("cqg.rtd",,"ContractData",B63,"Y_Close",,"T"),RTD("cqg.rtd",,"ContractData",B63,"Close",,"T"))</f>
        <v>2100</v>
      </c>
      <c r="H63" s="48">
        <f>RTD("cqg.rtd",,"ContractData",B63,"NetLastTradeToday",,"T")</f>
        <v>-41</v>
      </c>
      <c r="I63" s="24"/>
      <c r="J63" s="24"/>
      <c r="K63" s="83"/>
      <c r="L63" s="57"/>
      <c r="M63" s="28"/>
      <c r="N63" s="28"/>
      <c r="U63" s="14"/>
    </row>
    <row r="64" spans="2:21" ht="14.1" customHeight="1" x14ac:dyDescent="0.3">
      <c r="B64" s="129">
        <f ca="1">NOW()</f>
        <v>43073.37364513889</v>
      </c>
      <c r="C64" s="129"/>
      <c r="D64" s="129"/>
      <c r="E64" s="43"/>
      <c r="F64" s="130" t="str">
        <f>B2&amp; " Contract Expiration Date: "</f>
        <v xml:space="preserve"> Contract Expiration Date: </v>
      </c>
      <c r="G64" s="131"/>
      <c r="H64" s="42">
        <f>RTD("cqg.rtd", ,"ContractData",B25, "ExpirationDate")</f>
        <v>43174</v>
      </c>
      <c r="I64" s="24"/>
      <c r="J64" s="24"/>
      <c r="K64" s="83"/>
      <c r="L64" s="57"/>
      <c r="M64" s="28"/>
      <c r="N64" s="28"/>
      <c r="U64" s="14"/>
    </row>
    <row r="65" spans="2:22" ht="14.1" customHeight="1" x14ac:dyDescent="0.3">
      <c r="B65" s="132" t="s">
        <v>13</v>
      </c>
      <c r="C65" s="133"/>
      <c r="D65" s="133"/>
      <c r="E65" s="134" t="s">
        <v>29</v>
      </c>
      <c r="F65" s="134"/>
      <c r="G65" s="134"/>
      <c r="H65" s="134"/>
      <c r="I65" s="24"/>
      <c r="J65" s="24"/>
      <c r="K65" s="84"/>
      <c r="L65" s="57"/>
      <c r="M65" s="62"/>
      <c r="N65" s="62"/>
      <c r="U65" s="14"/>
    </row>
    <row r="66" spans="2:22" ht="14.1" customHeight="1" x14ac:dyDescent="0.3">
      <c r="B66" s="71"/>
      <c r="C66" s="72"/>
      <c r="D66" s="72"/>
      <c r="E66" s="72"/>
      <c r="F66" s="72"/>
      <c r="G66" s="72"/>
      <c r="H66" s="73"/>
      <c r="I66" s="74"/>
      <c r="J66" s="74"/>
      <c r="K66" s="74"/>
      <c r="L66" s="75"/>
      <c r="M66" s="75"/>
      <c r="N66" s="76"/>
      <c r="O66" s="76"/>
      <c r="P66" s="11"/>
      <c r="Q66" s="11"/>
      <c r="R66" s="11"/>
      <c r="S66" s="11"/>
      <c r="T66" s="11"/>
      <c r="U66" s="77">
        <f>B10</f>
        <v>15330</v>
      </c>
      <c r="V66" s="10" t="str">
        <f>B6</f>
        <v>Mar 18</v>
      </c>
    </row>
    <row r="67" spans="2:22" ht="15" hidden="1" customHeight="1" thickBot="1" x14ac:dyDescent="0.35">
      <c r="B67" s="126"/>
      <c r="C67" s="126"/>
      <c r="D67" s="126"/>
      <c r="E67" s="127"/>
      <c r="F67" s="127"/>
      <c r="G67" s="127"/>
      <c r="H67" s="127"/>
      <c r="I67" s="66"/>
      <c r="J67" s="37"/>
      <c r="K67" s="37"/>
      <c r="L67" s="65"/>
      <c r="M67" s="65"/>
      <c r="N67" s="59"/>
      <c r="O67" s="59"/>
      <c r="U67" s="15"/>
      <c r="V67" s="10"/>
    </row>
    <row r="68" spans="2:22" ht="14.1" customHeight="1" x14ac:dyDescent="0.3">
      <c r="B68" s="126"/>
      <c r="C68" s="126"/>
      <c r="D68" s="126"/>
      <c r="E68" s="67"/>
      <c r="F68" s="128"/>
      <c r="G68" s="128"/>
      <c r="H68" s="68"/>
      <c r="I68" s="66"/>
      <c r="J68" s="37"/>
      <c r="K68" s="37"/>
      <c r="L68" s="65"/>
      <c r="M68" s="65"/>
      <c r="N68" s="28"/>
      <c r="O68" s="6"/>
      <c r="U68" s="41">
        <f>D10</f>
        <v>4451</v>
      </c>
      <c r="V68" s="41" t="str">
        <f>D6</f>
        <v>May 18</v>
      </c>
    </row>
    <row r="69" spans="2:22" ht="14.1" customHeight="1" x14ac:dyDescent="0.3">
      <c r="B69" s="145"/>
      <c r="C69" s="145"/>
      <c r="D69" s="145"/>
      <c r="E69" s="127"/>
      <c r="F69" s="127"/>
      <c r="G69" s="127"/>
      <c r="H69" s="127"/>
      <c r="I69" s="66"/>
      <c r="J69" s="37"/>
      <c r="K69" s="37"/>
      <c r="L69" s="65"/>
      <c r="M69" s="65"/>
      <c r="N69" s="28"/>
      <c r="O69" s="6"/>
      <c r="U69" s="41">
        <f>E10</f>
        <v>1505</v>
      </c>
      <c r="V69" s="41" t="str">
        <f>E6</f>
        <v>Jul 18</v>
      </c>
    </row>
    <row r="70" spans="2:22" ht="14.1" customHeight="1" x14ac:dyDescent="0.3">
      <c r="B70" s="69"/>
      <c r="C70" s="69"/>
      <c r="D70" s="69"/>
      <c r="E70" s="69"/>
      <c r="F70" s="69"/>
      <c r="G70" s="69"/>
      <c r="H70" s="69"/>
      <c r="I70" s="66"/>
      <c r="J70" s="37"/>
      <c r="K70" s="37"/>
      <c r="L70" s="65"/>
      <c r="M70" s="65"/>
      <c r="N70" s="62"/>
      <c r="O70" s="6"/>
      <c r="U70" s="41">
        <f>F10</f>
        <v>813</v>
      </c>
      <c r="V70" s="41" t="str">
        <f>F6</f>
        <v>Sep 18</v>
      </c>
    </row>
    <row r="71" spans="2:22" x14ac:dyDescent="0.25">
      <c r="O71" s="6"/>
      <c r="U71" s="41">
        <f>G10</f>
        <v>677</v>
      </c>
      <c r="V71" s="41" t="str">
        <f>G6</f>
        <v>Dec 18</v>
      </c>
    </row>
    <row r="72" spans="2:22" x14ac:dyDescent="0.25">
      <c r="O72" s="6"/>
      <c r="U72" s="41">
        <f>H10</f>
        <v>316</v>
      </c>
      <c r="V72" s="41" t="str">
        <f>H6</f>
        <v>Mar 19</v>
      </c>
    </row>
    <row r="73" spans="2:22" x14ac:dyDescent="0.25">
      <c r="O73" s="6"/>
      <c r="U73" s="41">
        <f>I10</f>
        <v>0</v>
      </c>
      <c r="V73" s="41" t="str">
        <f>I6</f>
        <v>May 19</v>
      </c>
    </row>
    <row r="74" spans="2:22" x14ac:dyDescent="0.25">
      <c r="U74" s="41">
        <f>J10</f>
        <v>15</v>
      </c>
      <c r="V74" s="10" t="str">
        <f>J6</f>
        <v>Jul 19</v>
      </c>
    </row>
    <row r="75" spans="2:22" x14ac:dyDescent="0.25">
      <c r="U75" s="41">
        <f>K10</f>
        <v>28</v>
      </c>
      <c r="V75" s="10" t="str">
        <f>K6</f>
        <v>Sep 19</v>
      </c>
    </row>
    <row r="76" spans="2:22" x14ac:dyDescent="0.25">
      <c r="U76" s="78"/>
    </row>
    <row r="77" spans="2:22" x14ac:dyDescent="0.25">
      <c r="U77" s="78"/>
    </row>
    <row r="78" spans="2:22" x14ac:dyDescent="0.25">
      <c r="U78" s="41">
        <f>N10</f>
        <v>0</v>
      </c>
    </row>
    <row r="79" spans="2:22" x14ac:dyDescent="0.25">
      <c r="U79" s="10"/>
    </row>
  </sheetData>
  <sheetProtection algorithmName="SHA-512" hashValue="pNFl4X60TW4EZSa0B3dQb/I5OuamxcsN6jihL7fKS1uxu7TL/dnhKY/YhoXsdd8v8t+grRH50o/VHhi+Z3YK9g==" saltValue="foAY7QhZ399L2TsHG6xxaw==" spinCount="100000" sheet="1" objects="1" scenarios="1" selectLockedCells="1"/>
  <mergeCells count="27">
    <mergeCell ref="B4:E5"/>
    <mergeCell ref="S4:U5"/>
    <mergeCell ref="F4:R5"/>
    <mergeCell ref="B69:D69"/>
    <mergeCell ref="E69:H69"/>
    <mergeCell ref="B19:B20"/>
    <mergeCell ref="B28:E28"/>
    <mergeCell ref="F49:G50"/>
    <mergeCell ref="B37:F37"/>
    <mergeCell ref="B36:F36"/>
    <mergeCell ref="H49:H50"/>
    <mergeCell ref="B44:H45"/>
    <mergeCell ref="B49:B50"/>
    <mergeCell ref="D49:D50"/>
    <mergeCell ref="E49:E50"/>
    <mergeCell ref="B46:B48"/>
    <mergeCell ref="D46:D48"/>
    <mergeCell ref="E46:E48"/>
    <mergeCell ref="F46:H48"/>
    <mergeCell ref="B68:D68"/>
    <mergeCell ref="B67:D67"/>
    <mergeCell ref="E67:H67"/>
    <mergeCell ref="F68:G68"/>
    <mergeCell ref="B64:D64"/>
    <mergeCell ref="F64:G64"/>
    <mergeCell ref="B65:D65"/>
    <mergeCell ref="E65:H65"/>
  </mergeCells>
  <conditionalFormatting sqref="H52">
    <cfRule type="dataBar" priority="113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{E42E70D2-3155-4012-81CF-06B694BCC61E}</x14:id>
        </ext>
      </extLst>
    </cfRule>
  </conditionalFormatting>
  <conditionalFormatting sqref="F38:F43">
    <cfRule type="dataBar" priority="113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{182D41E3-64EE-4A40-8455-5A4139F22858}</x14:id>
        </ext>
      </extLst>
    </cfRule>
  </conditionalFormatting>
  <conditionalFormatting sqref="H49">
    <cfRule type="expression" dxfId="267" priority="954">
      <formula>$H$53&lt;0</formula>
    </cfRule>
  </conditionalFormatting>
  <conditionalFormatting sqref="H51">
    <cfRule type="dataBar" priority="77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{9909D4B3-3378-4804-9391-FDA45F6137A4}</x14:id>
        </ext>
      </extLst>
    </cfRule>
  </conditionalFormatting>
  <conditionalFormatting sqref="H53:H56 H63 H58:H61 H66">
    <cfRule type="dataBar" priority="76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{A621110C-B466-48C3-9849-B9CD43DEF221}</x14:id>
        </ext>
      </extLst>
    </cfRule>
  </conditionalFormatting>
  <conditionalFormatting sqref="B10:K10">
    <cfRule type="colorScale" priority="730">
      <colorScale>
        <cfvo type="min"/>
        <cfvo type="max"/>
        <color theme="1"/>
        <color theme="4"/>
      </colorScale>
    </cfRule>
  </conditionalFormatting>
  <conditionalFormatting sqref="D15:K15">
    <cfRule type="colorScale" priority="729">
      <colorScale>
        <cfvo type="min"/>
        <cfvo type="max"/>
        <color theme="1"/>
        <color theme="4"/>
      </colorScale>
    </cfRule>
  </conditionalFormatting>
  <conditionalFormatting sqref="E20:K20">
    <cfRule type="colorScale" priority="728">
      <colorScale>
        <cfvo type="min"/>
        <cfvo type="max"/>
        <color theme="1"/>
        <color theme="4"/>
      </colorScale>
    </cfRule>
  </conditionalFormatting>
  <conditionalFormatting sqref="G30:K30">
    <cfRule type="colorScale" priority="646">
      <colorScale>
        <cfvo type="min"/>
        <cfvo type="max"/>
        <color theme="1"/>
        <color theme="4"/>
      </colorScale>
    </cfRule>
  </conditionalFormatting>
  <conditionalFormatting sqref="H35:K35">
    <cfRule type="colorScale" priority="645">
      <colorScale>
        <cfvo type="min"/>
        <cfvo type="max"/>
        <color theme="1"/>
        <color theme="4"/>
      </colorScale>
    </cfRule>
  </conditionalFormatting>
  <conditionalFormatting sqref="I40:K40">
    <cfRule type="colorScale" priority="644">
      <colorScale>
        <cfvo type="min"/>
        <cfvo type="max"/>
        <color theme="1"/>
        <color theme="4"/>
      </colorScale>
    </cfRule>
  </conditionalFormatting>
  <conditionalFormatting sqref="J45:K45">
    <cfRule type="colorScale" priority="643">
      <colorScale>
        <cfvo type="min"/>
        <cfvo type="max"/>
        <color theme="1"/>
        <color theme="4"/>
      </colorScale>
    </cfRule>
  </conditionalFormatting>
  <conditionalFormatting sqref="K50">
    <cfRule type="colorScale" priority="642">
      <colorScale>
        <cfvo type="min"/>
        <cfvo type="max"/>
        <color theme="1"/>
        <color theme="4"/>
      </colorScale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42E70D2-3155-4012-81CF-06B694BCC61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H52</xm:sqref>
        </x14:conditionalFormatting>
        <x14:conditionalFormatting xmlns:xm="http://schemas.microsoft.com/office/excel/2006/main">
          <x14:cfRule type="dataBar" id="{182D41E3-64EE-4A40-8455-5A4139F2285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F38:F43</xm:sqref>
        </x14:conditionalFormatting>
        <x14:conditionalFormatting xmlns:xm="http://schemas.microsoft.com/office/excel/2006/main">
          <x14:cfRule type="dataBar" id="{9909D4B3-3378-4804-9391-FDA45F6137A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H51</xm:sqref>
        </x14:conditionalFormatting>
        <x14:conditionalFormatting xmlns:xm="http://schemas.microsoft.com/office/excel/2006/main">
          <x14:cfRule type="dataBar" id="{A621110C-B466-48C3-9849-B9CD43DEF22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H53:H56 H63 H58:H61 H66</xm:sqref>
        </x14:conditionalFormatting>
        <x14:conditionalFormatting xmlns:xm="http://schemas.microsoft.com/office/excel/2006/main">
          <x14:cfRule type="expression" priority="1138" id="{2AC7B437-AA7E-4C11-9A89-639DAC1E61FA}">
            <xm:f>Calculations!$Q$14=64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57" id="{161CE35C-D3D3-4E10-B5C7-775035393381}">
            <xm:f>'CCE(2)'!B9=1</xm:f>
            <x14:dxf>
              <font>
                <color rgb="FF00B050"/>
              </font>
            </x14:dxf>
          </x14:cfRule>
          <x14:cfRule type="expression" priority="556" id="{01172D34-E730-47BA-90A1-1FEC8E89DFEF}">
            <xm:f>'CCE(2)'!B9=0</xm:f>
            <x14:dxf>
              <font>
                <color rgb="FFFF0000"/>
              </font>
            </x14:dxf>
          </x14:cfRule>
          <x14:cfRule type="expression" priority="555" id="{868A4E17-B48F-4A29-81F7-492F74CDDDF8}">
            <xm:f>'CCE(2)'!B9=2</xm:f>
            <x14:dxf>
              <font>
                <color rgb="FFFFFF00"/>
              </font>
            </x14:dxf>
          </x14:cfRule>
          <xm:sqref>B9</xm:sqref>
        </x14:conditionalFormatting>
        <x14:conditionalFormatting xmlns:xm="http://schemas.microsoft.com/office/excel/2006/main">
          <x14:cfRule type="expression" priority="1139" id="{8654DA33-8870-498C-91E8-F7E84694AA08}">
            <xm:f>Calculations!$Q$14=128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B8</xm:sqref>
        </x14:conditionalFormatting>
        <x14:conditionalFormatting xmlns:xm="http://schemas.microsoft.com/office/excel/2006/main">
          <x14:cfRule type="expression" priority="1089" id="{073374F5-2703-469A-B3E5-80774C04BC12}">
            <xm:f>Calculations!$Q$14=128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B13</xm:sqref>
        </x14:conditionalFormatting>
        <x14:conditionalFormatting xmlns:xm="http://schemas.microsoft.com/office/excel/2006/main">
          <x14:cfRule type="expression" priority="993" id="{9C89C9E7-D35F-4CBB-855D-3BA7ECC1E3BB}">
            <xm:f>Calculations!D16=128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F23</xm:sqref>
        </x14:conditionalFormatting>
        <x14:conditionalFormatting xmlns:xm="http://schemas.microsoft.com/office/excel/2006/main">
          <x14:cfRule type="expression" priority="638" id="{90905372-3700-4AB8-B5D4-DBA676C5905C}">
            <xm:f>Calculations!$Q$14=64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B14</xm:sqref>
        </x14:conditionalFormatting>
        <x14:conditionalFormatting xmlns:xm="http://schemas.microsoft.com/office/excel/2006/main">
          <x14:cfRule type="expression" priority="637" id="{08CC6949-0E24-4862-A1B1-62213358402F}">
            <xm:f>Calculations!D14=128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D13</xm:sqref>
        </x14:conditionalFormatting>
        <x14:conditionalFormatting xmlns:xm="http://schemas.microsoft.com/office/excel/2006/main">
          <x14:cfRule type="expression" priority="635" id="{ED2B80FC-5FAA-4F8E-B4AC-E791414E12CB}">
            <xm:f>Calculations!$Q$15=128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633" id="{28263A8D-03A7-480C-88D6-51DB0742C3FB}">
            <xm:f>Calculations!D15=128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E18</xm:sqref>
        </x14:conditionalFormatting>
        <x14:conditionalFormatting xmlns:xm="http://schemas.microsoft.com/office/excel/2006/main">
          <x14:cfRule type="expression" priority="629" id="{1878BC77-F9D5-42A4-B2D0-E377DA1974C9}">
            <xm:f>Calculations!$Q$17=128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F28</xm:sqref>
        </x14:conditionalFormatting>
        <x14:conditionalFormatting xmlns:xm="http://schemas.microsoft.com/office/excel/2006/main">
          <x14:cfRule type="expression" priority="625" id="{8109C502-CF0D-4D71-9C9D-325D8245EBDE}">
            <xm:f>Calculations!D17=128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621" id="{BDCDBA07-E9D7-4F4F-AF50-A5115D72719B}">
            <xm:f>Calculations!$Q$18=128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G33</xm:sqref>
        </x14:conditionalFormatting>
        <x14:conditionalFormatting xmlns:xm="http://schemas.microsoft.com/office/excel/2006/main">
          <x14:cfRule type="expression" priority="615" id="{6C1472FA-BED7-4ABB-8351-DF344F7D9EF8}">
            <xm:f>Calculations!D18=128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H33</xm:sqref>
        </x14:conditionalFormatting>
        <x14:conditionalFormatting xmlns:xm="http://schemas.microsoft.com/office/excel/2006/main">
          <x14:cfRule type="expression" priority="611" id="{2814068D-91A8-440A-99DA-760383B22385}">
            <xm:f>Calculations!$Q$19=128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H38</xm:sqref>
        </x14:conditionalFormatting>
        <x14:conditionalFormatting xmlns:xm="http://schemas.microsoft.com/office/excel/2006/main">
          <x14:cfRule type="expression" priority="607" id="{D2B4771D-35F5-469E-B369-1C5AD236BAD7}">
            <xm:f>Calculations!D19=128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I38</xm:sqref>
        </x14:conditionalFormatting>
        <x14:conditionalFormatting xmlns:xm="http://schemas.microsoft.com/office/excel/2006/main">
          <x14:cfRule type="expression" priority="603" id="{872AB8F1-A054-4298-A5F0-7310E4B8F6D9}">
            <xm:f>Calculations!$Q$20=128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I43</xm:sqref>
        </x14:conditionalFormatting>
        <x14:conditionalFormatting xmlns:xm="http://schemas.microsoft.com/office/excel/2006/main">
          <x14:cfRule type="expression" priority="599" id="{F553F66B-AA30-4AD0-B0A5-36FEF1237C66}">
            <xm:f>Calculations!D20=128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J43</xm:sqref>
        </x14:conditionalFormatting>
        <x14:conditionalFormatting xmlns:xm="http://schemas.microsoft.com/office/excel/2006/main">
          <x14:cfRule type="expression" priority="597" id="{428C588B-C3EC-49E4-BBC5-95AC2779A101}">
            <xm:f>Calculations!$Q21=128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J48</xm:sqref>
        </x14:conditionalFormatting>
        <x14:conditionalFormatting xmlns:xm="http://schemas.microsoft.com/office/excel/2006/main">
          <x14:cfRule type="expression" priority="593" id="{4E4CCB98-C29C-4755-AA67-2B2756C3D7AE}">
            <xm:f>Calculations!D21=128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K48</xm:sqref>
        </x14:conditionalFormatting>
        <x14:conditionalFormatting xmlns:xm="http://schemas.microsoft.com/office/excel/2006/main">
          <x14:cfRule type="expression" priority="587" id="{AF125884-95CD-4DA3-86E6-B46601E50D0C}">
            <xm:f>Calculations!$Q$22=128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K53</xm:sqref>
        </x14:conditionalFormatting>
        <x14:conditionalFormatting xmlns:xm="http://schemas.microsoft.com/office/excel/2006/main">
          <x14:cfRule type="expression" priority="547" id="{7A9F575C-DCCF-4662-8533-02FCA6E9FDBD}">
            <xm:f>'CCE(2)'!D9=2</xm:f>
            <x14:dxf>
              <font>
                <color rgb="FFFFFF00"/>
              </font>
            </x14:dxf>
          </x14:cfRule>
          <x14:cfRule type="expression" priority="548" id="{68925042-6749-44F9-B6CC-42D548E3AA89}">
            <xm:f>'CCE(2)'!D9=0</xm:f>
            <x14:dxf>
              <font>
                <color rgb="FFFF0000"/>
              </font>
            </x14:dxf>
          </x14:cfRule>
          <x14:cfRule type="expression" priority="549" id="{AA506152-C779-4FD4-9536-84C7F31460EE}">
            <xm:f>'CCE(2)'!D9=1</xm:f>
            <x14:dxf>
              <font>
                <color rgb="FF00B050"/>
              </font>
            </x14:dxf>
          </x14:cfRule>
          <x14:cfRule type="expression" priority="550" id="{47CDF039-6C21-47EE-ABA5-0B736B34BB7A}">
            <xm:f>Calculations!$Q$15=64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D9</xm:sqref>
        </x14:conditionalFormatting>
        <x14:conditionalFormatting xmlns:xm="http://schemas.microsoft.com/office/excel/2006/main">
          <x14:cfRule type="expression" priority="543" id="{384F9B82-3E28-4D31-BCEA-C5ABE8717617}">
            <xm:f>'CCE(2)'!E9=2</xm:f>
            <x14:dxf>
              <font>
                <color rgb="FFFFFF00"/>
              </font>
            </x14:dxf>
          </x14:cfRule>
          <x14:cfRule type="expression" priority="544" id="{2D74D936-7765-44C2-86EE-78E00771CD96}">
            <xm:f>'CCE(2)'!E9=0</xm:f>
            <x14:dxf>
              <font>
                <color rgb="FFFF0000"/>
              </font>
            </x14:dxf>
          </x14:cfRule>
          <x14:cfRule type="expression" priority="545" id="{FADAD462-764E-4E83-A093-A96B25A66E9E}">
            <xm:f>'CCE(2)'!E9=1</xm:f>
            <x14:dxf>
              <font>
                <color rgb="FF00B050"/>
              </font>
            </x14:dxf>
          </x14:cfRule>
          <x14:cfRule type="expression" priority="546" id="{B387FD19-6DF1-4519-91C8-894D192C32DB}">
            <xm:f>Calculations!$Q$16=64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E9</xm:sqref>
        </x14:conditionalFormatting>
        <x14:conditionalFormatting xmlns:xm="http://schemas.microsoft.com/office/excel/2006/main">
          <x14:cfRule type="expression" priority="539" id="{F7932A62-DC36-4C85-8EAC-258253EF4A3D}">
            <xm:f>'CCE(2)'!F9=2</xm:f>
            <x14:dxf>
              <font>
                <color rgb="FFFFFF00"/>
              </font>
            </x14:dxf>
          </x14:cfRule>
          <x14:cfRule type="expression" priority="540" id="{E7CDC224-C035-428C-850F-F23C8257EAF0}">
            <xm:f>'CCE(2)'!F9=0</xm:f>
            <x14:dxf>
              <font>
                <color rgb="FFFF0000"/>
              </font>
            </x14:dxf>
          </x14:cfRule>
          <x14:cfRule type="expression" priority="541" id="{CCAEE7FA-9D93-48DC-9D3C-B2DB69192BD4}">
            <xm:f>'CCE(2)'!F9=1</xm:f>
            <x14:dxf>
              <font>
                <color rgb="FF00B050"/>
              </font>
            </x14:dxf>
          </x14:cfRule>
          <x14:cfRule type="expression" priority="542" id="{9E274DAE-F9ED-4949-8026-DF5C3C0C92AC}">
            <xm:f>Calculations!$Q$17=64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F9</xm:sqref>
        </x14:conditionalFormatting>
        <x14:conditionalFormatting xmlns:xm="http://schemas.microsoft.com/office/excel/2006/main">
          <x14:cfRule type="expression" priority="535" id="{25D40BAA-B249-4430-B430-32A547DF287B}">
            <xm:f>'CCE(2)'!G9=2</xm:f>
            <x14:dxf>
              <font>
                <color rgb="FFFFFF00"/>
              </font>
            </x14:dxf>
          </x14:cfRule>
          <x14:cfRule type="expression" priority="536" id="{06424AAB-47B9-4E14-8153-CFFC712BC534}">
            <xm:f>'CCE(2)'!G9=0</xm:f>
            <x14:dxf>
              <font>
                <color rgb="FFFF0000"/>
              </font>
            </x14:dxf>
          </x14:cfRule>
          <x14:cfRule type="expression" priority="537" id="{7964F5FF-3A9A-4FE1-AFCE-C031D5ED7C38}">
            <xm:f>'CCE(2)'!G9=1</xm:f>
            <x14:dxf>
              <font>
                <color rgb="FF00B050"/>
              </font>
            </x14:dxf>
          </x14:cfRule>
          <x14:cfRule type="expression" priority="538" id="{C390AA32-E2FD-4819-9899-5C46106CA6E2}">
            <xm:f>Calculations!$Q$18=64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531" id="{59ACF793-3318-4423-A9CA-E435E49E78F9}">
            <xm:f>'CCE(2)'!H9=2</xm:f>
            <x14:dxf>
              <font>
                <color rgb="FFFFFF00"/>
              </font>
            </x14:dxf>
          </x14:cfRule>
          <x14:cfRule type="expression" priority="532" id="{291145A0-1E19-484C-8C41-AD4B5932B57E}">
            <xm:f>'CCE(2)'!H9=0</xm:f>
            <x14:dxf>
              <font>
                <color rgb="FFFF0000"/>
              </font>
            </x14:dxf>
          </x14:cfRule>
          <x14:cfRule type="expression" priority="533" id="{2ACF1D2C-022D-4379-B535-AD58BC5E7B7D}">
            <xm:f>'CCE(2)'!H9=1</xm:f>
            <x14:dxf>
              <font>
                <color rgb="FF00B050"/>
              </font>
            </x14:dxf>
          </x14:cfRule>
          <x14:cfRule type="expression" priority="534" id="{B679BDD1-88AC-4558-9100-BB3D4A020DD9}">
            <xm:f>Calculations!$Q$19=64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H9</xm:sqref>
        </x14:conditionalFormatting>
        <x14:conditionalFormatting xmlns:xm="http://schemas.microsoft.com/office/excel/2006/main">
          <x14:cfRule type="expression" priority="527" id="{202DAA91-D901-4056-B767-49AA541FEE82}">
            <xm:f>'CCE(2)'!I9=2</xm:f>
            <x14:dxf>
              <font>
                <color rgb="FFFFFF00"/>
              </font>
            </x14:dxf>
          </x14:cfRule>
          <x14:cfRule type="expression" priority="528" id="{775E79E5-7C0E-45DB-95B7-B281E9FD3054}">
            <xm:f>'CCE(2)'!I9=0</xm:f>
            <x14:dxf>
              <font>
                <color rgb="FFFF0000"/>
              </font>
            </x14:dxf>
          </x14:cfRule>
          <x14:cfRule type="expression" priority="529" id="{84DF13EB-2196-4BAE-807B-6D8E99ECE945}">
            <xm:f>'CCE(2)'!I9=1</xm:f>
            <x14:dxf>
              <font>
                <color rgb="FF00B050"/>
              </font>
            </x14:dxf>
          </x14:cfRule>
          <x14:cfRule type="expression" priority="530" id="{5B5C232E-4A45-4191-91C9-F9C040786F4E}">
            <xm:f>Calculations!$Q$20=64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I9</xm:sqref>
        </x14:conditionalFormatting>
        <x14:conditionalFormatting xmlns:xm="http://schemas.microsoft.com/office/excel/2006/main">
          <x14:cfRule type="expression" priority="523" id="{4B185B70-DA6E-4C05-B713-7A83C95990E2}">
            <xm:f>'CCE(2)'!J9=2</xm:f>
            <x14:dxf>
              <font>
                <color rgb="FFFFFF00"/>
              </font>
            </x14:dxf>
          </x14:cfRule>
          <x14:cfRule type="expression" priority="524" id="{DBB12699-6788-411B-AD37-F0458931A0A4}">
            <xm:f>'CCE(2)'!J9=0</xm:f>
            <x14:dxf>
              <font>
                <color rgb="FFFF0000"/>
              </font>
            </x14:dxf>
          </x14:cfRule>
          <x14:cfRule type="expression" priority="525" id="{D9EEF2B5-DA96-443A-A4D8-FD3F4344B0A8}">
            <xm:f>'CCE(2)'!J9=1</xm:f>
            <x14:dxf>
              <font>
                <color rgb="FF00B050"/>
              </font>
            </x14:dxf>
          </x14:cfRule>
          <x14:cfRule type="expression" priority="526" id="{BF298FE2-25D8-44BD-8AD9-4249931076EC}">
            <xm:f>Calculations!$Q$21=64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J9</xm:sqref>
        </x14:conditionalFormatting>
        <x14:conditionalFormatting xmlns:xm="http://schemas.microsoft.com/office/excel/2006/main">
          <x14:cfRule type="expression" priority="519" id="{E66EEEF3-CCD9-49BB-8FFC-A7D7EB2747CD}">
            <xm:f>'CCE(2)'!K9=2</xm:f>
            <x14:dxf>
              <font>
                <color rgb="FFFFFF00"/>
              </font>
            </x14:dxf>
          </x14:cfRule>
          <x14:cfRule type="expression" priority="520" id="{F5ED6ADE-3C76-4907-BA01-F83D6385078B}">
            <xm:f>'CCE(2)'!K9=0</xm:f>
            <x14:dxf>
              <font>
                <color rgb="FFFF0000"/>
              </font>
            </x14:dxf>
          </x14:cfRule>
          <x14:cfRule type="expression" priority="521" id="{B2336090-94AF-4D17-BA4D-0022B7617F27}">
            <xm:f>'CCE(2)'!K9=1</xm:f>
            <x14:dxf>
              <font>
                <color rgb="FF00B050"/>
              </font>
            </x14:dxf>
          </x14:cfRule>
          <x14:cfRule type="expression" priority="522" id="{641DDEEF-3DCA-407C-821D-A772A9179E15}">
            <xm:f>Calculations!$Q$22=64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K9</xm:sqref>
        </x14:conditionalFormatting>
        <x14:conditionalFormatting xmlns:xm="http://schemas.microsoft.com/office/excel/2006/main">
          <x14:cfRule type="expression" priority="503" id="{7622D168-F6BE-4886-8E21-3333F13D26F7}">
            <xm:f>'CCE(2)'!D14=2</xm:f>
            <x14:dxf>
              <font>
                <color rgb="FFFFFF00"/>
              </font>
            </x14:dxf>
          </x14:cfRule>
          <x14:cfRule type="expression" priority="504" id="{FB8B0509-F190-4BD1-A836-4303FFCFB2EC}">
            <xm:f>'CCE(2)'!D14=0</xm:f>
            <x14:dxf>
              <font>
                <color rgb="FFFF0000"/>
              </font>
            </x14:dxf>
          </x14:cfRule>
          <x14:cfRule type="expression" priority="505" id="{F926323E-3C48-44A5-BD6A-574369FCB1FB}">
            <xm:f>'CCE(2)'!D14=1</xm:f>
            <x14:dxf>
              <font>
                <color rgb="FF00B050"/>
              </font>
            </x14:dxf>
          </x14:cfRule>
          <x14:cfRule type="expression" priority="506" id="{9BCBE35D-182D-40EC-866A-CBBC4503457D}">
            <xm:f>Calculations!D14=64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D14</xm:sqref>
        </x14:conditionalFormatting>
        <x14:conditionalFormatting xmlns:xm="http://schemas.microsoft.com/office/excel/2006/main">
          <x14:cfRule type="expression" priority="463" id="{B04B2170-C455-46C9-9918-3952AE5AE1B2}">
            <xm:f>'CCE(2)'!D19=2</xm:f>
            <x14:dxf>
              <font>
                <color rgb="FFFFFF00"/>
              </font>
            </x14:dxf>
          </x14:cfRule>
          <x14:cfRule type="expression" priority="464" id="{08DCDA40-3D74-4397-BE1E-7C2EA4EBDD30}">
            <xm:f>'CCE(2)'!D19=0</xm:f>
            <x14:dxf>
              <font>
                <color rgb="FFFF0000"/>
              </font>
            </x14:dxf>
          </x14:cfRule>
          <x14:cfRule type="expression" priority="465" id="{C4259F3D-9BF4-41BA-AD61-56C7F21F5F28}">
            <xm:f>'CCE(2)'!D19=1</xm:f>
            <x14:dxf>
              <font>
                <color rgb="FF00B050"/>
              </font>
            </x14:dxf>
          </x14:cfRule>
          <x14:cfRule type="expression" priority="466" id="{1E194A30-0225-45AA-A290-75AD354D55F7}">
            <xm:f>Calculations!$Q$15=64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D19</xm:sqref>
        </x14:conditionalFormatting>
        <x14:conditionalFormatting xmlns:xm="http://schemas.microsoft.com/office/excel/2006/main">
          <x14:cfRule type="expression" priority="459" id="{83FC61DF-E6D8-4E75-9B12-C5BF97166ACC}">
            <xm:f>'CCE(2)'!E19=2</xm:f>
            <x14:dxf>
              <font>
                <color rgb="FFFFFF00"/>
              </font>
            </x14:dxf>
          </x14:cfRule>
          <x14:cfRule type="expression" priority="460" id="{C9D2C1E8-348B-4718-824F-D99F2E63C81E}">
            <xm:f>'CCE(2)'!E19=0</xm:f>
            <x14:dxf>
              <font>
                <color rgb="FFFF0000"/>
              </font>
            </x14:dxf>
          </x14:cfRule>
          <x14:cfRule type="expression" priority="461" id="{CD226B77-D4D6-40EC-B160-6148278FD509}">
            <xm:f>'CCE(2)'!E19=1</xm:f>
            <x14:dxf>
              <font>
                <color rgb="FF00B050"/>
              </font>
            </x14:dxf>
          </x14:cfRule>
          <x14:cfRule type="expression" priority="462" id="{42C99AFC-2D1E-42C6-87BC-28C2A6E493A6}">
            <xm:f>Calculations!D15=64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E19</xm:sqref>
        </x14:conditionalFormatting>
        <x14:conditionalFormatting xmlns:xm="http://schemas.microsoft.com/office/excel/2006/main">
          <x14:cfRule type="expression" priority="419" id="{F70B1112-6DEF-49FB-92C7-9C51F0FEEF7B}">
            <xm:f>'CCE(2)'!E24=2</xm:f>
            <x14:dxf>
              <font>
                <color rgb="FFFFFF00"/>
              </font>
            </x14:dxf>
          </x14:cfRule>
          <x14:cfRule type="expression" priority="420" id="{8009AE29-516F-4753-9304-1A5FB0125C6A}">
            <xm:f>'CCE(2)'!E24=0</xm:f>
            <x14:dxf>
              <font>
                <color rgb="FFFF0000"/>
              </font>
            </x14:dxf>
          </x14:cfRule>
          <x14:cfRule type="expression" priority="421" id="{6E135568-F7B4-45C0-8FA9-D0E92752A7F3}">
            <xm:f>'CCE(2)'!E24=1</xm:f>
            <x14:dxf>
              <font>
                <color rgb="FF00B050"/>
              </font>
            </x14:dxf>
          </x14:cfRule>
          <x14:cfRule type="expression" priority="422" id="{1F9D9779-C9A1-4734-92BF-1B5EF45A3175}">
            <xm:f>Calculations!$Q$16=64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E24</xm:sqref>
        </x14:conditionalFormatting>
        <x14:conditionalFormatting xmlns:xm="http://schemas.microsoft.com/office/excel/2006/main">
          <x14:cfRule type="expression" priority="415" id="{DFA515BE-4D03-4948-9B22-92818B42A935}">
            <xm:f>'CCE(2)'!F24=2</xm:f>
            <x14:dxf>
              <font>
                <color rgb="FFFFFF00"/>
              </font>
            </x14:dxf>
          </x14:cfRule>
          <x14:cfRule type="expression" priority="416" id="{C08ED261-39B7-41C7-B4ED-331D923C3D8E}">
            <xm:f>'CCE(2)'!F24=0</xm:f>
            <x14:dxf>
              <font>
                <color rgb="FFFF0000"/>
              </font>
            </x14:dxf>
          </x14:cfRule>
          <x14:cfRule type="expression" priority="417" id="{DDD45823-6597-4F60-A91C-9269273B5FCF}">
            <xm:f>'CCE(2)'!F24=1</xm:f>
            <x14:dxf>
              <font>
                <color rgb="FF00B050"/>
              </font>
            </x14:dxf>
          </x14:cfRule>
          <x14:cfRule type="expression" priority="418" id="{3C618C42-9A97-43F4-9976-D3245E8E6AFF}">
            <xm:f>Calculations!D16=64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F24</xm:sqref>
        </x14:conditionalFormatting>
        <x14:conditionalFormatting xmlns:xm="http://schemas.microsoft.com/office/excel/2006/main">
          <x14:cfRule type="expression" priority="411" id="{72D607C2-2491-46E5-9866-8608B7B8670D}">
            <xm:f>'CCE(2)'!G24=2</xm:f>
            <x14:dxf>
              <font>
                <color rgb="FFFFFF00"/>
              </font>
            </x14:dxf>
          </x14:cfRule>
          <x14:cfRule type="expression" priority="412" id="{689A1A8E-D1D3-46FE-A920-4B1AB44C1B13}">
            <xm:f>'CCE(2)'!G24=0</xm:f>
            <x14:dxf>
              <font>
                <color rgb="FFFF0000"/>
              </font>
            </x14:dxf>
          </x14:cfRule>
          <x14:cfRule type="expression" priority="413" id="{6376D0CB-1B36-46C8-9B44-AEB43AA81EBD}">
            <xm:f>'CCE(2)'!G24=1</xm:f>
            <x14:dxf>
              <font>
                <color rgb="FF00B050"/>
              </font>
            </x14:dxf>
          </x14:cfRule>
          <x14:cfRule type="expression" priority="414" id="{965A8C7D-DBAE-4EB2-B154-7A0CF1A39DC8}">
            <xm:f>Calculations!E16=64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G24</xm:sqref>
        </x14:conditionalFormatting>
        <x14:conditionalFormatting xmlns:xm="http://schemas.microsoft.com/office/excel/2006/main">
          <x14:cfRule type="expression" priority="407" id="{211184C2-8ED4-4802-BF21-4842160F1143}">
            <xm:f>'CCE(2)'!H24=2</xm:f>
            <x14:dxf>
              <font>
                <color rgb="FFFFFF00"/>
              </font>
            </x14:dxf>
          </x14:cfRule>
          <x14:cfRule type="expression" priority="408" id="{7D775A24-D39C-4141-AF03-2A8EF1CA3B5F}">
            <xm:f>'CCE(2)'!H24=0</xm:f>
            <x14:dxf>
              <font>
                <color rgb="FFFF0000"/>
              </font>
            </x14:dxf>
          </x14:cfRule>
          <x14:cfRule type="expression" priority="409" id="{8FF56E13-8EF7-4713-A098-1034AC86A978}">
            <xm:f>'CCE(2)'!H24=1</xm:f>
            <x14:dxf>
              <font>
                <color rgb="FF00B050"/>
              </font>
            </x14:dxf>
          </x14:cfRule>
          <x14:cfRule type="expression" priority="410" id="{9739A9CB-95A5-4964-8AED-2CCFE2A7EE26}">
            <xm:f>Calculations!F16=64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H24</xm:sqref>
        </x14:conditionalFormatting>
        <x14:conditionalFormatting xmlns:xm="http://schemas.microsoft.com/office/excel/2006/main">
          <x14:cfRule type="expression" priority="403" id="{C5F2328B-0312-4599-AD6B-845E42DBA472}">
            <xm:f>'CCE(2)'!I24=2</xm:f>
            <x14:dxf>
              <font>
                <color rgb="FFFFFF00"/>
              </font>
            </x14:dxf>
          </x14:cfRule>
          <x14:cfRule type="expression" priority="404" id="{411E11A8-A8AC-4B55-BF95-42555EC32036}">
            <xm:f>'CCE(2)'!I24=0</xm:f>
            <x14:dxf>
              <font>
                <color rgb="FFFF0000"/>
              </font>
            </x14:dxf>
          </x14:cfRule>
          <x14:cfRule type="expression" priority="405" id="{BF8F92C4-C46E-4AAA-B1FB-5D3882133359}">
            <xm:f>'CCE(2)'!I24=1</xm:f>
            <x14:dxf>
              <font>
                <color rgb="FF00B050"/>
              </font>
            </x14:dxf>
          </x14:cfRule>
          <x14:cfRule type="expression" priority="406" id="{917E611D-10BE-4061-B2B1-ACE55B5885C4}">
            <xm:f>Calculations!G16=64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I24</xm:sqref>
        </x14:conditionalFormatting>
        <x14:conditionalFormatting xmlns:xm="http://schemas.microsoft.com/office/excel/2006/main">
          <x14:cfRule type="expression" priority="399" id="{C9E640E2-E814-4355-93EE-6A8E3B792FB9}">
            <xm:f>'CCE(2)'!J24=2</xm:f>
            <x14:dxf>
              <font>
                <color rgb="FFFFFF00"/>
              </font>
            </x14:dxf>
          </x14:cfRule>
          <x14:cfRule type="expression" priority="400" id="{812CEC4D-3142-40B7-90A8-1608DA7AF98D}">
            <xm:f>'CCE(2)'!J24=0</xm:f>
            <x14:dxf>
              <font>
                <color rgb="FFFF0000"/>
              </font>
            </x14:dxf>
          </x14:cfRule>
          <x14:cfRule type="expression" priority="401" id="{32460440-7964-47B0-9C71-D5ACDC3DCC06}">
            <xm:f>'CCE(2)'!J24=1</xm:f>
            <x14:dxf>
              <font>
                <color rgb="FF00B050"/>
              </font>
            </x14:dxf>
          </x14:cfRule>
          <x14:cfRule type="expression" priority="402" id="{0E8D7199-A2B0-4F12-BBD7-C515B4E480A6}">
            <xm:f>Calculations!H16=64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J24</xm:sqref>
        </x14:conditionalFormatting>
        <x14:conditionalFormatting xmlns:xm="http://schemas.microsoft.com/office/excel/2006/main">
          <x14:cfRule type="expression" priority="395" id="{C80DA126-D58F-4865-B274-3C60E98DBE4C}">
            <xm:f>'CCE(2)'!K24=2</xm:f>
            <x14:dxf>
              <font>
                <color rgb="FFFFFF00"/>
              </font>
            </x14:dxf>
          </x14:cfRule>
          <x14:cfRule type="expression" priority="396" id="{279E069B-514C-46B2-BC05-B5DD1807E152}">
            <xm:f>'CCE(2)'!K24=0</xm:f>
            <x14:dxf>
              <font>
                <color rgb="FFFF0000"/>
              </font>
            </x14:dxf>
          </x14:cfRule>
          <x14:cfRule type="expression" priority="397" id="{19C09034-AE24-41C9-A799-96681C7C1E48}">
            <xm:f>'CCE(2)'!K24=1</xm:f>
            <x14:dxf>
              <font>
                <color rgb="FF00B050"/>
              </font>
            </x14:dxf>
          </x14:cfRule>
          <x14:cfRule type="expression" priority="398" id="{60E6A422-8BD7-42BB-875F-71C15855051A}">
            <xm:f>Calculations!I16=64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K24</xm:sqref>
        </x14:conditionalFormatting>
        <x14:conditionalFormatting xmlns:xm="http://schemas.microsoft.com/office/excel/2006/main">
          <x14:cfRule type="expression" priority="379" id="{1D1CE267-6449-484C-9020-3FBEF38E5DE7}">
            <xm:f>'CCE(2)'!F29=2</xm:f>
            <x14:dxf>
              <font>
                <color rgb="FFFFFF00"/>
              </font>
            </x14:dxf>
          </x14:cfRule>
          <x14:cfRule type="expression" priority="380" id="{3B57A600-004D-4520-9D15-0B6D14EA771E}">
            <xm:f>'CCE(2)'!F29=0</xm:f>
            <x14:dxf>
              <font>
                <color rgb="FFFF0000"/>
              </font>
            </x14:dxf>
          </x14:cfRule>
          <x14:cfRule type="expression" priority="381" id="{57EE05D4-3A0E-416D-A0CD-91202B4521C2}">
            <xm:f>'CCE(2)'!F29=1</xm:f>
            <x14:dxf>
              <font>
                <color rgb="FF00B050"/>
              </font>
            </x14:dxf>
          </x14:cfRule>
          <x14:cfRule type="expression" priority="382" id="{5FB22C9C-3C2F-4C2A-82D5-8767A263E316}">
            <xm:f>Calculations!$Q$17=64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F29</xm:sqref>
        </x14:conditionalFormatting>
        <x14:conditionalFormatting xmlns:xm="http://schemas.microsoft.com/office/excel/2006/main">
          <x14:cfRule type="expression" priority="375" id="{2158C8E9-C6CF-43EB-9F95-CD5005212DAC}">
            <xm:f>'CCE(2)'!G29=2</xm:f>
            <x14:dxf>
              <font>
                <color rgb="FFFFFF00"/>
              </font>
            </x14:dxf>
          </x14:cfRule>
          <x14:cfRule type="expression" priority="376" id="{F27039A0-6A00-4F3C-B093-DF52F91CEE16}">
            <xm:f>'CCE(2)'!G29=0</xm:f>
            <x14:dxf>
              <font>
                <color rgb="FFFF0000"/>
              </font>
            </x14:dxf>
          </x14:cfRule>
          <x14:cfRule type="expression" priority="377" id="{AF302E74-103E-4733-BE69-0FD39117DEE4}">
            <xm:f>'CCE(2)'!G29=1</xm:f>
            <x14:dxf>
              <font>
                <color rgb="FF00B050"/>
              </font>
            </x14:dxf>
          </x14:cfRule>
          <x14:cfRule type="expression" priority="378" id="{516F6F4C-72FF-41C0-9FE3-15E97BA67DCF}">
            <xm:f>Calculations!$D17=64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G29</xm:sqref>
        </x14:conditionalFormatting>
        <x14:conditionalFormatting xmlns:xm="http://schemas.microsoft.com/office/excel/2006/main">
          <x14:cfRule type="expression" priority="371" id="{C41E959A-FB08-4137-9834-0E482371D7A0}">
            <xm:f>'CCE(2)'!H29=2</xm:f>
            <x14:dxf>
              <font>
                <color rgb="FFFFFF00"/>
              </font>
            </x14:dxf>
          </x14:cfRule>
          <x14:cfRule type="expression" priority="372" id="{5CF5E748-3847-404E-89A7-A8D0E7532CF8}">
            <xm:f>'CCE(2)'!H29=0</xm:f>
            <x14:dxf>
              <font>
                <color rgb="FFFF0000"/>
              </font>
            </x14:dxf>
          </x14:cfRule>
          <x14:cfRule type="expression" priority="373" id="{7540EF5E-6669-44A7-B5B4-7F17686A5198}">
            <xm:f>'CCE(2)'!H29=1</xm:f>
            <x14:dxf>
              <font>
                <color rgb="FF00B050"/>
              </font>
            </x14:dxf>
          </x14:cfRule>
          <x14:cfRule type="expression" priority="374" id="{BC933252-146A-407B-87F3-0C83B4F5BCA1}">
            <xm:f>Calculations!E17=64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H29</xm:sqref>
        </x14:conditionalFormatting>
        <x14:conditionalFormatting xmlns:xm="http://schemas.microsoft.com/office/excel/2006/main">
          <x14:cfRule type="expression" priority="367" id="{A9A041ED-D406-436A-AD0A-36D77FF30915}">
            <xm:f>'CCE(2)'!I29=2</xm:f>
            <x14:dxf>
              <font>
                <color rgb="FFFFFF00"/>
              </font>
            </x14:dxf>
          </x14:cfRule>
          <x14:cfRule type="expression" priority="368" id="{157FF895-0F9F-4F6D-A9CA-9E8B60273B6F}">
            <xm:f>'CCE(2)'!I29=0</xm:f>
            <x14:dxf>
              <font>
                <color rgb="FFFF0000"/>
              </font>
            </x14:dxf>
          </x14:cfRule>
          <x14:cfRule type="expression" priority="369" id="{7E174C09-F4D4-41D7-AC04-0F020F4468A3}">
            <xm:f>'CCE(2)'!I29=1</xm:f>
            <x14:dxf>
              <font>
                <color rgb="FF00B050"/>
              </font>
            </x14:dxf>
          </x14:cfRule>
          <x14:cfRule type="expression" priority="370" id="{6D54D802-71D8-49C4-B536-B90A468C0395}">
            <xm:f>Calculations!F17=64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I29</xm:sqref>
        </x14:conditionalFormatting>
        <x14:conditionalFormatting xmlns:xm="http://schemas.microsoft.com/office/excel/2006/main">
          <x14:cfRule type="expression" priority="363" id="{11E9C7BB-428F-40DF-8474-3CD97DB629FF}">
            <xm:f>'CCE(2)'!J29=2</xm:f>
            <x14:dxf>
              <font>
                <color rgb="FFFFFF00"/>
              </font>
            </x14:dxf>
          </x14:cfRule>
          <x14:cfRule type="expression" priority="364" id="{5B6BF5A4-E9B6-4E74-928B-F85C664DF2C4}">
            <xm:f>'CCE(2)'!J29=0</xm:f>
            <x14:dxf>
              <font>
                <color rgb="FFFF0000"/>
              </font>
            </x14:dxf>
          </x14:cfRule>
          <x14:cfRule type="expression" priority="365" id="{8A63B5BB-A714-4A4D-9169-8A9C18A76036}">
            <xm:f>'CCE(2)'!J29=1</xm:f>
            <x14:dxf>
              <font>
                <color rgb="FF00B050"/>
              </font>
            </x14:dxf>
          </x14:cfRule>
          <x14:cfRule type="expression" priority="366" id="{D7A5BD25-C2C7-4A12-AB6A-33C0F15A5F48}">
            <xm:f>Calculations!G17=64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J29</xm:sqref>
        </x14:conditionalFormatting>
        <x14:conditionalFormatting xmlns:xm="http://schemas.microsoft.com/office/excel/2006/main">
          <x14:cfRule type="expression" priority="359" id="{DA2B0D5A-BE4B-4CED-A83D-F54FAFE98894}">
            <xm:f>'CCE(2)'!K29=2</xm:f>
            <x14:dxf>
              <font>
                <color rgb="FFFFFF00"/>
              </font>
            </x14:dxf>
          </x14:cfRule>
          <x14:cfRule type="expression" priority="360" id="{594C06B6-E33D-4E41-8CB0-7943134796C9}">
            <xm:f>'CCE(2)'!K29=0</xm:f>
            <x14:dxf>
              <font>
                <color rgb="FFFF0000"/>
              </font>
            </x14:dxf>
          </x14:cfRule>
          <x14:cfRule type="expression" priority="361" id="{B63F374B-A1D5-42B1-9E12-789D455745AC}">
            <xm:f>'CCE(2)'!K29=1</xm:f>
            <x14:dxf>
              <font>
                <color rgb="FF00B050"/>
              </font>
            </x14:dxf>
          </x14:cfRule>
          <x14:cfRule type="expression" priority="362" id="{DC1A332D-0E3E-48FB-A802-419AA1B1516E}">
            <xm:f>Calculations!H17=64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K29</xm:sqref>
        </x14:conditionalFormatting>
        <x14:conditionalFormatting xmlns:xm="http://schemas.microsoft.com/office/excel/2006/main">
          <x14:cfRule type="expression" priority="343" id="{647D979F-1943-4DF4-AB42-F29FCD76131B}">
            <xm:f>'CCE(2)'!G34=2</xm:f>
            <x14:dxf>
              <font>
                <color rgb="FFFFFF00"/>
              </font>
            </x14:dxf>
          </x14:cfRule>
          <x14:cfRule type="expression" priority="344" id="{79D05754-A14E-4A56-BA46-72F103898E5E}">
            <xm:f>'CCE(2)'!G34=0</xm:f>
            <x14:dxf>
              <font>
                <color rgb="FFFF0000"/>
              </font>
            </x14:dxf>
          </x14:cfRule>
          <x14:cfRule type="expression" priority="345" id="{941D57AC-E579-4988-B119-D310F9BFD67D}">
            <xm:f>'CCE(2)'!G34=1</xm:f>
            <x14:dxf>
              <font>
                <color rgb="FF00B050"/>
              </font>
            </x14:dxf>
          </x14:cfRule>
          <x14:cfRule type="expression" priority="346" id="{30A3A3C9-077C-45D9-A0AF-17336F7A7445}">
            <xm:f>Calculations!$Q$18=64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G34</xm:sqref>
        </x14:conditionalFormatting>
        <x14:conditionalFormatting xmlns:xm="http://schemas.microsoft.com/office/excel/2006/main">
          <x14:cfRule type="expression" priority="339" id="{7E0F797D-1C84-413C-A7A3-65EA6EFDAFF3}">
            <xm:f>'CCE(2)'!H34=2</xm:f>
            <x14:dxf>
              <font>
                <color rgb="FFFFFF00"/>
              </font>
            </x14:dxf>
          </x14:cfRule>
          <x14:cfRule type="expression" priority="340" id="{269EADEC-9EB1-4C9D-9244-21E54E1CC626}">
            <xm:f>'CCE(2)'!H34=0</xm:f>
            <x14:dxf>
              <font>
                <color rgb="FFFF0000"/>
              </font>
            </x14:dxf>
          </x14:cfRule>
          <x14:cfRule type="expression" priority="341" id="{5FE481CD-1A0C-4A0C-8D59-6CE49B7E1B7E}">
            <xm:f>'CCE(2)'!H34=1</xm:f>
            <x14:dxf>
              <font>
                <color rgb="FF00B050"/>
              </font>
            </x14:dxf>
          </x14:cfRule>
          <x14:cfRule type="expression" priority="342" id="{2FB505AE-699B-431E-A507-854E04A6F8EE}">
            <xm:f>Calculations!D18=64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H34</xm:sqref>
        </x14:conditionalFormatting>
        <x14:conditionalFormatting xmlns:xm="http://schemas.microsoft.com/office/excel/2006/main">
          <x14:cfRule type="expression" priority="311" id="{04CD350C-AF5F-489C-8045-12DD356B681A}">
            <xm:f>'CCE(2)'!H39=2</xm:f>
            <x14:dxf>
              <font>
                <color rgb="FFFFFF00"/>
              </font>
            </x14:dxf>
          </x14:cfRule>
          <x14:cfRule type="expression" priority="312" id="{F4747967-7138-47F2-8F0B-889EAFDE26A2}">
            <xm:f>'CCE(2)'!H39=0</xm:f>
            <x14:dxf>
              <font>
                <color rgb="FFFF0000"/>
              </font>
            </x14:dxf>
          </x14:cfRule>
          <x14:cfRule type="expression" priority="313" id="{ECD0B189-58BE-454C-8578-2967C55DDC78}">
            <xm:f>'CCE(2)'!H39=1</xm:f>
            <x14:dxf>
              <font>
                <color rgb="FF00B050"/>
              </font>
            </x14:dxf>
          </x14:cfRule>
          <x14:cfRule type="expression" priority="314" id="{537C3302-F9C9-4300-8E86-7743A39A1E9A}">
            <xm:f>Calculations!$Q$19=64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H39</xm:sqref>
        </x14:conditionalFormatting>
        <x14:conditionalFormatting xmlns:xm="http://schemas.microsoft.com/office/excel/2006/main">
          <x14:cfRule type="expression" priority="307" id="{B378F0C0-CA5A-454D-8D21-8EBA93FB177F}">
            <xm:f>'CCE(2)'!I39=2</xm:f>
            <x14:dxf>
              <font>
                <color rgb="FFFFFF00"/>
              </font>
            </x14:dxf>
          </x14:cfRule>
          <x14:cfRule type="expression" priority="308" id="{AE629442-B1FC-4340-86CB-4D1E384F2773}">
            <xm:f>'CCE(2)'!I39=0</xm:f>
            <x14:dxf>
              <font>
                <color rgb="FFFF0000"/>
              </font>
            </x14:dxf>
          </x14:cfRule>
          <x14:cfRule type="expression" priority="309" id="{1988575F-C4FF-4BC9-AD59-AAB86FC09564}">
            <xm:f>'CCE(2)'!I39=1</xm:f>
            <x14:dxf>
              <font>
                <color rgb="FF00B050"/>
              </font>
            </x14:dxf>
          </x14:cfRule>
          <x14:cfRule type="expression" priority="310" id="{C50E3C22-C551-479B-8B5D-BEFDD913699F}">
            <xm:f>Calculations!D19=64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I39</xm:sqref>
        </x14:conditionalFormatting>
        <x14:conditionalFormatting xmlns:xm="http://schemas.microsoft.com/office/excel/2006/main">
          <x14:cfRule type="expression" priority="303" id="{76093C11-E928-490B-A196-CDEF34D3A1FD}">
            <xm:f>'CCE(2)'!J39=2</xm:f>
            <x14:dxf>
              <font>
                <color rgb="FFFFFF00"/>
              </font>
            </x14:dxf>
          </x14:cfRule>
          <x14:cfRule type="expression" priority="304" id="{353C9D11-730B-4A1F-A466-16CD916E6BB4}">
            <xm:f>'CCE(2)'!J39=0</xm:f>
            <x14:dxf>
              <font>
                <color rgb="FFFF0000"/>
              </font>
            </x14:dxf>
          </x14:cfRule>
          <x14:cfRule type="expression" priority="305" id="{FDCE12D8-7D9E-4B3B-900B-047095F83CE0}">
            <xm:f>'CCE(2)'!J39=1</xm:f>
            <x14:dxf>
              <font>
                <color rgb="FF00B050"/>
              </font>
            </x14:dxf>
          </x14:cfRule>
          <x14:cfRule type="expression" priority="306" id="{BACE30BE-6E5F-4872-85C7-632C4ABC3057}">
            <xm:f>Calculations!E19=64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J39</xm:sqref>
        </x14:conditionalFormatting>
        <x14:conditionalFormatting xmlns:xm="http://schemas.microsoft.com/office/excel/2006/main">
          <x14:cfRule type="expression" priority="299" id="{AD566AF7-3009-495E-9B65-858B07CEA5B0}">
            <xm:f>'CCE(2)'!K39=2</xm:f>
            <x14:dxf>
              <font>
                <color rgb="FFFFFF00"/>
              </font>
            </x14:dxf>
          </x14:cfRule>
          <x14:cfRule type="expression" priority="300" id="{487A1AF5-9156-4A6D-AB76-C7959BD94F18}">
            <xm:f>'CCE(2)'!K39=0</xm:f>
            <x14:dxf>
              <font>
                <color rgb="FFFF0000"/>
              </font>
            </x14:dxf>
          </x14:cfRule>
          <x14:cfRule type="expression" priority="301" id="{399248E0-860B-4FA0-8349-A32C78A234CB}">
            <xm:f>'CCE(2)'!K39=1</xm:f>
            <x14:dxf>
              <font>
                <color rgb="FF00B050"/>
              </font>
            </x14:dxf>
          </x14:cfRule>
          <x14:cfRule type="expression" priority="302" id="{382D6541-3664-4035-8152-0351514B48C6}">
            <xm:f>Calculations!F19=64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K39</xm:sqref>
        </x14:conditionalFormatting>
        <x14:conditionalFormatting xmlns:xm="http://schemas.microsoft.com/office/excel/2006/main">
          <x14:cfRule type="expression" priority="283" id="{19DC8C14-B9F8-4D33-A64F-35D0C155A93B}">
            <xm:f>'CCE(2)'!I44=2</xm:f>
            <x14:dxf>
              <font>
                <color rgb="FFFFFF00"/>
              </font>
            </x14:dxf>
          </x14:cfRule>
          <x14:cfRule type="expression" priority="284" id="{1FF41497-1446-4476-B555-1F787D451FA7}">
            <xm:f>'CCE(2)'!I44=0</xm:f>
            <x14:dxf>
              <font>
                <color rgb="FFFF0000"/>
              </font>
            </x14:dxf>
          </x14:cfRule>
          <x14:cfRule type="expression" priority="285" id="{1C26D533-999D-4E36-922F-CBDF49344A8B}">
            <xm:f>'CCE(2)'!I44=1</xm:f>
            <x14:dxf>
              <font>
                <color rgb="FF00B050"/>
              </font>
            </x14:dxf>
          </x14:cfRule>
          <x14:cfRule type="expression" priority="286" id="{58012B78-62BE-4DE8-AB57-059C3633FB79}">
            <xm:f>Calculations!$Q$20=64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I44</xm:sqref>
        </x14:conditionalFormatting>
        <x14:conditionalFormatting xmlns:xm="http://schemas.microsoft.com/office/excel/2006/main">
          <x14:cfRule type="expression" priority="279" id="{F584B1ED-FD18-479A-8599-E05315AEC216}">
            <xm:f>'CCE(2)'!J44=2</xm:f>
            <x14:dxf>
              <font>
                <color rgb="FFFFFF00"/>
              </font>
            </x14:dxf>
          </x14:cfRule>
          <x14:cfRule type="expression" priority="280" id="{B70EA1F2-38EB-4DF3-93BD-4AFA4EFD3389}">
            <xm:f>'CCE(2)'!J44=0</xm:f>
            <x14:dxf>
              <font>
                <color rgb="FFFF0000"/>
              </font>
            </x14:dxf>
          </x14:cfRule>
          <x14:cfRule type="expression" priority="281" id="{812713DF-4288-477B-963B-3CD3C5A1C4FA}">
            <xm:f>'CCE(2)'!J44=1</xm:f>
            <x14:dxf>
              <font>
                <color rgb="FF00B050"/>
              </font>
            </x14:dxf>
          </x14:cfRule>
          <x14:cfRule type="expression" priority="282" id="{14010AFF-6C49-4207-9881-B7016DABB9C5}">
            <xm:f>Calculations!D20=64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259" id="{316BA5F8-D2EB-4C41-A5CD-211384D9E24C}">
            <xm:f>'CCE(2)'!J49=2</xm:f>
            <x14:dxf>
              <font>
                <color rgb="FFFFFF00"/>
              </font>
            </x14:dxf>
          </x14:cfRule>
          <x14:cfRule type="expression" priority="260" id="{6235BC26-DAB5-4667-A11C-A03C65C6EA60}">
            <xm:f>'CCE(2)'!J49=0</xm:f>
            <x14:dxf>
              <font>
                <color rgb="FFFF0000"/>
              </font>
            </x14:dxf>
          </x14:cfRule>
          <x14:cfRule type="expression" priority="261" id="{54E1C768-E69D-49FC-B09F-F8C7845D094C}">
            <xm:f>'CCE(2)'!J49=1</xm:f>
            <x14:dxf>
              <font>
                <color rgb="FF00B050"/>
              </font>
            </x14:dxf>
          </x14:cfRule>
          <x14:cfRule type="expression" priority="262" id="{FFF60F3B-1618-4829-9B83-A2E9EB416930}">
            <xm:f>Calculations!$Q$21=64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J49</xm:sqref>
        </x14:conditionalFormatting>
        <x14:conditionalFormatting xmlns:xm="http://schemas.microsoft.com/office/excel/2006/main">
          <x14:cfRule type="expression" priority="255" id="{19349915-D921-461A-A71C-BD1B1F999789}">
            <xm:f>'CCE(2)'!K49=2</xm:f>
            <x14:dxf>
              <font>
                <color rgb="FFFFFF00"/>
              </font>
            </x14:dxf>
          </x14:cfRule>
          <x14:cfRule type="expression" priority="256" id="{63D934DF-F92C-42EA-969A-0CC97090DB43}">
            <xm:f>'CCE(2)'!K49=0</xm:f>
            <x14:dxf>
              <font>
                <color rgb="FFFF0000"/>
              </font>
            </x14:dxf>
          </x14:cfRule>
          <x14:cfRule type="expression" priority="257" id="{D0A01E7F-C2C4-436F-B124-259A8B099CB1}">
            <xm:f>'CCE(2)'!K49=1</xm:f>
            <x14:dxf>
              <font>
                <color rgb="FF00B050"/>
              </font>
            </x14:dxf>
          </x14:cfRule>
          <x14:cfRule type="expression" priority="258" id="{99CF6579-FFF3-4A09-A0F7-2CA146F85C68}">
            <xm:f>Calculations!D21=64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K49</xm:sqref>
        </x14:conditionalFormatting>
        <x14:conditionalFormatting xmlns:xm="http://schemas.microsoft.com/office/excel/2006/main">
          <x14:cfRule type="expression" priority="239" id="{5F0F017B-F65B-4DA5-9781-74266E5014DC}">
            <xm:f>'CCE(2)'!K54=2</xm:f>
            <x14:dxf>
              <font>
                <color rgb="FFFFFF00"/>
              </font>
            </x14:dxf>
          </x14:cfRule>
          <x14:cfRule type="expression" priority="240" id="{CBABEFFE-C120-4790-8B4E-515FF19A02A8}">
            <xm:f>'CCE(2)'!K54=0</xm:f>
            <x14:dxf>
              <font>
                <color rgb="FFFF0000"/>
              </font>
            </x14:dxf>
          </x14:cfRule>
          <x14:cfRule type="expression" priority="241" id="{1FA98FB6-D22B-4C24-8D44-EDEC5F6E825C}">
            <xm:f>'CCE(2)'!K54=1</xm:f>
            <x14:dxf>
              <font>
                <color rgb="FF00B050"/>
              </font>
            </x14:dxf>
          </x14:cfRule>
          <x14:cfRule type="expression" priority="242" id="{CE80F426-4F78-4C2A-8E16-0726B97C0CB4}">
            <xm:f>Calculations!$Q$22=64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K54</xm:sqref>
        </x14:conditionalFormatting>
        <x14:conditionalFormatting xmlns:xm="http://schemas.microsoft.com/office/excel/2006/main">
          <x14:cfRule type="expression" priority="198" id="{2E4B593B-39B8-4177-B952-F1E88A280CA6}">
            <xm:f>Calculations!$Q$15=128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D8</xm:sqref>
        </x14:conditionalFormatting>
        <x14:conditionalFormatting xmlns:xm="http://schemas.microsoft.com/office/excel/2006/main">
          <x14:cfRule type="expression" priority="197" id="{C2E26A6B-287E-44F8-A4FF-01671E5C1F16}">
            <xm:f>Calculations!$Q$16=128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E8</xm:sqref>
        </x14:conditionalFormatting>
        <x14:conditionalFormatting xmlns:xm="http://schemas.microsoft.com/office/excel/2006/main">
          <x14:cfRule type="expression" priority="196" id="{815ACAB8-0AF1-4718-A601-0F65B99EF323}">
            <xm:f>Calculations!$Q$17=128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F8</xm:sqref>
        </x14:conditionalFormatting>
        <x14:conditionalFormatting xmlns:xm="http://schemas.microsoft.com/office/excel/2006/main">
          <x14:cfRule type="expression" priority="195" id="{877A4658-9224-4D24-8B33-74B88DCB077E}">
            <xm:f>Calculations!$Q$18=128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G8</xm:sqref>
        </x14:conditionalFormatting>
        <x14:conditionalFormatting xmlns:xm="http://schemas.microsoft.com/office/excel/2006/main">
          <x14:cfRule type="expression" priority="194" id="{FEB8B475-FDD1-4B38-AE21-7FBC7F8E0B4C}">
            <xm:f>Calculations!$Q$19=128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H8</xm:sqref>
        </x14:conditionalFormatting>
        <x14:conditionalFormatting xmlns:xm="http://schemas.microsoft.com/office/excel/2006/main">
          <x14:cfRule type="expression" priority="193" id="{CEBD64BF-35B2-469F-A6BA-7E7D15EC4995}">
            <xm:f>Calculations!$Q$20=128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I8</xm:sqref>
        </x14:conditionalFormatting>
        <x14:conditionalFormatting xmlns:xm="http://schemas.microsoft.com/office/excel/2006/main">
          <x14:cfRule type="expression" priority="192" id="{4C8BEF67-8939-47D4-B636-4881719497C6}">
            <xm:f>Calculations!$Q$21=128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J8</xm:sqref>
        </x14:conditionalFormatting>
        <x14:conditionalFormatting xmlns:xm="http://schemas.microsoft.com/office/excel/2006/main">
          <x14:cfRule type="expression" priority="191" id="{280056C6-696B-4FF6-B6B7-FE66B1AC8A99}">
            <xm:f>Calculations!$Q$22=128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K8</xm:sqref>
        </x14:conditionalFormatting>
        <x14:conditionalFormatting xmlns:xm="http://schemas.microsoft.com/office/excel/2006/main">
          <x14:cfRule type="expression" priority="186" id="{7278C432-F1E3-451E-A480-8F2E7303ED7C}">
            <xm:f>Calculations!E14=128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E13</xm:sqref>
        </x14:conditionalFormatting>
        <x14:conditionalFormatting xmlns:xm="http://schemas.microsoft.com/office/excel/2006/main">
          <x14:cfRule type="expression" priority="183" id="{28C47CA8-CBA4-4719-AAFB-A8A4DD0CCB6B}">
            <xm:f>Calculations!F14=128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F13</xm:sqref>
        </x14:conditionalFormatting>
        <x14:conditionalFormatting xmlns:xm="http://schemas.microsoft.com/office/excel/2006/main">
          <x14:cfRule type="expression" priority="182" id="{41F0D8EB-5402-4C28-AA0F-15FA43DE2EC4}">
            <xm:f>Calculations!G14=128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G13</xm:sqref>
        </x14:conditionalFormatting>
        <x14:conditionalFormatting xmlns:xm="http://schemas.microsoft.com/office/excel/2006/main">
          <x14:cfRule type="expression" priority="181" id="{0E828B2B-14F4-4CB1-9FD1-F8C435EF620B}">
            <xm:f>Calculations!H14=128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H13</xm:sqref>
        </x14:conditionalFormatting>
        <x14:conditionalFormatting xmlns:xm="http://schemas.microsoft.com/office/excel/2006/main">
          <x14:cfRule type="expression" priority="180" id="{738510DF-4634-42F7-A495-7C52D65422D8}">
            <xm:f>Calculations!I14=128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I13</xm:sqref>
        </x14:conditionalFormatting>
        <x14:conditionalFormatting xmlns:xm="http://schemas.microsoft.com/office/excel/2006/main">
          <x14:cfRule type="expression" priority="179" id="{ADFE3A94-A816-43F1-96A2-DA02A7E989E7}">
            <xm:f>Calculations!J14=128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J13</xm:sqref>
        </x14:conditionalFormatting>
        <x14:conditionalFormatting xmlns:xm="http://schemas.microsoft.com/office/excel/2006/main">
          <x14:cfRule type="expression" priority="178" id="{F52A66BE-4C3B-4637-AEAE-1B132EE88A07}">
            <xm:f>Calculations!K14=128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K13</xm:sqref>
        </x14:conditionalFormatting>
        <x14:conditionalFormatting xmlns:xm="http://schemas.microsoft.com/office/excel/2006/main">
          <x14:cfRule type="expression" priority="172" id="{3F3037F4-9EC2-4580-819A-1207BC433556}">
            <xm:f>'CCE(2)'!E14=2</xm:f>
            <x14:dxf>
              <font>
                <color rgb="FFFFFF00"/>
              </font>
            </x14:dxf>
          </x14:cfRule>
          <x14:cfRule type="expression" priority="173" id="{F1B2BE09-63FF-4D36-ABA2-F41D3571B4F8}">
            <xm:f>'CCE(2)'!E14=0</xm:f>
            <x14:dxf>
              <font>
                <color rgb="FFFF0000"/>
              </font>
            </x14:dxf>
          </x14:cfRule>
          <x14:cfRule type="expression" priority="174" id="{E89D7BBD-C722-4271-BE86-D596EF2449A0}">
            <xm:f>'CCE(2)'!E14=1</xm:f>
            <x14:dxf>
              <font>
                <color rgb="FF00B050"/>
              </font>
            </x14:dxf>
          </x14:cfRule>
          <x14:cfRule type="expression" priority="175" id="{74503CF1-8CB5-48F4-BCA9-80E7132DDCAA}">
            <xm:f>Calculations!E14=64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E14</xm:sqref>
        </x14:conditionalFormatting>
        <x14:conditionalFormatting xmlns:xm="http://schemas.microsoft.com/office/excel/2006/main">
          <x14:cfRule type="expression" priority="168" id="{D722B8DC-0BE7-41B8-8CE4-C6B80E90E73C}">
            <xm:f>'CCE(2)'!F14=2</xm:f>
            <x14:dxf>
              <font>
                <color rgb="FFFFFF00"/>
              </font>
            </x14:dxf>
          </x14:cfRule>
          <x14:cfRule type="expression" priority="169" id="{E8733F8C-483F-4720-9A20-6E7DBFA484AF}">
            <xm:f>'CCE(2)'!F14=0</xm:f>
            <x14:dxf>
              <font>
                <color rgb="FFFF0000"/>
              </font>
            </x14:dxf>
          </x14:cfRule>
          <x14:cfRule type="expression" priority="170" id="{83B18BF6-9B52-4D4C-A050-399DFC67ADE9}">
            <xm:f>'CCE(2)'!F14=1</xm:f>
            <x14:dxf>
              <font>
                <color rgb="FF00B050"/>
              </font>
            </x14:dxf>
          </x14:cfRule>
          <x14:cfRule type="expression" priority="171" id="{0C294908-4A47-4C92-ABAF-5CE7752014CE}">
            <xm:f>Calculations!F14=64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F14</xm:sqref>
        </x14:conditionalFormatting>
        <x14:conditionalFormatting xmlns:xm="http://schemas.microsoft.com/office/excel/2006/main">
          <x14:cfRule type="expression" priority="164" id="{1203B10D-D884-4E7B-89EA-2BF90C2D577A}">
            <xm:f>'CCE(2)'!G14=2</xm:f>
            <x14:dxf>
              <font>
                <color rgb="FFFFFF00"/>
              </font>
            </x14:dxf>
          </x14:cfRule>
          <x14:cfRule type="expression" priority="165" id="{3476DAA4-D48F-45BF-84D7-1329920BDAD6}">
            <xm:f>'CCE(2)'!G14=0</xm:f>
            <x14:dxf>
              <font>
                <color rgb="FFFF0000"/>
              </font>
            </x14:dxf>
          </x14:cfRule>
          <x14:cfRule type="expression" priority="166" id="{E1B658ED-1339-43D9-AF51-1A596E4021FC}">
            <xm:f>'CCE(2)'!G14=1</xm:f>
            <x14:dxf>
              <font>
                <color rgb="FF00B050"/>
              </font>
            </x14:dxf>
          </x14:cfRule>
          <x14:cfRule type="expression" priority="167" id="{B8C8C69B-7DA1-4C42-B91C-F1A1955B52FB}">
            <xm:f>Calculations!G14=64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G14</xm:sqref>
        </x14:conditionalFormatting>
        <x14:conditionalFormatting xmlns:xm="http://schemas.microsoft.com/office/excel/2006/main">
          <x14:cfRule type="expression" priority="160" id="{345368F6-C191-4E30-BB48-4625BC6F4B2F}">
            <xm:f>'CCE(2)'!H14=2</xm:f>
            <x14:dxf>
              <font>
                <color rgb="FFFFFF00"/>
              </font>
            </x14:dxf>
          </x14:cfRule>
          <x14:cfRule type="expression" priority="161" id="{1E661BA1-CF3E-4D65-B254-DADF8042C785}">
            <xm:f>'CCE(2)'!H14=0</xm:f>
            <x14:dxf>
              <font>
                <color rgb="FFFF0000"/>
              </font>
            </x14:dxf>
          </x14:cfRule>
          <x14:cfRule type="expression" priority="162" id="{2AE0C996-1025-44ED-8D3E-72BF6BAF6B6C}">
            <xm:f>'CCE(2)'!H14=1</xm:f>
            <x14:dxf>
              <font>
                <color rgb="FF00B050"/>
              </font>
            </x14:dxf>
          </x14:cfRule>
          <x14:cfRule type="expression" priority="163" id="{CDD30589-4303-4683-B09B-C4AE2EE56180}">
            <xm:f>Calculations!H14=64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H14</xm:sqref>
        </x14:conditionalFormatting>
        <x14:conditionalFormatting xmlns:xm="http://schemas.microsoft.com/office/excel/2006/main">
          <x14:cfRule type="expression" priority="156" id="{4480EDB5-D4B6-4659-9627-B68716D1875C}">
            <xm:f>'CCE(2)'!I14=2</xm:f>
            <x14:dxf>
              <font>
                <color rgb="FFFFFF00"/>
              </font>
            </x14:dxf>
          </x14:cfRule>
          <x14:cfRule type="expression" priority="157" id="{59A41B8F-A0AE-42D5-8B46-0FF7A6023B8A}">
            <xm:f>'CCE(2)'!I14=0</xm:f>
            <x14:dxf>
              <font>
                <color rgb="FFFF0000"/>
              </font>
            </x14:dxf>
          </x14:cfRule>
          <x14:cfRule type="expression" priority="158" id="{E6028EE3-08A8-4E62-9437-2799C0F2E9C7}">
            <xm:f>'CCE(2)'!I14=1</xm:f>
            <x14:dxf>
              <font>
                <color rgb="FF00B050"/>
              </font>
            </x14:dxf>
          </x14:cfRule>
          <x14:cfRule type="expression" priority="159" id="{405767DD-CB7A-4A24-838F-9790186FB183}">
            <xm:f>Calculations!I14=64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I14</xm:sqref>
        </x14:conditionalFormatting>
        <x14:conditionalFormatting xmlns:xm="http://schemas.microsoft.com/office/excel/2006/main">
          <x14:cfRule type="expression" priority="152" id="{7358991D-F092-4418-9DA5-5FB12D5F087A}">
            <xm:f>'CCE(2)'!J14=2</xm:f>
            <x14:dxf>
              <font>
                <color rgb="FFFFFF00"/>
              </font>
            </x14:dxf>
          </x14:cfRule>
          <x14:cfRule type="expression" priority="153" id="{D088FF6E-3755-44A6-B626-06956723B101}">
            <xm:f>'CCE(2)'!J14=0</xm:f>
            <x14:dxf>
              <font>
                <color rgb="FFFF0000"/>
              </font>
            </x14:dxf>
          </x14:cfRule>
          <x14:cfRule type="expression" priority="154" id="{13E6912E-9A89-42A3-A2C6-DFB86D3B3025}">
            <xm:f>'CCE(2)'!J14=1</xm:f>
            <x14:dxf>
              <font>
                <color rgb="FF00B050"/>
              </font>
            </x14:dxf>
          </x14:cfRule>
          <x14:cfRule type="expression" priority="155" id="{9AC4C5D4-13B3-46F3-8EF4-45158AF6C255}">
            <xm:f>Calculations!J14=64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J14</xm:sqref>
        </x14:conditionalFormatting>
        <x14:conditionalFormatting xmlns:xm="http://schemas.microsoft.com/office/excel/2006/main">
          <x14:cfRule type="expression" priority="148" id="{496E1534-25F0-4D9A-8797-58747DC3988B}">
            <xm:f>'CCE(2)'!K14=2</xm:f>
            <x14:dxf>
              <font>
                <color rgb="FFFFFF00"/>
              </font>
            </x14:dxf>
          </x14:cfRule>
          <x14:cfRule type="expression" priority="149" id="{22D4E579-7547-4717-8C1B-3E4EBEC9A28C}">
            <xm:f>'CCE(2)'!K14=0</xm:f>
            <x14:dxf>
              <font>
                <color rgb="FFFF0000"/>
              </font>
            </x14:dxf>
          </x14:cfRule>
          <x14:cfRule type="expression" priority="150" id="{47B6C704-C19F-45BA-98CE-859E0FE7C8C5}">
            <xm:f>'CCE(2)'!K14=1</xm:f>
            <x14:dxf>
              <font>
                <color rgb="FF00B050"/>
              </font>
            </x14:dxf>
          </x14:cfRule>
          <x14:cfRule type="expression" priority="151" id="{1F50787C-205F-49B9-8715-88AFA0225F3C}">
            <xm:f>Calculations!K14=64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K14</xm:sqref>
        </x14:conditionalFormatting>
        <x14:conditionalFormatting xmlns:xm="http://schemas.microsoft.com/office/excel/2006/main">
          <x14:cfRule type="expression" priority="132" id="{4E5021E3-2D7A-468A-B200-7DE4B6A4CC3C}">
            <xm:f>'CCE(2)'!F19=2</xm:f>
            <x14:dxf>
              <font>
                <color rgb="FFFFFF00"/>
              </font>
            </x14:dxf>
          </x14:cfRule>
          <x14:cfRule type="expression" priority="133" id="{BA73FE98-9D1C-4690-A646-8AC12298770E}">
            <xm:f>'CCE(2)'!F19=0</xm:f>
            <x14:dxf>
              <font>
                <color rgb="FFFF0000"/>
              </font>
            </x14:dxf>
          </x14:cfRule>
          <x14:cfRule type="expression" priority="134" id="{3BE8B4B4-9253-48F5-BFF6-8974585DCD77}">
            <xm:f>'CCE(2)'!F19=1</xm:f>
            <x14:dxf>
              <font>
                <color rgb="FF00B050"/>
              </font>
            </x14:dxf>
          </x14:cfRule>
          <x14:cfRule type="expression" priority="135" id="{F58632DC-FB44-4ED2-A52C-E7BFCA841FC6}">
            <xm:f>Calculations!E15=64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28" id="{7EAB8D11-F266-4AC4-9D31-5E923DFDC102}">
            <xm:f>'CCE(2)'!G19=2</xm:f>
            <x14:dxf>
              <font>
                <color rgb="FFFFFF00"/>
              </font>
            </x14:dxf>
          </x14:cfRule>
          <x14:cfRule type="expression" priority="129" id="{8DA91F45-EEFD-4705-A91E-F47508935D4B}">
            <xm:f>'CCE(2)'!G19=0</xm:f>
            <x14:dxf>
              <font>
                <color rgb="FFFF0000"/>
              </font>
            </x14:dxf>
          </x14:cfRule>
          <x14:cfRule type="expression" priority="130" id="{796DF6C2-C290-400F-91E2-99E5FA6F5500}">
            <xm:f>'CCE(2)'!G19=1</xm:f>
            <x14:dxf>
              <font>
                <color rgb="FF00B050"/>
              </font>
            </x14:dxf>
          </x14:cfRule>
          <x14:cfRule type="expression" priority="131" id="{8965D60F-7BD2-49E2-AF7A-1656750E07C4}">
            <xm:f>Calculations!F15=64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G19</xm:sqref>
        </x14:conditionalFormatting>
        <x14:conditionalFormatting xmlns:xm="http://schemas.microsoft.com/office/excel/2006/main">
          <x14:cfRule type="expression" priority="124" id="{E21ED96E-27F5-4613-951A-E997E19EFE11}">
            <xm:f>'CCE(2)'!H19=2</xm:f>
            <x14:dxf>
              <font>
                <color rgb="FFFFFF00"/>
              </font>
            </x14:dxf>
          </x14:cfRule>
          <x14:cfRule type="expression" priority="125" id="{7EF489F8-45CD-4DA3-AF2A-DC2BD49375A0}">
            <xm:f>'CCE(2)'!H19=0</xm:f>
            <x14:dxf>
              <font>
                <color rgb="FFFF0000"/>
              </font>
            </x14:dxf>
          </x14:cfRule>
          <x14:cfRule type="expression" priority="126" id="{5C3FDE08-8202-4FF7-83C3-6034C78273CF}">
            <xm:f>'CCE(2)'!H19=1</xm:f>
            <x14:dxf>
              <font>
                <color rgb="FF00B050"/>
              </font>
            </x14:dxf>
          </x14:cfRule>
          <x14:cfRule type="expression" priority="127" id="{3BAD7971-3B44-46FD-86C9-86038AAE5D61}">
            <xm:f>Calculations!G15=64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0" id="{CA7C486A-2831-4558-9499-6EA61E362F40}">
            <xm:f>'CCE(2)'!I19=2</xm:f>
            <x14:dxf>
              <font>
                <color rgb="FFFFFF00"/>
              </font>
            </x14:dxf>
          </x14:cfRule>
          <x14:cfRule type="expression" priority="121" id="{4AB5EC96-A6C7-4C61-905D-EE2A9B78D343}">
            <xm:f>'CCE(2)'!I19=0</xm:f>
            <x14:dxf>
              <font>
                <color rgb="FFFF0000"/>
              </font>
            </x14:dxf>
          </x14:cfRule>
          <x14:cfRule type="expression" priority="122" id="{38DA455A-D082-4F98-A683-1CF1B5905C2B}">
            <xm:f>'CCE(2)'!I19=1</xm:f>
            <x14:dxf>
              <font>
                <color rgb="FF00B050"/>
              </font>
            </x14:dxf>
          </x14:cfRule>
          <x14:cfRule type="expression" priority="123" id="{A82CCB22-D2E8-4155-AEED-65F9EBF90155}">
            <xm:f>Calculations!H15=64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I19</xm:sqref>
        </x14:conditionalFormatting>
        <x14:conditionalFormatting xmlns:xm="http://schemas.microsoft.com/office/excel/2006/main">
          <x14:cfRule type="expression" priority="116" id="{1000C6B3-5545-45EE-B7EB-AB83BE1DA7D2}">
            <xm:f>'CCE(2)'!J19=2</xm:f>
            <x14:dxf>
              <font>
                <color rgb="FFFFFF00"/>
              </font>
            </x14:dxf>
          </x14:cfRule>
          <x14:cfRule type="expression" priority="117" id="{8A3F3C62-8D5A-4C78-852D-24E0412CB762}">
            <xm:f>'CCE(2)'!J19=0</xm:f>
            <x14:dxf>
              <font>
                <color rgb="FFFF0000"/>
              </font>
            </x14:dxf>
          </x14:cfRule>
          <x14:cfRule type="expression" priority="118" id="{F160BACA-0FD4-4129-93C6-2D8594C6B741}">
            <xm:f>'CCE(2)'!J19=1</xm:f>
            <x14:dxf>
              <font>
                <color rgb="FF00B050"/>
              </font>
            </x14:dxf>
          </x14:cfRule>
          <x14:cfRule type="expression" priority="119" id="{2CEB2899-804D-4909-8E12-3B366B061980}">
            <xm:f>Calculations!I15=64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2" id="{18BC1373-3F85-48FD-A258-026ADAECD7A5}">
            <xm:f>'CCE(2)'!K19=2</xm:f>
            <x14:dxf>
              <font>
                <color rgb="FFFFFF00"/>
              </font>
            </x14:dxf>
          </x14:cfRule>
          <x14:cfRule type="expression" priority="113" id="{D2F2B676-DA05-4AF2-8641-8EE4DC6D9A65}">
            <xm:f>'CCE(2)'!K19=0</xm:f>
            <x14:dxf>
              <font>
                <color rgb="FFFF0000"/>
              </font>
            </x14:dxf>
          </x14:cfRule>
          <x14:cfRule type="expression" priority="114" id="{56A98EA7-A43A-4B91-A41D-C5C7F88834D6}">
            <xm:f>'CCE(2)'!K19=1</xm:f>
            <x14:dxf>
              <font>
                <color rgb="FF00B050"/>
              </font>
            </x14:dxf>
          </x14:cfRule>
          <x14:cfRule type="expression" priority="115" id="{7F8988FD-C1F6-47FF-BCB2-55D542A047D8}">
            <xm:f>Calculations!J15=64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K19</xm:sqref>
        </x14:conditionalFormatting>
        <x14:conditionalFormatting xmlns:xm="http://schemas.microsoft.com/office/excel/2006/main">
          <x14:cfRule type="expression" priority="99" id="{73E54700-7E61-4C29-8A01-359F222EBFDA}">
            <xm:f>Calculations!E15=128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98" id="{27110460-542A-46E6-9CBF-9862DA425CFF}">
            <xm:f>Calculations!F15=128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G18</xm:sqref>
        </x14:conditionalFormatting>
        <x14:conditionalFormatting xmlns:xm="http://schemas.microsoft.com/office/excel/2006/main">
          <x14:cfRule type="expression" priority="97" id="{21916B7E-A109-4771-A003-72D3C8186E39}">
            <xm:f>Calculations!G15=128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96" id="{D9C6AE60-D200-4AC4-A3DA-37CE52C0DFEE}">
            <xm:f>Calculations!H15=128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I18</xm:sqref>
        </x14:conditionalFormatting>
        <x14:conditionalFormatting xmlns:xm="http://schemas.microsoft.com/office/excel/2006/main">
          <x14:cfRule type="expression" priority="95" id="{348641D4-C073-4521-BC0B-FD816B36FB53}">
            <xm:f>Calculations!I15=128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94" id="{350267A4-E295-410C-A6AC-C74EBD4B08FE}">
            <xm:f>Calculations!J15=128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K18</xm:sqref>
        </x14:conditionalFormatting>
        <x14:conditionalFormatting xmlns:xm="http://schemas.microsoft.com/office/excel/2006/main">
          <x14:cfRule type="expression" priority="90" id="{29A2AB16-4DFF-454F-9256-82F0BEA89826}">
            <xm:f>Calculations!E16=128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G23</xm:sqref>
        </x14:conditionalFormatting>
        <x14:conditionalFormatting xmlns:xm="http://schemas.microsoft.com/office/excel/2006/main">
          <x14:cfRule type="expression" priority="89" id="{6884D73E-4A18-4402-9A37-D0938C0FFFBC}">
            <xm:f>Calculations!F16=128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H23</xm:sqref>
        </x14:conditionalFormatting>
        <x14:conditionalFormatting xmlns:xm="http://schemas.microsoft.com/office/excel/2006/main">
          <x14:cfRule type="expression" priority="88" id="{599EA3CF-C466-40D0-9EFC-2F8040F8DAB5}">
            <xm:f>Calculations!G16=128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I23</xm:sqref>
        </x14:conditionalFormatting>
        <x14:conditionalFormatting xmlns:xm="http://schemas.microsoft.com/office/excel/2006/main">
          <x14:cfRule type="expression" priority="87" id="{EA6BCF31-7BE4-4570-B6C4-F787734741CA}">
            <xm:f>Calculations!H16=128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J23</xm:sqref>
        </x14:conditionalFormatting>
        <x14:conditionalFormatting xmlns:xm="http://schemas.microsoft.com/office/excel/2006/main">
          <x14:cfRule type="expression" priority="86" id="{FBA0F70F-D71B-4D94-B978-7B28812A1A4D}">
            <xm:f>Calculations!I16=128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K23</xm:sqref>
        </x14:conditionalFormatting>
        <x14:conditionalFormatting xmlns:xm="http://schemas.microsoft.com/office/excel/2006/main">
          <x14:cfRule type="expression" priority="82" id="{58DE7EF6-168B-425E-ABD2-0AFAF7124039}">
            <xm:f>Calculations!Q16=128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E23</xm:sqref>
        </x14:conditionalFormatting>
        <x14:conditionalFormatting xmlns:xm="http://schemas.microsoft.com/office/excel/2006/main">
          <x14:cfRule type="expression" priority="81" id="{770E6057-B7DC-45B3-9FC2-729E9D85EB3E}">
            <xm:f>Calculations!E17=128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H28</xm:sqref>
        </x14:conditionalFormatting>
        <x14:conditionalFormatting xmlns:xm="http://schemas.microsoft.com/office/excel/2006/main">
          <x14:cfRule type="expression" priority="80" id="{D582A8E8-EB27-4B97-86C2-C9774D169AC3}">
            <xm:f>Calculations!F17=128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I28</xm:sqref>
        </x14:conditionalFormatting>
        <x14:conditionalFormatting xmlns:xm="http://schemas.microsoft.com/office/excel/2006/main">
          <x14:cfRule type="expression" priority="78" id="{D6774B43-C6AC-4216-8C50-76A9EF80E39D}">
            <xm:f>Calculations!G17=128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J28</xm:sqref>
        </x14:conditionalFormatting>
        <x14:conditionalFormatting xmlns:xm="http://schemas.microsoft.com/office/excel/2006/main">
          <x14:cfRule type="expression" priority="77" id="{EFCC7E2E-A5A9-4D2A-BC20-774AB144C160}">
            <xm:f>Calculations!H17=128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K28</xm:sqref>
        </x14:conditionalFormatting>
        <x14:conditionalFormatting xmlns:xm="http://schemas.microsoft.com/office/excel/2006/main">
          <x14:cfRule type="expression" priority="73" id="{C4C19E2E-1067-4594-85C6-43B83CDD4721}">
            <xm:f>Calculations!E18=128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I33</xm:sqref>
        </x14:conditionalFormatting>
        <x14:conditionalFormatting xmlns:xm="http://schemas.microsoft.com/office/excel/2006/main">
          <x14:cfRule type="expression" priority="72" id="{E97859AE-848B-4A22-97A4-A764841A446C}">
            <xm:f>Calculations!F18=128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J33</xm:sqref>
        </x14:conditionalFormatting>
        <x14:conditionalFormatting xmlns:xm="http://schemas.microsoft.com/office/excel/2006/main">
          <x14:cfRule type="expression" priority="71" id="{AA84ABE6-6976-4D7D-AD32-07FD7FEDBAEA}">
            <xm:f>Calculations!G18=128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K33</xm:sqref>
        </x14:conditionalFormatting>
        <x14:conditionalFormatting xmlns:xm="http://schemas.microsoft.com/office/excel/2006/main">
          <x14:cfRule type="expression" priority="64" id="{5E84A3A1-F38A-4DA6-BBF0-17530AD906F2}">
            <xm:f>'CCE(2)'!I34=2</xm:f>
            <x14:dxf>
              <font>
                <color rgb="FFFFFF00"/>
              </font>
            </x14:dxf>
          </x14:cfRule>
          <x14:cfRule type="expression" priority="65" id="{FF259C3D-552E-4D00-A49B-D877D9D380DA}">
            <xm:f>'CCE(2)'!I34=0</xm:f>
            <x14:dxf>
              <font>
                <color rgb="FFFF0000"/>
              </font>
            </x14:dxf>
          </x14:cfRule>
          <x14:cfRule type="expression" priority="66" id="{9649CE93-7A5F-4E25-87B9-0093E4B432CC}">
            <xm:f>'CCE(2)'!I34=1</xm:f>
            <x14:dxf>
              <font>
                <color rgb="FF00B050"/>
              </font>
            </x14:dxf>
          </x14:cfRule>
          <x14:cfRule type="expression" priority="67" id="{2E04171B-56EC-44AE-AB0D-0238AE9C28EA}">
            <xm:f>Calculations!E18=64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I34</xm:sqref>
        </x14:conditionalFormatting>
        <x14:conditionalFormatting xmlns:xm="http://schemas.microsoft.com/office/excel/2006/main">
          <x14:cfRule type="expression" priority="60" id="{6992812D-6547-4A3B-8045-B2E7C224EB6D}">
            <xm:f>'CCE(2)'!J34=2</xm:f>
            <x14:dxf>
              <font>
                <color rgb="FFFFFF00"/>
              </font>
            </x14:dxf>
          </x14:cfRule>
          <x14:cfRule type="expression" priority="61" id="{C4EC60D4-52B3-467D-AC3B-205B81084F5C}">
            <xm:f>'CCE(2)'!J34=0</xm:f>
            <x14:dxf>
              <font>
                <color rgb="FFFF0000"/>
              </font>
            </x14:dxf>
          </x14:cfRule>
          <x14:cfRule type="expression" priority="62" id="{C9431C14-D0BB-4D62-A80D-33ADE95E48AB}">
            <xm:f>'CCE(2)'!J34=1</xm:f>
            <x14:dxf>
              <font>
                <color rgb="FF00B050"/>
              </font>
            </x14:dxf>
          </x14:cfRule>
          <x14:cfRule type="expression" priority="63" id="{14CD115E-D5B5-4215-AF7B-E997EAB67081}">
            <xm:f>Calculations!F18=64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J34</xm:sqref>
        </x14:conditionalFormatting>
        <x14:conditionalFormatting xmlns:xm="http://schemas.microsoft.com/office/excel/2006/main">
          <x14:cfRule type="expression" priority="56" id="{AE7F0473-BA27-4100-ACFE-53D17F8DD55F}">
            <xm:f>'CCE(2)'!K34=2</xm:f>
            <x14:dxf>
              <font>
                <color rgb="FFFFFF00"/>
              </font>
            </x14:dxf>
          </x14:cfRule>
          <x14:cfRule type="expression" priority="57" id="{CFF11924-F5A2-4BFC-8979-054E2D27E9F0}">
            <xm:f>'CCE(2)'!K34=0</xm:f>
            <x14:dxf>
              <font>
                <color rgb="FFFF0000"/>
              </font>
            </x14:dxf>
          </x14:cfRule>
          <x14:cfRule type="expression" priority="58" id="{5F78AB2F-099F-4EFE-9CE8-DBC383CB0904}">
            <xm:f>'CCE(2)'!K34=1</xm:f>
            <x14:dxf>
              <font>
                <color rgb="FF00B050"/>
              </font>
            </x14:dxf>
          </x14:cfRule>
          <x14:cfRule type="expression" priority="59" id="{D64FA0F7-D7F1-4502-8424-83A76AD5C5E0}">
            <xm:f>Calculations!G18=64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K34</xm:sqref>
        </x14:conditionalFormatting>
        <x14:conditionalFormatting xmlns:xm="http://schemas.microsoft.com/office/excel/2006/main">
          <x14:cfRule type="expression" priority="43" id="{BE1D7B15-3EA7-4734-BE48-DD16AC5B2ED6}">
            <xm:f>Calculations!E19=128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J38</xm:sqref>
        </x14:conditionalFormatting>
        <x14:conditionalFormatting xmlns:xm="http://schemas.microsoft.com/office/excel/2006/main">
          <x14:cfRule type="expression" priority="42" id="{399F728D-2657-4B3F-B1B3-FB248E0AA354}">
            <xm:f>Calculations!F19=128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K38</xm:sqref>
        </x14:conditionalFormatting>
        <x14:conditionalFormatting xmlns:xm="http://schemas.microsoft.com/office/excel/2006/main">
          <x14:cfRule type="expression" priority="38" id="{E59AB6EC-223E-4E27-BBEE-441E3ED5F2D0}">
            <xm:f>Calculations!E20=128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K43</xm:sqref>
        </x14:conditionalFormatting>
        <x14:conditionalFormatting xmlns:xm="http://schemas.microsoft.com/office/excel/2006/main">
          <x14:cfRule type="expression" priority="31" id="{E5C2D85C-01DD-43E9-A816-799E747050F9}">
            <xm:f>'CCE(2)'!K44=2</xm:f>
            <x14:dxf>
              <font>
                <color rgb="FFFFFF00"/>
              </font>
            </x14:dxf>
          </x14:cfRule>
          <x14:cfRule type="expression" priority="32" id="{10646498-FE28-4344-8226-14B44F054A15}">
            <xm:f>'CCE(2)'!K44=0</xm:f>
            <x14:dxf>
              <font>
                <color rgb="FFFF0000"/>
              </font>
            </x14:dxf>
          </x14:cfRule>
          <x14:cfRule type="expression" priority="33" id="{C8152C72-DAAD-4EA7-81C5-172C901ACF7A}">
            <xm:f>'CCE(2)'!K44=1</xm:f>
            <x14:dxf>
              <font>
                <color rgb="FF00B050"/>
              </font>
            </x14:dxf>
          </x14:cfRule>
          <x14:cfRule type="expression" priority="34" id="{9F50CB2D-5B71-4750-8E0D-8027FAC3F5B8}">
            <xm:f>Calculations!E20=64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K44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J46"/>
  <sheetViews>
    <sheetView topLeftCell="P1" workbookViewId="0">
      <selection activeCell="P1" sqref="A1:XFD1048576"/>
    </sheetView>
  </sheetViews>
  <sheetFormatPr defaultColWidth="9" defaultRowHeight="14.25" x14ac:dyDescent="0.2"/>
  <cols>
    <col min="1" max="17" width="9" style="86"/>
    <col min="18" max="18" width="14.375" style="86" customWidth="1"/>
    <col min="19" max="20" width="9" style="86"/>
    <col min="21" max="21" width="17.75" style="86" customWidth="1"/>
    <col min="22" max="35" width="9" style="86"/>
    <col min="36" max="36" width="10.25" style="86" bestFit="1" customWidth="1"/>
    <col min="37" max="16384" width="9" style="86"/>
  </cols>
  <sheetData>
    <row r="1" spans="1:36" x14ac:dyDescent="0.2">
      <c r="A1" s="85"/>
      <c r="B1" s="85"/>
      <c r="C1" s="85" t="s">
        <v>3</v>
      </c>
      <c r="D1" s="86">
        <v>1</v>
      </c>
      <c r="E1" s="86">
        <v>2</v>
      </c>
      <c r="F1" s="86">
        <v>3</v>
      </c>
      <c r="G1" s="86">
        <v>4</v>
      </c>
      <c r="H1" s="86">
        <v>5</v>
      </c>
      <c r="I1" s="86">
        <v>6</v>
      </c>
      <c r="J1" s="86">
        <v>7</v>
      </c>
      <c r="K1" s="86">
        <v>8</v>
      </c>
      <c r="L1" s="86">
        <v>9</v>
      </c>
      <c r="M1" s="86">
        <v>10</v>
      </c>
      <c r="N1" s="86">
        <v>11</v>
      </c>
      <c r="O1" s="86">
        <v>12</v>
      </c>
      <c r="P1" s="87"/>
      <c r="Q1" s="88" t="str">
        <f>CCE!B25</f>
        <v>CCE</v>
      </c>
      <c r="R1" s="89" t="s">
        <v>9</v>
      </c>
      <c r="S1" s="89" t="s">
        <v>1</v>
      </c>
      <c r="T1" s="89" t="s">
        <v>2</v>
      </c>
      <c r="U1" s="87" t="s">
        <v>10</v>
      </c>
      <c r="V1" s="87"/>
      <c r="W1" s="89" t="s">
        <v>9</v>
      </c>
      <c r="X1" s="87" t="s">
        <v>10</v>
      </c>
      <c r="Y1" s="89" t="s">
        <v>1</v>
      </c>
      <c r="Z1" s="89" t="s">
        <v>2</v>
      </c>
      <c r="AA1" s="87" t="s">
        <v>14</v>
      </c>
      <c r="AB1" s="87" t="s">
        <v>14</v>
      </c>
      <c r="AC1" s="90"/>
      <c r="AD1" s="87" t="s">
        <v>14</v>
      </c>
      <c r="AE1" s="86" t="str">
        <f>RTD("cqg.rtd", ,"ContractData",Q1, "T_Settlement",, "T")</f>
        <v/>
      </c>
    </row>
    <row r="2" spans="1:36" x14ac:dyDescent="0.2">
      <c r="A2" s="85" t="str">
        <f>Q2</f>
        <v>CCEH8</v>
      </c>
      <c r="B2" s="85" t="str">
        <f>RTD("cqg.rtd", ,"ContractData",A2, "ContractMonth")</f>
        <v>MAR</v>
      </c>
      <c r="C2" s="91" t="str">
        <f>IF(B2="Jan","F",IF(B2="Feb","G",IF(B2="Mar","H",IF(B2="Apr","J",IF(B2="May","K",IF(B2="JUN","M",IF(B2="Jul","N",IF(B2="Aug","Q",IF(B2="Sep","U",IF(B2="Oct","V",IF(B2="Nov","X",IF(B2="Dec","Z"))))))))))))</f>
        <v>H</v>
      </c>
      <c r="D2" s="86" t="str">
        <f t="shared" ref="D2:D10" si="0">$Q$1&amp;$C$1&amp;$D$1&amp;$C2&amp;RIGHT(A2,1)</f>
        <v>CCES1H8</v>
      </c>
      <c r="E2" s="86" t="str">
        <f>$Q$1&amp;$C$1&amp;$E$1&amp;$C2&amp;RIGHT(A2,1)</f>
        <v>CCES2H8</v>
      </c>
      <c r="F2" s="86" t="str">
        <f>$Q$1&amp;$C$1&amp;$F$1&amp;$C2&amp;RIGHT(A2,1)</f>
        <v>CCES3H8</v>
      </c>
      <c r="G2" s="86" t="str">
        <f>$Q$1&amp;$C$1&amp;$G$1&amp;$C2&amp;RIGHT(A2,1)</f>
        <v>CCES4H8</v>
      </c>
      <c r="H2" s="86" t="str">
        <f>$Q$1&amp;$C$1&amp;$H$1&amp;$C2&amp;RIGHT(A2,1)</f>
        <v>CCES5H8</v>
      </c>
      <c r="I2" s="86" t="str">
        <f>$Q$1&amp;$C$1&amp;$I$1&amp;$C2&amp;RIGHT(A2,1)</f>
        <v>CCES6H8</v>
      </c>
      <c r="J2" s="86" t="str">
        <f>$Q$1&amp;$C$1&amp;$J$1&amp;$C2&amp;RIGHT(A2,1)</f>
        <v>CCES7H8</v>
      </c>
      <c r="K2" s="86" t="str">
        <f>$Q$1&amp;$C$1&amp;$K$1&amp;$C2&amp;RIGHT(A2,1)</f>
        <v>CCES8H8</v>
      </c>
      <c r="L2" s="86" t="str">
        <f>$Q$1&amp;$C$1&amp;$L$1&amp;$C2&amp;RIGHT(A2,1)</f>
        <v>CCES9H8</v>
      </c>
      <c r="M2" s="86" t="str">
        <f>$Q$1&amp;$C$1&amp;$M$1&amp;$C2&amp;RIGHT(A2,1)</f>
        <v>CCES10H8</v>
      </c>
      <c r="N2" s="86" t="str">
        <f>$Q$1&amp;$C$1&amp;$N$1&amp;$C2&amp;RIGHT(A2,1)</f>
        <v>CCES11H8</v>
      </c>
      <c r="O2" s="86" t="str">
        <f>$Q$1&amp;$C$1&amp;$O$1&amp;$C2&amp;RIGHT(A2,1)</f>
        <v>CCES12H8</v>
      </c>
      <c r="P2" s="87"/>
      <c r="Q2" s="92" t="str">
        <f>RTD("cqg.rtd", ,"ContractData", $Q$1&amp;"?"&amp;R35, "Symbol")</f>
        <v>CCEH8</v>
      </c>
      <c r="R2" s="90">
        <f>IF(RTD("cqg.rtd",,"ContractData",Q2,$R$1,,"T")="",RTD("cqg.rtd",,"ContractData",Q2,"Y_Settlement",,"T"),RTD("cqg.rtd",,"ContractData",Q2,$R$1,,"T"))</f>
        <v>2000</v>
      </c>
      <c r="S2" s="90">
        <f>RTD("cqg.rtd", ,"ContractData", Q2,$S$1,,"T")</f>
        <v>2000</v>
      </c>
      <c r="T2" s="90">
        <f>RTD("cqg.rtd", ,"ContractData", Q2,$T$1,,"T")</f>
        <v>2001</v>
      </c>
      <c r="U2" s="93">
        <f>RTD("cqg.rtd", ,"ContractData", Q2, $U$1,,"T")</f>
        <v>-41</v>
      </c>
      <c r="V2" s="87" t="str">
        <f>D2</f>
        <v>CCES1H8</v>
      </c>
      <c r="W2" s="93">
        <f>IF(RTD("cqg.rtd", ,"ContractData", V2, $W$1,,"T")="",NA(),RTD("cqg.rtd", ,"ContractData", V2, $W$1,,"T"))</f>
        <v>-1</v>
      </c>
      <c r="X2" s="93">
        <f>RTD("cqg.rtd", ,"ContractData", V2, $X$1,,"T")</f>
        <v>2</v>
      </c>
      <c r="Y2" s="93">
        <f>RTD("cqg.rtd", ,"ContractData",V2,$Y$1,,"T")</f>
        <v>-1</v>
      </c>
      <c r="Z2" s="93">
        <f>RTD("cqg.rtd", ,"ContractData", V2,$Z$1,,"T")</f>
        <v>0</v>
      </c>
      <c r="AA2" s="93">
        <f>IFERROR((Y2+Z2)/2,NA())</f>
        <v>-0.5</v>
      </c>
      <c r="AB2" s="93">
        <f t="shared" ref="AB2:AB7" si="1">IF(OR(S2="",T2=""),R2,(IF(OR(R2="",R2&lt;S2,R2&gt;T2),(S2+T2)/2,R2)))</f>
        <v>2000</v>
      </c>
      <c r="AC2" s="93">
        <f>IF(OR(R2="",R2&lt;S2,R2&gt;T2),(S2+T2)/2,R2)</f>
        <v>2000</v>
      </c>
      <c r="AD2" s="93">
        <f>IF(OR(Y2="",Z2=""),NA(),(IF(OR(W2="",W2&lt;Y2,W2&gt;Z2),(Y2+Z2)/2,W2)))</f>
        <v>-1</v>
      </c>
      <c r="AE2" s="94">
        <f>IF($AJ$11=2,AH2,AA2)</f>
        <v>-0.5</v>
      </c>
      <c r="AF2" s="86" t="str">
        <f>RIGHT(RTD("cqg.rtd", ,"ContractData", V2,"LongDescription",,"T"),14)</f>
        <v>Mar 18, May 18</v>
      </c>
      <c r="AH2" s="94">
        <f xml:space="preserve"> RTD("cqg.rtd",,"StudyData",V2, "FG",, "Close","D","","all",,,,"T")</f>
        <v>-1</v>
      </c>
      <c r="AI2" s="86">
        <f>IF(AJ11=2, RTD("cqg.rtd",,"StudyData",V2, "FG",, "Close","D","","all",,,,"T")-RTD("cqg.rtd",,"StudyData",V2, "FG",, "Close","D","-2","all",,,,"T"),X2)</f>
        <v>2</v>
      </c>
      <c r="AJ2" s="95">
        <f>MOD(RTD("cqg.rtd", ,"SystemInfo", "Linetime"),1)</f>
        <v>0.4153009259243845</v>
      </c>
    </row>
    <row r="3" spans="1:36" x14ac:dyDescent="0.2">
      <c r="A3" s="85" t="str">
        <f t="shared" ref="A3:A10" si="2">Q3</f>
        <v>CCEK8</v>
      </c>
      <c r="B3" s="85" t="str">
        <f>RTD("cqg.rtd", ,"ContractData",A3, "ContractMonth")</f>
        <v>MAY</v>
      </c>
      <c r="C3" s="91" t="str">
        <f t="shared" ref="C3:C10" si="3">IF(B3="Jan","F",IF(B3="Feb","G",IF(B3="Mar","H",IF(B3="Apr","J",IF(B3="May","K",IF(B3="JUN","M",IF(B3="Jul","N",IF(B3="Aug","Q",IF(B3="Sep","U",IF(B3="Oct","V",IF(B3="Nov","X",IF(B3="Dec","Z"))))))))))))</f>
        <v>K</v>
      </c>
      <c r="D3" s="86" t="str">
        <f t="shared" si="0"/>
        <v>CCES1K8</v>
      </c>
      <c r="E3" s="86" t="str">
        <f t="shared" ref="E3:E10" si="4">$Q$1&amp;$C$1&amp;$E$1&amp;$C3&amp;RIGHT(A3,1)</f>
        <v>CCES2K8</v>
      </c>
      <c r="F3" s="86" t="str">
        <f t="shared" ref="F3:F10" si="5">$Q$1&amp;$C$1&amp;$F$1&amp;$C3&amp;RIGHT(A3,1)</f>
        <v>CCES3K8</v>
      </c>
      <c r="G3" s="86" t="str">
        <f t="shared" ref="G3:G10" si="6">$Q$1&amp;$C$1&amp;$G$1&amp;$C3&amp;RIGHT(A3,1)</f>
        <v>CCES4K8</v>
      </c>
      <c r="H3" s="86" t="str">
        <f t="shared" ref="H3:H10" si="7">$Q$1&amp;$C$1&amp;$H$1&amp;$C3&amp;RIGHT(A3,1)</f>
        <v>CCES5K8</v>
      </c>
      <c r="I3" s="86" t="str">
        <f t="shared" ref="I3:I9" si="8">$Q$1&amp;$C$1&amp;$I$1&amp;$C3&amp;RIGHT(A3,1)</f>
        <v>CCES6K8</v>
      </c>
      <c r="J3" s="86" t="str">
        <f t="shared" ref="J3:J8" si="9">$Q$1&amp;$C$1&amp;$J$1&amp;$C3&amp;RIGHT(A3,1)</f>
        <v>CCES7K8</v>
      </c>
      <c r="K3" s="86" t="str">
        <f t="shared" ref="K3:K7" si="10">$Q$1&amp;$C$1&amp;$K$1&amp;$C3&amp;RIGHT(A3,1)</f>
        <v>CCES8K8</v>
      </c>
      <c r="L3" s="86" t="str">
        <f t="shared" ref="L3:L6" si="11">$Q$1&amp;$C$1&amp;$L$1&amp;$C3&amp;RIGHT(A3,1)</f>
        <v>CCES9K8</v>
      </c>
      <c r="M3" s="86" t="str">
        <f t="shared" ref="M3:M5" si="12">$Q$1&amp;$C$1&amp;$M$1&amp;$C3&amp;RIGHT(A3,1)</f>
        <v>CCES10K8</v>
      </c>
      <c r="N3" s="86" t="str">
        <f>$Q$1&amp;$C$1&amp;$N$1&amp;$C3&amp;RIGHT(A3,1)</f>
        <v>CCES11K8</v>
      </c>
      <c r="O3" s="86" t="str">
        <f>$Q$1&amp;$C$1&amp;$O$1&amp;$C3&amp;RIGHT(A3,1)</f>
        <v>CCES12K8</v>
      </c>
      <c r="P3" s="87"/>
      <c r="Q3" s="92" t="str">
        <f>RTD("cqg.rtd", ,"ContractData", $Q$1&amp;"?"&amp;R36, "Symbol")</f>
        <v>CCEK8</v>
      </c>
      <c r="R3" s="90">
        <f>IF(RTD("cqg.rtd",,"ContractData",Q3,$R$1,,"T")="",RTD("cqg.rtd",,"ContractData",Q3,"Y_Settlement",,"T"),RTD("cqg.rtd",,"ContractData",Q3,$R$1,,"T"))</f>
        <v>2000</v>
      </c>
      <c r="S3" s="90">
        <f>RTD("cqg.rtd", ,"ContractData", Q3,$S$1,,"T")</f>
        <v>2001</v>
      </c>
      <c r="T3" s="90">
        <f>RTD("cqg.rtd", ,"ContractData", Q3,$T$1,,"T")</f>
        <v>2002</v>
      </c>
      <c r="U3" s="93">
        <f>RTD("cqg.rtd", ,"ContractData", Q3, $U$1,,"T")</f>
        <v>-42</v>
      </c>
      <c r="V3" s="87" t="str">
        <f>E2</f>
        <v>CCES2H8</v>
      </c>
      <c r="W3" s="93">
        <f>IF(RTD("cqg.rtd", ,"ContractData", V3, $W$1,,"T")="",NA(),RTD("cqg.rtd", ,"ContractData", V3, $W$1,,"T"))</f>
        <v>-12</v>
      </c>
      <c r="X3" s="93">
        <f>RTD("cqg.rtd", ,"ContractData", V3, $X$1,,"T")</f>
        <v>1</v>
      </c>
      <c r="Y3" s="93">
        <f>RTD("cqg.rtd", ,"ContractData",V3,$Y$1,,"T")</f>
        <v>-13</v>
      </c>
      <c r="Z3" s="93">
        <f>RTD("cqg.rtd", ,"ContractData", V3,$Z$1,,"T")</f>
        <v>-12</v>
      </c>
      <c r="AA3" s="93">
        <f t="shared" ref="AA3:AA11" si="13">IFERROR((Y3+Z3)/2,NA())</f>
        <v>-12.5</v>
      </c>
      <c r="AB3" s="93">
        <f t="shared" si="1"/>
        <v>2001.5</v>
      </c>
      <c r="AC3" s="93">
        <f>IF(OR(R3="",R3&lt;S3,R3&gt;T3),(S3+T3)/2,R3)</f>
        <v>2001.5</v>
      </c>
      <c r="AD3" s="93">
        <f t="shared" ref="AD3:AD11" si="14">IF(OR(Y3="",Z3=""),NA(),(IF(OR(W3="",W3&lt;Y3,W3&gt;Z3),(Y3+Z3)/2,W3)))</f>
        <v>-12</v>
      </c>
      <c r="AE3" s="94">
        <f t="shared" ref="AE3:AE9" si="15">IF($AJ$11=2,AH3,AA3)</f>
        <v>-12.5</v>
      </c>
      <c r="AF3" s="86" t="str">
        <f>RIGHT(RTD("cqg.rtd", ,"ContractData", V3,"LongDescription",,"T"),14)</f>
        <v>Mar 18, Jul 18</v>
      </c>
      <c r="AH3" s="94">
        <f xml:space="preserve"> RTD("cqg.rtd",,"StudyData",V3, "FG",, "Close","D","","all",,,,"T")</f>
        <v>-12</v>
      </c>
      <c r="AI3" s="86">
        <f>IF(AJ12=2, RTD("cqg.rtd",,"StudyData",V3, "FG",, "Close","D","","all",,,,"T")-RTD("cqg.rtd",,"StudyData",V3, "FG",, "Close","D","-2","all",,,,"T"),X3)</f>
        <v>1</v>
      </c>
      <c r="AJ3" s="95"/>
    </row>
    <row r="4" spans="1:36" x14ac:dyDescent="0.2">
      <c r="A4" s="85" t="str">
        <f t="shared" si="2"/>
        <v>CCEN8</v>
      </c>
      <c r="B4" s="85" t="str">
        <f>RTD("cqg.rtd", ,"ContractData",A4, "ContractMonth")</f>
        <v>JUL</v>
      </c>
      <c r="C4" s="91" t="str">
        <f t="shared" si="3"/>
        <v>N</v>
      </c>
      <c r="D4" s="86" t="str">
        <f t="shared" si="0"/>
        <v>CCES1N8</v>
      </c>
      <c r="E4" s="86" t="str">
        <f t="shared" si="4"/>
        <v>CCES2N8</v>
      </c>
      <c r="F4" s="86" t="str">
        <f t="shared" si="5"/>
        <v>CCES3N8</v>
      </c>
      <c r="G4" s="86" t="str">
        <f t="shared" si="6"/>
        <v>CCES4N8</v>
      </c>
      <c r="H4" s="86" t="str">
        <f t="shared" si="7"/>
        <v>CCES5N8</v>
      </c>
      <c r="I4" s="86" t="str">
        <f t="shared" si="8"/>
        <v>CCES6N8</v>
      </c>
      <c r="J4" s="86" t="str">
        <f t="shared" si="9"/>
        <v>CCES7N8</v>
      </c>
      <c r="K4" s="86" t="str">
        <f t="shared" si="10"/>
        <v>CCES8N8</v>
      </c>
      <c r="L4" s="86" t="str">
        <f t="shared" si="11"/>
        <v>CCES9N8</v>
      </c>
      <c r="M4" s="86" t="str">
        <f t="shared" si="12"/>
        <v>CCES10N8</v>
      </c>
      <c r="N4" s="86" t="str">
        <f>$Q$1&amp;$C$1&amp;$N$1&amp;$C4&amp;RIGHT(A4,1)</f>
        <v>CCES11N8</v>
      </c>
      <c r="P4" s="87"/>
      <c r="Q4" s="92" t="str">
        <f>RTD("cqg.rtd", ,"ContractData", $Q$1&amp;"?"&amp;R37, "Symbol")</f>
        <v>CCEN8</v>
      </c>
      <c r="R4" s="90">
        <f>IF(RTD("cqg.rtd",,"ContractData",Q4,$R$1,,"T")="",RTD("cqg.rtd",,"ContractData",Q4,"Y_Settlement",,"T"),RTD("cqg.rtd",,"ContractData",Q4,$R$1,,"T"))</f>
        <v>2011</v>
      </c>
      <c r="S4" s="90">
        <f>RTD("cqg.rtd", ,"ContractData", Q4,$S$1,,"T")</f>
        <v>2012</v>
      </c>
      <c r="T4" s="90">
        <f>RTD("cqg.rtd", ,"ContractData", Q4,$T$1,,"T")</f>
        <v>2014</v>
      </c>
      <c r="U4" s="93">
        <f>RTD("cqg.rtd", ,"ContractData", Q4, $U$1,,"T")</f>
        <v>-42</v>
      </c>
      <c r="V4" s="87" t="str">
        <f>F2</f>
        <v>CCES3H8</v>
      </c>
      <c r="W4" s="93">
        <f>IF(RTD("cqg.rtd", ,"ContractData", V4, $W$1,,"T")="",NA(),RTD("cqg.rtd", ,"ContractData", V4, $W$1,,"T"))</f>
        <v>-27</v>
      </c>
      <c r="X4" s="93">
        <f>RTD("cqg.rtd", ,"ContractData", V4, $X$1,,"T")</f>
        <v>2</v>
      </c>
      <c r="Y4" s="93">
        <f>RTD("cqg.rtd", ,"ContractData",V4,$Y$1,,"T")</f>
        <v>-28</v>
      </c>
      <c r="Z4" s="93">
        <f>RTD("cqg.rtd", ,"ContractData", V4,$Z$1,,"T")</f>
        <v>-26</v>
      </c>
      <c r="AA4" s="93">
        <f t="shared" si="13"/>
        <v>-27</v>
      </c>
      <c r="AB4" s="93">
        <f t="shared" si="1"/>
        <v>2013</v>
      </c>
      <c r="AC4" s="93">
        <f t="shared" ref="AC4:AC11" si="16">IF(OR(R4="",R4&lt;S4,R4&gt;T4),(S4+T4)/2,R4)</f>
        <v>2013</v>
      </c>
      <c r="AD4" s="93">
        <f t="shared" si="14"/>
        <v>-27</v>
      </c>
      <c r="AE4" s="94">
        <f t="shared" si="15"/>
        <v>-27</v>
      </c>
      <c r="AF4" s="86" t="str">
        <f>RIGHT(RTD("cqg.rtd", ,"ContractData", V4,"LongDescription",,"T"),14)</f>
        <v>Mar 18, Sep 18</v>
      </c>
      <c r="AH4" s="94">
        <f xml:space="preserve"> RTD("cqg.rtd",,"StudyData",V4, "FG",, "Close","D","","all",,,,"T")</f>
        <v>-27</v>
      </c>
      <c r="AI4" s="86">
        <f>IF(AJ13=2, RTD("cqg.rtd",,"StudyData",V4, "FG",, "Close","D","","all",,,,"T")-RTD("cqg.rtd",,"StudyData",V4, "FG",, "Close","D","-2","all",,,,"T"),X4)</f>
        <v>2</v>
      </c>
      <c r="AJ4" s="96">
        <v>0.15625</v>
      </c>
    </row>
    <row r="5" spans="1:36" x14ac:dyDescent="0.2">
      <c r="A5" s="85" t="str">
        <f t="shared" si="2"/>
        <v>CCEU8</v>
      </c>
      <c r="B5" s="85" t="str">
        <f>RTD("cqg.rtd", ,"ContractData",A5, "ContractMonth")</f>
        <v>SEP</v>
      </c>
      <c r="C5" s="91" t="str">
        <f t="shared" si="3"/>
        <v>U</v>
      </c>
      <c r="D5" s="86" t="str">
        <f t="shared" si="0"/>
        <v>CCES1U8</v>
      </c>
      <c r="E5" s="86" t="str">
        <f t="shared" si="4"/>
        <v>CCES2U8</v>
      </c>
      <c r="F5" s="86" t="str">
        <f t="shared" si="5"/>
        <v>CCES3U8</v>
      </c>
      <c r="G5" s="86" t="str">
        <f t="shared" si="6"/>
        <v>CCES4U8</v>
      </c>
      <c r="H5" s="86" t="str">
        <f t="shared" si="7"/>
        <v>CCES5U8</v>
      </c>
      <c r="I5" s="86" t="str">
        <f t="shared" si="8"/>
        <v>CCES6U8</v>
      </c>
      <c r="J5" s="86" t="str">
        <f t="shared" si="9"/>
        <v>CCES7U8</v>
      </c>
      <c r="K5" s="86" t="str">
        <f t="shared" si="10"/>
        <v>CCES8U8</v>
      </c>
      <c r="L5" s="86" t="str">
        <f t="shared" si="11"/>
        <v>CCES9U8</v>
      </c>
      <c r="M5" s="86" t="str">
        <f t="shared" si="12"/>
        <v>CCES10U8</v>
      </c>
      <c r="P5" s="87"/>
      <c r="Q5" s="92" t="str">
        <f>RTD("cqg.rtd", ,"ContractData", $Q$1&amp;"?"&amp;R38, "Symbol")</f>
        <v>CCEU8</v>
      </c>
      <c r="R5" s="90">
        <f>IF(RTD("cqg.rtd",,"ContractData",Q5,$R$1,,"T")="",RTD("cqg.rtd",,"ContractData",Q5,"Y_Settlement",,"T"),RTD("cqg.rtd",,"ContractData",Q5,$R$1,,"T"))</f>
        <v>2024</v>
      </c>
      <c r="S5" s="90">
        <f>RTD("cqg.rtd", ,"ContractData", Q5,$S$1,,"T")</f>
        <v>2027</v>
      </c>
      <c r="T5" s="90">
        <f>RTD("cqg.rtd", ,"ContractData", Q5,$T$1,,"T")</f>
        <v>2029</v>
      </c>
      <c r="U5" s="93">
        <f>RTD("cqg.rtd", ,"ContractData", Q5, $U$1,,"T")</f>
        <v>-42</v>
      </c>
      <c r="V5" s="87" t="str">
        <f>G2</f>
        <v>CCES4H8</v>
      </c>
      <c r="W5" s="93">
        <f>IF(RTD("cqg.rtd", ,"ContractData", V5, $W$1,,"T")="",NA(),RTD("cqg.rtd", ,"ContractData", V5, $W$1,,"T"))</f>
        <v>-46</v>
      </c>
      <c r="X5" s="93">
        <f>RTD("cqg.rtd", ,"ContractData", V5, $X$1,,"T")</f>
        <v>1</v>
      </c>
      <c r="Y5" s="93">
        <f>RTD("cqg.rtd", ,"ContractData",V5,$Y$1,,"T")</f>
        <v>-46</v>
      </c>
      <c r="Z5" s="93">
        <f>RTD("cqg.rtd", ,"ContractData", V5,$Z$1,,"T")</f>
        <v>-44</v>
      </c>
      <c r="AA5" s="93">
        <f t="shared" si="13"/>
        <v>-45</v>
      </c>
      <c r="AB5" s="93">
        <f t="shared" si="1"/>
        <v>2028</v>
      </c>
      <c r="AC5" s="93">
        <f t="shared" si="16"/>
        <v>2028</v>
      </c>
      <c r="AD5" s="93">
        <f t="shared" si="14"/>
        <v>-46</v>
      </c>
      <c r="AE5" s="94">
        <f t="shared" si="15"/>
        <v>-45</v>
      </c>
      <c r="AF5" s="86" t="str">
        <f>RIGHT(RTD("cqg.rtd", ,"ContractData", V5,"LongDescription",,"T"),14)</f>
        <v>Mar 18, Dec 18</v>
      </c>
      <c r="AH5" s="94">
        <f xml:space="preserve"> RTD("cqg.rtd",,"StudyData",V5, "FG",, "Close","D","","all",,,,"T")</f>
        <v>-46</v>
      </c>
      <c r="AI5" s="86">
        <f>IF(AJ14=2, RTD("cqg.rtd",,"StudyData",V5, "FG",, "Close","D","","all",,,,"T")-RTD("cqg.rtd",,"StudyData",V5, "FG",, "Close","D","-2","all",,,,"T"),X5)</f>
        <v>1</v>
      </c>
      <c r="AJ5" s="96">
        <v>0.52083333333333337</v>
      </c>
    </row>
    <row r="6" spans="1:36" x14ac:dyDescent="0.2">
      <c r="A6" s="85" t="str">
        <f t="shared" si="2"/>
        <v>CCEZ8</v>
      </c>
      <c r="B6" s="85" t="str">
        <f>RTD("cqg.rtd", ,"ContractData",A6, "ContractMonth")</f>
        <v>DEC</v>
      </c>
      <c r="C6" s="91" t="str">
        <f t="shared" si="3"/>
        <v>Z</v>
      </c>
      <c r="D6" s="86" t="str">
        <f t="shared" si="0"/>
        <v>CCES1Z8</v>
      </c>
      <c r="E6" s="86" t="str">
        <f t="shared" si="4"/>
        <v>CCES2Z8</v>
      </c>
      <c r="F6" s="86" t="str">
        <f t="shared" si="5"/>
        <v>CCES3Z8</v>
      </c>
      <c r="G6" s="86" t="str">
        <f t="shared" si="6"/>
        <v>CCES4Z8</v>
      </c>
      <c r="H6" s="86" t="str">
        <f t="shared" si="7"/>
        <v>CCES5Z8</v>
      </c>
      <c r="I6" s="86" t="str">
        <f t="shared" si="8"/>
        <v>CCES6Z8</v>
      </c>
      <c r="J6" s="86" t="str">
        <f t="shared" si="9"/>
        <v>CCES7Z8</v>
      </c>
      <c r="K6" s="86" t="str">
        <f t="shared" si="10"/>
        <v>CCES8Z8</v>
      </c>
      <c r="L6" s="86" t="str">
        <f t="shared" si="11"/>
        <v>CCES9Z8</v>
      </c>
      <c r="P6" s="87"/>
      <c r="Q6" s="92" t="str">
        <f>RTD("cqg.rtd", ,"ContractData", $Q$1&amp;"?"&amp;R39, "Symbol")</f>
        <v>CCEZ8</v>
      </c>
      <c r="R6" s="90">
        <f>IF(RTD("cqg.rtd",,"ContractData",Q6,$R$1,,"T")="",RTD("cqg.rtd",,"ContractData",Q6,"Y_Settlement",,"T"),RTD("cqg.rtd",,"ContractData",Q6,$R$1,,"T"))</f>
        <v>2042</v>
      </c>
      <c r="S6" s="90">
        <f>RTD("cqg.rtd", ,"ContractData", Q6,$S$1,,"T")</f>
        <v>2045</v>
      </c>
      <c r="T6" s="90">
        <f>RTD("cqg.rtd", ,"ContractData", Q6,$T$1,,"T")</f>
        <v>2047</v>
      </c>
      <c r="U6" s="93">
        <f>RTD("cqg.rtd", ,"ContractData", Q6, $U$1,,"T")</f>
        <v>-41</v>
      </c>
      <c r="V6" s="87" t="str">
        <f>H2</f>
        <v>CCES5H8</v>
      </c>
      <c r="W6" s="93">
        <f>IF(RTD("cqg.rtd", ,"ContractData", V6, $W$1,,"T")="",NA(),RTD("cqg.rtd", ,"ContractData", V6, $W$1,,"T"))</f>
        <v>-64</v>
      </c>
      <c r="X6" s="93">
        <f>RTD("cqg.rtd", ,"ContractData", V6, $X$1,,"T")</f>
        <v>0</v>
      </c>
      <c r="Y6" s="93">
        <f>RTD("cqg.rtd", ,"ContractData",V6,$Y$1,,"T")</f>
        <v>-64</v>
      </c>
      <c r="Z6" s="93">
        <f>RTD("cqg.rtd", ,"ContractData", V6,$Z$1,,"T")</f>
        <v>-61</v>
      </c>
      <c r="AA6" s="93">
        <f t="shared" si="13"/>
        <v>-62.5</v>
      </c>
      <c r="AB6" s="93">
        <f t="shared" si="1"/>
        <v>2046</v>
      </c>
      <c r="AC6" s="93">
        <f t="shared" si="16"/>
        <v>2046</v>
      </c>
      <c r="AD6" s="93">
        <f t="shared" si="14"/>
        <v>-64</v>
      </c>
      <c r="AE6" s="94">
        <f t="shared" si="15"/>
        <v>-62.5</v>
      </c>
      <c r="AF6" s="86" t="str">
        <f>RIGHT(RTD("cqg.rtd", ,"ContractData", V6,"LongDescription",,"T"),14)</f>
        <v>Mar 18, Mar 19</v>
      </c>
      <c r="AH6" s="94">
        <f xml:space="preserve"> RTD("cqg.rtd",,"StudyData",V6, "FG",, "Close","D","","all",,,,"T")</f>
        <v>-64</v>
      </c>
      <c r="AI6" s="86">
        <f>IF(AJ15=2, RTD("cqg.rtd",,"StudyData",V6, "FG",, "Close","D","","all",,,,"T")-RTD("cqg.rtd",,"StudyData",V6, "FG",, "Close","D","-2","all",,,,"T"),X6)</f>
        <v>0</v>
      </c>
      <c r="AJ6" s="96"/>
    </row>
    <row r="7" spans="1:36" x14ac:dyDescent="0.2">
      <c r="A7" s="85" t="str">
        <f t="shared" si="2"/>
        <v>CCEH9</v>
      </c>
      <c r="B7" s="85" t="str">
        <f>RTD("cqg.rtd", ,"ContractData",A7, "ContractMonth")</f>
        <v>MAR</v>
      </c>
      <c r="C7" s="91" t="str">
        <f t="shared" si="3"/>
        <v>H</v>
      </c>
      <c r="D7" s="86" t="str">
        <f t="shared" si="0"/>
        <v>CCES1H9</v>
      </c>
      <c r="E7" s="86" t="str">
        <f t="shared" si="4"/>
        <v>CCES2H9</v>
      </c>
      <c r="F7" s="86" t="str">
        <f t="shared" si="5"/>
        <v>CCES3H9</v>
      </c>
      <c r="G7" s="86" t="str">
        <f t="shared" si="6"/>
        <v>CCES4H9</v>
      </c>
      <c r="H7" s="86" t="str">
        <f t="shared" si="7"/>
        <v>CCES5H9</v>
      </c>
      <c r="I7" s="86" t="str">
        <f t="shared" si="8"/>
        <v>CCES6H9</v>
      </c>
      <c r="J7" s="86" t="str">
        <f t="shared" si="9"/>
        <v>CCES7H9</v>
      </c>
      <c r="K7" s="86" t="str">
        <f t="shared" si="10"/>
        <v>CCES8H9</v>
      </c>
      <c r="P7" s="87"/>
      <c r="Q7" s="92" t="str">
        <f>RTD("cqg.rtd", ,"ContractData", $Q$1&amp;"?"&amp;R40, "Symbol")</f>
        <v>CCEH9</v>
      </c>
      <c r="R7" s="90">
        <f>IF(RTD("cqg.rtd",,"ContractData",Q7,$R$1,,"T")="",RTD("cqg.rtd",,"ContractData",Q7,"Y_Settlement",,"T"),RTD("cqg.rtd",,"ContractData",Q7,$R$1,,"T"))</f>
        <v>2062</v>
      </c>
      <c r="S7" s="90">
        <f>RTD("cqg.rtd", ,"ContractData", Q7,$S$1,,"T")</f>
        <v>2062</v>
      </c>
      <c r="T7" s="90">
        <f>RTD("cqg.rtd", ,"ContractData", Q7,$T$1,,"T")</f>
        <v>2065</v>
      </c>
      <c r="U7" s="93">
        <f>RTD("cqg.rtd", ,"ContractData", Q7, $U$1,,"T")</f>
        <v>-40</v>
      </c>
      <c r="V7" s="87" t="str">
        <f>I2</f>
        <v>CCES6H8</v>
      </c>
      <c r="W7" s="93" t="e">
        <f>IF(RTD("cqg.rtd", ,"ContractData", V7, $W$1,,"T")="",NA(),RTD("cqg.rtd", ,"ContractData", V7, $W$1,,"T"))</f>
        <v>#N/A</v>
      </c>
      <c r="X7" s="93">
        <f>RTD("cqg.rtd", ,"ContractData", V7, $X$1,,"T")</f>
        <v>0</v>
      </c>
      <c r="Y7" s="93">
        <f>RTD("cqg.rtd", ,"ContractData",V7,$Y$1,,"T")</f>
        <v>-79</v>
      </c>
      <c r="Z7" s="93">
        <f>RTD("cqg.rtd", ,"ContractData", V7,$Z$1,,"T")</f>
        <v>-74</v>
      </c>
      <c r="AA7" s="93">
        <f t="shared" si="13"/>
        <v>-76.5</v>
      </c>
      <c r="AB7" s="93">
        <f t="shared" si="1"/>
        <v>2062</v>
      </c>
      <c r="AC7" s="93">
        <f t="shared" si="16"/>
        <v>2062</v>
      </c>
      <c r="AD7" s="93" t="e">
        <f t="shared" si="14"/>
        <v>#N/A</v>
      </c>
      <c r="AE7" s="94">
        <f t="shared" si="15"/>
        <v>-76.5</v>
      </c>
      <c r="AF7" s="86" t="str">
        <f>RIGHT(RTD("cqg.rtd", ,"ContractData", V7,"LongDescription",,"T"),14)</f>
        <v>Mar 18, May 19</v>
      </c>
      <c r="AH7" s="94">
        <f xml:space="preserve"> RTD("cqg.rtd",,"StudyData",V7, "FG",, "Close","D","","all",,,,"T")</f>
        <v>-74</v>
      </c>
      <c r="AI7" s="86">
        <f>IF(AJ16=2, RTD("cqg.rtd",,"StudyData",V7, "FG",, "Close","D","","all",,,,"T")-RTD("cqg.rtd",,"StudyData",V7, "FG",, "Close","D","-2","all",,,,"T"),X7)</f>
        <v>0</v>
      </c>
    </row>
    <row r="8" spans="1:36" x14ac:dyDescent="0.2">
      <c r="A8" s="85" t="str">
        <f t="shared" si="2"/>
        <v>CCEK9</v>
      </c>
      <c r="B8" s="85" t="str">
        <f>RTD("cqg.rtd", ,"ContractData",A8, "ContractMonth")</f>
        <v>MAY</v>
      </c>
      <c r="C8" s="91" t="str">
        <f t="shared" si="3"/>
        <v>K</v>
      </c>
      <c r="D8" s="86" t="str">
        <f t="shared" si="0"/>
        <v>CCES1K9</v>
      </c>
      <c r="E8" s="86" t="str">
        <f t="shared" si="4"/>
        <v>CCES2K9</v>
      </c>
      <c r="F8" s="86" t="str">
        <f t="shared" si="5"/>
        <v>CCES3K9</v>
      </c>
      <c r="G8" s="86" t="str">
        <f t="shared" si="6"/>
        <v>CCES4K9</v>
      </c>
      <c r="H8" s="86" t="str">
        <f t="shared" si="7"/>
        <v>CCES5K9</v>
      </c>
      <c r="I8" s="86" t="str">
        <f t="shared" si="8"/>
        <v>CCES6K9</v>
      </c>
      <c r="J8" s="86" t="str">
        <f t="shared" si="9"/>
        <v>CCES7K9</v>
      </c>
      <c r="P8" s="87"/>
      <c r="Q8" s="92" t="str">
        <f>RTD("cqg.rtd", ,"ContractData", $Q$1&amp;"?"&amp;R41, "Symbol")</f>
        <v>CCEK9</v>
      </c>
      <c r="R8" s="90">
        <f>IF(RTD("cqg.rtd",,"ContractData",Q8,$R$1,,"T")="",RTD("cqg.rtd",,"ContractData",Q8,"Y_Settlement",,"T"),RTD("cqg.rtd",,"ContractData",Q8,$R$1,,"T"))</f>
        <v>2115</v>
      </c>
      <c r="S8" s="90">
        <f>RTD("cqg.rtd", ,"ContractData", Q8,$S$1,,"T")</f>
        <v>2075</v>
      </c>
      <c r="T8" s="90">
        <f>RTD("cqg.rtd", ,"ContractData", Q8,$T$1,,"T")</f>
        <v>2080</v>
      </c>
      <c r="U8" s="93">
        <f>RTD("cqg.rtd", ,"ContractData", Q8, $U$1,,"T")</f>
        <v>-40</v>
      </c>
      <c r="V8" s="87" t="str">
        <f>J2</f>
        <v>CCES7H8</v>
      </c>
      <c r="W8" s="93" t="e">
        <f>IF(RTD("cqg.rtd", ,"ContractData", V8, $W$1,,"T")="",NA(),RTD("cqg.rtd", ,"ContractData", V8, $W$1,,"T"))</f>
        <v>#N/A</v>
      </c>
      <c r="X8" s="93">
        <f>RTD("cqg.rtd", ,"ContractData", V8, $X$1,,"T")</f>
        <v>1</v>
      </c>
      <c r="Y8" s="93">
        <f>RTD("cqg.rtd", ,"ContractData",V8,$Y$1,,"T")</f>
        <v>-92</v>
      </c>
      <c r="Z8" s="93">
        <f>RTD("cqg.rtd", ,"ContractData", V8,$Z$1,,"T")</f>
        <v>-87</v>
      </c>
      <c r="AA8" s="93">
        <f t="shared" si="13"/>
        <v>-89.5</v>
      </c>
      <c r="AB8" s="93">
        <f>IF(OR(S8="",T8=""),R8,(IF(OR(R8="",R8&lt;S8,R8&gt;T8),(S8+T8)/2,R8)))</f>
        <v>2077.5</v>
      </c>
      <c r="AC8" s="93">
        <f t="shared" si="16"/>
        <v>2077.5</v>
      </c>
      <c r="AD8" s="93" t="e">
        <f t="shared" si="14"/>
        <v>#N/A</v>
      </c>
      <c r="AE8" s="94">
        <f t="shared" si="15"/>
        <v>-89.5</v>
      </c>
      <c r="AF8" s="86" t="str">
        <f>RIGHT(RTD("cqg.rtd", ,"ContractData", V8,"LongDescription",,"T"),14)</f>
        <v>Mar 18, Jul 19</v>
      </c>
      <c r="AH8" s="94">
        <f xml:space="preserve"> RTD("cqg.rtd",,"StudyData",V8, "FG",, "Close","D","","all",,,,"T")</f>
        <v>-88</v>
      </c>
      <c r="AI8" s="86">
        <f>IF(AJ17=2, RTD("cqg.rtd",,"StudyData",V8, "FG",, "Close","D","","all",,,,"T")-RTD("cqg.rtd",,"StudyData",V8, "FG",, "Close","D","-2","all",,,,"T"),X8)</f>
        <v>1</v>
      </c>
    </row>
    <row r="9" spans="1:36" x14ac:dyDescent="0.2">
      <c r="A9" s="85" t="str">
        <f t="shared" si="2"/>
        <v>CCEN9</v>
      </c>
      <c r="B9" s="85" t="str">
        <f>RTD("cqg.rtd", ,"ContractData",A9, "ContractMonth")</f>
        <v>JUL</v>
      </c>
      <c r="C9" s="91" t="str">
        <f t="shared" si="3"/>
        <v>N</v>
      </c>
      <c r="D9" s="86" t="str">
        <f t="shared" si="0"/>
        <v>CCES1N9</v>
      </c>
      <c r="E9" s="86" t="str">
        <f t="shared" si="4"/>
        <v>CCES2N9</v>
      </c>
      <c r="F9" s="86" t="str">
        <f t="shared" si="5"/>
        <v>CCES3N9</v>
      </c>
      <c r="G9" s="86" t="str">
        <f t="shared" si="6"/>
        <v>CCES4N9</v>
      </c>
      <c r="H9" s="86" t="str">
        <f t="shared" si="7"/>
        <v>CCES5N9</v>
      </c>
      <c r="I9" s="86" t="str">
        <f t="shared" si="8"/>
        <v>CCES6N9</v>
      </c>
      <c r="P9" s="87"/>
      <c r="Q9" s="92" t="str">
        <f>RTD("cqg.rtd", ,"ContractData", $Q$1&amp;"?"&amp;R42, "Symbol")</f>
        <v>CCEN9</v>
      </c>
      <c r="R9" s="90">
        <f>IF(RTD("cqg.rtd",,"ContractData",Q9,$R$1,,"T")="",RTD("cqg.rtd",,"ContractData",Q9,"Y_Settlement",,"T"),RTD("cqg.rtd",,"ContractData",Q9,$R$1,,"T"))</f>
        <v>2129</v>
      </c>
      <c r="S9" s="90">
        <f>RTD("cqg.rtd", ,"ContractData", Q9,$S$1,,"T")</f>
        <v>2088</v>
      </c>
      <c r="T9" s="90">
        <f>RTD("cqg.rtd", ,"ContractData", Q9,$T$1,,"T")</f>
        <v>2093</v>
      </c>
      <c r="U9" s="93">
        <f>RTD("cqg.rtd", ,"ContractData", Q9, $U$1,,"T")</f>
        <v>-41</v>
      </c>
      <c r="V9" s="87" t="str">
        <f>K2</f>
        <v>CCES8H8</v>
      </c>
      <c r="W9" s="93" t="e">
        <f>IF(RTD("cqg.rtd", ,"ContractData", V9, $W$1,,"T")="",NA(),RTD("cqg.rtd", ,"ContractData", V9, $W$1,,"T"))</f>
        <v>#N/A</v>
      </c>
      <c r="X9" s="93">
        <f>RTD("cqg.rtd", ,"ContractData", V9, $X$1,,"T")</f>
        <v>1</v>
      </c>
      <c r="Y9" s="93">
        <f>RTD("cqg.rtd", ,"ContractData",V9,$Y$1,,"T")</f>
        <v>-103</v>
      </c>
      <c r="Z9" s="93">
        <f>RTD("cqg.rtd", ,"ContractData", V9,$Z$1,,"T")</f>
        <v>-99</v>
      </c>
      <c r="AA9" s="93">
        <f t="shared" si="13"/>
        <v>-101</v>
      </c>
      <c r="AB9" s="93">
        <f t="shared" ref="AB9:AB10" si="17">IF(OR(S9="",T9=""),R9,(IF(OR(R9="",R9&lt;S9,R9&gt;T9),(S9+T9)/2,R9)))</f>
        <v>2090.5</v>
      </c>
      <c r="AC9" s="93">
        <f t="shared" si="16"/>
        <v>2090.5</v>
      </c>
      <c r="AD9" s="93" t="e">
        <f t="shared" si="14"/>
        <v>#N/A</v>
      </c>
      <c r="AE9" s="94">
        <f t="shared" si="15"/>
        <v>-101</v>
      </c>
      <c r="AF9" s="86" t="str">
        <f>RIGHT(RTD("cqg.rtd", ,"ContractData", V9,"LongDescription",,"T"),14)</f>
        <v>Mar 18, Sep 19</v>
      </c>
      <c r="AH9" s="94">
        <f xml:space="preserve"> RTD("cqg.rtd",,"StudyData",V9, "FG",, "Close","D","","all",,,,"T")</f>
        <v>-100</v>
      </c>
      <c r="AI9" s="86">
        <f>IF(AJ18=2, RTD("cqg.rtd",,"StudyData",V9, "FG",, "Close","D","","all",,,,"T")-RTD("cqg.rtd",,"StudyData",V9, "FG",, "Close","D","-2","all",,,,"T"),X9)</f>
        <v>1</v>
      </c>
      <c r="AJ9" s="95"/>
    </row>
    <row r="10" spans="1:36" x14ac:dyDescent="0.2">
      <c r="A10" s="85" t="str">
        <f t="shared" si="2"/>
        <v>CCEU9</v>
      </c>
      <c r="B10" s="85" t="str">
        <f>RTD("cqg.rtd", ,"ContractData",A10, "ContractMonth")</f>
        <v>SEP</v>
      </c>
      <c r="C10" s="91" t="str">
        <f t="shared" si="3"/>
        <v>U</v>
      </c>
      <c r="D10" s="86" t="str">
        <f t="shared" si="0"/>
        <v>CCES1U9</v>
      </c>
      <c r="E10" s="86" t="str">
        <f t="shared" si="4"/>
        <v>CCES2U9</v>
      </c>
      <c r="F10" s="86" t="str">
        <f t="shared" si="5"/>
        <v>CCES3U9</v>
      </c>
      <c r="G10" s="86" t="str">
        <f t="shared" si="6"/>
        <v>CCES4U9</v>
      </c>
      <c r="H10" s="86" t="str">
        <f t="shared" si="7"/>
        <v>CCES5U9</v>
      </c>
      <c r="P10" s="87"/>
      <c r="Q10" s="92" t="str">
        <f>RTD("cqg.rtd", ,"ContractData", $Q$1&amp;"?"&amp;R43, "Symbol")</f>
        <v>CCEU9</v>
      </c>
      <c r="R10" s="90">
        <f>IF(RTD("cqg.rtd",,"ContractData",Q10,$R$1,,"T")="",RTD("cqg.rtd",,"ContractData",Q10,"Y_Settlement",,"T"),RTD("cqg.rtd",,"ContractData",Q10,$R$1,,"T"))</f>
        <v>2100</v>
      </c>
      <c r="S10" s="90">
        <f>RTD("cqg.rtd", ,"ContractData", Q10,$S$1,,"T")</f>
        <v>2100</v>
      </c>
      <c r="T10" s="90">
        <f>RTD("cqg.rtd", ,"ContractData", Q10,$T$1,,"T")</f>
        <v>2104</v>
      </c>
      <c r="U10" s="93">
        <f>RTD("cqg.rtd", ,"ContractData", Q10, $U$1,,"T")</f>
        <v>-41</v>
      </c>
      <c r="V10" s="87" t="str">
        <f>L2</f>
        <v>CCES9H8</v>
      </c>
      <c r="W10" s="93"/>
      <c r="X10" s="93"/>
      <c r="Y10" s="93"/>
      <c r="Z10" s="93"/>
      <c r="AA10" s="93">
        <f t="shared" si="13"/>
        <v>0</v>
      </c>
      <c r="AB10" s="93">
        <f t="shared" si="17"/>
        <v>2100</v>
      </c>
      <c r="AC10" s="93">
        <f t="shared" si="16"/>
        <v>2100</v>
      </c>
      <c r="AD10" s="93" t="e">
        <f t="shared" si="14"/>
        <v>#N/A</v>
      </c>
      <c r="AE10" s="94"/>
      <c r="AH10" s="94"/>
      <c r="AI10" s="86">
        <f>IF(AJ19=2, RTD("cqg.rtd",,"StudyData",V10, "FG",, "Close","D","","all",,,,"T")-RTD("cqg.rtd",,"StudyData",V10, "FG",, "Close","D","-2","all",,,,"T"),X10)</f>
        <v>0</v>
      </c>
    </row>
    <row r="11" spans="1:36" x14ac:dyDescent="0.2">
      <c r="A11" s="85"/>
      <c r="B11" s="85"/>
      <c r="C11" s="91"/>
      <c r="P11" s="87"/>
      <c r="Q11" s="92" t="str">
        <f>RTD("cqg.rtd", ,"ContractData", $Q$1&amp;"?"&amp;R44, "Symbol")</f>
        <v>S.CCE</v>
      </c>
      <c r="R11" s="90">
        <f>IF(RTD("cqg.rtd",,"ContractData",Q11,$R$1,,"T")="",RTD("cqg.rtd",,"ContractData",Q11,"Y_Settlement",,"T"),RTD("cqg.rtd",,"ContractData",Q11,$R$1,,"T"))</f>
        <v>40.130000000000003</v>
      </c>
      <c r="S11" s="90">
        <f>RTD("cqg.rtd", ,"ContractData", Q11,$S$1,,"T")</f>
        <v>40.119999999999997</v>
      </c>
      <c r="T11" s="90">
        <f>RTD("cqg.rtd", ,"ContractData", Q11,$T$1,,"T")</f>
        <v>40.130000000000003</v>
      </c>
      <c r="U11" s="93">
        <f>RTD("cqg.rtd", ,"ContractData", Q11, $U$1,,"T")</f>
        <v>0.38</v>
      </c>
      <c r="V11" s="87" t="str">
        <f>M2</f>
        <v>CCES10H8</v>
      </c>
      <c r="W11" s="93"/>
      <c r="X11" s="93"/>
      <c r="Y11" s="93"/>
      <c r="Z11" s="93"/>
      <c r="AA11" s="93">
        <f t="shared" si="13"/>
        <v>0</v>
      </c>
      <c r="AB11" s="93">
        <f>IF(OR(S11="",T11=""),R11,(IF(OR(R11="",R11&lt;S11,R11&gt;T11),(S11+T11)/2,R11)))</f>
        <v>40.130000000000003</v>
      </c>
      <c r="AC11" s="93">
        <f t="shared" si="16"/>
        <v>40.130000000000003</v>
      </c>
      <c r="AD11" s="93" t="e">
        <f t="shared" si="14"/>
        <v>#N/A</v>
      </c>
      <c r="AE11" s="94"/>
      <c r="AH11" s="94"/>
      <c r="AI11" s="86">
        <f>IF(AJ20=2, RTD("cqg.rtd",,"StudyData",V11, "FG",, "Close","D","","all",,,,"T")-RTD("cqg.rtd",,"StudyData",V11, "FG",, "Close","D","-2","all",,,,"T"),X11)</f>
        <v>0</v>
      </c>
      <c r="AJ11" s="86">
        <f>IF(AND(AJ2&gt;AJ4,AJ2&lt;AJ5),1,IF(AJ12&gt;0,2))</f>
        <v>1</v>
      </c>
    </row>
    <row r="12" spans="1:36" x14ac:dyDescent="0.2">
      <c r="A12" s="85"/>
      <c r="B12" s="85"/>
      <c r="C12" s="91"/>
      <c r="P12" s="87"/>
      <c r="Q12" s="92" t="str">
        <f>RTD("cqg.rtd", ,"ContractData", $Q$1&amp;"?"&amp;R45, "Symbol")</f>
        <v>S.CCE</v>
      </c>
      <c r="R12" s="90">
        <f>IF(RTD("cqg.rtd",,"ContractData",Q12,$R$1,,"T")="",RTD("cqg.rtd",,"ContractData",Q12,"Y_Settlement",,"T"),RTD("cqg.rtd",,"ContractData",Q12,$R$1,,"T"))</f>
        <v>40.130000000000003</v>
      </c>
      <c r="S12" s="90">
        <f>RTD("cqg.rtd", ,"ContractData", Q12,$S$1,,"T")</f>
        <v>40.119999999999997</v>
      </c>
      <c r="T12" s="90">
        <f>RTD("cqg.rtd", ,"ContractData", Q12,$T$1,,"T")</f>
        <v>40.130000000000003</v>
      </c>
      <c r="U12" s="93">
        <f>RTD("cqg.rtd", ,"ContractData", Q12, $U$1,,"T")</f>
        <v>0.38</v>
      </c>
      <c r="V12" s="87"/>
      <c r="W12" s="93"/>
      <c r="X12" s="93"/>
      <c r="Y12" s="93"/>
      <c r="Z12" s="93"/>
      <c r="AA12" s="93">
        <f t="shared" ref="AA12:AA13" si="18">IFERROR((Y12+Z12)/2,NA())</f>
        <v>0</v>
      </c>
      <c r="AB12" s="93">
        <f t="shared" ref="AB12:AB13" si="19">IF(OR(S12="",T12=""),R12,(IF(OR(R12="",R12&lt;S12,R12&gt;T12),(S12+T12)/2,R12)))</f>
        <v>40.130000000000003</v>
      </c>
      <c r="AC12" s="93">
        <f t="shared" ref="AC12:AC13" si="20">IF(OR(R12="",R12&lt;S12,R12&gt;T12),(S12+T12)/2,R12)</f>
        <v>40.130000000000003</v>
      </c>
      <c r="AD12" s="93"/>
      <c r="AE12" s="94"/>
      <c r="AH12" s="94"/>
      <c r="AJ12" s="86" t="str">
        <f>RTD("cqg.rtd", ,"ContractData", "CCE", "T_Settlement",, "T")</f>
        <v/>
      </c>
    </row>
    <row r="13" spans="1:36" x14ac:dyDescent="0.2">
      <c r="A13" s="85"/>
      <c r="B13" s="85"/>
      <c r="C13" s="91"/>
      <c r="P13" s="87"/>
      <c r="Q13" s="92" t="str">
        <f>RTD("cqg.rtd", ,"ContractData", $Q$1&amp;"?"&amp;R46, "Symbol")</f>
        <v>S.CCE</v>
      </c>
      <c r="R13" s="90">
        <f>IF(RTD("cqg.rtd",,"ContractData",Q13,$R$1,,"T")="",RTD("cqg.rtd",,"ContractData",Q13,"Y_Settlement",,"T"),RTD("cqg.rtd",,"ContractData",Q13,$R$1,,"T"))</f>
        <v>40.130000000000003</v>
      </c>
      <c r="S13" s="90">
        <f>RTD("cqg.rtd", ,"ContractData", Q13,$S$1,,"T")</f>
        <v>40.119999999999997</v>
      </c>
      <c r="T13" s="90">
        <f>RTD("cqg.rtd", ,"ContractData", Q13,$T$1,,"T")</f>
        <v>40.130000000000003</v>
      </c>
      <c r="U13" s="93">
        <f>RTD("cqg.rtd", ,"ContractData", Q13, $U$1,,"T")</f>
        <v>0.38</v>
      </c>
      <c r="V13" s="87"/>
      <c r="W13" s="93"/>
      <c r="X13" s="93"/>
      <c r="Y13" s="93"/>
      <c r="Z13" s="93"/>
      <c r="AA13" s="93">
        <f t="shared" si="18"/>
        <v>0</v>
      </c>
      <c r="AB13" s="93">
        <f t="shared" si="19"/>
        <v>40.130000000000003</v>
      </c>
      <c r="AC13" s="93">
        <f t="shared" si="20"/>
        <v>40.130000000000003</v>
      </c>
      <c r="AD13" s="93"/>
      <c r="AE13" s="94"/>
      <c r="AH13" s="94"/>
    </row>
    <row r="14" spans="1:36" x14ac:dyDescent="0.2">
      <c r="D14" s="86">
        <f>RTD("cqg.rtd", ,"ContractData",D2, "Bate")</f>
        <v>128</v>
      </c>
      <c r="E14" s="86">
        <f>RTD("cqg.rtd", ,"ContractData",E2, "Bate")</f>
        <v>128</v>
      </c>
      <c r="F14" s="86">
        <f>RTD("cqg.rtd", ,"ContractData",F2, "Bate")</f>
        <v>128</v>
      </c>
      <c r="G14" s="86">
        <f>RTD("cqg.rtd", ,"ContractData",G2, "Bate")</f>
        <v>128</v>
      </c>
      <c r="H14" s="86">
        <f>RTD("cqg.rtd", ,"ContractData",H2, "Bate")</f>
        <v>128</v>
      </c>
      <c r="I14" s="86">
        <f>RTD("cqg.rtd", ,"ContractData",I2, "Bate")</f>
        <v>128</v>
      </c>
      <c r="J14" s="86">
        <f>RTD("cqg.rtd", ,"ContractData",J2, "Bate")</f>
        <v>128</v>
      </c>
      <c r="K14" s="86">
        <f>RTD("cqg.rtd", ,"ContractData",K2, "Bate")</f>
        <v>128</v>
      </c>
      <c r="P14" s="87"/>
      <c r="Q14" s="87">
        <f>RTD("cqg.rtd", ,"ContractData",Q2, "Bate")</f>
        <v>64</v>
      </c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</row>
    <row r="15" spans="1:36" x14ac:dyDescent="0.2">
      <c r="D15" s="86">
        <f>RTD("cqg.rtd", ,"ContractData",D3, "Bate")</f>
        <v>0</v>
      </c>
      <c r="E15" s="86">
        <f>RTD("cqg.rtd", ,"ContractData",E3, "Bate")</f>
        <v>128</v>
      </c>
      <c r="F15" s="86">
        <f>RTD("cqg.rtd", ,"ContractData",F3, "Bate")</f>
        <v>128</v>
      </c>
      <c r="G15" s="86">
        <f>RTD("cqg.rtd", ,"ContractData",G3, "Bate")</f>
        <v>128</v>
      </c>
      <c r="H15" s="86">
        <f>RTD("cqg.rtd", ,"ContractData",H3, "Bate")</f>
        <v>128</v>
      </c>
      <c r="I15" s="86">
        <f>RTD("cqg.rtd", ,"ContractData",I3, "Bate")</f>
        <v>128</v>
      </c>
      <c r="J15" s="86">
        <f>RTD("cqg.rtd", ,"ContractData",J3, "Bate")</f>
        <v>128</v>
      </c>
      <c r="P15" s="87"/>
      <c r="Q15" s="87">
        <f>RTD("cqg.rtd", ,"ContractData",Q3, "Bate")</f>
        <v>64</v>
      </c>
      <c r="R15" s="87"/>
      <c r="S15" s="87"/>
      <c r="T15" s="87"/>
      <c r="U15" s="87"/>
    </row>
    <row r="16" spans="1:36" x14ac:dyDescent="0.2">
      <c r="D16" s="86">
        <f>RTD("cqg.rtd", ,"ContractData",D4, "Bate")</f>
        <v>16</v>
      </c>
      <c r="E16" s="86">
        <f>RTD("cqg.rtd", ,"ContractData",E4, "Bate")</f>
        <v>128</v>
      </c>
      <c r="F16" s="86">
        <f>RTD("cqg.rtd", ,"ContractData",F4, "Bate")</f>
        <v>64</v>
      </c>
      <c r="G16" s="86">
        <f>RTD("cqg.rtd", ,"ContractData",G4, "Bate")</f>
        <v>128</v>
      </c>
      <c r="H16" s="86">
        <f>RTD("cqg.rtd", ,"ContractData",H4, "Bate")</f>
        <v>128</v>
      </c>
      <c r="I16" s="86">
        <f>RTD("cqg.rtd", ,"ContractData",I4, "Bate")</f>
        <v>128</v>
      </c>
      <c r="Q16" s="86">
        <f>RTD("cqg.rtd", ,"ContractData",Q4, "Bate")</f>
        <v>64</v>
      </c>
    </row>
    <row r="17" spans="4:29" x14ac:dyDescent="0.2">
      <c r="D17" s="86">
        <f>RTD("cqg.rtd", ,"ContractData",D5, "Bate")</f>
        <v>0</v>
      </c>
      <c r="E17" s="86">
        <f>RTD("cqg.rtd", ,"ContractData",E5, "Bate")</f>
        <v>64</v>
      </c>
      <c r="F17" s="86">
        <f>RTD("cqg.rtd", ,"ContractData",F5, "Bate")</f>
        <v>128</v>
      </c>
      <c r="G17" s="86">
        <f>RTD("cqg.rtd", ,"ContractData",G5, "Bate")</f>
        <v>128</v>
      </c>
      <c r="H17" s="86">
        <f>RTD("cqg.rtd", ,"ContractData",H5, "Bate")</f>
        <v>128</v>
      </c>
      <c r="Q17" s="86">
        <f>RTD("cqg.rtd", ,"ContractData",Q5, "Bate")</f>
        <v>64</v>
      </c>
      <c r="AB17" s="94"/>
      <c r="AC17" s="94"/>
    </row>
    <row r="18" spans="4:29" x14ac:dyDescent="0.2">
      <c r="D18" s="86">
        <f>RTD("cqg.rtd", ,"ContractData",D6, "Bate")</f>
        <v>64</v>
      </c>
      <c r="E18" s="86">
        <f>RTD("cqg.rtd", ,"ContractData",E6, "Bate")</f>
        <v>128</v>
      </c>
      <c r="F18" s="86">
        <f>RTD("cqg.rtd", ,"ContractData",F6, "Bate")</f>
        <v>128</v>
      </c>
      <c r="G18" s="86">
        <f>RTD("cqg.rtd", ,"ContractData",G6, "Bate")</f>
        <v>128</v>
      </c>
      <c r="Q18" s="86">
        <f>RTD("cqg.rtd", ,"ContractData",Q6, "Bate")</f>
        <v>64</v>
      </c>
      <c r="AB18" s="94"/>
      <c r="AC18" s="94"/>
    </row>
    <row r="19" spans="4:29" x14ac:dyDescent="0.2">
      <c r="D19" s="86">
        <f>RTD("cqg.rtd", ,"ContractData",D7, "Bate")</f>
        <v>128</v>
      </c>
      <c r="E19" s="86">
        <f>RTD("cqg.rtd", ,"ContractData",E7, "Bate")</f>
        <v>0</v>
      </c>
      <c r="F19" s="86">
        <f>RTD("cqg.rtd", ,"ContractData",F7, "Bate")</f>
        <v>128</v>
      </c>
      <c r="Q19" s="86">
        <f>RTD("cqg.rtd", ,"ContractData",Q7, "Bate")</f>
        <v>64</v>
      </c>
      <c r="V19" s="86" t="s">
        <v>21</v>
      </c>
      <c r="AB19" s="94"/>
      <c r="AC19" s="94"/>
    </row>
    <row r="20" spans="4:29" x14ac:dyDescent="0.2">
      <c r="D20" s="86">
        <f>RTD("cqg.rtd", ,"ContractData",D8, "Bate")</f>
        <v>128</v>
      </c>
      <c r="E20" s="86">
        <f>RTD("cqg.rtd", ,"ContractData",E8, "Bate")</f>
        <v>64</v>
      </c>
      <c r="Q20" s="86">
        <f>RTD("cqg.rtd", ,"ContractData",Q8, "Bate")</f>
        <v>64</v>
      </c>
      <c r="U20" s="97" t="s">
        <v>15</v>
      </c>
      <c r="V20" s="86">
        <f xml:space="preserve"> RTD("cqg.rtd",,"StudyData",Q2, "VolOI",, "Vol",,"","all",,,,"T")</f>
        <v>23135</v>
      </c>
      <c r="AB20" s="94"/>
      <c r="AC20" s="94"/>
    </row>
    <row r="21" spans="4:29" x14ac:dyDescent="0.2">
      <c r="D21" s="86">
        <f>RTD("cqg.rtd", ,"ContractData",D9, "Bate")</f>
        <v>64</v>
      </c>
      <c r="Q21" s="86">
        <f>RTD("cqg.rtd", ,"ContractData",Q9, "Bate")</f>
        <v>64</v>
      </c>
      <c r="U21" s="86">
        <v>-1</v>
      </c>
      <c r="V21" s="86">
        <f xml:space="preserve"> RTD("cqg.rtd",,"StudyData",Q2, "VolOI",, "Vol",,"-1","all",,,,"T")</f>
        <v>43947</v>
      </c>
      <c r="AB21" s="94"/>
      <c r="AC21" s="94"/>
    </row>
    <row r="22" spans="4:29" x14ac:dyDescent="0.2">
      <c r="Q22" s="86">
        <f>RTD("cqg.rtd", ,"ContractData",Q10, "Bate")</f>
        <v>64</v>
      </c>
      <c r="U22" s="86">
        <v>-2</v>
      </c>
      <c r="V22" s="86">
        <f xml:space="preserve"> RTD("cqg.rtd",,"StudyData",Q2, "VolOI",, "Vol",,"-2","all",,,,"T")</f>
        <v>51803</v>
      </c>
      <c r="AB22" s="94"/>
      <c r="AC22" s="94"/>
    </row>
    <row r="23" spans="4:29" x14ac:dyDescent="0.2">
      <c r="Q23" s="86">
        <f>RTD("cqg.rtd", ,"ContractData",Q11, "Bate")</f>
        <v>16</v>
      </c>
      <c r="U23" s="86">
        <v>-3</v>
      </c>
      <c r="V23" s="86">
        <f xml:space="preserve"> RTD("cqg.rtd",,"StudyData",Q2, "VolOI",, "Vol",,"-3","all",,,,"T")</f>
        <v>47824</v>
      </c>
      <c r="AB23" s="94"/>
      <c r="AC23" s="94"/>
    </row>
    <row r="24" spans="4:29" x14ac:dyDescent="0.2">
      <c r="Q24" s="86">
        <f>RTD("cqg.rtd", ,"ContractData",Q12, "Bate")</f>
        <v>16</v>
      </c>
      <c r="U24" s="86">
        <v>-4</v>
      </c>
      <c r="V24" s="86">
        <f xml:space="preserve"> RTD("cqg.rtd",,"StudyData",Q2, "VolOI",, "Vol",,"-4","all",,,,"T")</f>
        <v>41979</v>
      </c>
      <c r="AB24" s="94"/>
      <c r="AC24" s="94"/>
    </row>
    <row r="25" spans="4:29" x14ac:dyDescent="0.2">
      <c r="Q25" s="86">
        <f>RTD("cqg.rtd", ,"ContractData",Q13, "Bate")</f>
        <v>16</v>
      </c>
      <c r="U25" s="86">
        <v>-5</v>
      </c>
      <c r="V25" s="86">
        <f xml:space="preserve"> RTD("cqg.rtd",,"StudyData",Q2, "VolOI",, "Vol",,"-5","all",,,,"T")</f>
        <v>30512</v>
      </c>
    </row>
    <row r="32" spans="4:29" ht="15" x14ac:dyDescent="0.2">
      <c r="V32" s="98" t="str">
        <f>RTD("cqg.rtd",,"StudyData", "EP", "OI", "OIType=commodityoi", "OI","ADC","0","ALL",,,"TRUE","T")</f>
        <v/>
      </c>
    </row>
    <row r="34" spans="15:19" x14ac:dyDescent="0.2">
      <c r="R34" s="86" t="s">
        <v>16</v>
      </c>
    </row>
    <row r="35" spans="15:19" x14ac:dyDescent="0.2">
      <c r="O35" s="86" t="str">
        <f>RIGHT(RTD("cqg.rtd", ,"ContractData",Calculations!Q2, "LongDescription"),6)</f>
        <v>Mar 18</v>
      </c>
      <c r="R35" s="86">
        <f>IF(RTD("cqg.rtd", ,"ContractData",Q1&amp;"?", "ContractMonth")=RTD("cqg.rtd", ,"ContractData",Q1&amp;"?1", "ContractMonth"),1,2)</f>
        <v>2</v>
      </c>
      <c r="S35" s="86" t="str">
        <f>RTD("cqg.rtd",,"ContractData",Q1&amp;"?1?", "Symbol")</f>
        <v>CCEH8</v>
      </c>
    </row>
    <row r="36" spans="15:19" x14ac:dyDescent="0.2">
      <c r="O36" s="86" t="str">
        <f>RIGHT(RTD("cqg.rtd", ,"ContractData",Calculations!Q3, "LongDescription"),6)</f>
        <v>May 18</v>
      </c>
      <c r="R36" s="86">
        <f>R35+1</f>
        <v>3</v>
      </c>
      <c r="S36" s="86" t="str">
        <f>RTD("cqg.rtd",,"ContractData",Q1&amp;"?2", "Symbol")</f>
        <v>CCEH8</v>
      </c>
    </row>
    <row r="37" spans="15:19" x14ac:dyDescent="0.2">
      <c r="O37" s="86" t="str">
        <f>RIGHT(RTD("cqg.rtd", ,"ContractData",Calculations!Q4, "LongDescription"),6)</f>
        <v>Jul 18</v>
      </c>
      <c r="R37" s="86">
        <f t="shared" ref="R37:R46" si="21">R36+1</f>
        <v>4</v>
      </c>
    </row>
    <row r="38" spans="15:19" x14ac:dyDescent="0.2">
      <c r="O38" s="86" t="str">
        <f>RIGHT(RTD("cqg.rtd", ,"ContractData",Calculations!Q5, "LongDescription"),6)</f>
        <v>Sep 18</v>
      </c>
      <c r="R38" s="86">
        <f t="shared" si="21"/>
        <v>5</v>
      </c>
    </row>
    <row r="39" spans="15:19" x14ac:dyDescent="0.2">
      <c r="O39" s="86" t="str">
        <f>RIGHT(RTD("cqg.rtd", ,"ContractData",Calculations!Q6, "LongDescription"),6)</f>
        <v>Dec 18</v>
      </c>
      <c r="R39" s="86">
        <f t="shared" si="21"/>
        <v>6</v>
      </c>
    </row>
    <row r="40" spans="15:19" x14ac:dyDescent="0.2">
      <c r="O40" s="86" t="str">
        <f>RIGHT(RTD("cqg.rtd", ,"ContractData",Calculations!Q7, "LongDescription"),6)</f>
        <v>Mar 19</v>
      </c>
      <c r="R40" s="86">
        <f t="shared" si="21"/>
        <v>7</v>
      </c>
    </row>
    <row r="41" spans="15:19" x14ac:dyDescent="0.2">
      <c r="O41" s="86" t="str">
        <f>RIGHT(RTD("cqg.rtd", ,"ContractData",Calculations!Q8, "LongDescription"),6)</f>
        <v>May 19</v>
      </c>
      <c r="R41" s="86">
        <f t="shared" si="21"/>
        <v>8</v>
      </c>
    </row>
    <row r="42" spans="15:19" x14ac:dyDescent="0.2">
      <c r="O42" s="86" t="str">
        <f>RIGHT(RTD("cqg.rtd", ,"ContractData",Calculations!Q9, "LongDescription"),6)</f>
        <v>Jul 19</v>
      </c>
      <c r="R42" s="86">
        <f t="shared" si="21"/>
        <v>9</v>
      </c>
    </row>
    <row r="43" spans="15:19" x14ac:dyDescent="0.2">
      <c r="O43" s="86" t="str">
        <f>RIGHT(RTD("cqg.rtd", ,"ContractData",Calculations!Q10, "LongDescription"),6)</f>
        <v>Sep 19</v>
      </c>
      <c r="R43" s="86">
        <f t="shared" si="21"/>
        <v>10</v>
      </c>
    </row>
    <row r="44" spans="15:19" x14ac:dyDescent="0.2">
      <c r="O44" s="86" t="str">
        <f>RIGHT(RTD("cqg.rtd", ,"ContractData",Calculations!Q11, "LongDescription"),6)</f>
        <v>rs plc</v>
      </c>
      <c r="R44" s="86">
        <f t="shared" si="21"/>
        <v>11</v>
      </c>
    </row>
    <row r="45" spans="15:19" x14ac:dyDescent="0.2">
      <c r="O45" s="86" t="str">
        <f>RIGHT(RTD("cqg.rtd", ,"ContractData",Calculations!Q12, "LongDescription"),6)</f>
        <v>rs plc</v>
      </c>
      <c r="R45" s="86">
        <f t="shared" si="21"/>
        <v>12</v>
      </c>
    </row>
    <row r="46" spans="15:19" x14ac:dyDescent="0.2">
      <c r="O46" s="86" t="str">
        <f>RIGHT(RTD("cqg.rtd", ,"ContractData",Calculations!Q13, "LongDescription"),6)</f>
        <v>rs plc</v>
      </c>
      <c r="R46" s="86">
        <f t="shared" si="21"/>
        <v>13</v>
      </c>
    </row>
  </sheetData>
  <sheetProtection algorithmName="SHA-512" hashValue="ZPxtVu40rMAVlLhw6emeN+BriyxU1JMj7eRDkaDAhkcwMEpBfn1Bwq01PprDXDW9M+9Toqg3RrMrBxXoGBpc1g==" saltValue="SjzFyW6OGTXv1mYzgzANwg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W78"/>
  <sheetViews>
    <sheetView showGridLines="0" zoomScaleNormal="100" workbookViewId="0">
      <selection activeCell="F4" sqref="F4"/>
    </sheetView>
  </sheetViews>
  <sheetFormatPr defaultColWidth="9" defaultRowHeight="12.75" x14ac:dyDescent="0.2"/>
  <cols>
    <col min="1" max="1" width="0.875" style="99" customWidth="1"/>
    <col min="2" max="2" width="13.625" style="100" customWidth="1"/>
    <col min="3" max="3" width="10.75" style="100" hidden="1" customWidth="1"/>
    <col min="4" max="14" width="13.625" style="100" customWidth="1"/>
    <col min="15" max="15" width="13.625" style="99" customWidth="1"/>
    <col min="16" max="16384" width="9" style="99"/>
  </cols>
  <sheetData>
    <row r="1" spans="1:23" ht="3" customHeight="1" x14ac:dyDescent="0.2"/>
    <row r="2" spans="1:23" ht="3" customHeight="1" x14ac:dyDescent="0.2"/>
    <row r="3" spans="1:23" ht="3" customHeight="1" x14ac:dyDescent="0.2"/>
    <row r="4" spans="1:23" ht="20.100000000000001" customHeight="1" x14ac:dyDescent="0.2">
      <c r="B4" s="174"/>
      <c r="C4" s="175"/>
      <c r="D4" s="175"/>
      <c r="E4" s="175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76"/>
      <c r="T4" s="176"/>
      <c r="U4" s="176"/>
    </row>
    <row r="5" spans="1:23" ht="20.100000000000001" customHeight="1" x14ac:dyDescent="0.2">
      <c r="A5" s="99">
        <f>Calculations!AJ11</f>
        <v>1</v>
      </c>
      <c r="B5" s="175"/>
      <c r="C5" s="175"/>
      <c r="D5" s="175"/>
      <c r="E5" s="175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76"/>
      <c r="T5" s="176"/>
      <c r="U5" s="176"/>
    </row>
    <row r="6" spans="1:23" ht="14.1" customHeight="1" x14ac:dyDescent="0.2">
      <c r="B6" s="102"/>
      <c r="C6" s="103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</row>
    <row r="7" spans="1:23" ht="15" customHeight="1" x14ac:dyDescent="0.2">
      <c r="B7" s="102" t="str">
        <f>CCE!B7</f>
        <v>CCEH8</v>
      </c>
      <c r="C7" s="102"/>
      <c r="D7" s="102" t="str">
        <f>CCE!D7</f>
        <v>CCEK8</v>
      </c>
      <c r="E7" s="102" t="str">
        <f>CCE!E7</f>
        <v>CCEN8</v>
      </c>
      <c r="F7" s="102" t="str">
        <f>CCE!F7</f>
        <v>CCEU8</v>
      </c>
      <c r="G7" s="102" t="str">
        <f>CCE!G7</f>
        <v>CCEZ8</v>
      </c>
      <c r="H7" s="102" t="str">
        <f>CCE!H7</f>
        <v>CCEH9</v>
      </c>
      <c r="I7" s="102" t="str">
        <f>CCE!I7</f>
        <v>CCEK9</v>
      </c>
      <c r="J7" s="102" t="str">
        <f>CCE!J7</f>
        <v>CCEN9</v>
      </c>
      <c r="K7" s="102" t="str">
        <f>CCE!K7</f>
        <v>CCEU9</v>
      </c>
      <c r="L7" s="102"/>
      <c r="M7" s="102"/>
      <c r="N7" s="102"/>
      <c r="O7" s="104"/>
    </row>
    <row r="8" spans="1:23" ht="14.1" customHeight="1" x14ac:dyDescent="0.2"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6"/>
    </row>
    <row r="9" spans="1:23" ht="14.1" customHeight="1" x14ac:dyDescent="0.2">
      <c r="B9" s="107" t="b">
        <f>IF($A$5=2,IF(RTD("cqg.rtd",,"ContractData",B7,"Settlement",,"T")-RTD("cqg.rtd",,"ContractData",B7,"Y_Settlement",,"T")&gt;0,1,IF(RTD("cqg.rtd",,"ContractData",B7,"Settlement",,"T")=RTD("cqg.rtd",,"ContractData",B7,"Y_Settlement",,"T"),2,0)))</f>
        <v>0</v>
      </c>
      <c r="C9" s="105"/>
      <c r="D9" s="107" t="b">
        <f>IF($A$5=2,IF(RTD("cqg.rtd",,"ContractData",D7,"Settlement",,"T")-RTD("cqg.rtd",,"ContractData",D7,"Y_Settlement",,"T")&gt;0,1,IF(RTD("cqg.rtd",,"ContractData",D7,"Settlement",,"T")=RTD("cqg.rtd",,"ContractData",D7,"Y_Settlement",,"T"),2,0)))</f>
        <v>0</v>
      </c>
      <c r="E9" s="107" t="b">
        <f>IF($A$5=2,IF(RTD("cqg.rtd",,"ContractData",E7,"Settlement",,"T")-RTD("cqg.rtd",,"ContractData",E7,"Y_Settlement",,"T")&gt;0,1,IF(RTD("cqg.rtd",,"ContractData",E7,"Settlement",,"T")=RTD("cqg.rtd",,"ContractData",E7,"Y_Settlement",,"T"),2,0)))</f>
        <v>0</v>
      </c>
      <c r="F9" s="107" t="b">
        <f>IF($A$5=2,IF(RTD("cqg.rtd",,"ContractData",F7,"Settlement",,"T")-RTD("cqg.rtd",,"ContractData",F7,"Y_Settlement",,"T")&gt;0,1,IF(RTD("cqg.rtd",,"ContractData",F7,"Settlement",,"T")=RTD("cqg.rtd",,"ContractData",F7,"Y_Settlement",,"T"),2,0)))</f>
        <v>0</v>
      </c>
      <c r="G9" s="107" t="b">
        <f>IF($A$5=2,IF(RTD("cqg.rtd",,"ContractData",G7,"Settlement",,"T")-RTD("cqg.rtd",,"ContractData",G7,"Y_Settlement",,"T")&gt;0,1,IF(RTD("cqg.rtd",,"ContractData",G7,"Settlement",,"T")=RTD("cqg.rtd",,"ContractData",G7,"Y_Settlement",,"T"),2,0)))</f>
        <v>0</v>
      </c>
      <c r="H9" s="107" t="b">
        <f>IF($A$5=2,IF(RTD("cqg.rtd",,"ContractData",H7,"Settlement",,"T")-RTD("cqg.rtd",,"ContractData",H7,"Y_Settlement",,"T")&gt;0,1,IF(RTD("cqg.rtd",,"ContractData",H7,"Settlement",,"T")=RTD("cqg.rtd",,"ContractData",H7,"Y_Settlement",,"T"),2,0)))</f>
        <v>0</v>
      </c>
      <c r="I9" s="107" t="b">
        <f>IF($A$5=2,IF(RTD("cqg.rtd",,"ContractData",I7,"Settlement",,"T")-RTD("cqg.rtd",,"ContractData",I7,"Y_Settlement",,"T")&gt;0,1,IF(RTD("cqg.rtd",,"ContractData",I7,"Settlement",,"T")=RTD("cqg.rtd",,"ContractData",I7,"Y_Settlement",,"T"),2,0)))</f>
        <v>0</v>
      </c>
      <c r="J9" s="107" t="b">
        <f>IF($A$5=2,IF(RTD("cqg.rtd",,"ContractData",J7,"Settlement",,"T")-RTD("cqg.rtd",,"ContractData",J7,"Y_Settlement",,"T")&gt;0,1,IF(RTD("cqg.rtd",,"ContractData",J7,"Settlement",,"T")=RTD("cqg.rtd",,"ContractData",J7,"Y_Settlement",,"T"),2,0)))</f>
        <v>0</v>
      </c>
      <c r="K9" s="107" t="b">
        <f>IF($A$5=2,IF(RTD("cqg.rtd",,"ContractData",K7,"Settlement",,"T")-RTD("cqg.rtd",,"ContractData",K7,"Y_Settlement",,"T")&gt;0,1,IF(RTD("cqg.rtd",,"ContractData",K7,"Settlement",,"T")=RTD("cqg.rtd",,"ContractData",K7,"Y_Settlement",,"T"),2,0)))</f>
        <v>0</v>
      </c>
      <c r="L9" s="107"/>
      <c r="M9" s="107"/>
      <c r="N9" s="107"/>
      <c r="O9" s="106"/>
    </row>
    <row r="10" spans="1:23" ht="14.1" customHeight="1" x14ac:dyDescent="0.2">
      <c r="B10" s="108"/>
      <c r="C10" s="105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6"/>
    </row>
    <row r="11" spans="1:23" ht="14.1" customHeight="1" x14ac:dyDescent="0.2">
      <c r="B11" s="102"/>
      <c r="C11" s="105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6"/>
    </row>
    <row r="12" spans="1:23" ht="15" customHeight="1" x14ac:dyDescent="0.2">
      <c r="B12" s="102" t="str">
        <f>CCE!B12</f>
        <v>CCEH8</v>
      </c>
      <c r="C12" s="102"/>
      <c r="D12" s="102" t="str">
        <f>CCE!D12</f>
        <v>CCES1H8</v>
      </c>
      <c r="E12" s="102" t="str">
        <f>CCE!E12</f>
        <v>CCES2H8</v>
      </c>
      <c r="F12" s="102" t="str">
        <f>CCE!F12</f>
        <v>CCES3H8</v>
      </c>
      <c r="G12" s="102" t="str">
        <f>CCE!G12</f>
        <v>CCES4H8</v>
      </c>
      <c r="H12" s="102" t="str">
        <f>CCE!H12</f>
        <v>CCES5H8</v>
      </c>
      <c r="I12" s="102" t="str">
        <f>CCE!I12</f>
        <v>CCES6H8</v>
      </c>
      <c r="J12" s="102" t="str">
        <f>CCE!J12</f>
        <v>CCES7H8</v>
      </c>
      <c r="K12" s="102" t="str">
        <f>CCE!K12</f>
        <v>CCES8H8</v>
      </c>
      <c r="L12" s="102"/>
      <c r="M12" s="102"/>
      <c r="N12" s="102"/>
      <c r="O12" s="104"/>
    </row>
    <row r="13" spans="1:23" ht="14.1" customHeight="1" x14ac:dyDescent="0.2">
      <c r="B13" s="105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6"/>
      <c r="W13" s="99" t="s">
        <v>17</v>
      </c>
    </row>
    <row r="14" spans="1:23" ht="14.1" customHeight="1" x14ac:dyDescent="0.2">
      <c r="B14" s="107" t="b">
        <f>IF($A$5=2,IF(RTD("cqg.rtd",,"ContractData",B12,"Settlement",,"T")-RTD("cqg.rtd",,"ContractData",B12,"Y_Settlement",,"T")&gt;0,1,IF(RTD("cqg.rtd",,"ContractData",B12,"Settlement",,"T")=RTD("cqg.rtd",,"ContractData",B12,"Y_Settlement",,"T"),2,0)))</f>
        <v>0</v>
      </c>
      <c r="C14" s="105"/>
      <c r="D14" s="107" t="b">
        <f>IF($A$5=2,IF(RTD("cqg.rtd",,"ContractData",D12,"Settlement",,"T")-RTD("cqg.rtd",,"ContractData",D12,"Y_Settlement",,"T")&gt;0,1,IF(RTD("cqg.rtd",,"ContractData",D12,"Settlement",,"T")=RTD("cqg.rtd",,"ContractData",D12,"Y_Settlement",,"T"),2,0)))</f>
        <v>0</v>
      </c>
      <c r="E14" s="107" t="b">
        <f>IF($A$5=2,IF(RTD("cqg.rtd",,"ContractData",E12,"Settlement",,"T")-RTD("cqg.rtd",,"ContractData",E12,"Y_Settlement",,"T")&gt;0,1,IF(RTD("cqg.rtd",,"ContractData",E12,"Settlement",,"T")=RTD("cqg.rtd",,"ContractData",E12,"Y_Settlement",,"T"),2,0)))</f>
        <v>0</v>
      </c>
      <c r="F14" s="107" t="b">
        <f>IF($A$5=2,IF(RTD("cqg.rtd",,"ContractData",F12,"Settlement",,"T")-RTD("cqg.rtd",,"ContractData",F12,"Y_Settlement",,"T")&gt;0,1,IF(RTD("cqg.rtd",,"ContractData",F12,"Settlement",,"T")=RTD("cqg.rtd",,"ContractData",F12,"Y_Settlement",,"T"),2,0)))</f>
        <v>0</v>
      </c>
      <c r="G14" s="107" t="b">
        <f>IF($A$5=2,IF(RTD("cqg.rtd",,"ContractData",G12,"Settlement",,"T")-RTD("cqg.rtd",,"ContractData",G12,"Y_Settlement",,"T")&gt;0,1,IF(RTD("cqg.rtd",,"ContractData",G12,"Settlement",,"T")=RTD("cqg.rtd",,"ContractData",G12,"Y_Settlement",,"T"),2,0)))</f>
        <v>0</v>
      </c>
      <c r="H14" s="107" t="b">
        <f>IF($A$5=2,IF(RTD("cqg.rtd",,"ContractData",H12,"Settlement",,"T")-RTD("cqg.rtd",,"ContractData",H12,"Y_Settlement",,"T")&gt;0,1,IF(RTD("cqg.rtd",,"ContractData",H12,"Settlement",,"T")=RTD("cqg.rtd",,"ContractData",H12,"Y_Settlement",,"T"),2,0)))</f>
        <v>0</v>
      </c>
      <c r="I14" s="107" t="b">
        <f>IF($A$5=2,IF(RTD("cqg.rtd",,"ContractData",I12,"Settlement",,"T")-RTD("cqg.rtd",,"ContractData",I12,"Y_Settlement",,"T")&gt;0,1,IF(RTD("cqg.rtd",,"ContractData",I12,"Settlement",,"T")=RTD("cqg.rtd",,"ContractData",I12,"Y_Settlement",,"T"),2,0)))</f>
        <v>0</v>
      </c>
      <c r="J14" s="107" t="b">
        <f>IF($A$5=2,IF(RTD("cqg.rtd",,"ContractData",J12,"Settlement",,"T")-RTD("cqg.rtd",,"ContractData",J12,"Y_Settlement",,"T")&gt;0,1,IF(RTD("cqg.rtd",,"ContractData",J12,"Settlement",,"T")=RTD("cqg.rtd",,"ContractData",J12,"Y_Settlement",,"T"),2,0)))</f>
        <v>0</v>
      </c>
      <c r="K14" s="107" t="b">
        <f>IF($A$5=2,IF(RTD("cqg.rtd",,"ContractData",K12,"Settlement",,"T")-RTD("cqg.rtd",,"ContractData",K12,"Y_Settlement",,"T")&gt;0,1,IF(RTD("cqg.rtd",,"ContractData",K12,"Settlement",,"T")=RTD("cqg.rtd",,"ContractData",K12,"Y_Settlement",,"T"),2,0)))</f>
        <v>0</v>
      </c>
      <c r="L14" s="107"/>
      <c r="M14" s="107"/>
      <c r="N14" s="105"/>
      <c r="O14" s="106"/>
    </row>
    <row r="15" spans="1:23" ht="14.1" customHeight="1" x14ac:dyDescent="0.2"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6"/>
    </row>
    <row r="16" spans="1:23" ht="14.1" customHeight="1" x14ac:dyDescent="0.2">
      <c r="B16" s="105"/>
      <c r="C16" s="105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6"/>
    </row>
    <row r="17" spans="2:15" ht="15" customHeight="1" x14ac:dyDescent="0.2">
      <c r="B17" s="105"/>
      <c r="C17" s="102"/>
      <c r="D17" s="102" t="str">
        <f>CCE!D17</f>
        <v>CCEK8</v>
      </c>
      <c r="E17" s="102" t="str">
        <f>CCE!E17</f>
        <v>CCES1K8</v>
      </c>
      <c r="F17" s="102" t="str">
        <f>CCE!F17</f>
        <v>CCES2K8</v>
      </c>
      <c r="G17" s="102" t="str">
        <f>CCE!G17</f>
        <v>CCES3K8</v>
      </c>
      <c r="H17" s="102" t="str">
        <f>CCE!H17</f>
        <v>CCES4K8</v>
      </c>
      <c r="I17" s="102" t="str">
        <f>CCE!I17</f>
        <v>CCES5K8</v>
      </c>
      <c r="J17" s="102" t="str">
        <f>CCE!J17</f>
        <v>CCES6K8</v>
      </c>
      <c r="K17" s="102" t="str">
        <f>CCE!K17</f>
        <v>CCES7K8</v>
      </c>
      <c r="L17" s="102"/>
      <c r="M17" s="102"/>
      <c r="N17" s="102"/>
      <c r="O17" s="104"/>
    </row>
    <row r="18" spans="2:15" ht="14.1" customHeight="1" x14ac:dyDescent="0.2">
      <c r="B18" s="105" t="s">
        <v>20</v>
      </c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6"/>
    </row>
    <row r="19" spans="2:15" ht="14.1" customHeight="1" x14ac:dyDescent="0.2">
      <c r="B19" s="177">
        <f>RTD("cqg.rtd", ,"SystemInfo", "Linetime")</f>
        <v>43073.415300925924</v>
      </c>
      <c r="C19" s="105"/>
      <c r="D19" s="107" t="b">
        <f>IF($A$5=2,IF(RTD("cqg.rtd",,"ContractData",D17,"Settlement",,"T")-RTD("cqg.rtd",,"ContractData",D17,"Y_Settlement",,"T")&gt;0,1,IF(RTD("cqg.rtd",,"ContractData",D17,"Settlement",,"T")=RTD("cqg.rtd",,"ContractData",D17,"Y_Settlement",,"T"),2,0)))</f>
        <v>0</v>
      </c>
      <c r="E19" s="107" t="b">
        <f>IF($A$5=2,IF(RTD("cqg.rtd",,"ContractData",E17,"Settlement",,"T")-RTD("cqg.rtd",,"ContractData",E17,"Y_Settlement",,"T")&gt;0,1,IF(RTD("cqg.rtd",,"ContractData",E17,"Settlement",,"T")=RTD("cqg.rtd",,"ContractData",E17,"Y_Settlement",,"T"),2,0)))</f>
        <v>0</v>
      </c>
      <c r="F19" s="107" t="b">
        <f>IF($A$5=2,IF(RTD("cqg.rtd",,"ContractData",F17,"Settlement",,"T")-RTD("cqg.rtd",,"ContractData",F17,"Y_Settlement",,"T")&gt;0,1,IF(RTD("cqg.rtd",,"ContractData",F17,"Settlement",,"T")=RTD("cqg.rtd",,"ContractData",F17,"Y_Settlement",,"T"),2,0)))</f>
        <v>0</v>
      </c>
      <c r="G19" s="107" t="b">
        <f>IF($A$5=2,IF(RTD("cqg.rtd",,"ContractData",G17,"Settlement",,"T")-RTD("cqg.rtd",,"ContractData",G17,"Y_Settlement",,"T")&gt;0,1,IF(RTD("cqg.rtd",,"ContractData",G17,"Settlement",,"T")=RTD("cqg.rtd",,"ContractData",G17,"Y_Settlement",,"T"),2,0)))</f>
        <v>0</v>
      </c>
      <c r="H19" s="107" t="b">
        <f>IF($A$5=2,IF(RTD("cqg.rtd",,"ContractData",H17,"Settlement",,"T")-RTD("cqg.rtd",,"ContractData",H17,"Y_Settlement",,"T")&gt;0,1,IF(RTD("cqg.rtd",,"ContractData",H17,"Settlement",,"T")=RTD("cqg.rtd",,"ContractData",H17,"Y_Settlement",,"T"),2,0)))</f>
        <v>0</v>
      </c>
      <c r="I19" s="107" t="b">
        <f>IF($A$5=2,IF(RTD("cqg.rtd",,"ContractData",I17,"Settlement",,"T")-RTD("cqg.rtd",,"ContractData",I17,"Y_Settlement",,"T")&gt;0,1,IF(RTD("cqg.rtd",,"ContractData",I17,"Settlement",,"T")=RTD("cqg.rtd",,"ContractData",I17,"Y_Settlement",,"T"),2,0)))</f>
        <v>0</v>
      </c>
      <c r="J19" s="107" t="b">
        <f>IF($A$5=2,IF(RTD("cqg.rtd",,"ContractData",J17,"Settlement",,"T")-RTD("cqg.rtd",,"ContractData",J17,"Y_Settlement",,"T")&gt;0,1,IF(RTD("cqg.rtd",,"ContractData",J17,"Settlement",,"T")=RTD("cqg.rtd",,"ContractData",J17,"Y_Settlement",,"T"),2,0)))</f>
        <v>0</v>
      </c>
      <c r="K19" s="107" t="b">
        <f>IF($A$5=2,IF(RTD("cqg.rtd",,"ContractData",K17,"Settlement",,"T")-RTD("cqg.rtd",,"ContractData",K17,"Y_Settlement",,"T")&gt;0,1,IF(RTD("cqg.rtd",,"ContractData",K17,"Settlement",,"T")=RTD("cqg.rtd",,"ContractData",K17,"Y_Settlement",,"T"),2,0)))</f>
        <v>0</v>
      </c>
      <c r="L19" s="107"/>
      <c r="M19" s="107"/>
      <c r="N19" s="107"/>
      <c r="O19" s="106"/>
    </row>
    <row r="20" spans="2:15" ht="14.1" customHeight="1" x14ac:dyDescent="0.2">
      <c r="B20" s="177"/>
      <c r="C20" s="105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6"/>
    </row>
    <row r="21" spans="2:15" ht="14.1" customHeight="1" x14ac:dyDescent="0.2">
      <c r="B21" s="105"/>
      <c r="C21" s="105"/>
      <c r="D21" s="105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6"/>
    </row>
    <row r="22" spans="2:15" ht="15" customHeight="1" x14ac:dyDescent="0.2">
      <c r="B22" s="105"/>
      <c r="C22" s="102"/>
      <c r="D22" s="105"/>
      <c r="E22" s="102" t="str">
        <f>CCE!E22</f>
        <v>CCEN8</v>
      </c>
      <c r="F22" s="102" t="str">
        <f>CCE!F22</f>
        <v>CCES1N8</v>
      </c>
      <c r="G22" s="102" t="str">
        <f>CCE!G22</f>
        <v>CCES2N8</v>
      </c>
      <c r="H22" s="102" t="str">
        <f>CCE!H22</f>
        <v>CCES3N8</v>
      </c>
      <c r="I22" s="102" t="str">
        <f>CCE!I22</f>
        <v>CCES4N8</v>
      </c>
      <c r="J22" s="102" t="str">
        <f>CCE!J22</f>
        <v>CCES5N8</v>
      </c>
      <c r="K22" s="102" t="str">
        <f>CCE!K22</f>
        <v>CCES6N8</v>
      </c>
      <c r="L22" s="102"/>
      <c r="M22" s="102"/>
      <c r="N22" s="102"/>
      <c r="O22" s="104"/>
    </row>
    <row r="23" spans="2:15" ht="14.1" customHeight="1" x14ac:dyDescent="0.2"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6"/>
    </row>
    <row r="24" spans="2:15" ht="14.1" customHeight="1" x14ac:dyDescent="0.2">
      <c r="B24" s="105" t="s">
        <v>4</v>
      </c>
      <c r="C24" s="105"/>
      <c r="D24" s="105"/>
      <c r="E24" s="107" t="b">
        <f>IF($A$5=2,IF(RTD("cqg.rtd",,"ContractData",E22,"Settlement",,"T")-RTD("cqg.rtd",,"ContractData",E22,"Y_Settlement",,"T")&gt;0,1,IF(RTD("cqg.rtd",,"ContractData",E22,"Settlement",,"T")=RTD("cqg.rtd",,"ContractData",E22,"Y_Settlement",,"T"),2,0)))</f>
        <v>0</v>
      </c>
      <c r="F24" s="107" t="b">
        <f>IF($A$5=2,IF(RTD("cqg.rtd",,"ContractData",F22,"Settlement",,"T")-RTD("cqg.rtd",,"ContractData",F22,"Y_Settlement",,"T")&gt;0,1,IF(RTD("cqg.rtd",,"ContractData",F22,"Settlement",,"T")=RTD("cqg.rtd",,"ContractData",F22,"Y_Settlement",,"T"),2,0)))</f>
        <v>0</v>
      </c>
      <c r="G24" s="107" t="b">
        <f>IF($A$5=2,IF(RTD("cqg.rtd",,"ContractData",G22,"Settlement",,"T")-RTD("cqg.rtd",,"ContractData",G22,"Y_Settlement",,"T")&gt;0,1,IF(RTD("cqg.rtd",,"ContractData",G22,"Settlement",,"T")=RTD("cqg.rtd",,"ContractData",G22,"Y_Settlement",,"T"),2,0)))</f>
        <v>0</v>
      </c>
      <c r="H24" s="107" t="b">
        <f>IF($A$5=2,IF(RTD("cqg.rtd",,"ContractData",H22,"Settlement",,"T")-RTD("cqg.rtd",,"ContractData",H22,"Y_Settlement",,"T")&gt;0,1,IF(RTD("cqg.rtd",,"ContractData",H22,"Settlement",,"T")=RTD("cqg.rtd",,"ContractData",H22,"Y_Settlement",,"T"),2,0)))</f>
        <v>0</v>
      </c>
      <c r="I24" s="107" t="b">
        <f>IF($A$5=2,IF(RTD("cqg.rtd",,"ContractData",I22,"Settlement",,"T")-RTD("cqg.rtd",,"ContractData",I22,"Y_Settlement",,"T")&gt;0,1,IF(RTD("cqg.rtd",,"ContractData",I22,"Settlement",,"T")=RTD("cqg.rtd",,"ContractData",I22,"Y_Settlement",,"T"),2,0)))</f>
        <v>0</v>
      </c>
      <c r="J24" s="107" t="b">
        <f>IF($A$5=2,IF(RTD("cqg.rtd",,"ContractData",J22,"Settlement",,"T")-RTD("cqg.rtd",,"ContractData",J22,"Y_Settlement",,"T")&gt;0,1,IF(RTD("cqg.rtd",,"ContractData",J22,"Settlement",,"T")=RTD("cqg.rtd",,"ContractData",J22,"Y_Settlement",,"T"),2,0)))</f>
        <v>0</v>
      </c>
      <c r="K24" s="107" t="b">
        <f>IF($A$5=2,IF(RTD("cqg.rtd",,"ContractData",K22,"Settlement",,"T")-RTD("cqg.rtd",,"ContractData",K22,"Y_Settlement",,"T")&gt;0,1,IF(RTD("cqg.rtd",,"ContractData",K22,"Settlement",,"T")=RTD("cqg.rtd",,"ContractData",K22,"Y_Settlement",,"T"),2,0)))</f>
        <v>0</v>
      </c>
      <c r="L24" s="107"/>
      <c r="M24" s="107"/>
      <c r="N24" s="107"/>
      <c r="O24" s="106"/>
    </row>
    <row r="25" spans="2:15" ht="14.1" customHeight="1" x14ac:dyDescent="0.2">
      <c r="B25" s="109" t="s">
        <v>22</v>
      </c>
      <c r="C25" s="105"/>
      <c r="D25" s="110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6"/>
    </row>
    <row r="26" spans="2:15" ht="14.1" customHeight="1" x14ac:dyDescent="0.2">
      <c r="B26" s="110"/>
      <c r="C26" s="105"/>
      <c r="D26" s="110"/>
      <c r="E26" s="105"/>
      <c r="F26" s="102"/>
      <c r="G26" s="102"/>
      <c r="H26" s="102"/>
      <c r="I26" s="102"/>
      <c r="J26" s="102"/>
      <c r="K26" s="102"/>
      <c r="L26" s="102"/>
      <c r="M26" s="102"/>
      <c r="N26" s="102"/>
      <c r="O26" s="106"/>
    </row>
    <row r="27" spans="2:15" ht="15" customHeight="1" x14ac:dyDescent="0.2">
      <c r="B27" s="105"/>
      <c r="C27" s="105"/>
      <c r="D27" s="105"/>
      <c r="E27" s="105"/>
      <c r="F27" s="102" t="str">
        <f>CCE!F27</f>
        <v>CCEU8</v>
      </c>
      <c r="G27" s="102" t="str">
        <f>CCE!G27</f>
        <v>CCES1U8</v>
      </c>
      <c r="H27" s="102" t="str">
        <f>CCE!H27</f>
        <v>CCES2U8</v>
      </c>
      <c r="I27" s="102" t="str">
        <f>CCE!I27</f>
        <v>CCES3U8</v>
      </c>
      <c r="J27" s="102" t="str">
        <f>CCE!J27</f>
        <v>CCES4U8</v>
      </c>
      <c r="K27" s="102" t="str">
        <f>CCE!K27</f>
        <v>CCES5U8</v>
      </c>
      <c r="L27" s="102"/>
      <c r="M27" s="102"/>
      <c r="N27" s="102"/>
      <c r="O27" s="104"/>
    </row>
    <row r="28" spans="2:15" ht="14.1" customHeight="1" x14ac:dyDescent="0.2">
      <c r="B28" s="102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6"/>
    </row>
    <row r="29" spans="2:15" ht="14.1" customHeight="1" x14ac:dyDescent="0.2">
      <c r="B29" s="105"/>
      <c r="C29" s="105"/>
      <c r="D29" s="105"/>
      <c r="E29" s="105"/>
      <c r="F29" s="107" t="b">
        <f>IF($A$5=2,IF(RTD("cqg.rtd",,"ContractData",F27,"Settlement",,"T")-RTD("cqg.rtd",,"ContractData",F27,"Y_Settlement",,"T")&gt;0,1,IF(RTD("cqg.rtd",,"ContractData",F27,"Settlement",,"T")=RTD("cqg.rtd",,"ContractData",F27,"Y_Settlement",,"T"),2,0)))</f>
        <v>0</v>
      </c>
      <c r="G29" s="107" t="b">
        <f>IF($A$5=2,IF(RTD("cqg.rtd",,"ContractData",G27,"Settlement",,"T")-RTD("cqg.rtd",,"ContractData",G27,"Y_Settlement",,"T")&gt;0,1,IF(RTD("cqg.rtd",,"ContractData",G27,"Settlement",,"T")=RTD("cqg.rtd",,"ContractData",G27,"Y_Settlement",,"T"),2,0)))</f>
        <v>0</v>
      </c>
      <c r="H29" s="107" t="b">
        <f>IF($A$5=2,IF(RTD("cqg.rtd",,"ContractData",H27,"Settlement",,"T")-RTD("cqg.rtd",,"ContractData",H27,"Y_Settlement",,"T")&gt;0,1,IF(RTD("cqg.rtd",,"ContractData",H27,"Settlement",,"T")=RTD("cqg.rtd",,"ContractData",H27,"Y_Settlement",,"T"),2,0)))</f>
        <v>0</v>
      </c>
      <c r="I29" s="107" t="b">
        <f>IF($A$5=2,IF(RTD("cqg.rtd",,"ContractData",I27,"Settlement",,"T")-RTD("cqg.rtd",,"ContractData",I27,"Y_Settlement",,"T")&gt;0,1,IF(RTD("cqg.rtd",,"ContractData",I27,"Settlement",,"T")=RTD("cqg.rtd",,"ContractData",I27,"Y_Settlement",,"T"),2,0)))</f>
        <v>0</v>
      </c>
      <c r="J29" s="107" t="b">
        <f>IF($A$5=2,IF(RTD("cqg.rtd",,"ContractData",J27,"Settlement",,"T")-RTD("cqg.rtd",,"ContractData",J27,"Y_Settlement",,"T")&gt;0,1,IF(RTD("cqg.rtd",,"ContractData",J27,"Settlement",,"T")=RTD("cqg.rtd",,"ContractData",J27,"Y_Settlement",,"T"),2,0)))</f>
        <v>0</v>
      </c>
      <c r="K29" s="107" t="b">
        <f>IF($A$5=2,IF(RTD("cqg.rtd",,"ContractData",K27,"Settlement",,"T")-RTD("cqg.rtd",,"ContractData",K27,"Y_Settlement",,"T")&gt;0,1,IF(RTD("cqg.rtd",,"ContractData",K27,"Settlement",,"T")=RTD("cqg.rtd",,"ContractData",K27,"Y_Settlement",,"T"),2,0)))</f>
        <v>0</v>
      </c>
      <c r="L29" s="107"/>
      <c r="M29" s="107"/>
      <c r="N29" s="107"/>
      <c r="O29" s="106"/>
    </row>
    <row r="30" spans="2:15" ht="14.1" customHeight="1" x14ac:dyDescent="0.2">
      <c r="B30" s="102"/>
      <c r="C30" s="105"/>
      <c r="D30" s="105"/>
      <c r="E30" s="105"/>
      <c r="F30" s="108"/>
      <c r="G30" s="108"/>
      <c r="H30" s="108"/>
      <c r="I30" s="108"/>
      <c r="J30" s="108"/>
      <c r="K30" s="108"/>
      <c r="L30" s="108"/>
      <c r="M30" s="108"/>
      <c r="N30" s="108"/>
      <c r="O30" s="106"/>
    </row>
    <row r="31" spans="2:15" ht="14.1" customHeight="1" x14ac:dyDescent="0.2">
      <c r="B31" s="102"/>
      <c r="C31" s="105"/>
      <c r="D31" s="105"/>
      <c r="E31" s="105"/>
      <c r="F31" s="105"/>
      <c r="G31" s="102"/>
      <c r="H31" s="102"/>
      <c r="I31" s="102"/>
      <c r="J31" s="102"/>
      <c r="K31" s="102"/>
      <c r="L31" s="102"/>
      <c r="M31" s="102"/>
      <c r="N31" s="102"/>
      <c r="O31" s="106"/>
    </row>
    <row r="32" spans="2:15" ht="15" customHeight="1" x14ac:dyDescent="0.2">
      <c r="B32" s="105"/>
      <c r="C32" s="102"/>
      <c r="D32" s="102"/>
      <c r="E32" s="102"/>
      <c r="F32" s="102"/>
      <c r="G32" s="102" t="str">
        <f>CCE!G32</f>
        <v>CCEZ8</v>
      </c>
      <c r="H32" s="102" t="str">
        <f>CCE!H32</f>
        <v>CCES1Z8</v>
      </c>
      <c r="I32" s="102" t="str">
        <f>CCE!I32</f>
        <v>CCES2Z8</v>
      </c>
      <c r="J32" s="102" t="str">
        <f>CCE!J32</f>
        <v>CCES3Z8</v>
      </c>
      <c r="K32" s="102" t="str">
        <f>CCE!K32</f>
        <v>CCES4Z8</v>
      </c>
      <c r="L32" s="102"/>
      <c r="M32" s="102"/>
      <c r="N32" s="102"/>
      <c r="O32" s="104"/>
    </row>
    <row r="33" spans="2:15" ht="14.1" customHeight="1" x14ac:dyDescent="0.2">
      <c r="B33" s="102"/>
      <c r="C33" s="105"/>
      <c r="D33" s="105"/>
      <c r="E33" s="105"/>
      <c r="F33" s="102"/>
      <c r="G33" s="105"/>
      <c r="H33" s="105"/>
      <c r="I33" s="105"/>
      <c r="J33" s="105"/>
      <c r="K33" s="105"/>
      <c r="L33" s="105"/>
      <c r="M33" s="105"/>
      <c r="N33" s="105"/>
      <c r="O33" s="106"/>
    </row>
    <row r="34" spans="2:15" ht="14.1" customHeight="1" x14ac:dyDescent="0.2">
      <c r="B34" s="102"/>
      <c r="C34" s="105"/>
      <c r="D34" s="105"/>
      <c r="E34" s="105"/>
      <c r="F34" s="102"/>
      <c r="G34" s="107" t="b">
        <f>IF($A$5=2,IF(RTD("cqg.rtd",,"ContractData",G32,"Settlement",,"T")-RTD("cqg.rtd",,"ContractData",G32,"Y_Settlement",,"T")&gt;0,1,IF(RTD("cqg.rtd",,"ContractData",G32,"Settlement",,"T")=RTD("cqg.rtd",,"ContractData",G32,"Y_Settlement",,"T"),2,0)))</f>
        <v>0</v>
      </c>
      <c r="H34" s="107" t="b">
        <f>IF($A$5=2,IF(RTD("cqg.rtd",,"ContractData",H32,"Settlement",,"T")-RTD("cqg.rtd",,"ContractData",H32,"Y_Settlement",,"T")&gt;0,1,IF(RTD("cqg.rtd",,"ContractData",H32,"Settlement",,"T")=RTD("cqg.rtd",,"ContractData",H32,"Y_Settlement",,"T"),2,0)))</f>
        <v>0</v>
      </c>
      <c r="I34" s="107" t="b">
        <f>IF($A$5=2,IF(RTD("cqg.rtd",,"ContractData",I32,"Settlement",,"T")-RTD("cqg.rtd",,"ContractData",I32,"Y_Settlement",,"T")&gt;0,1,IF(RTD("cqg.rtd",,"ContractData",I32,"Settlement",,"T")=RTD("cqg.rtd",,"ContractData",I32,"Y_Settlement",,"T"),2,0)))</f>
        <v>0</v>
      </c>
      <c r="J34" s="107" t="b">
        <f>IF($A$5=2,IF(RTD("cqg.rtd",,"ContractData",J32,"Settlement",,"T")-RTD("cqg.rtd",,"ContractData",J32,"Y_Settlement",,"T")&gt;0,1,IF(RTD("cqg.rtd",,"ContractData",J32,"Settlement",,"T")=RTD("cqg.rtd",,"ContractData",J32,"Y_Settlement",,"T"),2,0)))</f>
        <v>0</v>
      </c>
      <c r="K34" s="107" t="b">
        <f>IF($A$5=2,IF(RTD("cqg.rtd",,"ContractData",K32,"Settlement",,"T")-RTD("cqg.rtd",,"ContractData",K32,"Y_Settlement",,"T")&gt;0,1,IF(RTD("cqg.rtd",,"ContractData",K32,"Settlement",,"T")=RTD("cqg.rtd",,"ContractData",K32,"Y_Settlement",,"T"),2,0)))</f>
        <v>0</v>
      </c>
      <c r="L34" s="107"/>
      <c r="M34" s="107"/>
      <c r="N34" s="107"/>
      <c r="O34" s="106"/>
    </row>
    <row r="35" spans="2:15" ht="14.1" customHeight="1" x14ac:dyDescent="0.2">
      <c r="B35" s="105"/>
      <c r="C35" s="105"/>
      <c r="D35" s="105"/>
      <c r="E35" s="105"/>
      <c r="F35" s="102"/>
      <c r="G35" s="108"/>
      <c r="H35" s="108"/>
      <c r="I35" s="108"/>
      <c r="J35" s="108"/>
      <c r="K35" s="108"/>
      <c r="L35" s="108"/>
      <c r="M35" s="108"/>
      <c r="N35" s="108"/>
      <c r="O35" s="106"/>
    </row>
    <row r="36" spans="2:15" ht="14.1" customHeight="1" x14ac:dyDescent="0.2">
      <c r="B36" s="178"/>
      <c r="C36" s="178"/>
      <c r="D36" s="178"/>
      <c r="E36" s="178"/>
      <c r="F36" s="178"/>
      <c r="G36" s="105"/>
      <c r="H36" s="102"/>
      <c r="I36" s="102"/>
      <c r="J36" s="102"/>
      <c r="K36" s="102"/>
      <c r="L36" s="102"/>
      <c r="M36" s="102"/>
      <c r="N36" s="102"/>
      <c r="O36" s="106"/>
    </row>
    <row r="37" spans="2:15" ht="15" customHeight="1" x14ac:dyDescent="0.2">
      <c r="B37" s="178"/>
      <c r="C37" s="178"/>
      <c r="D37" s="178"/>
      <c r="E37" s="178"/>
      <c r="F37" s="178"/>
      <c r="G37" s="102"/>
      <c r="H37" s="102" t="str">
        <f>CCE!H37</f>
        <v>CCEH9</v>
      </c>
      <c r="I37" s="102" t="str">
        <f>CCE!I37</f>
        <v>CCES1H9</v>
      </c>
      <c r="J37" s="102" t="str">
        <f>CCE!J37</f>
        <v>CCES2H9</v>
      </c>
      <c r="K37" s="102" t="str">
        <f>CCE!K37</f>
        <v>CCES3H9</v>
      </c>
      <c r="L37" s="102"/>
      <c r="M37" s="102"/>
      <c r="N37" s="102"/>
      <c r="O37" s="104"/>
    </row>
    <row r="38" spans="2:15" ht="14.1" customHeight="1" x14ac:dyDescent="0.2">
      <c r="B38" s="105"/>
      <c r="C38" s="102"/>
      <c r="D38" s="102"/>
      <c r="E38" s="102"/>
      <c r="F38" s="102"/>
      <c r="G38" s="105"/>
      <c r="H38" s="105"/>
      <c r="I38" s="105"/>
      <c r="J38" s="105"/>
      <c r="K38" s="105"/>
      <c r="L38" s="105"/>
      <c r="M38" s="105"/>
      <c r="N38" s="105"/>
      <c r="O38" s="106"/>
    </row>
    <row r="39" spans="2:15" ht="14.1" customHeight="1" x14ac:dyDescent="0.2">
      <c r="B39" s="111"/>
      <c r="C39" s="112"/>
      <c r="D39" s="112"/>
      <c r="E39" s="112"/>
      <c r="F39" s="113"/>
      <c r="G39" s="105"/>
      <c r="H39" s="107" t="b">
        <f>IF($A$5=2,IF(RTD("cqg.rtd",,"ContractData",H37,"Settlement",,"T")-RTD("cqg.rtd",,"ContractData",H37,"Y_Settlement",,"T")&gt;0,1,IF(RTD("cqg.rtd",,"ContractData",H37,"Settlement",,"T")=RTD("cqg.rtd",,"ContractData",H37,"Y_Settlement",,"T"),2,0)))</f>
        <v>0</v>
      </c>
      <c r="I39" s="107" t="b">
        <f>IF($A$5=2,IF(RTD("cqg.rtd",,"ContractData",I37,"Settlement",,"T")-RTD("cqg.rtd",,"ContractData",I37,"Y_Settlement",,"T")&gt;0,1,IF(RTD("cqg.rtd",,"ContractData",I37,"Settlement",,"T")=RTD("cqg.rtd",,"ContractData",I37,"Y_Settlement",,"T"),2,0)))</f>
        <v>0</v>
      </c>
      <c r="J39" s="107" t="b">
        <f>IF($A$5=2,IF(RTD("cqg.rtd",,"ContractData",J37,"Settlement",,"T")-RTD("cqg.rtd",,"ContractData",J37,"Y_Settlement",,"T")&gt;0,1,IF(RTD("cqg.rtd",,"ContractData",J37,"Settlement",,"T")=RTD("cqg.rtd",,"ContractData",J37,"Y_Settlement",,"T"),2,0)))</f>
        <v>0</v>
      </c>
      <c r="K39" s="107" t="b">
        <f>IF($A$5=2,IF(RTD("cqg.rtd",,"ContractData",K37,"Settlement",,"T")-RTD("cqg.rtd",,"ContractData",K37,"Y_Settlement",,"T")&gt;0,1,IF(RTD("cqg.rtd",,"ContractData",K37,"Settlement",,"T")=RTD("cqg.rtd",,"ContractData",K37,"Y_Settlement",,"T"),2,0)))</f>
        <v>0</v>
      </c>
      <c r="L39" s="107"/>
      <c r="M39" s="107"/>
      <c r="N39" s="107"/>
      <c r="O39" s="106"/>
    </row>
    <row r="40" spans="2:15" ht="14.1" customHeight="1" x14ac:dyDescent="0.2">
      <c r="B40" s="111"/>
      <c r="C40" s="111"/>
      <c r="D40" s="112"/>
      <c r="E40" s="112"/>
      <c r="F40" s="113"/>
      <c r="G40" s="105"/>
      <c r="H40" s="108"/>
      <c r="I40" s="108"/>
      <c r="J40" s="108"/>
      <c r="K40" s="108"/>
      <c r="L40" s="108"/>
      <c r="M40" s="108"/>
      <c r="N40" s="108"/>
      <c r="O40" s="106"/>
    </row>
    <row r="41" spans="2:15" ht="14.1" customHeight="1" x14ac:dyDescent="0.2">
      <c r="B41" s="112"/>
      <c r="C41" s="111"/>
      <c r="D41" s="112"/>
      <c r="E41" s="112"/>
      <c r="F41" s="113"/>
      <c r="G41" s="105"/>
      <c r="H41" s="105"/>
      <c r="I41" s="102"/>
      <c r="J41" s="102"/>
      <c r="K41" s="102"/>
      <c r="L41" s="102"/>
      <c r="M41" s="102"/>
      <c r="N41" s="102"/>
      <c r="O41" s="106"/>
    </row>
    <row r="42" spans="2:15" ht="15" customHeight="1" x14ac:dyDescent="0.2">
      <c r="B42" s="112"/>
      <c r="C42" s="112"/>
      <c r="D42" s="112"/>
      <c r="E42" s="112"/>
      <c r="F42" s="113"/>
      <c r="G42" s="105"/>
      <c r="H42" s="102"/>
      <c r="I42" s="102" t="str">
        <f>CCE!I42</f>
        <v>CCEK9</v>
      </c>
      <c r="J42" s="102" t="str">
        <f>CCE!J42</f>
        <v>CCES1K9</v>
      </c>
      <c r="K42" s="102" t="str">
        <f>CCE!K42</f>
        <v>CCES2K9</v>
      </c>
      <c r="L42" s="102"/>
      <c r="M42" s="102"/>
      <c r="N42" s="102"/>
    </row>
    <row r="43" spans="2:15" ht="14.1" customHeight="1" x14ac:dyDescent="0.2">
      <c r="B43" s="111"/>
      <c r="C43" s="112"/>
      <c r="D43" s="112"/>
      <c r="E43" s="112"/>
      <c r="F43" s="113"/>
      <c r="G43" s="102"/>
      <c r="H43" s="102"/>
      <c r="I43" s="105"/>
      <c r="J43" s="105"/>
      <c r="K43" s="105"/>
      <c r="L43" s="105"/>
      <c r="M43" s="105"/>
      <c r="N43" s="105"/>
    </row>
    <row r="44" spans="2:15" ht="14.1" customHeight="1" x14ac:dyDescent="0.2">
      <c r="B44" s="168"/>
      <c r="C44" s="168"/>
      <c r="D44" s="168"/>
      <c r="E44" s="168"/>
      <c r="F44" s="168"/>
      <c r="G44" s="168"/>
      <c r="H44" s="168"/>
      <c r="I44" s="107" t="b">
        <f>IF($A$5=2,IF(RTD("cqg.rtd",,"ContractData",I42,"Settlement",,"T")-RTD("cqg.rtd",,"ContractData",I42,"Y_Settlement",,"T")&gt;0,1,IF(RTD("cqg.rtd",,"ContractData",I42,"Settlement",,"T")=RTD("cqg.rtd",,"ContractData",I42,"Y_Settlement",,"T"),2,0)))</f>
        <v>0</v>
      </c>
      <c r="J44" s="107" t="b">
        <f>IF($A$5=2,IF(RTD("cqg.rtd",,"ContractData",J42,"Settlement",,"T")-RTD("cqg.rtd",,"ContractData",J42,"Y_Settlement",,"T")&gt;0,1,IF(RTD("cqg.rtd",,"ContractData",J42,"Settlement",,"T")=RTD("cqg.rtd",,"ContractData",J42,"Y_Settlement",,"T"),2,0)))</f>
        <v>0</v>
      </c>
      <c r="K44" s="107" t="b">
        <f>IF($A$5=2,IF(RTD("cqg.rtd",,"ContractData",K42,"Settlement",,"T")-RTD("cqg.rtd",,"ContractData",K42,"Y_Settlement",,"T")&gt;0,1,IF(RTD("cqg.rtd",,"ContractData",K42,"Settlement",,"T")=RTD("cqg.rtd",,"ContractData",K42,"Y_Settlement",,"T"),2,0)))</f>
        <v>0</v>
      </c>
      <c r="L44" s="107"/>
      <c r="M44" s="107"/>
      <c r="N44" s="107"/>
    </row>
    <row r="45" spans="2:15" ht="14.1" customHeight="1" x14ac:dyDescent="0.2">
      <c r="B45" s="168"/>
      <c r="C45" s="168"/>
      <c r="D45" s="168"/>
      <c r="E45" s="168"/>
      <c r="F45" s="168"/>
      <c r="G45" s="168"/>
      <c r="H45" s="168"/>
      <c r="I45" s="108"/>
      <c r="J45" s="108"/>
      <c r="K45" s="108"/>
      <c r="L45" s="108"/>
      <c r="M45" s="108"/>
      <c r="N45" s="108"/>
    </row>
    <row r="46" spans="2:15" ht="14.1" customHeight="1" x14ac:dyDescent="0.2">
      <c r="B46" s="168"/>
      <c r="C46" s="114"/>
      <c r="D46" s="169"/>
      <c r="E46" s="170"/>
      <c r="F46" s="173"/>
      <c r="G46" s="173"/>
      <c r="H46" s="173"/>
      <c r="I46" s="105"/>
      <c r="J46" s="102"/>
      <c r="K46" s="102"/>
      <c r="L46" s="102"/>
      <c r="M46" s="102"/>
      <c r="N46" s="102"/>
    </row>
    <row r="47" spans="2:15" ht="15" customHeight="1" x14ac:dyDescent="0.2">
      <c r="B47" s="168"/>
      <c r="C47" s="114"/>
      <c r="D47" s="169"/>
      <c r="E47" s="170"/>
      <c r="F47" s="173"/>
      <c r="G47" s="173"/>
      <c r="H47" s="173"/>
      <c r="I47" s="102"/>
      <c r="J47" s="102" t="str">
        <f>CCE!J47</f>
        <v>CCEN9</v>
      </c>
      <c r="K47" s="102" t="str">
        <f>CCE!K47</f>
        <v>CCES1N9</v>
      </c>
      <c r="L47" s="102"/>
      <c r="M47" s="102"/>
      <c r="N47" s="102"/>
    </row>
    <row r="48" spans="2:15" ht="14.1" customHeight="1" x14ac:dyDescent="0.2">
      <c r="B48" s="168"/>
      <c r="C48" s="114"/>
      <c r="D48" s="169"/>
      <c r="E48" s="170"/>
      <c r="F48" s="173"/>
      <c r="G48" s="173"/>
      <c r="H48" s="173"/>
      <c r="I48" s="102"/>
      <c r="J48" s="105"/>
      <c r="K48" s="105"/>
      <c r="L48" s="105"/>
      <c r="M48" s="105"/>
      <c r="N48" s="105"/>
    </row>
    <row r="49" spans="2:14" ht="14.1" customHeight="1" x14ac:dyDescent="0.2">
      <c r="B49" s="168"/>
      <c r="C49" s="114"/>
      <c r="D49" s="169"/>
      <c r="E49" s="170"/>
      <c r="F49" s="171"/>
      <c r="G49" s="171"/>
      <c r="H49" s="172"/>
      <c r="I49" s="102"/>
      <c r="J49" s="107" t="b">
        <f>IF($A$5=2,IF(RTD("cqg.rtd",,"ContractData",J47,"Settlement",,"T")-RTD("cqg.rtd",,"ContractData",J47,"Y_Settlement",,"T")&gt;0,1,IF(RTD("cqg.rtd",,"ContractData",J47,"Settlement",,"T")=RTD("cqg.rtd",,"ContractData",J47,"Y_Settlement",,"T"),2,0)))</f>
        <v>0</v>
      </c>
      <c r="K49" s="107" t="b">
        <f>IF($A$5=2,IF(RTD("cqg.rtd",,"ContractData",K47,"Settlement",,"T")-RTD("cqg.rtd",,"ContractData",K47,"Y_Settlement",,"T")&gt;0,1,IF(RTD("cqg.rtd",,"ContractData",K47,"Settlement",,"T")=RTD("cqg.rtd",,"ContractData",K47,"Y_Settlement",,"T"),2,0)))</f>
        <v>0</v>
      </c>
      <c r="L49" s="107"/>
      <c r="M49" s="107"/>
      <c r="N49" s="107"/>
    </row>
    <row r="50" spans="2:14" ht="14.1" customHeight="1" x14ac:dyDescent="0.2">
      <c r="B50" s="168"/>
      <c r="C50" s="114"/>
      <c r="D50" s="169"/>
      <c r="E50" s="170"/>
      <c r="F50" s="171"/>
      <c r="G50" s="171"/>
      <c r="H50" s="172"/>
      <c r="I50" s="102"/>
      <c r="J50" s="108"/>
      <c r="K50" s="108"/>
      <c r="L50" s="108"/>
      <c r="M50" s="108"/>
      <c r="N50" s="108"/>
    </row>
    <row r="51" spans="2:14" ht="14.1" customHeight="1" x14ac:dyDescent="0.2">
      <c r="B51" s="105"/>
      <c r="C51" s="102"/>
      <c r="D51" s="102"/>
      <c r="E51" s="102"/>
      <c r="F51" s="102"/>
      <c r="G51" s="102"/>
      <c r="H51" s="102"/>
      <c r="I51" s="102"/>
      <c r="J51" s="105"/>
      <c r="K51" s="102"/>
      <c r="L51" s="102"/>
      <c r="M51" s="102"/>
      <c r="N51" s="102"/>
    </row>
    <row r="52" spans="2:14" ht="15" customHeight="1" x14ac:dyDescent="0.2">
      <c r="B52" s="105"/>
      <c r="C52" s="102"/>
      <c r="D52" s="102"/>
      <c r="E52" s="102"/>
      <c r="F52" s="102"/>
      <c r="G52" s="102"/>
      <c r="H52" s="102"/>
      <c r="I52" s="102"/>
      <c r="J52" s="102"/>
      <c r="K52" s="102" t="str">
        <f>CCE!K52</f>
        <v>CCEU9</v>
      </c>
      <c r="L52" s="102"/>
      <c r="M52" s="102"/>
      <c r="N52" s="102"/>
    </row>
    <row r="53" spans="2:14" ht="14.1" customHeight="1" x14ac:dyDescent="0.2">
      <c r="B53" s="102"/>
      <c r="C53" s="105"/>
      <c r="D53" s="105"/>
      <c r="E53" s="105"/>
      <c r="F53" s="105"/>
      <c r="G53" s="105"/>
      <c r="H53" s="105"/>
      <c r="I53" s="102"/>
      <c r="J53" s="102"/>
      <c r="K53" s="105"/>
      <c r="L53" s="105"/>
      <c r="M53" s="105"/>
      <c r="N53" s="105"/>
    </row>
    <row r="54" spans="2:14" ht="14.1" customHeight="1" x14ac:dyDescent="0.2">
      <c r="B54" s="102"/>
      <c r="C54" s="105"/>
      <c r="D54" s="105"/>
      <c r="E54" s="105"/>
      <c r="F54" s="105"/>
      <c r="G54" s="105"/>
      <c r="H54" s="105"/>
      <c r="I54" s="102"/>
      <c r="J54" s="102"/>
      <c r="K54" s="107" t="b">
        <f>IF($A$5=2,IF(RTD("cqg.rtd",,"ContractData",K52,"Settlement",,"T")-RTD("cqg.rtd",,"ContractData",K52,"Y_Settlement",,"T")&gt;0,1,IF(RTD("cqg.rtd",,"ContractData",K52,"Settlement",,"T")=RTD("cqg.rtd",,"ContractData",K52,"Y_Settlement",,"T"),2,0)))</f>
        <v>0</v>
      </c>
      <c r="L54" s="107"/>
      <c r="M54" s="107"/>
      <c r="N54" s="107"/>
    </row>
    <row r="55" spans="2:14" ht="14.1" customHeight="1" x14ac:dyDescent="0.2">
      <c r="B55" s="102"/>
      <c r="C55" s="105"/>
      <c r="D55" s="105"/>
      <c r="E55" s="105"/>
      <c r="F55" s="105"/>
      <c r="G55" s="105"/>
      <c r="H55" s="105"/>
      <c r="I55" s="102"/>
      <c r="J55" s="102"/>
      <c r="K55" s="108"/>
      <c r="L55" s="108"/>
      <c r="M55" s="108"/>
      <c r="N55" s="108"/>
    </row>
    <row r="56" spans="2:14" ht="14.1" customHeight="1" x14ac:dyDescent="0.2">
      <c r="B56" s="105"/>
      <c r="C56" s="105"/>
      <c r="D56" s="105"/>
      <c r="E56" s="105"/>
      <c r="F56" s="105"/>
      <c r="G56" s="105"/>
      <c r="H56" s="105"/>
      <c r="I56" s="102"/>
      <c r="J56" s="102"/>
      <c r="K56" s="105"/>
      <c r="L56" s="102"/>
      <c r="M56" s="102"/>
      <c r="N56" s="102"/>
    </row>
    <row r="57" spans="2:14" ht="15" customHeight="1" x14ac:dyDescent="0.2">
      <c r="B57" s="105"/>
      <c r="C57" s="102"/>
      <c r="D57" s="105"/>
      <c r="E57" s="105"/>
      <c r="F57" s="105"/>
      <c r="G57" s="105"/>
      <c r="H57" s="105"/>
      <c r="I57" s="102"/>
      <c r="J57" s="102"/>
      <c r="K57" s="102"/>
      <c r="L57" s="102"/>
      <c r="M57" s="102"/>
      <c r="N57" s="102"/>
    </row>
    <row r="58" spans="2:14" ht="14.1" customHeight="1" x14ac:dyDescent="0.2">
      <c r="B58" s="102"/>
      <c r="C58" s="105"/>
      <c r="D58" s="105"/>
      <c r="E58" s="105"/>
      <c r="F58" s="105"/>
      <c r="G58" s="105"/>
      <c r="H58" s="105"/>
      <c r="I58" s="102"/>
      <c r="J58" s="102"/>
      <c r="K58" s="102"/>
      <c r="L58" s="105"/>
      <c r="M58" s="105"/>
      <c r="N58" s="105"/>
    </row>
    <row r="59" spans="2:14" ht="14.1" customHeight="1" x14ac:dyDescent="0.2">
      <c r="B59" s="102"/>
      <c r="C59" s="105"/>
      <c r="D59" s="105"/>
      <c r="E59" s="105"/>
      <c r="F59" s="105"/>
      <c r="G59" s="105"/>
      <c r="H59" s="105"/>
      <c r="I59" s="102"/>
      <c r="J59" s="102"/>
      <c r="K59" s="102"/>
      <c r="L59" s="107"/>
      <c r="M59" s="107"/>
      <c r="N59" s="107"/>
    </row>
    <row r="60" spans="2:14" ht="14.1" customHeight="1" x14ac:dyDescent="0.2">
      <c r="B60" s="105"/>
      <c r="C60" s="105"/>
      <c r="D60" s="105"/>
      <c r="E60" s="105"/>
      <c r="F60" s="105"/>
      <c r="G60" s="105"/>
      <c r="H60" s="105"/>
      <c r="I60" s="102"/>
      <c r="J60" s="102"/>
      <c r="K60" s="102"/>
      <c r="L60" s="108"/>
      <c r="M60" s="108"/>
      <c r="N60" s="108"/>
    </row>
    <row r="61" spans="2:14" ht="14.1" customHeight="1" x14ac:dyDescent="0.2">
      <c r="B61" s="102"/>
      <c r="C61" s="102"/>
      <c r="D61" s="105"/>
      <c r="E61" s="105"/>
      <c r="F61" s="105"/>
      <c r="G61" s="105"/>
      <c r="H61" s="105"/>
      <c r="I61" s="102"/>
      <c r="J61" s="102"/>
      <c r="K61" s="102"/>
      <c r="L61" s="105"/>
      <c r="M61" s="102"/>
      <c r="N61" s="102"/>
    </row>
    <row r="62" spans="2:14" ht="15" customHeight="1" x14ac:dyDescent="0.2">
      <c r="B62" s="102"/>
      <c r="C62" s="102"/>
      <c r="D62" s="105"/>
      <c r="E62" s="105"/>
      <c r="F62" s="105"/>
      <c r="G62" s="105"/>
      <c r="H62" s="105"/>
      <c r="I62" s="102"/>
      <c r="J62" s="102"/>
      <c r="K62" s="102"/>
      <c r="L62" s="102"/>
      <c r="M62" s="102"/>
      <c r="N62" s="102"/>
    </row>
    <row r="63" spans="2:14" ht="14.1" customHeight="1" x14ac:dyDescent="0.2">
      <c r="B63" s="102"/>
      <c r="C63" s="105"/>
      <c r="D63" s="105"/>
      <c r="E63" s="105"/>
      <c r="F63" s="105"/>
      <c r="G63" s="105"/>
      <c r="H63" s="105"/>
      <c r="I63" s="102"/>
      <c r="J63" s="102"/>
      <c r="K63" s="102"/>
      <c r="L63" s="102"/>
      <c r="M63" s="105"/>
      <c r="N63" s="105"/>
    </row>
    <row r="64" spans="2:14" ht="14.1" customHeight="1" x14ac:dyDescent="0.2">
      <c r="B64" s="102"/>
      <c r="C64" s="105"/>
      <c r="D64" s="105"/>
      <c r="E64" s="105"/>
      <c r="F64" s="105"/>
      <c r="G64" s="105"/>
      <c r="H64" s="105"/>
      <c r="I64" s="102"/>
      <c r="J64" s="102"/>
      <c r="K64" s="102"/>
      <c r="L64" s="102"/>
      <c r="M64" s="107"/>
      <c r="N64" s="107"/>
    </row>
    <row r="65" spans="2:21" ht="14.1" customHeight="1" x14ac:dyDescent="0.2">
      <c r="B65" s="102"/>
      <c r="C65" s="105"/>
      <c r="D65" s="105"/>
      <c r="E65" s="105"/>
      <c r="F65" s="105"/>
      <c r="G65" s="105"/>
      <c r="H65" s="105"/>
      <c r="I65" s="102"/>
      <c r="J65" s="102"/>
      <c r="K65" s="102"/>
      <c r="L65" s="102"/>
      <c r="M65" s="108"/>
      <c r="N65" s="108"/>
    </row>
    <row r="66" spans="2:21" ht="14.1" customHeight="1" x14ac:dyDescent="0.2">
      <c r="B66" s="102"/>
      <c r="C66" s="105"/>
      <c r="D66" s="105"/>
      <c r="E66" s="105"/>
      <c r="F66" s="105"/>
      <c r="G66" s="105"/>
      <c r="H66" s="105"/>
      <c r="I66" s="103"/>
      <c r="J66" s="103"/>
      <c r="K66" s="103"/>
      <c r="L66" s="103"/>
      <c r="M66" s="103"/>
      <c r="N66" s="102"/>
      <c r="O66" s="102"/>
      <c r="U66" s="115"/>
    </row>
    <row r="67" spans="2:21" ht="15" customHeight="1" x14ac:dyDescent="0.2">
      <c r="B67" s="164"/>
      <c r="C67" s="164"/>
      <c r="D67" s="164"/>
      <c r="E67" s="167"/>
      <c r="F67" s="167"/>
      <c r="G67" s="167"/>
      <c r="H67" s="167"/>
      <c r="I67" s="103"/>
      <c r="J67" s="103"/>
      <c r="K67" s="103"/>
      <c r="L67" s="103"/>
      <c r="M67" s="103"/>
      <c r="N67" s="102"/>
      <c r="O67" s="102"/>
    </row>
    <row r="68" spans="2:21" ht="14.1" customHeight="1" x14ac:dyDescent="0.2">
      <c r="B68" s="164"/>
      <c r="C68" s="164"/>
      <c r="D68" s="164"/>
      <c r="E68" s="116"/>
      <c r="F68" s="165"/>
      <c r="G68" s="165"/>
      <c r="H68" s="117"/>
      <c r="I68" s="103"/>
      <c r="J68" s="103"/>
      <c r="K68" s="103"/>
      <c r="L68" s="103"/>
      <c r="M68" s="103"/>
      <c r="N68" s="105"/>
      <c r="O68" s="105"/>
      <c r="U68" s="115"/>
    </row>
    <row r="69" spans="2:21" ht="14.1" customHeight="1" x14ac:dyDescent="0.2">
      <c r="B69" s="166"/>
      <c r="C69" s="166"/>
      <c r="D69" s="166"/>
      <c r="E69" s="167"/>
      <c r="F69" s="167"/>
      <c r="G69" s="167"/>
      <c r="H69" s="167"/>
      <c r="I69" s="103"/>
      <c r="J69" s="103"/>
      <c r="K69" s="103"/>
      <c r="L69" s="103"/>
      <c r="M69" s="103"/>
      <c r="N69" s="107"/>
      <c r="O69" s="107"/>
      <c r="U69" s="115"/>
    </row>
    <row r="70" spans="2:21" ht="14.1" customHeight="1" x14ac:dyDescent="0.2">
      <c r="I70" s="103"/>
      <c r="J70" s="103"/>
      <c r="K70" s="103"/>
      <c r="L70" s="103"/>
      <c r="M70" s="103"/>
      <c r="N70" s="108"/>
      <c r="O70" s="108"/>
      <c r="U70" s="115"/>
    </row>
    <row r="71" spans="2:21" x14ac:dyDescent="0.2">
      <c r="U71" s="115"/>
    </row>
    <row r="72" spans="2:21" x14ac:dyDescent="0.2">
      <c r="U72" s="115"/>
    </row>
    <row r="73" spans="2:21" x14ac:dyDescent="0.2">
      <c r="U73" s="115"/>
    </row>
    <row r="74" spans="2:21" x14ac:dyDescent="0.2">
      <c r="U74" s="115"/>
    </row>
    <row r="75" spans="2:21" x14ac:dyDescent="0.2">
      <c r="U75" s="115"/>
    </row>
    <row r="76" spans="2:21" x14ac:dyDescent="0.2">
      <c r="U76" s="115"/>
    </row>
    <row r="77" spans="2:21" x14ac:dyDescent="0.2">
      <c r="U77" s="115"/>
    </row>
    <row r="78" spans="2:21" x14ac:dyDescent="0.2">
      <c r="U78" s="115"/>
    </row>
  </sheetData>
  <sheetProtection algorithmName="SHA-512" hashValue="uDTnCEE4vSD5E4kR4Rqzp4znGov+pwla3dfMe1Tmiq4uALKgruYOQjA8OWGGEOMpQXxTSVdcQuNq9tFM0FWOYw==" saltValue="/LQlZY2WLG8q1EMatlKR8w==" spinCount="100000" sheet="1" objects="1" scenarios="1" selectLockedCells="1" selectUnlockedCells="1"/>
  <mergeCells count="21">
    <mergeCell ref="B4:E5"/>
    <mergeCell ref="S4:U5"/>
    <mergeCell ref="B19:B20"/>
    <mergeCell ref="B36:F36"/>
    <mergeCell ref="B37:F37"/>
    <mergeCell ref="B44:H45"/>
    <mergeCell ref="B46:B48"/>
    <mergeCell ref="D46:D48"/>
    <mergeCell ref="E46:E48"/>
    <mergeCell ref="F46:H48"/>
    <mergeCell ref="B68:D68"/>
    <mergeCell ref="F68:G68"/>
    <mergeCell ref="B69:D69"/>
    <mergeCell ref="E69:H69"/>
    <mergeCell ref="B49:B50"/>
    <mergeCell ref="D49:D50"/>
    <mergeCell ref="E49:E50"/>
    <mergeCell ref="F49:G50"/>
    <mergeCell ref="H49:H50"/>
    <mergeCell ref="B67:D67"/>
    <mergeCell ref="E67:H6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CCE</vt:lpstr>
      <vt:lpstr>Calculations</vt:lpstr>
      <vt:lpstr>CCE(2)</vt:lpstr>
    </vt:vector>
  </TitlesOfParts>
  <Company>CQG,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2011-05-02T21:38:10Z</dcterms:created>
  <dcterms:modified xsi:type="dcterms:W3CDTF">2017-12-04T15:58:04Z</dcterms:modified>
</cp:coreProperties>
</file>