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3950"/>
  </bookViews>
  <sheets>
    <sheet name="KCE" sheetId="2" r:id="rId1"/>
    <sheet name="Calculations" sheetId="3" state="hidden" r:id="rId2"/>
    <sheet name="KCE (2)" sheetId="4" state="hidden" r:id="rId3"/>
  </sheets>
  <calcPr calcId="152511"/>
</workbook>
</file>

<file path=xl/calcChain.xml><?xml version="1.0" encoding="utf-8"?>
<calcChain xmlns="http://schemas.openxmlformats.org/spreadsheetml/2006/main">
  <c r="V70" i="4" l="1"/>
  <c r="V68" i="4"/>
  <c r="V72" i="4"/>
  <c r="V76" i="4"/>
  <c r="V78" i="4"/>
  <c r="V69" i="4"/>
  <c r="V73" i="4"/>
  <c r="V77" i="4"/>
  <c r="V74" i="4"/>
  <c r="V66" i="4"/>
  <c r="V71" i="4"/>
  <c r="V75" i="4"/>
  <c r="AA13" i="3"/>
  <c r="AA12" i="3"/>
  <c r="S4" i="2"/>
  <c r="AJ2" i="3"/>
  <c r="B19" i="2"/>
  <c r="B19" i="4"/>
  <c r="U70" i="4" l="1"/>
  <c r="U78" i="4"/>
  <c r="U77" i="4"/>
  <c r="U69" i="4"/>
  <c r="U76" i="4"/>
  <c r="U68" i="4"/>
  <c r="U74" i="4"/>
  <c r="U71" i="4"/>
  <c r="U75" i="4"/>
  <c r="U66" i="4"/>
  <c r="U73" i="4"/>
  <c r="U72" i="4"/>
  <c r="B68" i="2"/>
  <c r="V32" i="3"/>
  <c r="E49" i="2"/>
  <c r="F39" i="2"/>
  <c r="E46" i="2"/>
  <c r="F43" i="2"/>
  <c r="F40" i="2"/>
  <c r="D41" i="2"/>
  <c r="F41" i="2"/>
  <c r="E41" i="2"/>
  <c r="AJ11" i="3" l="1"/>
  <c r="Q1" i="3"/>
  <c r="AE1" i="3"/>
  <c r="D40" i="2"/>
  <c r="E40" i="2"/>
  <c r="E43" i="2"/>
  <c r="B44" i="2"/>
  <c r="S36" i="3"/>
  <c r="E39" i="2"/>
  <c r="D39" i="2"/>
  <c r="S35" i="3"/>
  <c r="D46" i="2"/>
  <c r="D49" i="2"/>
  <c r="R35" i="3"/>
  <c r="D43" i="2"/>
  <c r="A5" i="2" l="1"/>
  <c r="A5" i="4"/>
  <c r="R36" i="3"/>
  <c r="Q2" i="3"/>
  <c r="Q3" i="3"/>
  <c r="A2" i="3" l="1"/>
  <c r="A3" i="3"/>
  <c r="R37" i="3"/>
  <c r="D7" i="2"/>
  <c r="T2" i="3"/>
  <c r="R2" i="3"/>
  <c r="D17" i="2"/>
  <c r="Q14" i="3"/>
  <c r="Q15" i="3"/>
  <c r="V25" i="3"/>
  <c r="V20" i="3"/>
  <c r="B11" i="2"/>
  <c r="O35" i="3"/>
  <c r="T3" i="3"/>
  <c r="Q4" i="3"/>
  <c r="D16" i="2"/>
  <c r="B2" i="3"/>
  <c r="V22" i="3"/>
  <c r="U3" i="3"/>
  <c r="R3" i="3"/>
  <c r="V21" i="3"/>
  <c r="B12" i="2"/>
  <c r="S3" i="3"/>
  <c r="D6" i="2"/>
  <c r="H68" i="2"/>
  <c r="U2" i="3"/>
  <c r="B6" i="2"/>
  <c r="V24" i="3"/>
  <c r="B7" i="2"/>
  <c r="V23" i="3"/>
  <c r="O36" i="3"/>
  <c r="S2" i="3"/>
  <c r="B3" i="3"/>
  <c r="B12" i="4" l="1"/>
  <c r="D7" i="4"/>
  <c r="D17" i="4"/>
  <c r="B7" i="4"/>
  <c r="F68" i="2"/>
  <c r="V66" i="2"/>
  <c r="V68" i="2"/>
  <c r="B53" i="2"/>
  <c r="AC2" i="3"/>
  <c r="AB2" i="3"/>
  <c r="B54" i="2"/>
  <c r="AB3" i="3"/>
  <c r="AC3" i="3"/>
  <c r="A4" i="3"/>
  <c r="C3" i="3"/>
  <c r="R38" i="3"/>
  <c r="C2" i="3"/>
  <c r="D9" i="4"/>
  <c r="B14" i="4"/>
  <c r="D19" i="4"/>
  <c r="B9" i="4"/>
  <c r="E21" i="2"/>
  <c r="B15" i="2"/>
  <c r="B10" i="2"/>
  <c r="R4" i="3"/>
  <c r="S4" i="3"/>
  <c r="U4" i="3"/>
  <c r="O37" i="3"/>
  <c r="Q5" i="3"/>
  <c r="E6" i="2"/>
  <c r="E22" i="2"/>
  <c r="Q16" i="3"/>
  <c r="D20" i="2"/>
  <c r="D53" i="2"/>
  <c r="T4" i="3"/>
  <c r="D10" i="2"/>
  <c r="E7" i="2"/>
  <c r="E54" i="2"/>
  <c r="B4" i="3"/>
  <c r="D8" i="2"/>
  <c r="D18" i="2"/>
  <c r="E23" i="2"/>
  <c r="B13" i="2"/>
  <c r="D19" i="2"/>
  <c r="B8" i="2"/>
  <c r="B9" i="2"/>
  <c r="B14" i="2"/>
  <c r="D9" i="2"/>
  <c r="E22" i="4" l="1"/>
  <c r="E7" i="4"/>
  <c r="O3" i="3"/>
  <c r="M3" i="3"/>
  <c r="J3" i="3"/>
  <c r="I3" i="3"/>
  <c r="K3" i="3"/>
  <c r="F3" i="3"/>
  <c r="H3" i="3"/>
  <c r="D3" i="3"/>
  <c r="N3" i="3"/>
  <c r="G3" i="3"/>
  <c r="E3" i="3"/>
  <c r="L3" i="3"/>
  <c r="O2" i="3"/>
  <c r="L2" i="3"/>
  <c r="F2" i="3"/>
  <c r="D2" i="3"/>
  <c r="H2" i="3"/>
  <c r="K2" i="3"/>
  <c r="N2" i="3"/>
  <c r="I2" i="3"/>
  <c r="J2" i="3"/>
  <c r="M2" i="3"/>
  <c r="G2" i="3"/>
  <c r="E2" i="3"/>
  <c r="U68" i="2"/>
  <c r="U66" i="2"/>
  <c r="V69" i="2"/>
  <c r="AC4" i="3"/>
  <c r="AB4" i="3"/>
  <c r="B55" i="2"/>
  <c r="A5" i="3"/>
  <c r="C4" i="3"/>
  <c r="R39" i="3"/>
  <c r="E24" i="4"/>
  <c r="E9" i="4"/>
  <c r="E25" i="2"/>
  <c r="F16" i="2"/>
  <c r="H54" i="2"/>
  <c r="F54" i="2"/>
  <c r="U5" i="3"/>
  <c r="F11" i="2"/>
  <c r="E53" i="2"/>
  <c r="H11" i="2"/>
  <c r="H15" i="3"/>
  <c r="M11" i="2"/>
  <c r="G53" i="2"/>
  <c r="F26" i="2"/>
  <c r="E10" i="2"/>
  <c r="G54" i="2"/>
  <c r="R5" i="3"/>
  <c r="T5" i="3"/>
  <c r="F6" i="2"/>
  <c r="F27" i="2"/>
  <c r="F7" i="2"/>
  <c r="J11" i="2"/>
  <c r="H53" i="2"/>
  <c r="Q6" i="3"/>
  <c r="J17" i="2"/>
  <c r="D14" i="3"/>
  <c r="L16" i="2"/>
  <c r="O38" i="3"/>
  <c r="H16" i="2"/>
  <c r="S5" i="3"/>
  <c r="Q17" i="3"/>
  <c r="B5" i="3"/>
  <c r="F53" i="2"/>
  <c r="E11" i="2"/>
  <c r="N16" i="2"/>
  <c r="K11" i="2"/>
  <c r="D54" i="2"/>
  <c r="G55" i="2"/>
  <c r="K16" i="2"/>
  <c r="G11" i="2"/>
  <c r="D11" i="2"/>
  <c r="I11" i="2"/>
  <c r="G16" i="2"/>
  <c r="L11" i="2"/>
  <c r="J18" i="2"/>
  <c r="E24" i="2"/>
  <c r="E9" i="2"/>
  <c r="E8" i="2"/>
  <c r="J19" i="2"/>
  <c r="F27" i="4" l="1"/>
  <c r="J17" i="4"/>
  <c r="F7" i="4"/>
  <c r="J4" i="3"/>
  <c r="I4" i="3"/>
  <c r="E4" i="3"/>
  <c r="K4" i="3"/>
  <c r="H4" i="3"/>
  <c r="N4" i="3"/>
  <c r="G4" i="3"/>
  <c r="L4" i="3"/>
  <c r="D4" i="3"/>
  <c r="M4" i="3"/>
  <c r="F4" i="3"/>
  <c r="U69" i="2"/>
  <c r="V70" i="2"/>
  <c r="B56" i="2"/>
  <c r="V5" i="3"/>
  <c r="V11" i="3"/>
  <c r="V7" i="3"/>
  <c r="V6" i="3"/>
  <c r="V8" i="3"/>
  <c r="V9" i="3"/>
  <c r="V3" i="3"/>
  <c r="V10" i="3"/>
  <c r="V4" i="3"/>
  <c r="F49" i="2"/>
  <c r="AB5" i="3"/>
  <c r="AC5" i="3"/>
  <c r="A6" i="3"/>
  <c r="C5" i="3"/>
  <c r="R40" i="3"/>
  <c r="V2" i="3"/>
  <c r="F29" i="4"/>
  <c r="J19" i="4"/>
  <c r="F9" i="4"/>
  <c r="E55" i="2"/>
  <c r="E12" i="2"/>
  <c r="AF4" i="3"/>
  <c r="D15" i="3"/>
  <c r="J16" i="2"/>
  <c r="E17" i="2"/>
  <c r="F15" i="3"/>
  <c r="M15" i="3"/>
  <c r="I12" i="2"/>
  <c r="AF6" i="3"/>
  <c r="J12" i="2"/>
  <c r="Z5" i="3"/>
  <c r="G17" i="2"/>
  <c r="K22" i="2"/>
  <c r="G14" i="3"/>
  <c r="G31" i="2"/>
  <c r="E14" i="3"/>
  <c r="U6" i="3"/>
  <c r="M12" i="2"/>
  <c r="E56" i="2"/>
  <c r="H14" i="3"/>
  <c r="AF9" i="3"/>
  <c r="F21" i="2"/>
  <c r="R6" i="3"/>
  <c r="F17" i="2"/>
  <c r="M14" i="3"/>
  <c r="D12" i="2"/>
  <c r="H17" i="2"/>
  <c r="J22" i="2"/>
  <c r="G7" i="2"/>
  <c r="W8" i="3"/>
  <c r="J15" i="3"/>
  <c r="I14" i="3"/>
  <c r="H21" i="2"/>
  <c r="N17" i="2"/>
  <c r="I16" i="2"/>
  <c r="G32" i="2"/>
  <c r="M17" i="2"/>
  <c r="L15" i="3"/>
  <c r="K12" i="2"/>
  <c r="K17" i="2"/>
  <c r="F30" i="2"/>
  <c r="I15" i="3"/>
  <c r="H12" i="2"/>
  <c r="K14" i="3"/>
  <c r="AF8" i="3"/>
  <c r="M22" i="2"/>
  <c r="D55" i="2"/>
  <c r="F55" i="2"/>
  <c r="AF5" i="3"/>
  <c r="Q18" i="3"/>
  <c r="F14" i="3"/>
  <c r="I17" i="2"/>
  <c r="H55" i="2"/>
  <c r="B6" i="3"/>
  <c r="K15" i="3"/>
  <c r="E15" i="3"/>
  <c r="O39" i="3"/>
  <c r="Y9" i="3"/>
  <c r="L16" i="3"/>
  <c r="G12" i="2"/>
  <c r="G15" i="3"/>
  <c r="M16" i="2"/>
  <c r="AF2" i="3"/>
  <c r="S6" i="3"/>
  <c r="L17" i="2"/>
  <c r="AF11" i="3"/>
  <c r="E16" i="3"/>
  <c r="G6" i="2"/>
  <c r="F12" i="2"/>
  <c r="G16" i="3"/>
  <c r="L12" i="2"/>
  <c r="J20" i="2"/>
  <c r="T6" i="3"/>
  <c r="M16" i="3"/>
  <c r="F10" i="2"/>
  <c r="J14" i="3"/>
  <c r="E16" i="2"/>
  <c r="H49" i="2"/>
  <c r="W6" i="3"/>
  <c r="L14" i="3"/>
  <c r="W2" i="3"/>
  <c r="AF10" i="3"/>
  <c r="W3" i="3"/>
  <c r="L21" i="2"/>
  <c r="AF7" i="3"/>
  <c r="Q7" i="3"/>
  <c r="K14" i="2"/>
  <c r="G13" i="2"/>
  <c r="K19" i="2"/>
  <c r="F18" i="2"/>
  <c r="M13" i="2"/>
  <c r="F8" i="2"/>
  <c r="H18" i="2"/>
  <c r="M19" i="2"/>
  <c r="N18" i="2"/>
  <c r="K18" i="2"/>
  <c r="E13" i="2"/>
  <c r="K13" i="2"/>
  <c r="F19" i="2"/>
  <c r="J13" i="2"/>
  <c r="I19" i="2"/>
  <c r="I18" i="2"/>
  <c r="H19" i="2"/>
  <c r="H14" i="2"/>
  <c r="G18" i="2"/>
  <c r="H13" i="2"/>
  <c r="N19" i="2"/>
  <c r="G19" i="2"/>
  <c r="J23" i="2"/>
  <c r="G14" i="2"/>
  <c r="F29" i="2"/>
  <c r="J14" i="2"/>
  <c r="L18" i="2"/>
  <c r="F14" i="2"/>
  <c r="F13" i="2"/>
  <c r="I14" i="2"/>
  <c r="L14" i="2"/>
  <c r="F9" i="2"/>
  <c r="L13" i="2"/>
  <c r="L19" i="2"/>
  <c r="K23" i="2"/>
  <c r="M14" i="2"/>
  <c r="E14" i="2"/>
  <c r="I13" i="2"/>
  <c r="M23" i="2"/>
  <c r="M18" i="2"/>
  <c r="F28" i="2"/>
  <c r="K22" i="4" l="1"/>
  <c r="G32" i="4"/>
  <c r="J22" i="4"/>
  <c r="M22" i="4"/>
  <c r="L17" i="4"/>
  <c r="K12" i="4"/>
  <c r="I12" i="4"/>
  <c r="M17" i="4"/>
  <c r="L12" i="4"/>
  <c r="F17" i="4"/>
  <c r="G7" i="4"/>
  <c r="F12" i="4"/>
  <c r="I17" i="4"/>
  <c r="J12" i="4"/>
  <c r="N17" i="4"/>
  <c r="M12" i="4"/>
  <c r="G17" i="4"/>
  <c r="E17" i="4"/>
  <c r="K17" i="4"/>
  <c r="G12" i="4"/>
  <c r="E12" i="4"/>
  <c r="H17" i="4"/>
  <c r="H12" i="4"/>
  <c r="D12" i="4"/>
  <c r="J5" i="3"/>
  <c r="I5" i="3"/>
  <c r="K5" i="3"/>
  <c r="H5" i="3"/>
  <c r="L5" i="3"/>
  <c r="D5" i="3"/>
  <c r="G5" i="3"/>
  <c r="E5" i="3"/>
  <c r="M5" i="3"/>
  <c r="F5" i="3"/>
  <c r="U70" i="2"/>
  <c r="V71" i="2"/>
  <c r="B58" i="2"/>
  <c r="AC6" i="3"/>
  <c r="AB6" i="3"/>
  <c r="A7" i="3"/>
  <c r="C6" i="3"/>
  <c r="R41" i="3"/>
  <c r="M24" i="4"/>
  <c r="H14" i="4"/>
  <c r="K19" i="4"/>
  <c r="E19" i="4"/>
  <c r="M14" i="4"/>
  <c r="D14" i="4"/>
  <c r="I14" i="4"/>
  <c r="G19" i="4"/>
  <c r="L19" i="4"/>
  <c r="G34" i="4"/>
  <c r="G9" i="4"/>
  <c r="E14" i="4"/>
  <c r="I19" i="4"/>
  <c r="F14" i="4"/>
  <c r="J14" i="4"/>
  <c r="K24" i="4"/>
  <c r="H19" i="4"/>
  <c r="M19" i="4"/>
  <c r="N19" i="4"/>
  <c r="G14" i="4"/>
  <c r="L14" i="4"/>
  <c r="J24" i="4"/>
  <c r="F19" i="4"/>
  <c r="K14" i="4"/>
  <c r="W10" i="3"/>
  <c r="L15" i="2"/>
  <c r="G35" i="2"/>
  <c r="Z9" i="3"/>
  <c r="J15" i="2"/>
  <c r="K21" i="2"/>
  <c r="Y2" i="3"/>
  <c r="D15" i="2"/>
  <c r="X3" i="3"/>
  <c r="AH5" i="3"/>
  <c r="F22" i="2"/>
  <c r="T7" i="3"/>
  <c r="F20" i="2"/>
  <c r="E15" i="2"/>
  <c r="H15" i="2"/>
  <c r="X5" i="3"/>
  <c r="W5" i="3"/>
  <c r="S7" i="3"/>
  <c r="F58" i="2"/>
  <c r="W9" i="3"/>
  <c r="I21" i="2"/>
  <c r="I22" i="2"/>
  <c r="Y10" i="3"/>
  <c r="D58" i="2"/>
  <c r="AH9" i="3"/>
  <c r="AH7" i="3"/>
  <c r="B7" i="3"/>
  <c r="N21" i="2"/>
  <c r="W7" i="3"/>
  <c r="X2" i="3"/>
  <c r="J21" i="2"/>
  <c r="H56" i="2"/>
  <c r="U7" i="3"/>
  <c r="Y6" i="3"/>
  <c r="L26" i="2"/>
  <c r="Q8" i="3"/>
  <c r="W11" i="3"/>
  <c r="G10" i="2"/>
  <c r="AH10" i="3"/>
  <c r="X8" i="3"/>
  <c r="X11" i="3"/>
  <c r="R7" i="3"/>
  <c r="I15" i="2"/>
  <c r="X7" i="3"/>
  <c r="D16" i="3"/>
  <c r="J25" i="2"/>
  <c r="Z10" i="3"/>
  <c r="H37" i="2"/>
  <c r="G21" i="2"/>
  <c r="X4" i="3"/>
  <c r="Z3" i="3"/>
  <c r="H6" i="2"/>
  <c r="E20" i="2"/>
  <c r="AH6" i="3"/>
  <c r="M21" i="2"/>
  <c r="G20" i="2"/>
  <c r="AH11" i="3"/>
  <c r="G15" i="2"/>
  <c r="AH2" i="3"/>
  <c r="I16" i="3"/>
  <c r="J16" i="3"/>
  <c r="W4" i="3"/>
  <c r="H7" i="2"/>
  <c r="H27" i="2"/>
  <c r="Z2" i="3"/>
  <c r="I27" i="2"/>
  <c r="M25" i="2"/>
  <c r="K16" i="3"/>
  <c r="K20" i="2"/>
  <c r="Q19" i="3"/>
  <c r="G22" i="2"/>
  <c r="Y3" i="3"/>
  <c r="F16" i="3"/>
  <c r="H20" i="2"/>
  <c r="O40" i="3"/>
  <c r="H16" i="3"/>
  <c r="X10" i="3"/>
  <c r="G56" i="2"/>
  <c r="H22" i="2"/>
  <c r="I20" i="2"/>
  <c r="N22" i="2"/>
  <c r="K26" i="2"/>
  <c r="M20" i="2"/>
  <c r="X9" i="3"/>
  <c r="G27" i="2"/>
  <c r="Y4" i="3"/>
  <c r="Z4" i="3"/>
  <c r="F15" i="2"/>
  <c r="L22" i="2"/>
  <c r="AH8" i="3"/>
  <c r="K25" i="2"/>
  <c r="M17" i="3"/>
  <c r="N20" i="2"/>
  <c r="Z6" i="3"/>
  <c r="M15" i="2"/>
  <c r="Y11" i="3"/>
  <c r="J17" i="3"/>
  <c r="Y7" i="3"/>
  <c r="F56" i="2"/>
  <c r="L17" i="3"/>
  <c r="G58" i="2"/>
  <c r="AH3" i="3"/>
  <c r="Y5" i="3"/>
  <c r="Z8" i="3"/>
  <c r="L20" i="2"/>
  <c r="Y8" i="3"/>
  <c r="K15" i="2"/>
  <c r="Z7" i="3"/>
  <c r="AH4" i="3"/>
  <c r="H36" i="2"/>
  <c r="AF3" i="3"/>
  <c r="D56" i="2"/>
  <c r="X6" i="3"/>
  <c r="Z11" i="3"/>
  <c r="J27" i="2"/>
  <c r="N26" i="2"/>
  <c r="G33" i="2"/>
  <c r="D14" i="2"/>
  <c r="H23" i="2"/>
  <c r="G8" i="2"/>
  <c r="D13" i="2"/>
  <c r="E19" i="2"/>
  <c r="G9" i="2"/>
  <c r="G34" i="2"/>
  <c r="J24" i="2"/>
  <c r="K24" i="2"/>
  <c r="I23" i="2"/>
  <c r="G23" i="2"/>
  <c r="L23" i="2"/>
  <c r="J28" i="2"/>
  <c r="E18" i="2"/>
  <c r="H28" i="2"/>
  <c r="I28" i="2"/>
  <c r="N23" i="2"/>
  <c r="M24" i="2"/>
  <c r="AI11" i="3" l="1"/>
  <c r="I27" i="4"/>
  <c r="G27" i="4"/>
  <c r="J27" i="4"/>
  <c r="L22" i="4"/>
  <c r="H27" i="4"/>
  <c r="N22" i="4"/>
  <c r="H37" i="4"/>
  <c r="G22" i="4"/>
  <c r="I22" i="4"/>
  <c r="H22" i="4"/>
  <c r="F22" i="4"/>
  <c r="H7" i="4"/>
  <c r="AI10" i="3"/>
  <c r="AI7" i="3"/>
  <c r="AI8" i="3"/>
  <c r="AI9" i="3"/>
  <c r="AI5" i="3"/>
  <c r="AI6" i="3"/>
  <c r="AI3" i="3"/>
  <c r="AI4" i="3"/>
  <c r="AA2" i="3"/>
  <c r="AE2" i="3" s="1"/>
  <c r="AA3" i="3"/>
  <c r="AE3" i="3" s="1"/>
  <c r="AA4" i="3"/>
  <c r="AE4" i="3" s="1"/>
  <c r="AA5" i="3"/>
  <c r="AE5" i="3" s="1"/>
  <c r="AA6" i="3"/>
  <c r="AE6" i="3" s="1"/>
  <c r="AA10" i="3"/>
  <c r="AE10" i="3" s="1"/>
  <c r="AA9" i="3"/>
  <c r="AE9" i="3" s="1"/>
  <c r="AA7" i="3"/>
  <c r="AE7" i="3" s="1"/>
  <c r="AA11" i="3"/>
  <c r="AE11" i="3" s="1"/>
  <c r="AA8" i="3"/>
  <c r="AE8" i="3" s="1"/>
  <c r="AD3" i="3"/>
  <c r="AD10" i="3"/>
  <c r="AD5" i="3"/>
  <c r="AD2" i="3"/>
  <c r="AD6" i="3"/>
  <c r="AD9" i="3"/>
  <c r="AD4" i="3"/>
  <c r="AD7" i="3"/>
  <c r="AD11" i="3"/>
  <c r="AD8" i="3"/>
  <c r="K6" i="3"/>
  <c r="H6" i="3"/>
  <c r="G6" i="3"/>
  <c r="E6" i="3"/>
  <c r="F6" i="3"/>
  <c r="D6" i="3"/>
  <c r="L6" i="3"/>
  <c r="J6" i="3"/>
  <c r="I6" i="3"/>
  <c r="U71" i="2"/>
  <c r="V72" i="2"/>
  <c r="B59" i="2"/>
  <c r="AC7" i="3"/>
  <c r="AB7" i="3"/>
  <c r="A8" i="3"/>
  <c r="C7" i="3"/>
  <c r="R42" i="3"/>
  <c r="H29" i="4"/>
  <c r="H39" i="4"/>
  <c r="H9" i="4"/>
  <c r="F24" i="4"/>
  <c r="AI2" i="3"/>
  <c r="N24" i="4"/>
  <c r="I29" i="4"/>
  <c r="H24" i="4"/>
  <c r="L24" i="4"/>
  <c r="I24" i="4"/>
  <c r="G24" i="4"/>
  <c r="G29" i="4"/>
  <c r="J29" i="4"/>
  <c r="H26" i="2"/>
  <c r="G26" i="2"/>
  <c r="Q20" i="3"/>
  <c r="H25" i="2"/>
  <c r="T8" i="3"/>
  <c r="S8" i="3"/>
  <c r="L25" i="2"/>
  <c r="I42" i="2"/>
  <c r="M27" i="2"/>
  <c r="F25" i="2"/>
  <c r="E17" i="3"/>
  <c r="Q9" i="3"/>
  <c r="I26" i="2"/>
  <c r="H40" i="2"/>
  <c r="D17" i="3"/>
  <c r="E59" i="2"/>
  <c r="H30" i="2"/>
  <c r="M31" i="2"/>
  <c r="J26" i="2"/>
  <c r="N27" i="2"/>
  <c r="G25" i="2"/>
  <c r="I6" i="2"/>
  <c r="F17" i="3"/>
  <c r="J30" i="2"/>
  <c r="K31" i="2"/>
  <c r="L18" i="3"/>
  <c r="I30" i="2"/>
  <c r="K17" i="3"/>
  <c r="M26" i="2"/>
  <c r="B8" i="3"/>
  <c r="I17" i="3"/>
  <c r="L32" i="2"/>
  <c r="U8" i="3"/>
  <c r="G17" i="3"/>
  <c r="H10" i="2"/>
  <c r="R8" i="3"/>
  <c r="I25" i="2"/>
  <c r="N25" i="2"/>
  <c r="H17" i="3"/>
  <c r="I7" i="2"/>
  <c r="K18" i="3"/>
  <c r="G30" i="2"/>
  <c r="K27" i="2"/>
  <c r="O41" i="3"/>
  <c r="L27" i="2"/>
  <c r="J31" i="2"/>
  <c r="E58" i="2"/>
  <c r="I31" i="2"/>
  <c r="J18" i="3"/>
  <c r="H58" i="2"/>
  <c r="I41" i="2"/>
  <c r="D18" i="3"/>
  <c r="H9" i="2"/>
  <c r="L24" i="2"/>
  <c r="I29" i="2"/>
  <c r="H38" i="2"/>
  <c r="H8" i="2"/>
  <c r="G28" i="2"/>
  <c r="L33" i="2"/>
  <c r="F23" i="2"/>
  <c r="L34" i="2"/>
  <c r="H24" i="2"/>
  <c r="G29" i="2"/>
  <c r="N24" i="2"/>
  <c r="H29" i="2"/>
  <c r="F24" i="2"/>
  <c r="N28" i="2"/>
  <c r="M28" i="2"/>
  <c r="G24" i="2"/>
  <c r="H39" i="2"/>
  <c r="K28" i="2"/>
  <c r="J29" i="2"/>
  <c r="I24" i="2"/>
  <c r="L28" i="2"/>
  <c r="L32" i="4" l="1"/>
  <c r="N27" i="4"/>
  <c r="L27" i="4"/>
  <c r="K27" i="4"/>
  <c r="M27" i="4"/>
  <c r="I42" i="4"/>
  <c r="I7" i="4"/>
  <c r="G7" i="3"/>
  <c r="I7" i="3"/>
  <c r="F7" i="3"/>
  <c r="D7" i="3"/>
  <c r="J7" i="3"/>
  <c r="K7" i="3"/>
  <c r="H7" i="3"/>
  <c r="E7" i="3"/>
  <c r="U72" i="2"/>
  <c r="V73" i="2"/>
  <c r="B60" i="2"/>
  <c r="AC8" i="3"/>
  <c r="AB8" i="3"/>
  <c r="A9" i="3"/>
  <c r="C8" i="3"/>
  <c r="R43" i="3"/>
  <c r="L29" i="4"/>
  <c r="I9" i="4"/>
  <c r="L34" i="4"/>
  <c r="I44" i="4"/>
  <c r="K29" i="4"/>
  <c r="N29" i="4"/>
  <c r="M29" i="4"/>
  <c r="H32" i="2"/>
  <c r="G18" i="3"/>
  <c r="N37" i="2"/>
  <c r="L36" i="2"/>
  <c r="K32" i="2"/>
  <c r="L30" i="2"/>
  <c r="F18" i="3"/>
  <c r="K36" i="2"/>
  <c r="G59" i="2"/>
  <c r="J47" i="2"/>
  <c r="H59" i="2"/>
  <c r="E18" i="3"/>
  <c r="N30" i="2"/>
  <c r="L31" i="2"/>
  <c r="I45" i="2"/>
  <c r="J19" i="3"/>
  <c r="L35" i="2"/>
  <c r="G60" i="2"/>
  <c r="J7" i="2"/>
  <c r="M32" i="2"/>
  <c r="T9" i="3"/>
  <c r="F59" i="2"/>
  <c r="J46" i="2"/>
  <c r="U9" i="3"/>
  <c r="B9" i="3"/>
  <c r="N32" i="2"/>
  <c r="H18" i="3"/>
  <c r="M30" i="2"/>
  <c r="K30" i="2"/>
  <c r="O42" i="3"/>
  <c r="H31" i="2"/>
  <c r="I32" i="2"/>
  <c r="I10" i="2"/>
  <c r="J6" i="2"/>
  <c r="M36" i="2"/>
  <c r="K19" i="3"/>
  <c r="N31" i="2"/>
  <c r="D59" i="2"/>
  <c r="R9" i="3"/>
  <c r="I18" i="3"/>
  <c r="Q21" i="3"/>
  <c r="J32" i="2"/>
  <c r="S9" i="3"/>
  <c r="D19" i="3"/>
  <c r="Q10" i="3"/>
  <c r="J37" i="2"/>
  <c r="J33" i="2"/>
  <c r="M34" i="2"/>
  <c r="K29" i="2"/>
  <c r="N38" i="2"/>
  <c r="K34" i="2"/>
  <c r="I8" i="2"/>
  <c r="N33" i="2"/>
  <c r="M33" i="2"/>
  <c r="L29" i="2"/>
  <c r="I34" i="2"/>
  <c r="J34" i="2"/>
  <c r="I33" i="2"/>
  <c r="I9" i="2"/>
  <c r="N34" i="2"/>
  <c r="I44" i="2"/>
  <c r="I43" i="2"/>
  <c r="J38" i="2"/>
  <c r="K33" i="2"/>
  <c r="M29" i="2"/>
  <c r="N29" i="2"/>
  <c r="N37" i="4" l="1"/>
  <c r="N32" i="4"/>
  <c r="M32" i="4"/>
  <c r="J32" i="4"/>
  <c r="I32" i="4"/>
  <c r="H32" i="4"/>
  <c r="K32" i="4"/>
  <c r="J47" i="4"/>
  <c r="J37" i="4"/>
  <c r="J7" i="4"/>
  <c r="F8" i="3"/>
  <c r="D8" i="3"/>
  <c r="E8" i="3"/>
  <c r="J8" i="3"/>
  <c r="I8" i="3"/>
  <c r="H8" i="3"/>
  <c r="G8" i="3"/>
  <c r="U73" i="2"/>
  <c r="V74" i="2"/>
  <c r="B61" i="2"/>
  <c r="AB9" i="3"/>
  <c r="AC9" i="3"/>
  <c r="A10" i="3"/>
  <c r="C9" i="3"/>
  <c r="R44" i="3"/>
  <c r="N39" i="4"/>
  <c r="H34" i="4"/>
  <c r="J49" i="4"/>
  <c r="J39" i="4"/>
  <c r="K34" i="4"/>
  <c r="J34" i="4"/>
  <c r="I34" i="4"/>
  <c r="M34" i="4"/>
  <c r="J9" i="4"/>
  <c r="N34" i="4"/>
  <c r="N40" i="2"/>
  <c r="K51" i="2"/>
  <c r="U10" i="3"/>
  <c r="N35" i="2"/>
  <c r="J35" i="2"/>
  <c r="J20" i="3"/>
  <c r="E60" i="2"/>
  <c r="H35" i="2"/>
  <c r="L37" i="2"/>
  <c r="F19" i="3"/>
  <c r="E20" i="3"/>
  <c r="R10" i="3"/>
  <c r="M35" i="2"/>
  <c r="K37" i="2"/>
  <c r="I36" i="2"/>
  <c r="T10" i="3"/>
  <c r="K6" i="2"/>
  <c r="O43" i="3"/>
  <c r="E19" i="3"/>
  <c r="K7" i="2"/>
  <c r="N36" i="2"/>
  <c r="Q22" i="3"/>
  <c r="J50" i="2"/>
  <c r="N41" i="2"/>
  <c r="E61" i="2"/>
  <c r="H19" i="3"/>
  <c r="D20" i="3"/>
  <c r="H60" i="2"/>
  <c r="D60" i="2"/>
  <c r="J10" i="2"/>
  <c r="J36" i="2"/>
  <c r="G19" i="3"/>
  <c r="G20" i="3"/>
  <c r="I35" i="2"/>
  <c r="F60" i="2"/>
  <c r="G61" i="2"/>
  <c r="M37" i="2"/>
  <c r="J40" i="2"/>
  <c r="K35" i="2"/>
  <c r="I37" i="2"/>
  <c r="S10" i="3"/>
  <c r="K52" i="2"/>
  <c r="Q11" i="3"/>
  <c r="I19" i="3"/>
  <c r="L41" i="2"/>
  <c r="B10" i="3"/>
  <c r="I20" i="3"/>
  <c r="L38" i="2"/>
  <c r="K38" i="2"/>
  <c r="J8" i="2"/>
  <c r="M38" i="2"/>
  <c r="J49" i="2"/>
  <c r="J39" i="2"/>
  <c r="J48" i="2"/>
  <c r="H34" i="2"/>
  <c r="N39" i="2"/>
  <c r="H33" i="2"/>
  <c r="J9" i="2"/>
  <c r="I37" i="4" l="1"/>
  <c r="K37" i="4"/>
  <c r="L37" i="4"/>
  <c r="K52" i="4"/>
  <c r="M37" i="4"/>
  <c r="K7" i="4"/>
  <c r="F9" i="3"/>
  <c r="D9" i="3"/>
  <c r="E9" i="3"/>
  <c r="I9" i="3"/>
  <c r="H9" i="3"/>
  <c r="G9" i="3"/>
  <c r="U74" i="2"/>
  <c r="V75" i="2"/>
  <c r="B63" i="2"/>
  <c r="AC10" i="3"/>
  <c r="AB10" i="3"/>
  <c r="A11" i="3"/>
  <c r="C10" i="3"/>
  <c r="R45" i="3"/>
  <c r="K39" i="4"/>
  <c r="I39" i="4"/>
  <c r="K9" i="4"/>
  <c r="L39" i="4"/>
  <c r="M39" i="4"/>
  <c r="K54" i="4"/>
  <c r="M40" i="2"/>
  <c r="D61" i="2"/>
  <c r="L42" i="2"/>
  <c r="J41" i="2"/>
  <c r="L56" i="2"/>
  <c r="H61" i="2"/>
  <c r="T11" i="3"/>
  <c r="J42" i="2"/>
  <c r="L7" i="2"/>
  <c r="N42" i="2"/>
  <c r="H21" i="3"/>
  <c r="U11" i="3"/>
  <c r="R11" i="3"/>
  <c r="Q23" i="3"/>
  <c r="M42" i="2"/>
  <c r="I21" i="3"/>
  <c r="K42" i="2"/>
  <c r="K41" i="2"/>
  <c r="K55" i="2"/>
  <c r="B11" i="3"/>
  <c r="K10" i="2"/>
  <c r="L46" i="2"/>
  <c r="F61" i="2"/>
  <c r="L40" i="2"/>
  <c r="I40" i="2"/>
  <c r="F21" i="3"/>
  <c r="S11" i="3"/>
  <c r="K40" i="2"/>
  <c r="L6" i="2"/>
  <c r="H20" i="3"/>
  <c r="L57" i="2"/>
  <c r="F20" i="3"/>
  <c r="M41" i="2"/>
  <c r="O44" i="3"/>
  <c r="D63" i="2"/>
  <c r="D21" i="3"/>
  <c r="N47" i="2"/>
  <c r="Q12" i="3"/>
  <c r="M39" i="2"/>
  <c r="I39" i="2"/>
  <c r="N44" i="2"/>
  <c r="L44" i="2"/>
  <c r="N43" i="2"/>
  <c r="K54" i="2"/>
  <c r="M43" i="2"/>
  <c r="M44" i="2"/>
  <c r="K44" i="2"/>
  <c r="K43" i="2"/>
  <c r="K39" i="2"/>
  <c r="K53" i="2"/>
  <c r="K8" i="2"/>
  <c r="L39" i="2"/>
  <c r="I38" i="2"/>
  <c r="L43" i="2"/>
  <c r="N48" i="2"/>
  <c r="K9" i="2"/>
  <c r="K42" i="4" l="1"/>
  <c r="L42" i="4"/>
  <c r="N47" i="4"/>
  <c r="M42" i="4"/>
  <c r="J42" i="4"/>
  <c r="L57" i="4"/>
  <c r="N42" i="4"/>
  <c r="L7" i="4"/>
  <c r="F10" i="3"/>
  <c r="D10" i="3"/>
  <c r="E10" i="3"/>
  <c r="H10" i="3"/>
  <c r="G10" i="3"/>
  <c r="AB11" i="3"/>
  <c r="U75" i="2"/>
  <c r="V76" i="2"/>
  <c r="B64" i="2"/>
  <c r="AC11" i="3"/>
  <c r="C11" i="3"/>
  <c r="A12" i="3"/>
  <c r="R46" i="3"/>
  <c r="K44" i="4"/>
  <c r="L59" i="4"/>
  <c r="N44" i="4"/>
  <c r="M44" i="4"/>
  <c r="L9" i="4"/>
  <c r="J44" i="4"/>
  <c r="N49" i="4"/>
  <c r="L44" i="4"/>
  <c r="K46" i="2"/>
  <c r="H63" i="2"/>
  <c r="E21" i="3"/>
  <c r="M47" i="2"/>
  <c r="E63" i="2"/>
  <c r="Q24" i="3"/>
  <c r="M61" i="2"/>
  <c r="K47" i="2"/>
  <c r="N50" i="2"/>
  <c r="M7" i="2"/>
  <c r="F63" i="2"/>
  <c r="L10" i="2"/>
  <c r="G21" i="3"/>
  <c r="K45" i="2"/>
  <c r="O45" i="3"/>
  <c r="G63" i="2"/>
  <c r="L47" i="2"/>
  <c r="B12" i="3"/>
  <c r="N46" i="2"/>
  <c r="L60" i="2"/>
  <c r="G22" i="3"/>
  <c r="M46" i="2"/>
  <c r="U12" i="3"/>
  <c r="S12" i="3"/>
  <c r="H22" i="3"/>
  <c r="M6" i="2"/>
  <c r="R12" i="3"/>
  <c r="M45" i="2"/>
  <c r="M62" i="2"/>
  <c r="J45" i="2"/>
  <c r="L51" i="2"/>
  <c r="Q13" i="3"/>
  <c r="T12" i="3"/>
  <c r="N51" i="2"/>
  <c r="L45" i="2"/>
  <c r="N45" i="2"/>
  <c r="G64" i="2"/>
  <c r="M51" i="2"/>
  <c r="J43" i="2"/>
  <c r="L48" i="2"/>
  <c r="L59" i="2"/>
  <c r="L58" i="2"/>
  <c r="N49" i="2"/>
  <c r="J44" i="2"/>
  <c r="L9" i="2"/>
  <c r="L8" i="2"/>
  <c r="M48" i="2"/>
  <c r="M62" i="4" l="1"/>
  <c r="L47" i="4"/>
  <c r="M47" i="4"/>
  <c r="K47" i="4"/>
  <c r="M7" i="4"/>
  <c r="AC12" i="3"/>
  <c r="AB12" i="3"/>
  <c r="G11" i="3"/>
  <c r="E11" i="3"/>
  <c r="D11" i="3"/>
  <c r="F11" i="3"/>
  <c r="U76" i="2"/>
  <c r="V77" i="2"/>
  <c r="B65" i="2"/>
  <c r="A13" i="3"/>
  <c r="C12" i="3"/>
  <c r="M49" i="4"/>
  <c r="K49" i="4"/>
  <c r="M64" i="4"/>
  <c r="L49" i="4"/>
  <c r="M9" i="4"/>
  <c r="D64" i="2"/>
  <c r="T13" i="3"/>
  <c r="K50" i="2"/>
  <c r="N52" i="2"/>
  <c r="H64" i="2"/>
  <c r="R13" i="3"/>
  <c r="Q25" i="3"/>
  <c r="D65" i="2"/>
  <c r="F23" i="3"/>
  <c r="E22" i="3"/>
  <c r="G23" i="3"/>
  <c r="S13" i="3"/>
  <c r="L50" i="2"/>
  <c r="N66" i="2"/>
  <c r="N67" i="2"/>
  <c r="E23" i="3"/>
  <c r="M10" i="2"/>
  <c r="M57" i="2"/>
  <c r="M52" i="2"/>
  <c r="F22" i="3"/>
  <c r="N7" i="2"/>
  <c r="F64" i="2"/>
  <c r="E64" i="2"/>
  <c r="L52" i="2"/>
  <c r="M65" i="2"/>
  <c r="M50" i="2"/>
  <c r="B13" i="3"/>
  <c r="D22" i="3"/>
  <c r="N6" i="2"/>
  <c r="O46" i="3"/>
  <c r="U13" i="3"/>
  <c r="N54" i="2"/>
  <c r="M63" i="2"/>
  <c r="K49" i="2"/>
  <c r="N53" i="2"/>
  <c r="M9" i="2"/>
  <c r="M8" i="2"/>
  <c r="L49" i="2"/>
  <c r="K48" i="2"/>
  <c r="M64" i="2"/>
  <c r="M49" i="2"/>
  <c r="M53" i="2"/>
  <c r="N67" i="4" l="1"/>
  <c r="M52" i="4"/>
  <c r="L52" i="4"/>
  <c r="M57" i="4"/>
  <c r="N52" i="4"/>
  <c r="N7" i="4"/>
  <c r="AC13" i="3"/>
  <c r="AB13" i="3"/>
  <c r="E12" i="3"/>
  <c r="D12" i="3"/>
  <c r="F12" i="3"/>
  <c r="U77" i="2"/>
  <c r="V78" i="2"/>
  <c r="B66" i="2"/>
  <c r="C13" i="3"/>
  <c r="M54" i="4"/>
  <c r="N69" i="4"/>
  <c r="L54" i="4"/>
  <c r="N9" i="4"/>
  <c r="M59" i="4"/>
  <c r="N54" i="4"/>
  <c r="M56" i="2"/>
  <c r="E24" i="3"/>
  <c r="G65" i="2"/>
  <c r="M60" i="2"/>
  <c r="E65" i="2"/>
  <c r="N55" i="2"/>
  <c r="N57" i="2"/>
  <c r="N70" i="2"/>
  <c r="N61" i="2"/>
  <c r="D23" i="3"/>
  <c r="M55" i="2"/>
  <c r="N10" i="2"/>
  <c r="D66" i="2"/>
  <c r="N56" i="2"/>
  <c r="H65" i="2"/>
  <c r="L55" i="2"/>
  <c r="F65" i="2"/>
  <c r="F24" i="3"/>
  <c r="N59" i="2"/>
  <c r="L53" i="2"/>
  <c r="N9" i="2"/>
  <c r="M58" i="2"/>
  <c r="M54" i="2"/>
  <c r="N8" i="2"/>
  <c r="L54" i="2"/>
  <c r="N58" i="2"/>
  <c r="N68" i="2"/>
  <c r="N69" i="2"/>
  <c r="M59" i="2"/>
  <c r="N57" i="4" l="1"/>
  <c r="F13" i="3"/>
  <c r="E13" i="3"/>
  <c r="D13" i="3"/>
  <c r="U78" i="2"/>
  <c r="N59" i="4"/>
  <c r="F66" i="2"/>
  <c r="N60" i="2"/>
  <c r="N62" i="2"/>
  <c r="H66" i="2"/>
  <c r="E25" i="3"/>
  <c r="D24" i="3"/>
  <c r="O67" i="2"/>
  <c r="G66" i="2"/>
  <c r="E66" i="2"/>
  <c r="F25" i="3"/>
  <c r="O67" i="4" l="1"/>
  <c r="N62" i="4"/>
  <c r="N64" i="4"/>
  <c r="O69" i="4"/>
  <c r="N65" i="2"/>
  <c r="O70" i="2"/>
  <c r="O66" i="2"/>
  <c r="D25" i="3"/>
  <c r="N64" i="2"/>
  <c r="O69" i="2"/>
  <c r="O68" i="2"/>
  <c r="N63" i="2"/>
</calcChain>
</file>

<file path=xl/sharedStrings.xml><?xml version="1.0" encoding="utf-8"?>
<sst xmlns="http://schemas.openxmlformats.org/spreadsheetml/2006/main" count="51" uniqueCount="30">
  <si>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</si>
  <si>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</si>
  <si>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</si>
  <si>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</si>
  <si>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</si>
  <si>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</si>
  <si>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</si>
  <si>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</si>
  <si>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</si>
  <si>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</si>
  <si>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</si>
  <si>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</si>
  <si>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</si>
  <si>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</si>
  <si>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</si>
  <si>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</si>
  <si>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</si>
  <si>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</si>
  <si>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</si>
  <si>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</si>
  <si>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Chicago</t>
  </si>
  <si>
    <t>Volume</t>
  </si>
  <si>
    <t>KCE</t>
  </si>
  <si>
    <t>SBE</t>
  </si>
  <si>
    <t>CTE</t>
  </si>
  <si>
    <t>CCE</t>
  </si>
  <si>
    <t>OJE</t>
  </si>
  <si>
    <t>CQG ICE Coffee Exchange Traded Spreads Dashboard</t>
  </si>
  <si>
    <t>New York</t>
  </si>
  <si>
    <t xml:space="preserve">  Copyright ©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</si>
</sst>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"/>
    <numFmt numFmtId="166" formatCode="[$-409]h:mm:ss\ AM/PM;@"/>
    <numFmt numFmtId="167" formatCode="[$-F400]h:mm:ss\ AM/PM"/>
    <numFmt numFmtId="168" formatCode="h:mm;@"/>
  </numFmts>
  <fonts count="22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9.5"/>
      <color theme="1"/>
      <name val="Cambria"/>
      <family val="1"/>
    </font>
    <font>
      <sz val="22"/>
      <color theme="1"/>
      <name val="Cambria"/>
      <family val="1"/>
    </font>
    <font>
      <sz val="11"/>
      <color theme="1"/>
      <name val="Cambria"/>
      <family val="1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8"/>
      <color theme="1"/>
      <name val="Cambria"/>
      <family val="1"/>
    </font>
    <font>
      <sz val="24"/>
      <color theme="1"/>
      <name val="Cambria"/>
      <family val="1"/>
    </font>
    <font>
      <sz val="8"/>
      <color theme="1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3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1" fillId="6" borderId="1" xfId="0" applyFont="1" applyFill="1" applyBorder="1" applyAlignment="1">
      <alignment horizontal="center" shrinkToFit="1"/>
    </xf>
    <xf numFmtId="2" fontId="1" fillId="6" borderId="1" xfId="0" applyNumberFormat="1" applyFont="1" applyFill="1" applyBorder="1" applyAlignment="1">
      <alignment horizontal="center" shrinkToFit="1"/>
    </xf>
    <xf numFmtId="0" fontId="1" fillId="6" borderId="2" xfId="0" applyFont="1" applyFill="1" applyBorder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0" fontId="1" fillId="6" borderId="5" xfId="0" applyFont="1" applyFill="1" applyBorder="1" applyAlignment="1">
      <alignment horizontal="center" shrinkToFit="1"/>
    </xf>
    <xf numFmtId="0" fontId="1" fillId="6" borderId="29" xfId="0" applyFont="1" applyFill="1" applyBorder="1" applyAlignment="1">
      <alignment horizontal="center" shrinkToFit="1"/>
    </xf>
    <xf numFmtId="2" fontId="1" fillId="6" borderId="31" xfId="0" applyNumberFormat="1" applyFont="1" applyFill="1" applyBorder="1" applyAlignment="1">
      <alignment horizontal="center" shrinkToFit="1"/>
    </xf>
    <xf numFmtId="0" fontId="1" fillId="6" borderId="31" xfId="0" applyFont="1" applyFill="1" applyBorder="1" applyAlignment="1">
      <alignment horizontal="center" shrinkToFit="1"/>
    </xf>
    <xf numFmtId="0" fontId="1" fillId="6" borderId="32" xfId="0" applyFont="1" applyFill="1" applyBorder="1" applyAlignment="1">
      <alignment horizontal="center" shrinkToFit="1"/>
    </xf>
    <xf numFmtId="0" fontId="0" fillId="2" borderId="0" xfId="0" applyFont="1" applyFill="1" applyAlignment="1">
      <alignment horizont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6" fillId="2" borderId="10" xfId="0" applyFont="1" applyFill="1" applyBorder="1"/>
    <xf numFmtId="0" fontId="6" fillId="2" borderId="13" xfId="0" applyFont="1" applyFill="1" applyBorder="1"/>
    <xf numFmtId="0" fontId="6" fillId="2" borderId="0" xfId="0" applyFont="1" applyFill="1" applyBorder="1"/>
    <xf numFmtId="0" fontId="6" fillId="2" borderId="14" xfId="0" applyFont="1" applyFill="1" applyBorder="1"/>
    <xf numFmtId="0" fontId="6" fillId="2" borderId="25" xfId="0" applyFont="1" applyFill="1" applyBorder="1"/>
    <xf numFmtId="0" fontId="7" fillId="2" borderId="25" xfId="0" applyFont="1" applyFill="1" applyBorder="1"/>
    <xf numFmtId="0" fontId="6" fillId="2" borderId="26" xfId="0" applyFont="1" applyFill="1" applyBorder="1"/>
    <xf numFmtId="0" fontId="5" fillId="8" borderId="11" xfId="0" applyFont="1" applyFill="1" applyBorder="1" applyAlignment="1">
      <alignment horizontal="center" shrinkToFit="1"/>
    </xf>
    <xf numFmtId="0" fontId="5" fillId="8" borderId="11" xfId="0" applyFont="1" applyFill="1" applyBorder="1" applyAlignment="1">
      <alignment shrinkToFit="1"/>
    </xf>
    <xf numFmtId="2" fontId="5" fillId="2" borderId="1" xfId="0" applyNumberFormat="1" applyFont="1" applyFill="1" applyBorder="1" applyAlignment="1">
      <alignment horizontal="center" shrinkToFit="1"/>
    </xf>
    <xf numFmtId="3" fontId="5" fillId="2" borderId="1" xfId="0" applyNumberFormat="1" applyFont="1" applyFill="1" applyBorder="1" applyAlignment="1">
      <alignment horizontal="center" shrinkToFit="1"/>
    </xf>
    <xf numFmtId="0" fontId="5" fillId="8" borderId="1" xfId="0" applyFont="1" applyFill="1" applyBorder="1" applyAlignment="1">
      <alignment horizontal="center" shrinkToFit="1"/>
    </xf>
    <xf numFmtId="2" fontId="5" fillId="8" borderId="1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5" fillId="4" borderId="6" xfId="0" applyNumberFormat="1" applyFont="1" applyFill="1" applyBorder="1" applyAlignment="1">
      <alignment horizontal="center" shrinkToFit="1"/>
    </xf>
    <xf numFmtId="1" fontId="5" fillId="4" borderId="6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0" fontId="5" fillId="8" borderId="4" xfId="0" applyFont="1" applyFill="1" applyBorder="1" applyAlignment="1">
      <alignment horizontal="center" shrinkToFit="1"/>
    </xf>
    <xf numFmtId="0" fontId="5" fillId="8" borderId="2" xfId="0" applyFont="1" applyFill="1" applyBorder="1" applyAlignment="1">
      <alignment horizontal="center" shrinkToFit="1"/>
    </xf>
    <xf numFmtId="2" fontId="5" fillId="3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 applyProtection="1">
      <alignment horizontal="center" shrinkToFit="1"/>
      <protection locked="0"/>
    </xf>
    <xf numFmtId="10" fontId="5" fillId="2" borderId="1" xfId="0" applyNumberFormat="1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 applyProtection="1">
      <alignment horizontal="center" shrinkToFit="1"/>
      <protection locked="0"/>
    </xf>
    <xf numFmtId="3" fontId="5" fillId="2" borderId="3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11" borderId="20" xfId="0" applyNumberFormat="1" applyFont="1" applyFill="1" applyBorder="1" applyAlignment="1">
      <alignment horizontal="center" shrinkToFit="1"/>
    </xf>
    <xf numFmtId="2" fontId="8" fillId="12" borderId="1" xfId="0" applyNumberFormat="1" applyFont="1" applyFill="1" applyBorder="1" applyAlignment="1">
      <alignment horizontal="center" vertical="center" shrinkToFit="1"/>
    </xf>
    <xf numFmtId="2" fontId="8" fillId="13" borderId="1" xfId="0" applyNumberFormat="1" applyFont="1" applyFill="1" applyBorder="1" applyAlignment="1">
      <alignment horizontal="center" vertical="center" shrinkToFit="1"/>
    </xf>
    <xf numFmtId="3" fontId="7" fillId="2" borderId="25" xfId="0" applyNumberFormat="1" applyFont="1" applyFill="1" applyBorder="1"/>
    <xf numFmtId="3" fontId="7" fillId="2" borderId="17" xfId="0" applyNumberFormat="1" applyFont="1" applyFill="1" applyBorder="1"/>
    <xf numFmtId="3" fontId="7" fillId="2" borderId="0" xfId="0" applyNumberFormat="1" applyFont="1" applyFill="1"/>
    <xf numFmtId="14" fontId="11" fillId="9" borderId="3" xfId="0" applyNumberFormat="1" applyFont="1" applyFill="1" applyBorder="1" applyAlignment="1">
      <alignment horizontal="center" shrinkToFit="1"/>
    </xf>
    <xf numFmtId="0" fontId="11" fillId="9" borderId="1" xfId="1" applyFont="1" applyFill="1" applyBorder="1" applyAlignment="1">
      <alignment vertical="center" shrinkToFit="1"/>
    </xf>
    <xf numFmtId="2" fontId="6" fillId="2" borderId="10" xfId="0" applyNumberFormat="1" applyFont="1" applyFill="1" applyBorder="1" applyAlignment="1">
      <alignment horizontal="right"/>
    </xf>
    <xf numFmtId="0" fontId="5" fillId="8" borderId="28" xfId="0" applyFont="1" applyFill="1" applyBorder="1" applyAlignment="1">
      <alignment horizontal="center" shrinkToFit="1"/>
    </xf>
    <xf numFmtId="0" fontId="5" fillId="8" borderId="30" xfId="0" applyFont="1" applyFill="1" applyBorder="1" applyAlignment="1">
      <alignment horizontal="center" shrinkToFit="1"/>
    </xf>
    <xf numFmtId="0" fontId="5" fillId="8" borderId="32" xfId="0" applyFont="1" applyFill="1" applyBorder="1" applyAlignment="1">
      <alignment horizontal="center" shrinkToFit="1"/>
    </xf>
    <xf numFmtId="2" fontId="5" fillId="4" borderId="1" xfId="0" applyNumberFormat="1" applyFont="1" applyFill="1" applyBorder="1" applyAlignment="1" applyProtection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2" fontId="5" fillId="2" borderId="1" xfId="0" applyNumberFormat="1" applyFont="1" applyFill="1" applyBorder="1" applyAlignment="1">
      <alignment horizontal="center" vertical="center" shrinkToFit="1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168" fontId="0" fillId="2" borderId="0" xfId="0" applyNumberFormat="1" applyFont="1" applyFill="1"/>
    <xf numFmtId="20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4" fillId="2" borderId="0" xfId="0" applyFont="1" applyFill="1" applyBorder="1"/>
    <xf numFmtId="0" fontId="15" fillId="4" borderId="0" xfId="0" applyFont="1" applyFill="1" applyBorder="1" applyAlignment="1">
      <alignment vertical="center" shrinkToFit="1"/>
    </xf>
    <xf numFmtId="0" fontId="14" fillId="2" borderId="0" xfId="0" applyFont="1" applyFill="1" applyBorder="1" applyAlignment="1">
      <alignment horizontal="right"/>
    </xf>
    <xf numFmtId="2" fontId="14" fillId="2" borderId="0" xfId="0" applyNumberFormat="1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center" shrinkToFit="1"/>
    </xf>
    <xf numFmtId="1" fontId="16" fillId="4" borderId="0" xfId="0" applyNumberFormat="1" applyFont="1" applyFill="1" applyBorder="1" applyAlignment="1" applyProtection="1">
      <alignment horizontal="center" shrinkToFit="1"/>
    </xf>
    <xf numFmtId="2" fontId="16" fillId="4" borderId="0" xfId="0" applyNumberFormat="1" applyFont="1" applyFill="1" applyBorder="1" applyAlignment="1">
      <alignment horizontal="center" shrinkToFit="1"/>
    </xf>
    <xf numFmtId="0" fontId="16" fillId="4" borderId="0" xfId="0" applyFont="1" applyFill="1" applyBorder="1" applyAlignment="1">
      <alignment horizontal="center" shrinkToFit="1"/>
    </xf>
    <xf numFmtId="0" fontId="16" fillId="4" borderId="0" xfId="0" applyFont="1" applyFill="1" applyBorder="1" applyAlignment="1" applyProtection="1">
      <alignment horizontal="center" shrinkToFit="1"/>
      <protection locked="0"/>
    </xf>
    <xf numFmtId="2" fontId="16" fillId="4" borderId="0" xfId="0" applyNumberFormat="1" applyFont="1" applyFill="1" applyBorder="1" applyAlignment="1" applyProtection="1">
      <alignment horizontal="center" shrinkToFit="1"/>
      <protection locked="0"/>
    </xf>
    <xf numFmtId="10" fontId="16" fillId="4" borderId="0" xfId="0" applyNumberFormat="1" applyFont="1" applyFill="1" applyBorder="1" applyAlignment="1">
      <alignment horizontal="center" shrinkToFit="1"/>
    </xf>
    <xf numFmtId="2" fontId="18" fillId="4" borderId="0" xfId="0" applyNumberFormat="1" applyFont="1" applyFill="1" applyBorder="1" applyAlignment="1">
      <alignment horizontal="center" vertical="center" shrinkToFit="1"/>
    </xf>
    <xf numFmtId="3" fontId="14" fillId="2" borderId="0" xfId="0" applyNumberFormat="1" applyFont="1" applyFill="1" applyBorder="1"/>
    <xf numFmtId="0" fontId="21" fillId="4" borderId="0" xfId="1" applyFont="1" applyFill="1" applyBorder="1" applyAlignment="1">
      <alignment vertical="center" shrinkToFit="1"/>
    </xf>
    <xf numFmtId="14" fontId="21" fillId="4" borderId="0" xfId="0" applyNumberFormat="1" applyFont="1" applyFill="1" applyBorder="1" applyAlignment="1">
      <alignment horizontal="center" shrinkToFit="1"/>
    </xf>
    <xf numFmtId="0" fontId="14" fillId="2" borderId="0" xfId="0" applyFont="1" applyFill="1" applyBorder="1" applyAlignment="1">
      <alignment shrinkToFit="1"/>
    </xf>
    <xf numFmtId="0" fontId="16" fillId="4" borderId="0" xfId="0" applyFont="1" applyFill="1" applyBorder="1" applyAlignment="1">
      <alignment shrinkToFit="1"/>
    </xf>
    <xf numFmtId="1" fontId="16" fillId="2" borderId="0" xfId="0" applyNumberFormat="1" applyFont="1" applyFill="1" applyBorder="1" applyAlignment="1">
      <alignment horizontal="center" shrinkToFit="1"/>
    </xf>
    <xf numFmtId="3" fontId="16" fillId="2" borderId="0" xfId="0" applyNumberFormat="1" applyFont="1" applyFill="1" applyBorder="1" applyAlignment="1">
      <alignment horizontal="center" shrinkToFit="1"/>
    </xf>
    <xf numFmtId="0" fontId="16" fillId="2" borderId="0" xfId="0" applyFont="1" applyFill="1" applyBorder="1" applyAlignment="1">
      <alignment horizontal="center" shrinkToFit="1"/>
    </xf>
    <xf numFmtId="2" fontId="16" fillId="4" borderId="0" xfId="0" applyNumberFormat="1" applyFont="1" applyFill="1" applyBorder="1" applyAlignment="1" applyProtection="1">
      <alignment horizontal="center" shrinkToFit="1"/>
    </xf>
    <xf numFmtId="0" fontId="16" fillId="2" borderId="0" xfId="0" applyFont="1" applyFill="1" applyBorder="1" applyAlignment="1">
      <alignment shrinkToFit="1"/>
    </xf>
    <xf numFmtId="0" fontId="12" fillId="14" borderId="12" xfId="0" applyFont="1" applyFill="1" applyBorder="1" applyAlignment="1">
      <alignment vertical="center" shrinkToFit="1"/>
    </xf>
    <xf numFmtId="0" fontId="0" fillId="14" borderId="13" xfId="0" applyFill="1" applyBorder="1" applyAlignment="1">
      <alignment vertical="center" shrinkToFit="1"/>
    </xf>
    <xf numFmtId="0" fontId="0" fillId="14" borderId="15" xfId="0" applyFill="1" applyBorder="1" applyAlignment="1">
      <alignment vertical="center" shrinkToFit="1"/>
    </xf>
    <xf numFmtId="0" fontId="0" fillId="14" borderId="16" xfId="0" applyFill="1" applyBorder="1" applyAlignment="1">
      <alignment vertical="center" shrinkToFit="1"/>
    </xf>
    <xf numFmtId="167" fontId="12" fillId="7" borderId="13" xfId="0" applyNumberFormat="1" applyFont="1" applyFill="1" applyBorder="1" applyAlignment="1">
      <alignment horizontal="center" vertical="center" shrinkToFit="1"/>
    </xf>
    <xf numFmtId="167" fontId="12" fillId="7" borderId="14" xfId="0" applyNumberFormat="1" applyFont="1" applyFill="1" applyBorder="1" applyAlignment="1">
      <alignment horizontal="center" vertical="center" shrinkToFit="1"/>
    </xf>
    <xf numFmtId="167" fontId="12" fillId="7" borderId="16" xfId="0" applyNumberFormat="1" applyFont="1" applyFill="1" applyBorder="1" applyAlignment="1">
      <alignment horizontal="center" vertical="center" shrinkToFit="1"/>
    </xf>
    <xf numFmtId="167" fontId="12" fillId="7" borderId="17" xfId="0" applyNumberFormat="1" applyFont="1" applyFill="1" applyBorder="1" applyAlignment="1">
      <alignment horizontal="center" vertical="center" shrinkToFit="1"/>
    </xf>
    <xf numFmtId="0" fontId="12" fillId="7" borderId="13" xfId="0" applyFont="1" applyFill="1" applyBorder="1" applyAlignment="1">
      <alignment horizontal="center" vertical="center" shrinkToFit="1"/>
    </xf>
    <xf numFmtId="0" fontId="12" fillId="7" borderId="16" xfId="0" applyFont="1" applyFill="1" applyBorder="1" applyAlignment="1">
      <alignment horizontal="center" vertical="center" shrinkToFit="1"/>
    </xf>
    <xf numFmtId="0" fontId="11" fillId="9" borderId="18" xfId="0" applyFont="1" applyFill="1" applyBorder="1" applyAlignment="1">
      <alignment horizontal="center" shrinkToFit="1"/>
    </xf>
    <xf numFmtId="0" fontId="11" fillId="9" borderId="19" xfId="0" applyFont="1" applyFill="1" applyBorder="1" applyAlignment="1">
      <alignment horizontal="center" shrinkToFit="1"/>
    </xf>
    <xf numFmtId="0" fontId="11" fillId="9" borderId="1" xfId="1" applyFont="1" applyFill="1" applyBorder="1" applyAlignment="1">
      <alignment horizontal="center" vertical="center" shrinkToFit="1"/>
    </xf>
    <xf numFmtId="166" fontId="13" fillId="10" borderId="27" xfId="0" applyNumberFormat="1" applyFont="1" applyFill="1" applyBorder="1" applyAlignment="1">
      <alignment horizontal="center" vertical="center" shrinkToFit="1"/>
    </xf>
    <xf numFmtId="166" fontId="13" fillId="10" borderId="11" xfId="0" applyNumberFormat="1" applyFont="1" applyFill="1" applyBorder="1" applyAlignment="1">
      <alignment horizontal="center" vertical="center" shrinkToFit="1"/>
    </xf>
    <xf numFmtId="2" fontId="5" fillId="8" borderId="18" xfId="0" applyNumberFormat="1" applyFont="1" applyFill="1" applyBorder="1" applyAlignment="1">
      <alignment horizontal="center" shrinkToFit="1"/>
    </xf>
    <xf numFmtId="2" fontId="5" fillId="8" borderId="19" xfId="0" applyNumberFormat="1" applyFont="1" applyFill="1" applyBorder="1" applyAlignment="1">
      <alignment horizontal="center" shrinkToFit="1"/>
    </xf>
    <xf numFmtId="2" fontId="5" fillId="8" borderId="3" xfId="0" applyNumberFormat="1" applyFont="1" applyFill="1" applyBorder="1" applyAlignment="1">
      <alignment horizontal="center" shrinkToFit="1"/>
    </xf>
    <xf numFmtId="2" fontId="10" fillId="4" borderId="9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23" xfId="0" applyNumberFormat="1" applyFont="1" applyFill="1" applyBorder="1" applyAlignment="1">
      <alignment horizontal="center" vertical="center" shrinkToFit="1"/>
    </xf>
    <xf numFmtId="2" fontId="10" fillId="4" borderId="10" xfId="0" applyNumberFormat="1" applyFont="1" applyFill="1" applyBorder="1" applyAlignment="1">
      <alignment horizontal="center" vertical="center" shrinkToFit="1"/>
    </xf>
    <xf numFmtId="2" fontId="5" fillId="5" borderId="1" xfId="0" applyNumberFormat="1" applyFont="1" applyFill="1" applyBorder="1" applyAlignment="1">
      <alignment horizontal="center" shrinkToFit="1"/>
    </xf>
    <xf numFmtId="2" fontId="5" fillId="8" borderId="1" xfId="0" applyNumberFormat="1" applyFont="1" applyFill="1" applyBorder="1" applyAlignment="1">
      <alignment horizontal="center" shrinkToFit="1"/>
    </xf>
    <xf numFmtId="165" fontId="10" fillId="4" borderId="22" xfId="0" applyNumberFormat="1" applyFont="1" applyFill="1" applyBorder="1" applyAlignment="1">
      <alignment horizontal="center" vertical="center" shrinkToFit="1"/>
    </xf>
    <xf numFmtId="165" fontId="10" fillId="4" borderId="24" xfId="0" applyNumberFormat="1" applyFont="1" applyFill="1" applyBorder="1" applyAlignment="1">
      <alignment horizontal="center" vertical="center" shrinkToFit="1"/>
    </xf>
    <xf numFmtId="2" fontId="8" fillId="8" borderId="1" xfId="0" applyNumberFormat="1" applyFont="1" applyFill="1" applyBorder="1" applyAlignment="1">
      <alignment horizontal="center" vertical="center" shrinkToFit="1"/>
    </xf>
    <xf numFmtId="2" fontId="8" fillId="13" borderId="1" xfId="0" applyNumberFormat="1" applyFont="1" applyFill="1" applyBorder="1" applyAlignment="1">
      <alignment horizontal="center" vertical="center" shrinkToFit="1"/>
    </xf>
    <xf numFmtId="1" fontId="8" fillId="13" borderId="1" xfId="0" applyNumberFormat="1" applyFont="1" applyFill="1" applyBorder="1" applyAlignment="1">
      <alignment horizontal="center" vertical="center" shrinkToFit="1"/>
    </xf>
    <xf numFmtId="164" fontId="8" fillId="13" borderId="1" xfId="0" applyNumberFormat="1" applyFont="1" applyFill="1" applyBorder="1" applyAlignment="1">
      <alignment horizontal="center" vertical="center" shrinkToFit="1"/>
    </xf>
    <xf numFmtId="2" fontId="8" fillId="12" borderId="1" xfId="0" applyNumberFormat="1" applyFont="1" applyFill="1" applyBorder="1" applyAlignment="1">
      <alignment horizontal="center" vertical="center" shrinkToFit="1"/>
    </xf>
    <xf numFmtId="1" fontId="8" fillId="12" borderId="1" xfId="0" applyNumberFormat="1" applyFont="1" applyFill="1" applyBorder="1" applyAlignment="1">
      <alignment horizontal="center" vertical="center" shrinkToFit="1"/>
    </xf>
    <xf numFmtId="164" fontId="8" fillId="12" borderId="1" xfId="0" applyNumberFormat="1" applyFont="1" applyFill="1" applyBorder="1" applyAlignment="1">
      <alignment horizontal="center" vertical="center" shrinkToFit="1"/>
    </xf>
    <xf numFmtId="164" fontId="9" fillId="4" borderId="21" xfId="0" applyNumberFormat="1" applyFont="1" applyFill="1" applyBorder="1" applyAlignment="1">
      <alignment horizontal="center" vertical="center" shrinkToFit="1"/>
    </xf>
    <xf numFmtId="164" fontId="9" fillId="4" borderId="7" xfId="0" applyNumberFormat="1" applyFont="1" applyFill="1" applyBorder="1" applyAlignment="1">
      <alignment horizontal="center" vertical="center" shrinkToFit="1"/>
    </xf>
    <xf numFmtId="164" fontId="9" fillId="4" borderId="8" xfId="0" applyNumberFormat="1" applyFont="1" applyFill="1" applyBorder="1" applyAlignment="1">
      <alignment horizontal="center" vertical="center" shrinkToFit="1"/>
    </xf>
    <xf numFmtId="164" fontId="9" fillId="4" borderId="9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22" xfId="0" applyNumberFormat="1" applyFont="1" applyFill="1" applyBorder="1" applyAlignment="1">
      <alignment horizontal="center" vertical="center" shrinkToFit="1"/>
    </xf>
    <xf numFmtId="22" fontId="11" fillId="9" borderId="1" xfId="0" applyNumberFormat="1" applyFont="1" applyFill="1" applyBorder="1" applyAlignment="1">
      <alignment horizontal="center" shrinkToFit="1"/>
    </xf>
    <xf numFmtId="22" fontId="11" fillId="3" borderId="1" xfId="0" applyNumberFormat="1" applyFont="1" applyFill="1" applyBorder="1" applyAlignment="1">
      <alignment horizontal="center" shrinkToFit="1"/>
    </xf>
    <xf numFmtId="0" fontId="11" fillId="3" borderId="1" xfId="1" applyFont="1" applyFill="1" applyBorder="1" applyAlignment="1">
      <alignment horizontal="center" vertical="center" shrinkToFit="1"/>
    </xf>
    <xf numFmtId="0" fontId="11" fillId="9" borderId="18" xfId="0" applyFont="1" applyFill="1" applyBorder="1" applyAlignment="1">
      <alignment horizontal="right" shrinkToFit="1"/>
    </xf>
    <xf numFmtId="0" fontId="11" fillId="9" borderId="19" xfId="0" applyFont="1" applyFill="1" applyBorder="1" applyAlignment="1">
      <alignment horizontal="right" shrinkToFit="1"/>
    </xf>
    <xf numFmtId="0" fontId="15" fillId="4" borderId="0" xfId="0" applyFont="1" applyFill="1" applyBorder="1" applyAlignment="1">
      <alignment vertical="center" shrinkToFit="1"/>
    </xf>
    <xf numFmtId="0" fontId="16" fillId="4" borderId="0" xfId="0" applyFont="1" applyFill="1" applyBorder="1" applyAlignment="1">
      <alignment vertical="center" shrinkToFit="1"/>
    </xf>
    <xf numFmtId="167" fontId="15" fillId="4" borderId="0" xfId="0" applyNumberFormat="1" applyFont="1" applyFill="1" applyBorder="1" applyAlignment="1">
      <alignment horizontal="center" vertical="center" shrinkToFit="1"/>
    </xf>
    <xf numFmtId="166" fontId="17" fillId="4" borderId="0" xfId="0" applyNumberFormat="1" applyFont="1" applyFill="1" applyBorder="1" applyAlignment="1">
      <alignment horizontal="center" vertical="center" shrinkToFit="1"/>
    </xf>
    <xf numFmtId="2" fontId="16" fillId="4" borderId="0" xfId="0" applyNumberFormat="1" applyFont="1" applyFill="1" applyBorder="1" applyAlignment="1">
      <alignment horizontal="center" shrinkToFit="1"/>
    </xf>
    <xf numFmtId="2" fontId="18" fillId="4" borderId="0" xfId="0" applyNumberFormat="1" applyFont="1" applyFill="1" applyBorder="1" applyAlignment="1">
      <alignment horizontal="center" vertical="center" shrinkToFit="1"/>
    </xf>
    <xf numFmtId="1" fontId="18" fillId="4" borderId="0" xfId="0" applyNumberFormat="1" applyFont="1" applyFill="1" applyBorder="1" applyAlignment="1">
      <alignment horizontal="center" vertical="center" shrinkToFit="1"/>
    </xf>
    <xf numFmtId="164" fontId="18" fillId="4" borderId="0" xfId="0" applyNumberFormat="1" applyFont="1" applyFill="1" applyBorder="1" applyAlignment="1">
      <alignment horizontal="center" vertical="center" shrinkToFit="1"/>
    </xf>
    <xf numFmtId="164" fontId="19" fillId="4" borderId="0" xfId="0" applyNumberFormat="1" applyFont="1" applyFill="1" applyBorder="1" applyAlignment="1">
      <alignment horizontal="center" vertical="center" shrinkToFit="1"/>
    </xf>
    <xf numFmtId="22" fontId="21" fillId="4" borderId="0" xfId="0" applyNumberFormat="1" applyFont="1" applyFill="1" applyBorder="1" applyAlignment="1">
      <alignment horizontal="center" shrinkToFit="1"/>
    </xf>
    <xf numFmtId="0" fontId="21" fillId="4" borderId="0" xfId="0" applyFont="1" applyFill="1" applyBorder="1" applyAlignment="1">
      <alignment horizontal="right" shrinkToFit="1"/>
    </xf>
    <xf numFmtId="0" fontId="21" fillId="4" borderId="0" xfId="0" applyFont="1" applyFill="1" applyBorder="1" applyAlignment="1">
      <alignment horizontal="center" shrinkToFit="1"/>
    </xf>
    <xf numFmtId="0" fontId="21" fillId="4" borderId="0" xfId="1" applyFont="1" applyFill="1" applyBorder="1" applyAlignment="1">
      <alignment horizontal="center" vertical="center" shrinkToFit="1"/>
    </xf>
    <xf numFmtId="2" fontId="20" fillId="4" borderId="0" xfId="0" applyNumberFormat="1" applyFont="1" applyFill="1" applyBorder="1" applyAlignment="1">
      <alignment horizontal="center" vertical="center" shrinkToFit="1"/>
    </xf>
    <xf numFmtId="165" fontId="20" fillId="4" borderId="0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451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FFFF00"/>
      </font>
    </dxf>
    <dxf>
      <font>
        <color rgb="FFFF0000"/>
      </font>
    </dxf>
    <dxf>
      <font>
        <color rgb="FF00B05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Coffee (ICE) Calendar Spread 4, Dec 18, Sep 19</v>
        <stp/>
        <stp>ContractData</stp>
        <stp>KCES4Z8</stp>
        <stp>LongDescription</stp>
        <tr r="K31" s="2"/>
      </tp>
      <tp t="s">
        <v>Coffee (ICE) Calendar Spread 4, Sep 18, Jul 19</v>
        <stp/>
        <stp>ContractData</stp>
        <stp>KCES4U8</stp>
        <stp>LongDescription</stp>
        <tr r="J26" s="2"/>
      </tp>
      <tp t="s">
        <v>Coffee (ICE) Calendar Spread 4, Jul 18, May 19</v>
        <stp/>
        <stp>ContractData</stp>
        <stp>KCES4N8</stp>
        <stp>LongDescription</stp>
        <tr r="I21" s="2"/>
      </tp>
      <tp t="s">
        <v>Coffee (ICE) Calendar Spread 4, Jul 19, May 20</v>
        <stp/>
        <stp>ContractData</stp>
        <stp>KCES4N9</stp>
        <stp>LongDescription</stp>
        <tr r="N46" s="2"/>
      </tp>
      <tp t="s">
        <v>Coffee (ICE) Calendar Spread 4, May 18, Mar 19</v>
        <stp/>
        <stp>ContractData</stp>
        <stp>KCES4K8</stp>
        <stp>LongDescription</stp>
        <tr r="H16" s="2"/>
      </tp>
      <tp t="s">
        <v>Coffee (ICE) Calendar Spread 4, May 19, Mar 20</v>
        <stp/>
        <stp>ContractData</stp>
        <stp>KCES4K9</stp>
        <stp>LongDescription</stp>
        <tr r="M41" s="2"/>
      </tp>
      <tp t="s">
        <v>Coffee (ICE) Calendar Spread 4, Mar 18, Dec 18</v>
        <stp/>
        <stp>ContractData</stp>
        <stp>KCES4H8</stp>
        <stp>LongDescription</stp>
        <tr r="G11" s="2"/>
      </tp>
      <tp t="s">
        <v>Coffee (ICE) Calendar Spread 4, Mar 19, Dec 19</v>
        <stp/>
        <stp>ContractData</stp>
        <stp>KCES4H9</stp>
        <stp>LongDescription</stp>
        <tr r="L36" s="2"/>
      </tp>
      <tp t="s">
        <v>Coffee (ICE) Calendar Spread 5, Dec 18, Dec 19</v>
        <stp/>
        <stp>ContractData</stp>
        <stp>KCES5Z8</stp>
        <stp>LongDescription</stp>
        <tr r="L31" s="2"/>
      </tp>
      <tp t="s">
        <v>Coffee (ICE) Calendar Spread 5, Sep 18, Sep 19</v>
        <stp/>
        <stp>ContractData</stp>
        <stp>KCES5U8</stp>
        <stp>LongDescription</stp>
        <tr r="K26" s="2"/>
      </tp>
      <tp t="s">
        <v>Coffee (ICE) Calendar Spread 5, Jul 18, Jul 19</v>
        <stp/>
        <stp>ContractData</stp>
        <stp>KCES5N8</stp>
        <stp>LongDescription</stp>
        <tr r="J21" s="2"/>
      </tp>
      <tp t="s">
        <v>Coffee (ICE) Calendar Spread 5, May 18, May 19</v>
        <stp/>
        <stp>ContractData</stp>
        <stp>KCES5K8</stp>
        <stp>LongDescription</stp>
        <tr r="I16" s="2"/>
      </tp>
      <tp t="s">
        <v>Coffee (ICE) Calendar Spread 5, May 19, May 20</v>
        <stp/>
        <stp>ContractData</stp>
        <stp>KCES5K9</stp>
        <stp>LongDescription</stp>
        <tr r="N41" s="2"/>
      </tp>
      <tp t="s">
        <v>Coffee (ICE) Calendar Spread 5, Mar 18, Mar 19</v>
        <stp/>
        <stp>ContractData</stp>
        <stp>KCES5H8</stp>
        <stp>LongDescription</stp>
        <tr r="H11" s="2"/>
      </tp>
      <tp t="s">
        <v>Coffee (ICE) Calendar Spread 5, Mar 19, Mar 20</v>
        <stp/>
        <stp>ContractData</stp>
        <stp>KCES5H9</stp>
        <stp>LongDescription</stp>
        <tr r="M36" s="2"/>
      </tp>
      <tp t="s">
        <v>Coffee (ICE) Calendar Spread 6, Dec 18, Mar 20</v>
        <stp/>
        <stp>ContractData</stp>
        <stp>KCES6Z8</stp>
        <stp>LongDescription</stp>
        <tr r="M31" s="2"/>
      </tp>
      <tp t="s">
        <v>Coffee (ICE) Calendar Spread 6, Sep 18, Dec 19</v>
        <stp/>
        <stp>ContractData</stp>
        <stp>KCES6U8</stp>
        <stp>LongDescription</stp>
        <tr r="L26" s="2"/>
      </tp>
      <tp t="s">
        <v>Coffee (ICE) Calendar Spread 6, Jul 18, Sep 19</v>
        <stp/>
        <stp>ContractData</stp>
        <stp>KCES6N8</stp>
        <stp>LongDescription</stp>
        <tr r="K21" s="2"/>
      </tp>
      <tp t="s">
        <v>Coffee (ICE) Calendar Spread 6, May 18, Jul 19</v>
        <stp/>
        <stp>ContractData</stp>
        <stp>KCES6K8</stp>
        <stp>LongDescription</stp>
        <tr r="J16" s="2"/>
      </tp>
      <tp t="s">
        <v>Coffee (ICE) Calendar Spread 6, Mar 18, May 19</v>
        <stp/>
        <stp>ContractData</stp>
        <stp>KCES6H8</stp>
        <stp>LongDescription</stp>
        <tr r="I11" s="2"/>
      </tp>
      <tp t="s">
        <v>Coffee (ICE) Calendar Spread 6, Mar 19, May 20</v>
        <stp/>
        <stp>ContractData</stp>
        <stp>KCES6H9</stp>
        <stp>LongDescription</stp>
        <tr r="N36" s="2"/>
      </tp>
      <tp t="s">
        <v>Coffee (ICE) Calendar Spread 7, Dec 18, May 20</v>
        <stp/>
        <stp>ContractData</stp>
        <stp>KCES7Z8</stp>
        <stp>LongDescription</stp>
        <tr r="N31" s="2"/>
      </tp>
      <tp t="s">
        <v>Coffee (ICE) Calendar Spread 7, Sep 18, Mar 20</v>
        <stp/>
        <stp>ContractData</stp>
        <stp>KCES7U8</stp>
        <stp>LongDescription</stp>
        <tr r="M26" s="2"/>
      </tp>
      <tp t="s">
        <v>Coffee (ICE) Calendar Spread 7, Jul 18, Dec 19</v>
        <stp/>
        <stp>ContractData</stp>
        <stp>KCES7N8</stp>
        <stp>LongDescription</stp>
        <tr r="L21" s="2"/>
      </tp>
      <tp t="s">
        <v>Coffee (ICE) Calendar Spread 7, May 18, Sep 19</v>
        <stp/>
        <stp>ContractData</stp>
        <stp>KCES7K8</stp>
        <stp>LongDescription</stp>
        <tr r="K16" s="2"/>
      </tp>
      <tp t="s">
        <v>Coffee (ICE) Calendar Spread 7, Mar 18, Jul 19</v>
        <stp/>
        <stp>ContractData</stp>
        <stp>KCES7H8</stp>
        <stp>LongDescription</stp>
        <tr r="J11" s="2"/>
      </tp>
      <tp>
        <v>-0.28999999999999998</v>
        <stp/>
        <stp>ContractData</stp>
        <stp>SBE</stp>
        <stp>NetLastQuoteToday</stp>
        <stp/>
        <stp>T</stp>
        <tr r="E39" s="2"/>
      </tp>
      <tp>
        <v>-19</v>
        <stp/>
        <stp>ContractData</stp>
        <stp>CCE</stp>
        <stp>NetLastQuoteToday</stp>
        <stp/>
        <stp>T</stp>
        <tr r="E41" s="2"/>
      </tp>
      <tp t="s">
        <v>Coffee (ICE) Calendar Spread 1, Dec 18, Mar 19</v>
        <stp/>
        <stp>ContractData</stp>
        <stp>KCES1Z8</stp>
        <stp>LongDescription</stp>
        <tr r="H31" s="2"/>
      </tp>
      <tp t="s">
        <v>Coffee (ICE) Calendar Spread 1, Dec 19, Mar 20</v>
        <stp/>
        <stp>ContractData</stp>
        <stp>KCES1Z9</stp>
        <stp>LongDescription</stp>
        <tr r="M56" s="2"/>
      </tp>
      <tp t="s">
        <v>Coffee (ICE) Calendar Spread 1, Sep 18, Dec 18</v>
        <stp/>
        <stp>ContractData</stp>
        <stp>KCES1U8</stp>
        <stp>LongDescription</stp>
        <tr r="G26" s="2"/>
      </tp>
      <tp t="s">
        <v>Coffee (ICE) Calendar Spread 1, Sep 19, Dec 19</v>
        <stp/>
        <stp>ContractData</stp>
        <stp>KCES1U9</stp>
        <stp>LongDescription</stp>
        <tr r="L51" s="2"/>
      </tp>
      <tp t="s">
        <v>Coffee (ICE) Calendar Spread 1, Jul 18, Sep 18</v>
        <stp/>
        <stp>ContractData</stp>
        <stp>KCES1N8</stp>
        <stp>LongDescription</stp>
        <tr r="F21" s="2"/>
      </tp>
      <tp t="s">
        <v>Coffee (ICE) Calendar Spread 1, Jul 19, Sep 19</v>
        <stp/>
        <stp>ContractData</stp>
        <stp>KCES1N9</stp>
        <stp>LongDescription</stp>
        <tr r="K46" s="2"/>
      </tp>
      <tp t="s">
        <v>Coffee (ICE) Calendar Spread 1, May 18, Jul 18</v>
        <stp/>
        <stp>ContractData</stp>
        <stp>KCES1K8</stp>
        <stp>LongDescription</stp>
        <tr r="E16" s="2"/>
      </tp>
      <tp t="s">
        <v>Coffee (ICE) Calendar Spread 1, May 19, Jul 19</v>
        <stp/>
        <stp>ContractData</stp>
        <stp>KCES1K9</stp>
        <stp>LongDescription</stp>
        <tr r="J41" s="2"/>
      </tp>
      <tp t="s">
        <v>Coffee (ICE) Calendar Spread 1, May 20, Jul 20</v>
        <stp/>
        <stp>ContractData</stp>
        <stp>KCES1K0</stp>
        <stp>LongDescription</stp>
        <tr r="O66" s="2"/>
      </tp>
      <tp t="s">
        <v>Coffee (ICE) Calendar Spread 1, Mar 18, May 18</v>
        <stp/>
        <stp>ContractData</stp>
        <stp>KCES1H8</stp>
        <stp>LongDescription</stp>
        <tr r="D11" s="2"/>
      </tp>
      <tp t="s">
        <v>Coffee (ICE) Calendar Spread 1, Mar 19, May 19</v>
        <stp/>
        <stp>ContractData</stp>
        <stp>KCES1H9</stp>
        <stp>LongDescription</stp>
        <tr r="I36" s="2"/>
      </tp>
      <tp t="s">
        <v>Coffee (ICE) Calendar Spread 1, Mar 20, May 20</v>
        <stp/>
        <stp>ContractData</stp>
        <stp>KCES1H0</stp>
        <stp>LongDescription</stp>
        <tr r="N61" s="2"/>
      </tp>
      <tp t="s">
        <v>Coffee (ICE) Calendar Spread 2, Dec 18, May 19</v>
        <stp/>
        <stp>ContractData</stp>
        <stp>KCES2Z8</stp>
        <stp>LongDescription</stp>
        <tr r="I31" s="2"/>
      </tp>
      <tp t="s">
        <v>Coffee (ICE) Calendar Spread 2, Dec 19, May 20</v>
        <stp/>
        <stp>ContractData</stp>
        <stp>KCES2Z9</stp>
        <stp>LongDescription</stp>
        <tr r="N56" s="2"/>
      </tp>
      <tp t="s">
        <v>Coffee (ICE) Calendar Spread 2, Sep 18, Mar 19</v>
        <stp/>
        <stp>ContractData</stp>
        <stp>KCES2U8</stp>
        <stp>LongDescription</stp>
        <tr r="H26" s="2"/>
      </tp>
      <tp t="s">
        <v>Coffee (ICE) Calendar Spread 2, Sep 19, Mar 20</v>
        <stp/>
        <stp>ContractData</stp>
        <stp>KCES2U9</stp>
        <stp>LongDescription</stp>
        <tr r="M51" s="2"/>
      </tp>
      <tp t="s">
        <v>Coffee (ICE) Calendar Spread 2, Jul 18, Dec 18</v>
        <stp/>
        <stp>ContractData</stp>
        <stp>KCES2N8</stp>
        <stp>LongDescription</stp>
        <tr r="G21" s="2"/>
      </tp>
      <tp t="s">
        <v>Coffee (ICE) Calendar Spread 2, Jul 19, Dec 19</v>
        <stp/>
        <stp>ContractData</stp>
        <stp>KCES2N9</stp>
        <stp>LongDescription</stp>
        <tr r="L46" s="2"/>
      </tp>
      <tp t="s">
        <v>Coffee (ICE) Calendar Spread 2, May 18, Sep 18</v>
        <stp/>
        <stp>ContractData</stp>
        <stp>KCES2K8</stp>
        <stp>LongDescription</stp>
        <tr r="F16" s="2"/>
      </tp>
      <tp t="s">
        <v>Coffee (ICE) Calendar Spread 2, May 19, Sep 19</v>
        <stp/>
        <stp>ContractData</stp>
        <stp>KCES2K9</stp>
        <stp>LongDescription</stp>
        <tr r="K41" s="2"/>
      </tp>
      <tp t="s">
        <v>Coffee (ICE) Calendar Spread 2, Mar 18, Jul 18</v>
        <stp/>
        <stp>ContractData</stp>
        <stp>KCES2H8</stp>
        <stp>LongDescription</stp>
        <tr r="E11" s="2"/>
      </tp>
      <tp t="s">
        <v>Coffee (ICE) Calendar Spread 2, Mar 19, Jul 19</v>
        <stp/>
        <stp>ContractData</stp>
        <stp>KCES2H9</stp>
        <stp>LongDescription</stp>
        <tr r="J36" s="2"/>
      </tp>
      <tp t="s">
        <v>Coffee (ICE) Calendar Spread 3, Dec 18, Jul 19</v>
        <stp/>
        <stp>ContractData</stp>
        <stp>KCES3Z8</stp>
        <stp>LongDescription</stp>
        <tr r="J31" s="2"/>
      </tp>
      <tp t="s">
        <v>Coffee (ICE) Calendar Spread 3, Sep 18, May 19</v>
        <stp/>
        <stp>ContractData</stp>
        <stp>KCES3U8</stp>
        <stp>LongDescription</stp>
        <tr r="I26" s="2"/>
      </tp>
      <tp t="s">
        <v>Coffee (ICE) Calendar Spread 3, Sep 19, May 20</v>
        <stp/>
        <stp>ContractData</stp>
        <stp>KCES3U9</stp>
        <stp>LongDescription</stp>
        <tr r="N51" s="2"/>
      </tp>
      <tp t="s">
        <v>Coffee (ICE) Calendar Spread 3, Jul 18, Mar 19</v>
        <stp/>
        <stp>ContractData</stp>
        <stp>KCES3N8</stp>
        <stp>LongDescription</stp>
        <tr r="H21" s="2"/>
      </tp>
      <tp t="s">
        <v>Coffee (ICE) Calendar Spread 3, Jul 19, Mar 20</v>
        <stp/>
        <stp>ContractData</stp>
        <stp>KCES3N9</stp>
        <stp>LongDescription</stp>
        <tr r="M46" s="2"/>
      </tp>
      <tp t="s">
        <v>Coffee (ICE) Calendar Spread 3, May 18, Dec 18</v>
        <stp/>
        <stp>ContractData</stp>
        <stp>KCES3K8</stp>
        <stp>LongDescription</stp>
        <tr r="G16" s="2"/>
      </tp>
      <tp t="s">
        <v>Coffee (ICE) Calendar Spread 3, May 19, Dec 19</v>
        <stp/>
        <stp>ContractData</stp>
        <stp>KCES3K9</stp>
        <stp>LongDescription</stp>
        <tr r="L41" s="2"/>
      </tp>
      <tp t="s">
        <v>Coffee (ICE) Calendar Spread 3, Mar 18, Sep 18</v>
        <stp/>
        <stp>ContractData</stp>
        <stp>KCES3H8</stp>
        <stp>LongDescription</stp>
        <tr r="F11" s="2"/>
      </tp>
      <tp t="s">
        <v>Coffee (ICE) Calendar Spread 3, Mar 19, Sep 19</v>
        <stp/>
        <stp>ContractData</stp>
        <stp>KCES3H9</stp>
        <stp>LongDescription</stp>
        <tr r="K36" s="2"/>
      </tp>
      <tp>
        <v>-1.9000000000000001</v>
        <stp/>
        <stp>ContractData</stp>
        <stp>OJE</stp>
        <stp>NetLastQuoteToday</stp>
        <stp/>
        <stp>T</stp>
        <tr r="E43" s="2"/>
      </tp>
      <tp>
        <v>72.08</v>
        <stp/>
        <stp>ContractData</stp>
        <stp>CTE</stp>
        <stp>LastTradeorSettle</stp>
        <stp/>
        <stp>T</stp>
        <tr r="D40" s="2"/>
      </tp>
      <tp t="s">
        <v>Coffee (ICE) Calendar Spread 8, Sep 18, May 20</v>
        <stp/>
        <stp>ContractData</stp>
        <stp>KCES8U8</stp>
        <stp>LongDescription</stp>
        <tr r="N26" s="2"/>
      </tp>
      <tp t="s">
        <v>Coffee (ICE) Calendar Spread 8, Jul 18, Mar 20</v>
        <stp/>
        <stp>ContractData</stp>
        <stp>KCES8N8</stp>
        <stp>LongDescription</stp>
        <tr r="M21" s="2"/>
      </tp>
      <tp t="s">
        <v>Coffee (ICE) Calendar Spread 8, May 18, Dec 19</v>
        <stp/>
        <stp>ContractData</stp>
        <stp>KCES8K8</stp>
        <stp>LongDescription</stp>
        <tr r="L16" s="2"/>
      </tp>
      <tp t="s">
        <v>Coffee (ICE) Calendar Spread 8, Mar 18, Sep 19</v>
        <stp/>
        <stp>ContractData</stp>
        <stp>KCES8H8</stp>
        <stp>LongDescription</stp>
        <tr r="K11" s="2"/>
      </tp>
      <tp t="s">
        <v>Coffee (ICE) Calendar Spread 9, Jul 18, May 20</v>
        <stp/>
        <stp>ContractData</stp>
        <stp>KCES9N8</stp>
        <stp>LongDescription</stp>
        <tr r="N21" s="2"/>
      </tp>
      <tp t="s">
        <v>Coffee (ICE) Calendar Spread 9, May 18, Mar 20</v>
        <stp/>
        <stp>ContractData</stp>
        <stp>KCES9K8</stp>
        <stp>LongDescription</stp>
        <tr r="M16" s="2"/>
      </tp>
      <tp t="s">
        <v>Coffee (ICE) Calendar Spread 9, Mar 18, Dec 19</v>
        <stp/>
        <stp>ContractData</stp>
        <stp>KCES9H8</stp>
        <stp>LongDescription</stp>
        <tr r="L11" s="2"/>
      </tp>
      <tp>
        <v>128</v>
        <stp/>
        <stp>ContractData</stp>
        <stp>KCES10U8</stp>
        <stp>Bate</stp>
        <tr r="M17" s="3"/>
      </tp>
      <tp>
        <v>128</v>
        <stp/>
        <stp>ContractData</stp>
        <stp>KCES10H8</stp>
        <stp>Bate</stp>
        <tr r="M14" s="3"/>
      </tp>
      <tp>
        <v>131.30000000000001</v>
        <stp/>
        <stp>ContractData</stp>
        <stp>KCEN8</stp>
        <stp>Low</stp>
        <stp/>
        <stp>T</stp>
        <tr r="F55" s="2"/>
        <tr r="F55" s="2"/>
      </tp>
      <tp>
        <v>147.35</v>
        <stp/>
        <stp>ContractData</stp>
        <stp>KCEN9</stp>
        <stp>Low</stp>
        <stp/>
        <stp>T</stp>
        <tr r="F61" s="2"/>
        <tr r="F61" s="2"/>
      </tp>
      <tp t="s">
        <v/>
        <stp/>
        <stp>ContractData</stp>
        <stp>KCEK0</stp>
        <stp>Low</stp>
        <stp/>
        <stp>T</stp>
        <tr r="F66" s="2"/>
      </tp>
      <tp>
        <v>128.94999999999999</v>
        <stp/>
        <stp>ContractData</stp>
        <stp>KCEK8</stp>
        <stp>Low</stp>
        <stp/>
        <stp>T</stp>
        <tr r="F54" s="2"/>
        <tr r="F54" s="2"/>
      </tp>
      <tp>
        <v>145.45000000000002</v>
        <stp/>
        <stp>ContractData</stp>
        <stp>KCEK9</stp>
        <stp>Low</stp>
        <stp/>
        <stp>T</stp>
        <tr r="F60" s="2"/>
        <tr r="F60" s="2"/>
      </tp>
      <tp t="s">
        <v/>
        <stp/>
        <stp>ContractData</stp>
        <stp>KCEH0</stp>
        <stp>Low</stp>
        <stp/>
        <stp>T</stp>
        <tr r="F65" s="2"/>
      </tp>
      <tp>
        <v>126.75</v>
        <stp/>
        <stp>ContractData</stp>
        <stp>KCEH8</stp>
        <stp>Low</stp>
        <stp/>
        <stp>T</stp>
        <tr r="F53" s="2"/>
        <tr r="F53" s="2"/>
      </tp>
      <tp>
        <v>140.70000000000002</v>
        <stp/>
        <stp>ContractData</stp>
        <stp>KCEH9</stp>
        <stp>Low</stp>
        <stp/>
        <stp>T</stp>
        <tr r="F59" s="2"/>
        <tr r="F59" s="2"/>
      </tp>
      <tp>
        <v>137.25</v>
        <stp/>
        <stp>ContractData</stp>
        <stp>KCEZ8</stp>
        <stp>Low</stp>
        <stp/>
        <stp>T</stp>
        <tr r="F58" s="2"/>
        <tr r="F58" s="2"/>
      </tp>
      <tp t="s">
        <v/>
        <stp/>
        <stp>ContractData</stp>
        <stp>KCEZ9</stp>
        <stp>Low</stp>
        <stp/>
        <stp>T</stp>
        <tr r="F64" s="2"/>
      </tp>
      <tp>
        <v>133.6</v>
        <stp/>
        <stp>ContractData</stp>
        <stp>KCEU8</stp>
        <stp>Low</stp>
        <stp/>
        <stp>T</stp>
        <tr r="F56" s="2"/>
        <tr r="F56" s="2"/>
      </tp>
      <tp>
        <v>149.25</v>
        <stp/>
        <stp>ContractData</stp>
        <stp>KCEU9</stp>
        <stp>Low</stp>
        <stp/>
        <stp>T</stp>
        <tr r="F63" s="2"/>
        <tr r="F63" s="2"/>
      </tp>
      <tp>
        <v>136.65</v>
        <stp/>
        <stp>ContractData</stp>
        <stp>KCEU8</stp>
        <stp>Ask</stp>
        <stp/>
        <stp>T</stp>
        <tr r="F28" s="2"/>
        <tr r="F8" s="2"/>
        <tr r="T5" s="3"/>
      </tp>
      <tp>
        <v>152.15</v>
        <stp/>
        <stp>ContractData</stp>
        <stp>KCEU9</stp>
        <stp>Ask</stp>
        <stp/>
        <stp>T</stp>
        <tr r="K8" s="2"/>
        <tr r="K53" s="2"/>
        <tr r="T10" s="3"/>
      </tp>
      <tp>
        <v>140</v>
        <stp/>
        <stp>ContractData</stp>
        <stp>KCEZ8</stp>
        <stp>Ask</stp>
        <stp/>
        <stp>T</stp>
        <tr r="G8" s="2"/>
        <tr r="G33" s="2"/>
        <tr r="T6" s="3"/>
      </tp>
      <tp>
        <v>151.9</v>
        <stp/>
        <stp>ContractData</stp>
        <stp>KCEZ9</stp>
        <stp>Ask</stp>
        <stp/>
        <stp>T</stp>
        <tr r="L8" s="2"/>
        <tr r="L58" s="2"/>
        <tr r="T11" s="3"/>
      </tp>
      <tp>
        <v>132.05000000000001</v>
        <stp/>
        <stp>ContractData</stp>
        <stp>KCEK8</stp>
        <stp>Ask</stp>
        <stp/>
        <stp>T</stp>
        <tr r="D18" s="2"/>
        <tr r="D8" s="2"/>
        <tr r="T3" s="3"/>
      </tp>
      <tp>
        <v>145.25</v>
        <stp/>
        <stp>ContractData</stp>
        <stp>KCEK9</stp>
        <stp>Ask</stp>
        <stp/>
        <stp>T</stp>
        <tr r="I43" s="2"/>
        <tr r="I8" s="2"/>
        <tr r="T8" s="3"/>
      </tp>
      <tp>
        <v>159.45000000000002</v>
        <stp/>
        <stp>ContractData</stp>
        <stp>KCEK0</stp>
        <stp>Ask</stp>
        <stp/>
        <stp>T</stp>
        <tr r="N68" s="2"/>
        <tr r="N8" s="2"/>
        <tr r="T13" s="3"/>
      </tp>
      <tp>
        <v>129.9</v>
        <stp/>
        <stp>ContractData</stp>
        <stp>KCEH8</stp>
        <stp>Ask</stp>
        <stp/>
        <stp>T</stp>
        <tr r="B8" s="2"/>
        <tr r="B13" s="2"/>
        <tr r="T2" s="3"/>
      </tp>
      <tp>
        <v>143.25</v>
        <stp/>
        <stp>ContractData</stp>
        <stp>KCEH9</stp>
        <stp>Ask</stp>
        <stp/>
        <stp>T</stp>
        <tr r="H8" s="2"/>
        <tr r="H38" s="2"/>
        <tr r="T7" s="3"/>
      </tp>
      <tp>
        <v>157.6</v>
        <stp/>
        <stp>ContractData</stp>
        <stp>KCEH0</stp>
        <stp>Ask</stp>
        <stp/>
        <stp>T</stp>
        <tr r="M8" s="2"/>
        <tr r="M63" s="2"/>
        <tr r="T12" s="3"/>
      </tp>
      <tp>
        <v>134.35</v>
        <stp/>
        <stp>ContractData</stp>
        <stp>KCEN8</stp>
        <stp>Ask</stp>
        <stp/>
        <stp>T</stp>
        <tr r="E8" s="2"/>
        <tr r="E23" s="2"/>
        <tr r="T4" s="3"/>
      </tp>
      <tp>
        <v>147.95000000000002</v>
        <stp/>
        <stp>ContractData</stp>
        <stp>KCEN9</stp>
        <stp>Ask</stp>
        <stp/>
        <stp>T</stp>
        <tr r="J48" s="2"/>
        <tr r="J8" s="2"/>
        <tr r="T9" s="3"/>
      </tp>
      <tp>
        <v>148.5</v>
        <stp/>
        <stp>ContractData</stp>
        <stp>KCEH0</stp>
        <stp>Bid</stp>
        <stp/>
        <stp>T</stp>
        <tr r="M64" s="2"/>
        <tr r="M9" s="2"/>
        <tr r="S12" s="3"/>
      </tp>
      <tp>
        <v>143.1</v>
        <stp/>
        <stp>ContractData</stp>
        <stp>KCEH9</stp>
        <stp>Bid</stp>
        <stp/>
        <stp>T</stp>
        <tr r="H39" s="2"/>
        <tr r="H9" s="2"/>
        <tr r="S7" s="3"/>
      </tp>
      <tp>
        <v>129.85</v>
        <stp/>
        <stp>ContractData</stp>
        <stp>KCEH8</stp>
        <stp>Bid</stp>
        <stp/>
        <stp>T</stp>
        <tr r="B14" s="2"/>
        <tr r="B9" s="2"/>
        <tr r="S2" s="3"/>
      </tp>
      <tp>
        <v>149.95000000000002</v>
        <stp/>
        <stp>ContractData</stp>
        <stp>KCEK0</stp>
        <stp>Bid</stp>
        <stp/>
        <stp>T</stp>
        <tr r="N69" s="2"/>
        <tr r="N9" s="2"/>
        <tr r="S13" s="3"/>
      </tp>
      <tp>
        <v>145.05000000000001</v>
        <stp/>
        <stp>ContractData</stp>
        <stp>KCEK9</stp>
        <stp>Bid</stp>
        <stp/>
        <stp>T</stp>
        <tr r="I44" s="2"/>
        <tr r="I9" s="2"/>
        <tr r="S8" s="3"/>
      </tp>
      <tp>
        <v>132</v>
        <stp/>
        <stp>ContractData</stp>
        <stp>KCEK8</stp>
        <stp>Bid</stp>
        <stp/>
        <stp>T</stp>
        <tr r="D9" s="2"/>
        <tr r="D19" s="2"/>
        <tr r="S3" s="3"/>
      </tp>
      <tp>
        <v>146.9</v>
        <stp/>
        <stp>ContractData</stp>
        <stp>KCEN9</stp>
        <stp>Bid</stp>
        <stp/>
        <stp>T</stp>
        <tr r="J9" s="2"/>
        <tr r="J49" s="2"/>
        <tr r="S9" s="3"/>
      </tp>
      <tp>
        <v>134.30000000000001</v>
        <stp/>
        <stp>ContractData</stp>
        <stp>KCEN8</stp>
        <stp>Bid</stp>
        <stp/>
        <stp>T</stp>
        <tr r="E9" s="2"/>
        <tr r="E24" s="2"/>
        <tr r="S4" s="3"/>
      </tp>
      <tp>
        <v>151.45000000000002</v>
        <stp/>
        <stp>ContractData</stp>
        <stp>KCEZ9</stp>
        <stp>Bid</stp>
        <stp/>
        <stp>T</stp>
        <tr r="L9" s="2"/>
        <tr r="L59" s="2"/>
        <tr r="S11" s="3"/>
      </tp>
      <tp>
        <v>139.9</v>
        <stp/>
        <stp>ContractData</stp>
        <stp>KCEZ8</stp>
        <stp>Bid</stp>
        <stp/>
        <stp>T</stp>
        <tr r="G34" s="2"/>
        <tr r="G9" s="2"/>
        <tr r="S6" s="3"/>
      </tp>
      <tp>
        <v>148.65</v>
        <stp/>
        <stp>ContractData</stp>
        <stp>KCEU9</stp>
        <stp>Bid</stp>
        <stp/>
        <stp>T</stp>
        <tr r="K9" s="2"/>
        <tr r="K54" s="2"/>
        <tr r="S10" s="3"/>
      </tp>
      <tp>
        <v>136.55000000000001</v>
        <stp/>
        <stp>ContractData</stp>
        <stp>KCEU8</stp>
        <stp>Bid</stp>
        <stp/>
        <stp>T</stp>
        <tr r="F9" s="2"/>
        <tr r="F29" s="2"/>
        <tr r="S5" s="3"/>
      </tp>
      <tp>
        <v>0.64</v>
        <stp/>
        <stp>ContractData</stp>
        <stp>CTE</stp>
        <stp>NetLastQuoteToday</stp>
        <stp/>
        <stp>T</stp>
        <tr r="E40" s="2"/>
      </tp>
      <tp>
        <v>165</v>
        <stp/>
        <stp>ContractData</stp>
        <stp>OJE</stp>
        <stp>LastTradeorSettle</stp>
        <stp/>
        <stp>T</stp>
        <tr r="D43" s="2"/>
      </tp>
      <tp>
        <v>64</v>
        <stp/>
        <stp>ContractData</stp>
        <stp>KCES10K8</stp>
        <stp>Bate</stp>
        <tr r="M15" s="3"/>
      </tp>
      <tp>
        <v>-25.400000000000002</v>
        <stp/>
        <stp>ContractData</stp>
        <stp>KCES10H8</stp>
        <stp>Bid</stp>
        <stp/>
        <stp>T</stp>
        <tr r="M14" s="2"/>
        <tr r="Y11" s="3"/>
      </tp>
      <tp>
        <v>-49.85</v>
        <stp/>
        <stp>ContractData</stp>
        <stp>KCES10K8</stp>
        <stp>Bid</stp>
        <stp/>
        <stp>T</stp>
        <tr r="N19" s="2"/>
      </tp>
      <tp>
        <v>-17.900000000000002</v>
        <stp/>
        <stp>ContractData</stp>
        <stp>KCES10K8</stp>
        <stp>Ask</stp>
        <stp/>
        <stp>T</stp>
        <tr r="N18" s="2"/>
      </tp>
      <tp>
        <v>-24.150000000000002</v>
        <stp/>
        <stp>ContractData</stp>
        <stp>KCES10H8</stp>
        <stp>Ask</stp>
        <stp/>
        <stp>T</stp>
        <tr r="M13" s="2"/>
        <tr r="Z11" s="3"/>
      </tp>
      <tp>
        <v>128</v>
        <stp/>
        <stp>ContractData</stp>
        <stp>KCES10N8</stp>
        <stp>Bate</stp>
        <tr r="M16" s="3"/>
      </tp>
      <tp>
        <v>-24.7</v>
        <stp/>
        <stp>StudyData</stp>
        <stp>KCES10H8</stp>
        <stp>FG</stp>
        <stp/>
        <stp>Close</stp>
        <stp>D</stp>
        <stp/>
        <stp>all</stp>
        <stp/>
        <stp/>
        <stp/>
        <stp>T</stp>
        <tr r="AH11" s="3"/>
      </tp>
      <tp>
        <v>1.7</v>
        <stp/>
        <stp>ContractData</stp>
        <stp>KCEH8</stp>
        <stp>NEtChange</stp>
        <stp/>
        <stp>T</stp>
        <tr r="H49" s="2"/>
      </tp>
      <tp>
        <v>15.1</v>
        <stp/>
        <stp>ContractData</stp>
        <stp>SBE</stp>
        <stp>LastTradeorSettle</stp>
        <stp/>
        <stp>T</stp>
        <tr r="D39" s="2"/>
      </tp>
      <tp>
        <v>2048</v>
        <stp/>
        <stp>ContractData</stp>
        <stp>CCE</stp>
        <stp>LastTradeorSettle</stp>
        <stp/>
        <stp>T</stp>
        <tr r="D41" s="2"/>
      </tp>
      <tp>
        <v>1.55</v>
        <stp/>
        <stp>ContractData</stp>
        <stp>KCEN8</stp>
        <stp>NetLastTradeToday</stp>
        <stp/>
        <stp>T</stp>
        <tr r="H55" s="2"/>
      </tp>
      <tp>
        <v>1.75</v>
        <stp/>
        <stp>ContractData</stp>
        <stp>KCEN9</stp>
        <stp>NetLastTradeToday</stp>
        <stp/>
        <stp>T</stp>
        <tr r="H61" s="2"/>
      </tp>
      <tp t="s">
        <v/>
        <stp/>
        <stp>ContractData</stp>
        <stp>KCEH0</stp>
        <stp>NetLastTradeToday</stp>
        <stp/>
        <stp>T</stp>
        <tr r="H65" s="2"/>
      </tp>
      <tp>
        <v>1.7</v>
        <stp/>
        <stp>ContractData</stp>
        <stp>KCEH8</stp>
        <stp>NetLastTradeToday</stp>
        <stp/>
        <stp>T</stp>
        <tr r="H53" s="2"/>
      </tp>
      <tp>
        <v>1.8</v>
        <stp/>
        <stp>ContractData</stp>
        <stp>KCEH9</stp>
        <stp>NetLastTradeToday</stp>
        <stp/>
        <stp>T</stp>
        <tr r="H59" s="2"/>
      </tp>
      <tp t="s">
        <v/>
        <stp/>
        <stp>ContractData</stp>
        <stp>KCEK0</stp>
        <stp>NetLastTradeToday</stp>
        <stp/>
        <stp>T</stp>
        <tr r="H66" s="2"/>
      </tp>
      <tp>
        <v>1.55</v>
        <stp/>
        <stp>ContractData</stp>
        <stp>KCEK8</stp>
        <stp>NetLastTradeToday</stp>
        <stp/>
        <stp>T</stp>
        <tr r="H54" s="2"/>
      </tp>
      <tp>
        <v>1.75</v>
        <stp/>
        <stp>ContractData</stp>
        <stp>KCEK9</stp>
        <stp>NetLastTradeToday</stp>
        <stp/>
        <stp>T</stp>
        <tr r="H60" s="2"/>
      </tp>
      <tp>
        <v>139.95000000000002</v>
        <stp/>
        <stp>ContractData</stp>
        <stp>KCEZ8</stp>
        <stp>LastTradeorSettle</stp>
        <stp/>
        <stp>T</stp>
        <tr r="R6" s="3"/>
        <tr r="R6" s="3"/>
      </tp>
      <tp t="s">
        <v/>
        <stp/>
        <stp>ContractData</stp>
        <stp>KCEZ9</stp>
        <stp>LastTradeorSettle</stp>
        <stp/>
        <stp>T</stp>
        <tr r="R11" s="3"/>
      </tp>
      <tp>
        <v>-52.85</v>
        <stp/>
        <stp>ContractData</stp>
        <stp>KCES4N9</stp>
        <stp>Bid</stp>
        <stp/>
        <stp>T</stp>
        <tr r="N49" s="2"/>
      </tp>
      <tp>
        <v>-10.9</v>
        <stp/>
        <stp>ContractData</stp>
        <stp>KCES4N8</stp>
        <stp>Bid</stp>
        <stp/>
        <stp>T</stp>
        <tr r="I24" s="2"/>
      </tp>
      <tp>
        <v>-11.85</v>
        <stp/>
        <stp>ContractData</stp>
        <stp>KCES7U8</stp>
        <stp>Ask</stp>
        <stp/>
        <stp>T</stp>
        <tr r="M28" s="2"/>
      </tp>
      <tp>
        <v>-18.600000000000001</v>
        <stp/>
        <stp>ContractData</stp>
        <stp>KCES4K9</stp>
        <stp>Bid</stp>
        <stp/>
        <stp>T</stp>
        <tr r="M44" s="2"/>
      </tp>
      <tp>
        <v>-11.200000000000001</v>
        <stp/>
        <stp>ContractData</stp>
        <stp>KCES4K8</stp>
        <stp>Bid</stp>
        <stp/>
        <stp>T</stp>
        <tr r="H19" s="2"/>
      </tp>
      <tp>
        <v>-9.3000000000000007</v>
        <stp/>
        <stp>ContractData</stp>
        <stp>KCES4H9</stp>
        <stp>Bid</stp>
        <stp/>
        <stp>T</stp>
        <tr r="L39" s="2"/>
      </tp>
      <tp>
        <v>-10.15</v>
        <stp/>
        <stp>ContractData</stp>
        <stp>KCES4H8</stp>
        <stp>Bid</stp>
        <stp/>
        <stp>T</stp>
        <tr r="G14" s="2"/>
        <tr r="Y5" s="3"/>
      </tp>
      <tp>
        <v>-8.5</v>
        <stp/>
        <stp>ContractData</stp>
        <stp>KCES7Z8</stp>
        <stp>Ask</stp>
        <stp/>
        <stp>T</stp>
        <tr r="N33" s="2"/>
      </tp>
      <tp>
        <v>-9.8000000000000007</v>
        <stp/>
        <stp>ContractData</stp>
        <stp>KCES4Z8</stp>
        <stp>Bid</stp>
        <stp/>
        <stp>T</stp>
        <tr r="K34" s="2"/>
      </tp>
      <tp>
        <v>-17.150000000000002</v>
        <stp/>
        <stp>ContractData</stp>
        <stp>KCES7N8</stp>
        <stp>Ask</stp>
        <stp/>
        <stp>T</stp>
        <tr r="L23" s="2"/>
      </tp>
      <tp>
        <v>-10.5</v>
        <stp/>
        <stp>ContractData</stp>
        <stp>KCES4U8</stp>
        <stp>Bid</stp>
        <stp/>
        <stp>T</stp>
        <tr r="J29" s="2"/>
      </tp>
      <tp>
        <v>-17.05</v>
        <stp/>
        <stp>ContractData</stp>
        <stp>KCES7H8</stp>
        <stp>Ask</stp>
        <stp/>
        <stp>T</stp>
        <tr r="J13" s="2"/>
        <tr r="Z8" s="3"/>
      </tp>
      <tp>
        <v>-16.7</v>
        <stp/>
        <stp>ContractData</stp>
        <stp>KCES7K8</stp>
        <stp>Ask</stp>
        <stp/>
        <stp>T</stp>
        <tr r="K18" s="2"/>
      </tp>
      <tp>
        <v>-12.8</v>
        <stp/>
        <stp>ContractData</stp>
        <stp>KCES5N8</stp>
        <stp>Bid</stp>
        <stp/>
        <stp>T</stp>
        <tr r="J24" s="2"/>
      </tp>
      <tp>
        <v>-14.700000000000001</v>
        <stp/>
        <stp>ContractData</stp>
        <stp>KCES6U8</stp>
        <stp>Ask</stp>
        <stp/>
        <stp>T</stp>
        <tr r="L28" s="2"/>
      </tp>
      <tp>
        <v>-42.85</v>
        <stp/>
        <stp>ContractData</stp>
        <stp>KCES5K9</stp>
        <stp>Bid</stp>
        <stp/>
        <stp>T</stp>
        <tr r="N44" s="2"/>
      </tp>
      <tp>
        <v>-13.200000000000001</v>
        <stp/>
        <stp>ContractData</stp>
        <stp>KCES5K8</stp>
        <stp>Bid</stp>
        <stp/>
        <stp>T</stp>
        <tr r="I19" s="2"/>
      </tp>
      <tp>
        <v>-12.05</v>
        <stp/>
        <stp>ContractData</stp>
        <stp>KCES5H9</stp>
        <stp>Bid</stp>
        <stp/>
        <stp>T</stp>
        <tr r="M39" s="2"/>
      </tp>
      <tp>
        <v>-13.4</v>
        <stp/>
        <stp>ContractData</stp>
        <stp>KCES5H8</stp>
        <stp>Bid</stp>
        <stp/>
        <stp>T</stp>
        <tr r="H14" s="2"/>
        <tr r="Y6" s="3"/>
      </tp>
      <tp>
        <v>-8.5</v>
        <stp/>
        <stp>ContractData</stp>
        <stp>KCES6Z8</stp>
        <stp>Ask</stp>
        <stp/>
        <stp>T</stp>
        <tr r="M33" s="2"/>
      </tp>
      <tp>
        <v>-11.9</v>
        <stp/>
        <stp>ContractData</stp>
        <stp>KCES5Z8</stp>
        <stp>Bid</stp>
        <stp/>
        <stp>T</stp>
        <tr r="L34" s="2"/>
      </tp>
      <tp>
        <v>-14.4</v>
        <stp/>
        <stp>ContractData</stp>
        <stp>KCES6N8</stp>
        <stp>Ask</stp>
        <stp/>
        <stp>T</stp>
        <tr r="K23" s="2"/>
      </tp>
      <tp>
        <v>-13.200000000000001</v>
        <stp/>
        <stp>ContractData</stp>
        <stp>KCES5U8</stp>
        <stp>Bid</stp>
        <stp/>
        <stp>T</stp>
        <tr r="K29" s="2"/>
      </tp>
      <tp>
        <v>-15.200000000000001</v>
        <stp/>
        <stp>ContractData</stp>
        <stp>KCES6H8</stp>
        <stp>Ask</stp>
        <stp/>
        <stp>T</stp>
        <tr r="I13" s="2"/>
        <tr r="Z7" s="3"/>
      </tp>
      <tp>
        <v>-5.25</v>
        <stp/>
        <stp>ContractData</stp>
        <stp>KCES6H9</stp>
        <stp>Ask</stp>
        <stp/>
        <stp>T</stp>
        <tr r="N38" s="2"/>
      </tp>
      <tp>
        <v>-14.9</v>
        <stp/>
        <stp>ContractData</stp>
        <stp>KCES6K8</stp>
        <stp>Ask</stp>
        <stp/>
        <stp>T</stp>
        <tr r="J18" s="2"/>
      </tp>
      <tp>
        <v>-15.450000000000001</v>
        <stp/>
        <stp>ContractData</stp>
        <stp>KCES6N8</stp>
        <stp>Bid</stp>
        <stp/>
        <stp>T</stp>
        <tr r="K24" s="2"/>
      </tp>
      <tp>
        <v>-12.200000000000001</v>
        <stp/>
        <stp>ContractData</stp>
        <stp>KCES5U8</stp>
        <stp>Ask</stp>
        <stp/>
        <stp>T</stp>
        <tr r="K28" s="2"/>
      </tp>
      <tp>
        <v>-15.1</v>
        <stp/>
        <stp>ContractData</stp>
        <stp>KCES6K8</stp>
        <stp>Bid</stp>
        <stp/>
        <stp>T</stp>
        <tr r="J19" s="2"/>
      </tp>
      <tp>
        <v>-44.6</v>
        <stp/>
        <stp>ContractData</stp>
        <stp>KCES6H9</stp>
        <stp>Bid</stp>
        <stp/>
        <stp>T</stp>
        <tr r="N39" s="2"/>
      </tp>
      <tp>
        <v>-15.4</v>
        <stp/>
        <stp>ContractData</stp>
        <stp>KCES6H8</stp>
        <stp>Bid</stp>
        <stp/>
        <stp>T</stp>
        <tr r="I14" s="2"/>
        <tr r="Y7" s="3"/>
      </tp>
      <tp>
        <v>-11.55</v>
        <stp/>
        <stp>ContractData</stp>
        <stp>KCES5Z8</stp>
        <stp>Ask</stp>
        <stp/>
        <stp>T</stp>
        <tr r="L33" s="2"/>
      </tp>
      <tp>
        <v>-15.25</v>
        <stp/>
        <stp>ContractData</stp>
        <stp>KCES6Z8</stp>
        <stp>Bid</stp>
        <stp/>
        <stp>T</stp>
        <tr r="M34" s="2"/>
      </tp>
      <tp>
        <v>-12.6</v>
        <stp/>
        <stp>ContractData</stp>
        <stp>KCES5N8</stp>
        <stp>Ask</stp>
        <stp/>
        <stp>T</stp>
        <tr r="J23" s="2"/>
      </tp>
      <tp>
        <v>-15.9</v>
        <stp/>
        <stp>ContractData</stp>
        <stp>KCES6U8</stp>
        <stp>Bid</stp>
        <stp/>
        <stp>T</stp>
        <tr r="L29" s="2"/>
      </tp>
      <tp>
        <v>-13.25</v>
        <stp/>
        <stp>ContractData</stp>
        <stp>KCES5H8</stp>
        <stp>Ask</stp>
        <stp/>
        <stp>T</stp>
        <tr r="H13" s="2"/>
        <tr r="Z6" s="3"/>
      </tp>
      <tp>
        <v>-5.25</v>
        <stp/>
        <stp>ContractData</stp>
        <stp>KCES5H9</stp>
        <stp>Ask</stp>
        <stp/>
        <stp>T</stp>
        <tr r="M38" s="2"/>
      </tp>
      <tp>
        <v>-13.05</v>
        <stp/>
        <stp>ContractData</stp>
        <stp>KCES5K8</stp>
        <stp>Ask</stp>
        <stp/>
        <stp>T</stp>
        <tr r="I18" s="2"/>
      </tp>
      <tp>
        <v>-6.5</v>
        <stp/>
        <stp>ContractData</stp>
        <stp>KCES5K9</stp>
        <stp>Ask</stp>
        <stp/>
        <stp>T</stp>
        <tr r="N43" s="2"/>
      </tp>
      <tp>
        <v>-17.55</v>
        <stp/>
        <stp>ContractData</stp>
        <stp>KCES7N8</stp>
        <stp>Bid</stp>
        <stp/>
        <stp>T</stp>
        <tr r="L24" s="2"/>
      </tp>
      <tp>
        <v>-10.35</v>
        <stp/>
        <stp>ContractData</stp>
        <stp>KCES4U8</stp>
        <stp>Ask</stp>
        <stp/>
        <stp>T</stp>
        <tr r="J28" s="2"/>
      </tp>
      <tp>
        <v>-17.75</v>
        <stp/>
        <stp>ContractData</stp>
        <stp>KCES7K8</stp>
        <stp>Bid</stp>
        <stp/>
        <stp>T</stp>
        <tr r="K19" s="2"/>
      </tp>
      <tp>
        <v>-17.3</v>
        <stp/>
        <stp>ContractData</stp>
        <stp>KCES7H8</stp>
        <stp>Bid</stp>
        <stp/>
        <stp>T</stp>
        <tr r="J14" s="2"/>
        <tr r="Y8" s="3"/>
      </tp>
      <tp>
        <v>-8.85</v>
        <stp/>
        <stp>ContractData</stp>
        <stp>KCES4Z8</stp>
        <stp>Ask</stp>
        <stp/>
        <stp>T</stp>
        <tr r="K33" s="2"/>
      </tp>
      <tp>
        <v>-17.100000000000001</v>
        <stp/>
        <stp>ContractData</stp>
        <stp>KCES7Z8</stp>
        <stp>Bid</stp>
        <stp/>
        <stp>T</stp>
        <tr r="N34" s="2"/>
      </tp>
      <tp>
        <v>-10.75</v>
        <stp/>
        <stp>ContractData</stp>
        <stp>KCES4N8</stp>
        <stp>Ask</stp>
        <stp/>
        <stp>T</stp>
        <tr r="I23" s="2"/>
      </tp>
      <tp>
        <v>-5.05</v>
        <stp/>
        <stp>ContractData</stp>
        <stp>KCES4N9</stp>
        <stp>Ask</stp>
        <stp/>
        <stp>T</stp>
        <tr r="N48" s="2"/>
      </tp>
      <tp>
        <v>-18.650000000000002</v>
        <stp/>
        <stp>ContractData</stp>
        <stp>KCES7U8</stp>
        <stp>Bid</stp>
        <stp/>
        <stp>T</stp>
        <tr r="M29" s="2"/>
      </tp>
      <tp>
        <v>-10.050000000000001</v>
        <stp/>
        <stp>ContractData</stp>
        <stp>KCES4H8</stp>
        <stp>Ask</stp>
        <stp/>
        <stp>T</stp>
        <tr r="G13" s="2"/>
        <tr r="Z5" s="3"/>
      </tp>
      <tp>
        <v>-8.35</v>
        <stp/>
        <stp>ContractData</stp>
        <stp>KCES4H9</stp>
        <stp>Ask</stp>
        <stp/>
        <stp>T</stp>
        <tr r="L38" s="2"/>
      </tp>
      <tp>
        <v>-11.1</v>
        <stp/>
        <stp>ContractData</stp>
        <stp>KCES4K8</stp>
        <stp>Ask</stp>
        <stp/>
        <stp>T</stp>
        <tr r="H18" s="2"/>
      </tp>
      <tp>
        <v>-8.65</v>
        <stp/>
        <stp>ContractData</stp>
        <stp>KCES4K9</stp>
        <stp>Ask</stp>
        <stp/>
        <stp>T</stp>
        <tr r="M43" s="2"/>
      </tp>
      <tp>
        <v>-8.5</v>
        <stp/>
        <stp>ContractData</stp>
        <stp>KCES3U8</stp>
        <stp>Ask</stp>
        <stp/>
        <stp>T</stp>
        <tr r="I28" s="2"/>
      </tp>
      <tp>
        <v>-6.8</v>
        <stp/>
        <stp>ContractData</stp>
        <stp>KCES3U9</stp>
        <stp>Ask</stp>
        <stp/>
        <stp>T</stp>
        <tr r="N53" s="2"/>
      </tp>
      <tp>
        <v>-7</v>
        <stp/>
        <stp>ContractData</stp>
        <stp>KCES3Z8</stp>
        <stp>Ask</stp>
        <stp/>
        <stp>T</stp>
        <tr r="J33" s="2"/>
      </tp>
      <tp>
        <v>-8.8000000000000007</v>
        <stp/>
        <stp>ContractData</stp>
        <stp>KCES3N8</stp>
        <stp>Ask</stp>
        <stp/>
        <stp>T</stp>
        <tr r="H23" s="2"/>
      </tp>
      <tp>
        <v>-7.2</v>
        <stp/>
        <stp>ContractData</stp>
        <stp>KCES3N9</stp>
        <stp>Ask</stp>
        <stp/>
        <stp>T</stp>
        <tr r="M48" s="2"/>
      </tp>
      <tp>
        <v>-6.7</v>
        <stp/>
        <stp>ContractData</stp>
        <stp>KCES3H8</stp>
        <stp>Ask</stp>
        <stp/>
        <stp>T</stp>
        <tr r="F13" s="2"/>
        <tr r="Z4" s="3"/>
      </tp>
      <tp>
        <v>-5.65</v>
        <stp/>
        <stp>ContractData</stp>
        <stp>KCES3H9</stp>
        <stp>Ask</stp>
        <stp/>
        <stp>T</stp>
        <tr r="K38" s="2"/>
      </tp>
      <tp>
        <v>-7.9</v>
        <stp/>
        <stp>ContractData</stp>
        <stp>KCES3K8</stp>
        <stp>Ask</stp>
        <stp/>
        <stp>T</stp>
        <tr r="G18" s="2"/>
      </tp>
      <tp>
        <v>-6.4</v>
        <stp/>
        <stp>ContractData</stp>
        <stp>KCES3K9</stp>
        <stp>Ask</stp>
        <stp/>
        <stp>T</stp>
        <tr r="L43" s="2"/>
      </tp>
      <tp>
        <v>-1.95</v>
        <stp/>
        <stp>ContractData</stp>
        <stp>KCES1N9</stp>
        <stp>Bid</stp>
        <stp/>
        <stp>T</stp>
        <tr r="K49" s="2"/>
      </tp>
      <tp>
        <v>-2.3000000000000003</v>
        <stp/>
        <stp>ContractData</stp>
        <stp>KCES1N8</stp>
        <stp>Bid</stp>
        <stp/>
        <stp>T</stp>
        <tr r="F24" s="2"/>
      </tp>
      <tp>
        <v>-6.55</v>
        <stp/>
        <stp>ContractData</stp>
        <stp>KCES2U8</stp>
        <stp>Ask</stp>
        <stp/>
        <stp>T</stp>
        <tr r="H28" s="2"/>
      </tp>
      <tp>
        <v>-5.3500000000000005</v>
        <stp/>
        <stp>ContractData</stp>
        <stp>KCES2U9</stp>
        <stp>Ask</stp>
        <stp/>
        <stp>T</stp>
        <tr r="M53" s="2"/>
      </tp>
      <tp>
        <v>-1.9000000000000001</v>
        <stp/>
        <stp>ContractData</stp>
        <stp>KCES1K9</stp>
        <stp>Bid</stp>
        <stp/>
        <stp>T</stp>
        <tr r="J44" s="2"/>
      </tp>
      <tp>
        <v>-2.3000000000000003</v>
        <stp/>
        <stp>ContractData</stp>
        <stp>KCES1K8</stp>
        <stp>Bid</stp>
        <stp/>
        <stp>T</stp>
        <tr r="E19" s="2"/>
      </tp>
      <tp>
        <v>-2.3000000000000003</v>
        <stp/>
        <stp>ContractData</stp>
        <stp>KCES1K0</stp>
        <stp>Bid</stp>
        <stp/>
        <stp>T</stp>
        <tr r="O69" s="2"/>
      </tp>
      <tp>
        <v>-2</v>
        <stp/>
        <stp>ContractData</stp>
        <stp>KCES1H9</stp>
        <stp>Bid</stp>
        <stp/>
        <stp>T</stp>
        <tr r="I39" s="2"/>
      </tp>
      <tp>
        <v>-2.2000000000000002</v>
        <stp/>
        <stp>ContractData</stp>
        <stp>KCES1H8</stp>
        <stp>Bid</stp>
        <stp/>
        <stp>T</stp>
        <tr r="D14" s="2"/>
        <tr r="Y2" s="3"/>
      </tp>
      <tp>
        <v>-1.85</v>
        <stp/>
        <stp>ContractData</stp>
        <stp>KCES1H0</stp>
        <stp>Bid</stp>
        <stp/>
        <stp>T</stp>
        <tr r="N64" s="2"/>
      </tp>
      <tp>
        <v>-5.15</v>
        <stp/>
        <stp>ContractData</stp>
        <stp>KCES2Z8</stp>
        <stp>Ask</stp>
        <stp/>
        <stp>T</stp>
        <tr r="I33" s="2"/>
      </tp>
      <tp>
        <v>-4.0999999999999996</v>
        <stp/>
        <stp>ContractData</stp>
        <stp>KCES2Z9</stp>
        <stp>Ask</stp>
        <stp/>
        <stp>T</stp>
        <tr r="N58" s="2"/>
      </tp>
      <tp>
        <v>-2.75</v>
        <stp/>
        <stp>ContractData</stp>
        <stp>KCES1Z9</stp>
        <stp>Bid</stp>
        <stp/>
        <stp>T</stp>
        <tr r="M59" s="2"/>
      </tp>
      <tp>
        <v>-3.25</v>
        <stp/>
        <stp>ContractData</stp>
        <stp>KCES1Z8</stp>
        <stp>Bid</stp>
        <stp/>
        <stp>T</stp>
        <tr r="H34" s="2"/>
      </tp>
      <tp>
        <v>-5.6000000000000005</v>
        <stp/>
        <stp>ContractData</stp>
        <stp>KCES2N8</stp>
        <stp>Ask</stp>
        <stp/>
        <stp>T</stp>
        <tr r="G23" s="2"/>
      </tp>
      <tp>
        <v>-4.55</v>
        <stp/>
        <stp>ContractData</stp>
        <stp>KCES2N9</stp>
        <stp>Ask</stp>
        <stp/>
        <stp>T</stp>
        <tr r="L48" s="2"/>
      </tp>
      <tp>
        <v>-2.8000000000000003</v>
        <stp/>
        <stp>ContractData</stp>
        <stp>KCES1U9</stp>
        <stp>Bid</stp>
        <stp/>
        <stp>T</stp>
        <tr r="L54" s="2"/>
      </tp>
      <tp>
        <v>-3.4</v>
        <stp/>
        <stp>ContractData</stp>
        <stp>KCES1U8</stp>
        <stp>Bid</stp>
        <stp/>
        <stp>T</stp>
        <tr r="G29" s="2"/>
      </tp>
      <tp>
        <v>-4.45</v>
        <stp/>
        <stp>ContractData</stp>
        <stp>KCES2H8</stp>
        <stp>Ask</stp>
        <stp/>
        <stp>T</stp>
        <tr r="E13" s="2"/>
        <tr r="Z3" s="3"/>
      </tp>
      <tp>
        <v>-3.8000000000000003</v>
        <stp/>
        <stp>ContractData</stp>
        <stp>KCES2H9</stp>
        <stp>Ask</stp>
        <stp/>
        <stp>T</stp>
        <tr r="J38" s="2"/>
      </tp>
      <tp>
        <v>-4.55</v>
        <stp/>
        <stp>ContractData</stp>
        <stp>KCES2K8</stp>
        <stp>Ask</stp>
        <stp/>
        <stp>T</stp>
        <tr r="F18" s="2"/>
      </tp>
      <tp>
        <v>-3.7</v>
        <stp/>
        <stp>ContractData</stp>
        <stp>KCES2K9</stp>
        <stp>Ask</stp>
        <stp/>
        <stp>T</stp>
        <tr r="K43" s="2"/>
      </tp>
      <tp>
        <v>-4.75</v>
        <stp/>
        <stp>ContractData</stp>
        <stp>KCES2N9</stp>
        <stp>Bid</stp>
        <stp/>
        <stp>T</stp>
        <tr r="L49" s="2"/>
      </tp>
      <tp>
        <v>-5.65</v>
        <stp/>
        <stp>ContractData</stp>
        <stp>KCES2N8</stp>
        <stp>Bid</stp>
        <stp/>
        <stp>T</stp>
        <tr r="G24" s="2"/>
      </tp>
      <tp>
        <v>-3.35</v>
        <stp/>
        <stp>ContractData</stp>
        <stp>KCES1U8</stp>
        <stp>Ask</stp>
        <stp/>
        <stp>T</stp>
        <tr r="G28" s="2"/>
      </tp>
      <tp>
        <v>-2.7</v>
        <stp/>
        <stp>ContractData</stp>
        <stp>KCES1U9</stp>
        <stp>Ask</stp>
        <stp/>
        <stp>T</stp>
        <tr r="L53" s="2"/>
      </tp>
      <tp>
        <v>-3.85</v>
        <stp/>
        <stp>ContractData</stp>
        <stp>KCES2K9</stp>
        <stp>Bid</stp>
        <stp/>
        <stp>T</stp>
        <tr r="K44" s="2"/>
      </tp>
      <tp>
        <v>-4.6000000000000005</v>
        <stp/>
        <stp>ContractData</stp>
        <stp>KCES2K8</stp>
        <stp>Bid</stp>
        <stp/>
        <stp>T</stp>
        <tr r="F19" s="2"/>
      </tp>
      <tp>
        <v>-3.9</v>
        <stp/>
        <stp>ContractData</stp>
        <stp>KCES2H9</stp>
        <stp>Bid</stp>
        <stp/>
        <stp>T</stp>
        <tr r="J39" s="2"/>
      </tp>
      <tp>
        <v>-4.5</v>
        <stp/>
        <stp>ContractData</stp>
        <stp>KCES2H8</stp>
        <stp>Bid</stp>
        <stp/>
        <stp>T</stp>
        <tr r="E14" s="2"/>
        <tr r="Y3" s="3"/>
      </tp>
      <tp>
        <v>-3.2</v>
        <stp/>
        <stp>ContractData</stp>
        <stp>KCES1Z8</stp>
        <stp>Ask</stp>
        <stp/>
        <stp>T</stp>
        <tr r="H33" s="2"/>
      </tp>
      <tp>
        <v>-2.65</v>
        <stp/>
        <stp>ContractData</stp>
        <stp>KCES1Z9</stp>
        <stp>Ask</stp>
        <stp/>
        <stp>T</stp>
        <tr r="M58" s="2"/>
      </tp>
      <tp>
        <v>-4.6000000000000005</v>
        <stp/>
        <stp>ContractData</stp>
        <stp>KCES2Z9</stp>
        <stp>Bid</stp>
        <stp/>
        <stp>T</stp>
        <tr r="N59" s="2"/>
      </tp>
      <tp>
        <v>-5.25</v>
        <stp/>
        <stp>ContractData</stp>
        <stp>KCES2Z8</stp>
        <stp>Bid</stp>
        <stp/>
        <stp>T</stp>
        <tr r="I34" s="2"/>
      </tp>
      <tp>
        <v>-2.25</v>
        <stp/>
        <stp>ContractData</stp>
        <stp>KCES1N8</stp>
        <stp>Ask</stp>
        <stp/>
        <stp>T</stp>
        <tr r="F23" s="2"/>
      </tp>
      <tp>
        <v>-1.85</v>
        <stp/>
        <stp>ContractData</stp>
        <stp>KCES1N9</stp>
        <stp>Ask</stp>
        <stp/>
        <stp>T</stp>
        <tr r="K48" s="2"/>
      </tp>
      <tp>
        <v>-5.55</v>
        <stp/>
        <stp>ContractData</stp>
        <stp>KCES2U9</stp>
        <stp>Bid</stp>
        <stp/>
        <stp>T</stp>
        <tr r="M54" s="2"/>
      </tp>
      <tp>
        <v>-6.6000000000000005</v>
        <stp/>
        <stp>ContractData</stp>
        <stp>KCES2U8</stp>
        <stp>Bid</stp>
        <stp/>
        <stp>T</stp>
        <tr r="H29" s="2"/>
      </tp>
      <tp>
        <v>-1.45</v>
        <stp/>
        <stp>ContractData</stp>
        <stp>KCES1H0</stp>
        <stp>Ask</stp>
        <stp/>
        <stp>T</stp>
        <tr r="N63" s="2"/>
      </tp>
      <tp>
        <v>-2.15</v>
        <stp/>
        <stp>ContractData</stp>
        <stp>KCES1H8</stp>
        <stp>Ask</stp>
        <stp/>
        <stp>T</stp>
        <tr r="D13" s="2"/>
        <tr r="Z2" s="3"/>
      </tp>
      <tp>
        <v>-1.95</v>
        <stp/>
        <stp>ContractData</stp>
        <stp>KCES1H9</stp>
        <stp>Ask</stp>
        <stp/>
        <stp>T</stp>
        <tr r="I38" s="2"/>
      </tp>
      <tp>
        <v>-1.25</v>
        <stp/>
        <stp>ContractData</stp>
        <stp>KCES1K0</stp>
        <stp>Ask</stp>
        <stp/>
        <stp>T</stp>
        <tr r="O68" s="2"/>
      </tp>
      <tp>
        <v>-2.25</v>
        <stp/>
        <stp>ContractData</stp>
        <stp>KCES1K8</stp>
        <stp>Ask</stp>
        <stp/>
        <stp>T</stp>
        <tr r="E18" s="2"/>
      </tp>
      <tp>
        <v>-1.85</v>
        <stp/>
        <stp>ContractData</stp>
        <stp>KCES1K9</stp>
        <stp>Ask</stp>
        <stp/>
        <stp>T</stp>
        <tr r="J43" s="2"/>
      </tp>
      <tp>
        <v>-7.5</v>
        <stp/>
        <stp>ContractData</stp>
        <stp>KCES3N9</stp>
        <stp>Bid</stp>
        <stp/>
        <stp>T</stp>
        <tr r="M49" s="2"/>
      </tp>
      <tp>
        <v>-8.9</v>
        <stp/>
        <stp>ContractData</stp>
        <stp>KCES3N8</stp>
        <stp>Bid</stp>
        <stp/>
        <stp>T</stp>
        <tr r="H24" s="2"/>
      </tp>
      <tp>
        <v>-6.65</v>
        <stp/>
        <stp>ContractData</stp>
        <stp>KCES3K9</stp>
        <stp>Bid</stp>
        <stp/>
        <stp>T</stp>
        <tr r="L44" s="2"/>
      </tp>
      <tp>
        <v>-7.95</v>
        <stp/>
        <stp>ContractData</stp>
        <stp>KCES3K8</stp>
        <stp>Bid</stp>
        <stp/>
        <stp>T</stp>
        <tr r="G19" s="2"/>
      </tp>
      <tp>
        <v>-5.8500000000000005</v>
        <stp/>
        <stp>ContractData</stp>
        <stp>KCES3H9</stp>
        <stp>Bid</stp>
        <stp/>
        <stp>T</stp>
        <tr r="K39" s="2"/>
      </tp>
      <tp>
        <v>-6.8</v>
        <stp/>
        <stp>ContractData</stp>
        <stp>KCES3H8</stp>
        <stp>Bid</stp>
        <stp/>
        <stp>T</stp>
        <tr r="F14" s="2"/>
        <tr r="Y4" s="3"/>
      </tp>
      <tp>
        <v>-7.15</v>
        <stp/>
        <stp>ContractData</stp>
        <stp>KCES3Z8</stp>
        <stp>Bid</stp>
        <stp/>
        <stp>T</stp>
        <tr r="J34" s="2"/>
      </tp>
      <tp>
        <v>-7.4</v>
        <stp/>
        <stp>ContractData</stp>
        <stp>KCES3U9</stp>
        <stp>Bid</stp>
        <stp/>
        <stp>T</stp>
        <tr r="N54" s="2"/>
      </tp>
      <tp>
        <v>-8.6</v>
        <stp/>
        <stp>ContractData</stp>
        <stp>KCES3U8</stp>
        <stp>Bid</stp>
        <stp/>
        <stp>T</stp>
        <tr r="I29" s="2"/>
      </tp>
      <tp>
        <v>-20.900000000000002</v>
        <stp/>
        <stp>ContractData</stp>
        <stp>KCES8N8</stp>
        <stp>Bid</stp>
        <stp/>
        <stp>T</stp>
        <tr r="M24" s="2"/>
      </tp>
      <tp>
        <v>-19.850000000000001</v>
        <stp/>
        <stp>ContractData</stp>
        <stp>KCES8K8</stp>
        <stp>Bid</stp>
        <stp/>
        <stp>T</stp>
        <tr r="L19" s="2"/>
      </tp>
      <tp>
        <v>-19.95</v>
        <stp/>
        <stp>ContractData</stp>
        <stp>KCES8H8</stp>
        <stp>Bid</stp>
        <stp/>
        <stp>T</stp>
        <tr r="K14" s="2"/>
        <tr r="Y9" s="3"/>
      </tp>
      <tp>
        <v>-45.35</v>
        <stp/>
        <stp>ContractData</stp>
        <stp>KCES8U8</stp>
        <stp>Bid</stp>
        <stp/>
        <stp>T</stp>
        <tr r="N29" s="2"/>
      </tp>
      <tp>
        <v>-47.6</v>
        <stp/>
        <stp>ContractData</stp>
        <stp>KCES9N8</stp>
        <stp>Bid</stp>
        <stp/>
        <stp>T</stp>
        <tr r="N24" s="2"/>
      </tp>
      <tp>
        <v>-23.2</v>
        <stp/>
        <stp>ContractData</stp>
        <stp>KCES9K8</stp>
        <stp>Bid</stp>
        <stp/>
        <stp>T</stp>
        <tr r="M19" s="2"/>
      </tp>
      <tp>
        <v>-22.05</v>
        <stp/>
        <stp>ContractData</stp>
        <stp>KCES9H8</stp>
        <stp>Bid</stp>
        <stp/>
        <stp>T</stp>
        <tr r="L14" s="2"/>
        <tr r="Y10" s="3"/>
      </tp>
      <tp>
        <v>-15.6</v>
        <stp/>
        <stp>ContractData</stp>
        <stp>KCES9N8</stp>
        <stp>Ask</stp>
        <stp/>
        <stp>T</stp>
        <tr r="N23" s="2"/>
      </tp>
      <tp>
        <v>-21.6</v>
        <stp/>
        <stp>ContractData</stp>
        <stp>KCES9H8</stp>
        <stp>Ask</stp>
        <stp/>
        <stp>T</stp>
        <tr r="L13" s="2"/>
        <tr r="Z10" s="3"/>
      </tp>
      <tp>
        <v>-16.45</v>
        <stp/>
        <stp>ContractData</stp>
        <stp>KCES9K8</stp>
        <stp>Ask</stp>
        <stp/>
        <stp>T</stp>
        <tr r="M18" s="2"/>
      </tp>
      <tp>
        <v>-13.25</v>
        <stp/>
        <stp>ContractData</stp>
        <stp>KCES8U8</stp>
        <stp>Ask</stp>
        <stp/>
        <stp>T</stp>
        <tr r="N28" s="2"/>
      </tp>
      <tp>
        <v>-14.15</v>
        <stp/>
        <stp>ContractData</stp>
        <stp>KCES8N8</stp>
        <stp>Ask</stp>
        <stp/>
        <stp>T</stp>
        <tr r="M23" s="2"/>
      </tp>
      <tp>
        <v>-18.900000000000002</v>
        <stp/>
        <stp>ContractData</stp>
        <stp>KCES8H8</stp>
        <stp>Ask</stp>
        <stp/>
        <stp>T</stp>
        <tr r="K13" s="2"/>
        <tr r="Z9" s="3"/>
      </tp>
      <tp>
        <v>-19.45</v>
        <stp/>
        <stp>ContractData</stp>
        <stp>KCES8K8</stp>
        <stp>Ask</stp>
        <stp/>
        <stp>T</stp>
        <tr r="L18" s="2"/>
      </tp>
      <tp>
        <v>128</v>
        <stp/>
        <stp>ContractData</stp>
        <stp>KCES5U9</stp>
        <stp>Bate</stp>
        <tr r="H22" s="3"/>
      </tp>
      <tp>
        <v>128</v>
        <stp/>
        <stp>ContractData</stp>
        <stp>KCES4U9</stp>
        <stp>Bate</stp>
        <tr r="G22" s="3"/>
      </tp>
      <tp>
        <v>128</v>
        <stp/>
        <stp>ContractData</stp>
        <stp>KCES1U9</stp>
        <stp>Bate</stp>
        <tr r="D22" s="3"/>
      </tp>
      <tp>
        <v>128</v>
        <stp/>
        <stp>ContractData</stp>
        <stp>KCES3U9</stp>
        <stp>Bate</stp>
        <tr r="F22" s="3"/>
      </tp>
      <tp>
        <v>128</v>
        <stp/>
        <stp>ContractData</stp>
        <stp>KCES2U9</stp>
        <stp>Bate</stp>
        <tr r="E22" s="3"/>
      </tp>
      <tp>
        <v>128</v>
        <stp/>
        <stp>ContractData</stp>
        <stp>KCES5U8</stp>
        <stp>Bate</stp>
        <tr r="H17" s="3"/>
      </tp>
      <tp>
        <v>128</v>
        <stp/>
        <stp>ContractData</stp>
        <stp>KCES4U8</stp>
        <stp>Bate</stp>
        <tr r="G17" s="3"/>
      </tp>
      <tp>
        <v>128</v>
        <stp/>
        <stp>ContractData</stp>
        <stp>KCES7U8</stp>
        <stp>Bate</stp>
        <tr r="J17" s="3"/>
      </tp>
      <tp>
        <v>128</v>
        <stp/>
        <stp>ContractData</stp>
        <stp>KCES6U8</stp>
        <stp>Bate</stp>
        <tr r="I17" s="3"/>
      </tp>
      <tp>
        <v>64</v>
        <stp/>
        <stp>ContractData</stp>
        <stp>KCES1U8</stp>
        <stp>Bate</stp>
        <tr r="D17" s="3"/>
      </tp>
      <tp>
        <v>128</v>
        <stp/>
        <stp>ContractData</stp>
        <stp>KCES3U8</stp>
        <stp>Bate</stp>
        <tr r="F17" s="3"/>
      </tp>
      <tp>
        <v>128</v>
        <stp/>
        <stp>ContractData</stp>
        <stp>KCES2U8</stp>
        <stp>Bate</stp>
        <tr r="E17" s="3"/>
      </tp>
      <tp>
        <v>128</v>
        <stp/>
        <stp>ContractData</stp>
        <stp>KCES9U8</stp>
        <stp>Bate</stp>
        <tr r="L17" s="3"/>
      </tp>
      <tp>
        <v>128</v>
        <stp/>
        <stp>ContractData</stp>
        <stp>KCES8U8</stp>
        <stp>Bate</stp>
        <tr r="K17" s="3"/>
      </tp>
      <tp>
        <v>4.9000000000000004</v>
        <stp/>
        <stp>ContractData</stp>
        <stp>KCEK0</stp>
        <stp>NetLastQuoteToday</stp>
        <stp/>
        <stp>T</stp>
        <tr r="U13" s="3"/>
      </tp>
      <tp>
        <v>136.55000000000001</v>
        <stp/>
        <stp>ContractData</stp>
        <stp>KCEU8</stp>
        <stp>LastTradeorSettle</stp>
        <stp/>
        <stp>T</stp>
        <tr r="R5" s="3"/>
        <tr r="R5" s="3"/>
      </tp>
      <tp>
        <v>149.25</v>
        <stp/>
        <stp>ContractData</stp>
        <stp>KCEU9</stp>
        <stp>LastTradeorSettle</stp>
        <stp/>
        <stp>T</stp>
        <tr r="R10" s="3"/>
        <tr r="R10" s="3"/>
      </tp>
      <tp>
        <v>1.55</v>
        <stp/>
        <stp>ContractData</stp>
        <stp>KCEK8</stp>
        <stp>NetLastQuoteToday</stp>
        <stp/>
        <stp>T</stp>
        <tr r="U3" s="3"/>
      </tp>
      <tp>
        <v>1.35</v>
        <stp/>
        <stp>ContractData</stp>
        <stp>KCEK9</stp>
        <stp>NetLastQuoteToday</stp>
        <stp/>
        <stp>T</stp>
        <tr r="U8" s="3"/>
      </tp>
      <tp t="s">
        <v>MAR</v>
        <stp/>
        <stp>ContractData</stp>
        <stp>KCE?</stp>
        <stp>ContractMonth</stp>
        <tr r="R35" s="3"/>
      </tp>
      <tp>
        <v>128</v>
        <stp/>
        <stp>ContractData</stp>
        <stp>KCES4Z9</stp>
        <stp>Bate</stp>
        <tr r="G23" s="3"/>
      </tp>
      <tp>
        <v>128</v>
        <stp/>
        <stp>ContractData</stp>
        <stp>KCES1Z9</stp>
        <stp>Bate</stp>
        <tr r="D23" s="3"/>
      </tp>
      <tp>
        <v>128</v>
        <stp/>
        <stp>ContractData</stp>
        <stp>KCES3Z9</stp>
        <stp>Bate</stp>
        <tr r="F23" s="3"/>
      </tp>
      <tp>
        <v>128</v>
        <stp/>
        <stp>ContractData</stp>
        <stp>KCES2Z9</stp>
        <stp>Bate</stp>
        <tr r="E23" s="3"/>
      </tp>
      <tp>
        <v>128</v>
        <stp/>
        <stp>ContractData</stp>
        <stp>KCES5Z8</stp>
        <stp>Bate</stp>
        <tr r="H18" s="3"/>
      </tp>
      <tp>
        <v>128</v>
        <stp/>
        <stp>ContractData</stp>
        <stp>KCES4Z8</stp>
        <stp>Bate</stp>
        <tr r="G18" s="3"/>
      </tp>
      <tp>
        <v>128</v>
        <stp/>
        <stp>ContractData</stp>
        <stp>KCES7Z8</stp>
        <stp>Bate</stp>
        <tr r="J18" s="3"/>
      </tp>
      <tp>
        <v>128</v>
        <stp/>
        <stp>ContractData</stp>
        <stp>KCES6Z8</stp>
        <stp>Bate</stp>
        <tr r="I18" s="3"/>
      </tp>
      <tp>
        <v>128</v>
        <stp/>
        <stp>ContractData</stp>
        <stp>KCES1Z8</stp>
        <stp>Bate</stp>
        <tr r="D18" s="3"/>
      </tp>
      <tp>
        <v>128</v>
        <stp/>
        <stp>ContractData</stp>
        <stp>KCES3Z8</stp>
        <stp>Bate</stp>
        <tr r="F18" s="3"/>
      </tp>
      <tp>
        <v>128</v>
        <stp/>
        <stp>ContractData</stp>
        <stp>KCES2Z8</stp>
        <stp>Bate</stp>
        <tr r="E18" s="3"/>
      </tp>
      <tp>
        <v>128</v>
        <stp/>
        <stp>ContractData</stp>
        <stp>KCES9Z8</stp>
        <stp>Bate</stp>
        <tr r="L18" s="3"/>
      </tp>
      <tp>
        <v>128</v>
        <stp/>
        <stp>ContractData</stp>
        <stp>KCES8Z8</stp>
        <stp>Bate</stp>
        <tr r="K18" s="3"/>
      </tp>
      <tp t="s">
        <v>Coffee (ICE), Dec 18</v>
        <stp/>
        <stp>ContractData</stp>
        <stp>KCEZ8</stp>
        <stp>LongDescription</stp>
        <tr r="G6" s="2"/>
        <tr r="O39" s="3"/>
        <tr r="G31" s="2"/>
      </tp>
      <tp t="s">
        <v>Coffee (ICE), Dec 19</v>
        <stp/>
        <stp>ContractData</stp>
        <stp>KCEZ9</stp>
        <stp>LongDescription</stp>
        <tr r="O44" s="3"/>
        <tr r="L6" s="2"/>
        <tr r="L56" s="2"/>
      </tp>
      <tp t="s">
        <v>Coffee (ICE), Sep 18</v>
        <stp/>
        <stp>ContractData</stp>
        <stp>KCEU8</stp>
        <stp>LongDescription</stp>
        <tr r="O38" s="3"/>
        <tr r="F6" s="2"/>
        <tr r="F26" s="2"/>
      </tp>
      <tp t="s">
        <v>Coffee (ICE), Sep 19</v>
        <stp/>
        <stp>ContractData</stp>
        <stp>KCEU9</stp>
        <stp>LongDescription</stp>
        <tr r="O43" s="3"/>
        <tr r="K6" s="2"/>
        <tr r="K51" s="2"/>
      </tp>
      <tp t="s">
        <v>Coffee (ICE), Mar 20</v>
        <stp/>
        <stp>ContractData</stp>
        <stp>KCEH0</stp>
        <stp>LongDescription</stp>
        <tr r="M6" s="2"/>
        <tr r="O45" s="3"/>
        <tr r="M61" s="2"/>
      </tp>
      <tp t="s">
        <v>Coffee (ICE), Mar 18</v>
        <stp/>
        <stp>ContractData</stp>
        <stp>KCEH8</stp>
        <stp>LongDescription</stp>
        <tr r="B6" s="2"/>
        <tr r="O35" s="3"/>
        <tr r="B11" s="2"/>
      </tp>
      <tp t="s">
        <v>Coffee (ICE), Mar 19</v>
        <stp/>
        <stp>ContractData</stp>
        <stp>KCEH9</stp>
        <stp>LongDescription</stp>
        <tr r="H36" s="2"/>
        <tr r="O40" s="3"/>
        <tr r="H6" s="2"/>
      </tp>
      <tp t="s">
        <v>Coffee (ICE), May 20</v>
        <stp/>
        <stp>ContractData</stp>
        <stp>KCEK0</stp>
        <stp>LongDescription</stp>
        <tr r="O46" s="3"/>
        <tr r="N6" s="2"/>
        <tr r="N66" s="2"/>
      </tp>
      <tp t="s">
        <v>Coffee (ICE), May 18</v>
        <stp/>
        <stp>ContractData</stp>
        <stp>KCEK8</stp>
        <stp>LongDescription</stp>
        <tr r="O36" s="3"/>
        <tr r="D6" s="2"/>
        <tr r="D16" s="2"/>
      </tp>
      <tp t="s">
        <v>Coffee (ICE), May 19</v>
        <stp/>
        <stp>ContractData</stp>
        <stp>KCEK9</stp>
        <stp>LongDescription</stp>
        <tr r="I41" s="2"/>
        <tr r="O41" s="3"/>
        <tr r="I6" s="2"/>
      </tp>
      <tp t="s">
        <v>Coffee (ICE), Jul 18</v>
        <stp/>
        <stp>ContractData</stp>
        <stp>KCEN8</stp>
        <stp>LongDescription</stp>
        <tr r="E6" s="2"/>
        <tr r="O37" s="3"/>
        <tr r="E21" s="2"/>
      </tp>
      <tp t="s">
        <v>Coffee (ICE), Jul 19</v>
        <stp/>
        <stp>ContractData</stp>
        <stp>KCEN9</stp>
        <stp>LongDescription</stp>
        <tr r="J6" s="2"/>
        <tr r="O42" s="3"/>
        <tr r="J46" s="2"/>
      </tp>
      <tp>
        <v>4.7</v>
        <stp/>
        <stp>ContractData</stp>
        <stp>KCEH0</stp>
        <stp>NetLastQuoteToday</stp>
        <stp/>
        <stp>T</stp>
        <tr r="U12" s="3"/>
      </tp>
      <tp>
        <v>1.7</v>
        <stp/>
        <stp>ContractData</stp>
        <stp>KCEH8</stp>
        <stp>NetLastQuoteToday</stp>
        <stp/>
        <stp>T</stp>
        <tr r="U2" s="3"/>
      </tp>
      <tp>
        <v>1.4000000000000001</v>
        <stp/>
        <stp>ContractData</stp>
        <stp>KCEH9</stp>
        <stp>NetLastQuoteToday</stp>
        <stp/>
        <stp>T</stp>
        <tr r="U7" s="3"/>
      </tp>
      <tp>
        <v>1.55</v>
        <stp/>
        <stp>ContractData</stp>
        <stp>KCEN8</stp>
        <stp>NetLastQuoteToday</stp>
        <stp/>
        <stp>T</stp>
        <tr r="U4" s="3"/>
      </tp>
      <tp>
        <v>1.3</v>
        <stp/>
        <stp>ContractData</stp>
        <stp>KCEN9</stp>
        <stp>NetLastQuoteToday</stp>
        <stp/>
        <stp>T</stp>
        <tr r="U9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 t="s">
        <v>Coffee (ICE) Calendar Spreads 10, Mar 18, Mar 20</v>
        <stp/>
        <stp>ContractData</stp>
        <stp>KCES10H8</stp>
        <stp>LongDescription</stp>
        <tr r="M11" s="2"/>
      </tp>
      <tp t="s">
        <v>Coffee (ICE) Calendar Spreads 10, May 18, May 20</v>
        <stp/>
        <stp>ContractData</stp>
        <stp>KCES10K8</stp>
        <stp>LongDescription</stp>
        <tr r="N16" s="2"/>
      </tp>
      <tp>
        <v>134.30000000000001</v>
        <stp/>
        <stp>ContractData</stp>
        <stp>KCEN8</stp>
        <stp>LastTradeorSettle</stp>
        <stp/>
        <stp>T</stp>
        <tr r="R4" s="3"/>
        <tr r="R4" s="3"/>
      </tp>
      <tp>
        <v>147.35</v>
        <stp/>
        <stp>ContractData</stp>
        <stp>KCEN9</stp>
        <stp>LastTradeorSettle</stp>
        <stp/>
        <stp>T</stp>
        <tr r="R9" s="3"/>
        <tr r="R9" s="3"/>
      </tp>
      <tp t="s">
        <v>Coffee (ICE), Mar 18</v>
        <stp/>
        <stp>ContractData</stp>
        <stp>KCE</stp>
        <stp>LongDescription</stp>
        <tr r="B44" s="2"/>
      </tp>
      <tp t="s">
        <v/>
        <stp/>
        <stp>ContractData</stp>
        <stp>KCEH0</stp>
        <stp>LastTradeorSettle</stp>
        <stp/>
        <stp>T</stp>
        <tr r="R12" s="3"/>
      </tp>
      <tp>
        <v>129.9</v>
        <stp/>
        <stp>ContractData</stp>
        <stp>KCEH8</stp>
        <stp>LastTradeorSettle</stp>
        <stp/>
        <stp>T</stp>
        <tr r="R2" s="3"/>
        <tr r="R2" s="3"/>
      </tp>
      <tp>
        <v>143.5</v>
        <stp/>
        <stp>ContractData</stp>
        <stp>KCEH9</stp>
        <stp>LastTradeorSettle</stp>
        <stp/>
        <stp>T</stp>
        <tr r="R7" s="3"/>
        <tr r="R7" s="3"/>
      </tp>
      <tp t="s">
        <v/>
        <stp/>
        <stp>ContractData</stp>
        <stp>KCEK0</stp>
        <stp>LastTradeorSettle</stp>
        <stp/>
        <stp>T</stp>
        <tr r="R13" s="3"/>
      </tp>
      <tp>
        <v>132</v>
        <stp/>
        <stp>ContractData</stp>
        <stp>KCEK8</stp>
        <stp>LastTradeorSettle</stp>
        <stp/>
        <stp>T</stp>
        <tr r="R3" s="3"/>
        <tr r="R3" s="3"/>
      </tp>
      <tp>
        <v>145.45000000000002</v>
        <stp/>
        <stp>ContractData</stp>
        <stp>KCEK9</stp>
        <stp>LastTradeorSettle</stp>
        <stp/>
        <stp>T</stp>
        <tr r="R8" s="3"/>
        <tr r="R8" s="3"/>
      </tp>
      <tp>
        <v>1.5</v>
        <stp/>
        <stp>ContractData</stp>
        <stp>KCEU8</stp>
        <stp>NetLastQuoteToday</stp>
        <stp/>
        <stp>T</stp>
        <tr r="U5" s="3"/>
      </tp>
      <tp>
        <v>1.2</v>
        <stp/>
        <stp>ContractData</stp>
        <stp>KCEU9</stp>
        <stp>NetLastQuoteToday</stp>
        <stp/>
        <stp>T</stp>
        <tr r="U10" s="3"/>
      </tp>
      <tp>
        <v>1.5</v>
        <stp/>
        <stp>ContractData</stp>
        <stp>KCEZ8</stp>
        <stp>NetLastTradeToday</stp>
        <stp/>
        <stp>T</stp>
        <tr r="H58" s="2"/>
      </tp>
      <tp t="s">
        <v/>
        <stp/>
        <stp>ContractData</stp>
        <stp>KCEZ9</stp>
        <stp>NetLastTradeToday</stp>
        <stp/>
        <stp>T</stp>
        <tr r="H64" s="2"/>
      </tp>
      <tp>
        <v>1.5</v>
        <stp/>
        <stp>ContractData</stp>
        <stp>KCEU8</stp>
        <stp>NetLastTradeToday</stp>
        <stp/>
        <stp>T</stp>
        <tr r="H56" s="2"/>
      </tp>
      <tp>
        <v>1.8</v>
        <stp/>
        <stp>ContractData</stp>
        <stp>KCEU9</stp>
        <stp>NetLastTradeToday</stp>
        <stp/>
        <stp>T</stp>
        <tr r="H63" s="2"/>
      </tp>
      <tp>
        <v>1.45</v>
        <stp/>
        <stp>ContractData</stp>
        <stp>KCEZ8</stp>
        <stp>NetLastQuoteToday</stp>
        <stp/>
        <stp>T</stp>
        <tr r="U6" s="3"/>
      </tp>
      <tp>
        <v>1.25</v>
        <stp/>
        <stp>ContractData</stp>
        <stp>KCEZ9</stp>
        <stp>NetLastQuoteToday</stp>
        <stp/>
        <stp>T</stp>
        <tr r="U11" s="3"/>
      </tp>
      <tp>
        <v>128</v>
        <stp/>
        <stp>ContractData</stp>
        <stp>KCES5K9</stp>
        <stp>Bate</stp>
        <tr r="H20" s="3"/>
      </tp>
      <tp>
        <v>128</v>
        <stp/>
        <stp>ContractData</stp>
        <stp>KCES4K9</stp>
        <stp>Bate</stp>
        <tr r="G20" s="3"/>
      </tp>
      <tp>
        <v>128</v>
        <stp/>
        <stp>ContractData</stp>
        <stp>KCES7K9</stp>
        <stp>Bate</stp>
        <tr r="J20" s="3"/>
      </tp>
      <tp>
        <v>128</v>
        <stp/>
        <stp>ContractData</stp>
        <stp>KCES6K9</stp>
        <stp>Bate</stp>
        <tr r="I20" s="3"/>
      </tp>
      <tp>
        <v>128</v>
        <stp/>
        <stp>ContractData</stp>
        <stp>KCES1K9</stp>
        <stp>Bate</stp>
        <tr r="D20" s="3"/>
      </tp>
      <tp>
        <v>128</v>
        <stp/>
        <stp>ContractData</stp>
        <stp>KCES3K9</stp>
        <stp>Bate</stp>
        <tr r="F20" s="3"/>
      </tp>
      <tp>
        <v>128</v>
        <stp/>
        <stp>ContractData</stp>
        <stp>KCES2K9</stp>
        <stp>Bate</stp>
        <tr r="E20" s="3"/>
      </tp>
      <tp>
        <v>128</v>
        <stp/>
        <stp>ContractData</stp>
        <stp>KCES5K8</stp>
        <stp>Bate</stp>
        <tr r="H15" s="3"/>
      </tp>
      <tp>
        <v>128</v>
        <stp/>
        <stp>ContractData</stp>
        <stp>KCES4K8</stp>
        <stp>Bate</stp>
        <tr r="G15" s="3"/>
      </tp>
      <tp>
        <v>128</v>
        <stp/>
        <stp>ContractData</stp>
        <stp>KCES7K8</stp>
        <stp>Bate</stp>
        <tr r="J15" s="3"/>
      </tp>
      <tp>
        <v>128</v>
        <stp/>
        <stp>ContractData</stp>
        <stp>KCES6K8</stp>
        <stp>Bate</stp>
        <tr r="I15" s="3"/>
      </tp>
      <tp>
        <v>128</v>
        <stp/>
        <stp>ContractData</stp>
        <stp>KCES1K8</stp>
        <stp>Bate</stp>
        <tr r="D15" s="3"/>
      </tp>
      <tp>
        <v>128</v>
        <stp/>
        <stp>ContractData</stp>
        <stp>KCES3K8</stp>
        <stp>Bate</stp>
        <tr r="F15" s="3"/>
      </tp>
      <tp>
        <v>128</v>
        <stp/>
        <stp>ContractData</stp>
        <stp>KCES2K8</stp>
        <stp>Bate</stp>
        <tr r="E15" s="3"/>
      </tp>
      <tp>
        <v>128</v>
        <stp/>
        <stp>ContractData</stp>
        <stp>KCES9K8</stp>
        <stp>Bate</stp>
        <tr r="L15" s="3"/>
      </tp>
      <tp>
        <v>128</v>
        <stp/>
        <stp>ContractData</stp>
        <stp>KCES8K8</stp>
        <stp>Bate</stp>
        <tr r="K15" s="3"/>
      </tp>
      <tp>
        <v>128</v>
        <stp/>
        <stp>ContractData</stp>
        <stp>KCES1K0</stp>
        <stp>Bate</stp>
        <tr r="D25" s="3"/>
      </tp>
      <tp>
        <v>0</v>
        <stp/>
        <stp>ContractData</stp>
        <stp>KCES3K0</stp>
        <stp>Bate</stp>
        <tr r="F25" s="3"/>
      </tp>
      <tp>
        <v>128</v>
        <stp/>
        <stp>ContractData</stp>
        <stp>KCES2K0</stp>
        <stp>Bate</stp>
        <tr r="E25" s="3"/>
      </tp>
      <tp>
        <v>19329</v>
        <stp/>
        <stp>StudyData</stp>
        <stp>KCEH8</stp>
        <stp>VolOI</stp>
        <stp/>
        <stp>Vol</stp>
        <stp/>
        <stp>-1</stp>
        <stp>all</stp>
        <stp/>
        <stp/>
        <stp/>
        <stp>T</stp>
        <tr r="V21" s="3"/>
      </tp>
      <tp>
        <v>24749</v>
        <stp/>
        <stp>StudyData</stp>
        <stp>KCEH8</stp>
        <stp>VolOI</stp>
        <stp/>
        <stp>Vol</stp>
        <stp/>
        <stp>-2</stp>
        <stp>all</stp>
        <stp/>
        <stp/>
        <stp/>
        <stp>T</stp>
        <tr r="V22" s="3"/>
      </tp>
      <tp>
        <v>18099</v>
        <stp/>
        <stp>StudyData</stp>
        <stp>KCEH8</stp>
        <stp>VolOI</stp>
        <stp/>
        <stp>Vol</stp>
        <stp/>
        <stp>-3</stp>
        <stp>all</stp>
        <stp/>
        <stp/>
        <stp/>
        <stp>T</stp>
        <tr r="V23" s="3"/>
      </tp>
      <tp>
        <v>29158</v>
        <stp/>
        <stp>StudyData</stp>
        <stp>KCEH8</stp>
        <stp>VolOI</stp>
        <stp/>
        <stp>Vol</stp>
        <stp/>
        <stp>-4</stp>
        <stp>all</stp>
        <stp/>
        <stp/>
        <stp/>
        <stp>T</stp>
        <tr r="V24" s="3"/>
      </tp>
      <tp>
        <v>60331</v>
        <stp/>
        <stp>StudyData</stp>
        <stp>KCEH8</stp>
        <stp>VolOI</stp>
        <stp/>
        <stp>Vol</stp>
        <stp/>
        <stp>-5</stp>
        <stp>all</stp>
        <stp/>
        <stp/>
        <stp/>
        <stp>T</stp>
        <tr r="V25" s="3"/>
      </tp>
      <tp>
        <v>128</v>
        <stp/>
        <stp>ContractData</stp>
        <stp>KCES5H9</stp>
        <stp>Bate</stp>
        <tr r="H19" s="3"/>
      </tp>
      <tp>
        <v>128</v>
        <stp/>
        <stp>ContractData</stp>
        <stp>KCES4H9</stp>
        <stp>Bate</stp>
        <tr r="G19" s="3"/>
      </tp>
      <tp>
        <v>128</v>
        <stp/>
        <stp>ContractData</stp>
        <stp>KCES7H9</stp>
        <stp>Bate</stp>
        <tr r="J19" s="3"/>
      </tp>
      <tp>
        <v>128</v>
        <stp/>
        <stp>ContractData</stp>
        <stp>KCES6H9</stp>
        <stp>Bate</stp>
        <tr r="I19" s="3"/>
      </tp>
      <tp>
        <v>128</v>
        <stp/>
        <stp>ContractData</stp>
        <stp>KCES1H9</stp>
        <stp>Bate</stp>
        <tr r="D19" s="3"/>
      </tp>
      <tp>
        <v>128</v>
        <stp/>
        <stp>ContractData</stp>
        <stp>KCES3H9</stp>
        <stp>Bate</stp>
        <tr r="F19" s="3"/>
      </tp>
      <tp>
        <v>128</v>
        <stp/>
        <stp>ContractData</stp>
        <stp>KCES2H9</stp>
        <stp>Bate</stp>
        <tr r="E19" s="3"/>
      </tp>
      <tp>
        <v>128</v>
        <stp/>
        <stp>ContractData</stp>
        <stp>KCES8H9</stp>
        <stp>Bate</stp>
        <tr r="K19" s="3"/>
      </tp>
      <tp>
        <v>64</v>
        <stp/>
        <stp>ContractData</stp>
        <stp>KCES5H8</stp>
        <stp>Bate</stp>
        <tr r="H14" s="3"/>
      </tp>
      <tp>
        <v>128</v>
        <stp/>
        <stp>ContractData</stp>
        <stp>KCES4H8</stp>
        <stp>Bate</stp>
        <tr r="G14" s="3"/>
      </tp>
      <tp>
        <v>128</v>
        <stp/>
        <stp>ContractData</stp>
        <stp>KCES7H8</stp>
        <stp>Bate</stp>
        <tr r="J14" s="3"/>
      </tp>
      <tp>
        <v>64</v>
        <stp/>
        <stp>ContractData</stp>
        <stp>KCES6H8</stp>
        <stp>Bate</stp>
        <tr r="I14" s="3"/>
      </tp>
      <tp>
        <v>16</v>
        <stp/>
        <stp>ContractData</stp>
        <stp>KCES1H8</stp>
        <stp>Bate</stp>
        <tr r="D14" s="3"/>
      </tp>
      <tp>
        <v>64</v>
        <stp/>
        <stp>ContractData</stp>
        <stp>KCES3H8</stp>
        <stp>Bate</stp>
        <tr r="F14" s="3"/>
      </tp>
      <tp>
        <v>0</v>
        <stp/>
        <stp>ContractData</stp>
        <stp>KCES2H8</stp>
        <stp>Bate</stp>
        <tr r="E14" s="3"/>
      </tp>
      <tp>
        <v>64</v>
        <stp/>
        <stp>ContractData</stp>
        <stp>KCES9H8</stp>
        <stp>Bate</stp>
        <tr r="L14" s="3"/>
      </tp>
      <tp>
        <v>128</v>
        <stp/>
        <stp>ContractData</stp>
        <stp>KCES8H8</stp>
        <stp>Bate</stp>
        <tr r="K14" s="3"/>
      </tp>
      <tp>
        <v>128</v>
        <stp/>
        <stp>ContractData</stp>
        <stp>KCES1H0</stp>
        <stp>Bate</stp>
        <tr r="D24" s="3"/>
      </tp>
      <tp>
        <v>128</v>
        <stp/>
        <stp>ContractData</stp>
        <stp>KCES3H0</stp>
        <stp>Bate</stp>
        <tr r="F24" s="3"/>
      </tp>
      <tp>
        <v>128</v>
        <stp/>
        <stp>ContractData</stp>
        <stp>KCES2H0</stp>
        <stp>Bate</stp>
        <tr r="E24" s="3"/>
      </tp>
      <tp>
        <v>128</v>
        <stp/>
        <stp>ContractData</stp>
        <stp>KCES5N9</stp>
        <stp>Bate</stp>
        <tr r="H21" s="3"/>
      </tp>
      <tp>
        <v>128</v>
        <stp/>
        <stp>ContractData</stp>
        <stp>KCES4N9</stp>
        <stp>Bate</stp>
        <tr r="G21" s="3"/>
      </tp>
      <tp>
        <v>128</v>
        <stp/>
        <stp>ContractData</stp>
        <stp>KCES6N9</stp>
        <stp>Bate</stp>
        <tr r="I21" s="3"/>
      </tp>
      <tp>
        <v>128</v>
        <stp/>
        <stp>ContractData</stp>
        <stp>KCES1N9</stp>
        <stp>Bate</stp>
        <tr r="D21" s="3"/>
      </tp>
      <tp>
        <v>128</v>
        <stp/>
        <stp>ContractData</stp>
        <stp>KCES3N9</stp>
        <stp>Bate</stp>
        <tr r="F21" s="3"/>
      </tp>
      <tp>
        <v>128</v>
        <stp/>
        <stp>ContractData</stp>
        <stp>KCES2N9</stp>
        <stp>Bate</stp>
        <tr r="E21" s="3"/>
      </tp>
      <tp>
        <v>128</v>
        <stp/>
        <stp>ContractData</stp>
        <stp>KCES5N8</stp>
        <stp>Bate</stp>
        <tr r="H16" s="3"/>
      </tp>
      <tp>
        <v>128</v>
        <stp/>
        <stp>ContractData</stp>
        <stp>KCES4N8</stp>
        <stp>Bate</stp>
        <tr r="G16" s="3"/>
      </tp>
      <tp>
        <v>128</v>
        <stp/>
        <stp>ContractData</stp>
        <stp>KCES7N8</stp>
        <stp>Bate</stp>
        <tr r="J16" s="3"/>
      </tp>
      <tp>
        <v>128</v>
        <stp/>
        <stp>ContractData</stp>
        <stp>KCES6N8</stp>
        <stp>Bate</stp>
        <tr r="I16" s="3"/>
      </tp>
      <tp>
        <v>128</v>
        <stp/>
        <stp>ContractData</stp>
        <stp>KCES1N8</stp>
        <stp>Bate</stp>
        <tr r="D16" s="3"/>
      </tp>
      <tp>
        <v>128</v>
        <stp/>
        <stp>ContractData</stp>
        <stp>KCES3N8</stp>
        <stp>Bate</stp>
        <tr r="F16" s="3"/>
      </tp>
      <tp>
        <v>0</v>
        <stp/>
        <stp>ContractData</stp>
        <stp>KCES2N8</stp>
        <stp>Bate</stp>
        <tr r="E16" s="3"/>
      </tp>
      <tp>
        <v>128</v>
        <stp/>
        <stp>ContractData</stp>
        <stp>KCES9N8</stp>
        <stp>Bate</stp>
        <tr r="L16" s="3"/>
      </tp>
      <tp>
        <v>128</v>
        <stp/>
        <stp>ContractData</stp>
        <stp>KCES8N8</stp>
        <stp>Bate</stp>
        <tr r="K16" s="3"/>
      </tp>
      <tp t="s">
        <v>KCES9N8</v>
        <stp/>
        <stp>ContractData</stp>
        <stp>KCES9N8</stp>
        <stp>Symbol</stp>
        <tr r="N22" s="2"/>
      </tp>
      <tp t="s">
        <v>KCES9K8</v>
        <stp/>
        <stp>ContractData</stp>
        <stp>KCES9K8</stp>
        <stp>Symbol</stp>
        <tr r="M17" s="2"/>
      </tp>
      <tp t="s">
        <v>KCES9H8</v>
        <stp/>
        <stp>ContractData</stp>
        <stp>KCES9H8</stp>
        <stp>Symbol</stp>
        <tr r="L12" s="2"/>
      </tp>
      <tp t="s">
        <v>KCES8N8</v>
        <stp/>
        <stp>ContractData</stp>
        <stp>KCES8N8</stp>
        <stp>Symbol</stp>
        <tr r="M22" s="2"/>
      </tp>
      <tp t="s">
        <v>KCES8K8</v>
        <stp/>
        <stp>ContractData</stp>
        <stp>KCES8K8</stp>
        <stp>Symbol</stp>
        <tr r="L17" s="2"/>
      </tp>
      <tp t="s">
        <v>KCES8H8</v>
        <stp/>
        <stp>ContractData</stp>
        <stp>KCES8H8</stp>
        <stp>Symbol</stp>
        <tr r="K12" s="2"/>
      </tp>
      <tp t="s">
        <v>KCES8U8</v>
        <stp/>
        <stp>ContractData</stp>
        <stp>KCES8U8</stp>
        <stp>Symbol</stp>
        <tr r="N27" s="2"/>
      </tp>
      <tp t="s">
        <v>KCES3N8</v>
        <stp/>
        <stp>ContractData</stp>
        <stp>KCES3N8</stp>
        <stp>Symbol</stp>
        <tr r="H22" s="2"/>
      </tp>
      <tp t="s">
        <v>KCES3N9</v>
        <stp/>
        <stp>ContractData</stp>
        <stp>KCES3N9</stp>
        <stp>Symbol</stp>
        <tr r="M47" s="2"/>
      </tp>
      <tp t="s">
        <v>KCES3K8</v>
        <stp/>
        <stp>ContractData</stp>
        <stp>KCES3K8</stp>
        <stp>Symbol</stp>
        <tr r="G17" s="2"/>
      </tp>
      <tp t="s">
        <v>KCES3K9</v>
        <stp/>
        <stp>ContractData</stp>
        <stp>KCES3K9</stp>
        <stp>Symbol</stp>
        <tr r="L42" s="2"/>
      </tp>
      <tp t="s">
        <v>KCES3H8</v>
        <stp/>
        <stp>ContractData</stp>
        <stp>KCES3H8</stp>
        <stp>Symbol</stp>
        <tr r="F12" s="2"/>
      </tp>
      <tp t="s">
        <v>KCES3H9</v>
        <stp/>
        <stp>ContractData</stp>
        <stp>KCES3H9</stp>
        <stp>Symbol</stp>
        <tr r="K37" s="2"/>
      </tp>
      <tp t="s">
        <v>KCES3U8</v>
        <stp/>
        <stp>ContractData</stp>
        <stp>KCES3U8</stp>
        <stp>Symbol</stp>
        <tr r="I27" s="2"/>
      </tp>
      <tp t="s">
        <v>KCES3U9</v>
        <stp/>
        <stp>ContractData</stp>
        <stp>KCES3U9</stp>
        <stp>Symbol</stp>
        <tr r="N52" s="2"/>
      </tp>
      <tp t="s">
        <v>KCES3Z8</v>
        <stp/>
        <stp>ContractData</stp>
        <stp>KCES3Z8</stp>
        <stp>Symbol</stp>
        <tr r="J32" s="2"/>
      </tp>
      <tp t="s">
        <v>KCES2N8</v>
        <stp/>
        <stp>ContractData</stp>
        <stp>KCES2N8</stp>
        <stp>Symbol</stp>
        <tr r="G22" s="2"/>
      </tp>
      <tp t="s">
        <v>KCES2N9</v>
        <stp/>
        <stp>ContractData</stp>
        <stp>KCES2N9</stp>
        <stp>Symbol</stp>
        <tr r="L47" s="2"/>
      </tp>
      <tp t="s">
        <v>KCES2K8</v>
        <stp/>
        <stp>ContractData</stp>
        <stp>KCES2K8</stp>
        <stp>Symbol</stp>
        <tr r="F17" s="2"/>
      </tp>
      <tp t="s">
        <v>KCES2K9</v>
        <stp/>
        <stp>ContractData</stp>
        <stp>KCES2K9</stp>
        <stp>Symbol</stp>
        <tr r="K42" s="2"/>
      </tp>
      <tp t="s">
        <v>KCES2H8</v>
        <stp/>
        <stp>ContractData</stp>
        <stp>KCES2H8</stp>
        <stp>Symbol</stp>
        <tr r="E12" s="2"/>
      </tp>
      <tp t="s">
        <v>KCES2H9</v>
        <stp/>
        <stp>ContractData</stp>
        <stp>KCES2H9</stp>
        <stp>Symbol</stp>
        <tr r="J37" s="2"/>
      </tp>
      <tp t="s">
        <v>KCES2U8</v>
        <stp/>
        <stp>ContractData</stp>
        <stp>KCES2U8</stp>
        <stp>Symbol</stp>
        <tr r="H27" s="2"/>
      </tp>
      <tp t="s">
        <v>KCES2U9</v>
        <stp/>
        <stp>ContractData</stp>
        <stp>KCES2U9</stp>
        <stp>Symbol</stp>
        <tr r="M52" s="2"/>
      </tp>
      <tp t="s">
        <v>KCES2Z8</v>
        <stp/>
        <stp>ContractData</stp>
        <stp>KCES2Z8</stp>
        <stp>Symbol</stp>
        <tr r="I32" s="2"/>
      </tp>
      <tp t="s">
        <v>KCES2Z9</v>
        <stp/>
        <stp>ContractData</stp>
        <stp>KCES2Z9</stp>
        <stp>Symbol</stp>
        <tr r="N57" s="2"/>
      </tp>
      <tp t="s">
        <v>KCES1N8</v>
        <stp/>
        <stp>ContractData</stp>
        <stp>KCES1N8</stp>
        <stp>Symbol</stp>
        <tr r="F22" s="2"/>
      </tp>
      <tp t="s">
        <v>KCES1N9</v>
        <stp/>
        <stp>ContractData</stp>
        <stp>KCES1N9</stp>
        <stp>Symbol</stp>
        <tr r="K47" s="2"/>
      </tp>
      <tp t="s">
        <v>KCES1K0</v>
        <stp/>
        <stp>ContractData</stp>
        <stp>KCES1K0</stp>
        <stp>Symbol</stp>
        <tr r="O67" s="2"/>
      </tp>
      <tp t="s">
        <v>KCES1K8</v>
        <stp/>
        <stp>ContractData</stp>
        <stp>KCES1K8</stp>
        <stp>Symbol</stp>
        <tr r="E17" s="2"/>
      </tp>
      <tp t="s">
        <v>KCES1K9</v>
        <stp/>
        <stp>ContractData</stp>
        <stp>KCES1K9</stp>
        <stp>Symbol</stp>
        <tr r="J42" s="2"/>
      </tp>
      <tp t="s">
        <v>KCES1H0</v>
        <stp/>
        <stp>ContractData</stp>
        <stp>KCES1H0</stp>
        <stp>Symbol</stp>
        <tr r="N62" s="2"/>
      </tp>
      <tp t="s">
        <v>KCES1H8</v>
        <stp/>
        <stp>ContractData</stp>
        <stp>KCES1H8</stp>
        <stp>Symbol</stp>
        <tr r="D12" s="2"/>
      </tp>
      <tp t="s">
        <v>KCES1H9</v>
        <stp/>
        <stp>ContractData</stp>
        <stp>KCES1H9</stp>
        <stp>Symbol</stp>
        <tr r="I37" s="2"/>
      </tp>
      <tp t="s">
        <v>KCES1U8</v>
        <stp/>
        <stp>ContractData</stp>
        <stp>KCES1U8</stp>
        <stp>Symbol</stp>
        <tr r="G27" s="2"/>
      </tp>
      <tp t="s">
        <v>KCES1U9</v>
        <stp/>
        <stp>ContractData</stp>
        <stp>KCES1U9</stp>
        <stp>Symbol</stp>
        <tr r="L52" s="2"/>
      </tp>
      <tp t="s">
        <v>KCES1Z8</v>
        <stp/>
        <stp>ContractData</stp>
        <stp>KCES1Z8</stp>
        <stp>Symbol</stp>
        <tr r="H32" s="2"/>
      </tp>
      <tp t="s">
        <v>KCES1Z9</v>
        <stp/>
        <stp>ContractData</stp>
        <stp>KCES1Z9</stp>
        <stp>Symbol</stp>
        <tr r="M57" s="2"/>
      </tp>
      <tp t="s">
        <v>KCES7N8</v>
        <stp/>
        <stp>ContractData</stp>
        <stp>KCES7N8</stp>
        <stp>Symbol</stp>
        <tr r="L22" s="2"/>
      </tp>
      <tp t="s">
        <v>KCES7K8</v>
        <stp/>
        <stp>ContractData</stp>
        <stp>KCES7K8</stp>
        <stp>Symbol</stp>
        <tr r="K17" s="2"/>
      </tp>
      <tp t="s">
        <v>KCES7H8</v>
        <stp/>
        <stp>ContractData</stp>
        <stp>KCES7H8</stp>
        <stp>Symbol</stp>
        <tr r="J12" s="2"/>
      </tp>
      <tp t="s">
        <v>KCES7U8</v>
        <stp/>
        <stp>ContractData</stp>
        <stp>KCES7U8</stp>
        <stp>Symbol</stp>
        <tr r="M27" s="2"/>
      </tp>
      <tp t="s">
        <v>KCES7Z8</v>
        <stp/>
        <stp>ContractData</stp>
        <stp>KCES7Z8</stp>
        <stp>Symbol</stp>
        <tr r="N32" s="2"/>
      </tp>
      <tp t="s">
        <v>KCES6N8</v>
        <stp/>
        <stp>ContractData</stp>
        <stp>KCES6N8</stp>
        <stp>Symbol</stp>
        <tr r="K22" s="2"/>
      </tp>
      <tp t="s">
        <v>KCES6K8</v>
        <stp/>
        <stp>ContractData</stp>
        <stp>KCES6K8</stp>
        <stp>Symbol</stp>
        <tr r="J17" s="2"/>
      </tp>
      <tp t="s">
        <v>KCES6H8</v>
        <stp/>
        <stp>ContractData</stp>
        <stp>KCES6H8</stp>
        <stp>Symbol</stp>
        <tr r="I12" s="2"/>
      </tp>
      <tp t="s">
        <v>KCES6H9</v>
        <stp/>
        <stp>ContractData</stp>
        <stp>KCES6H9</stp>
        <stp>Symbol</stp>
        <tr r="N37" s="2"/>
      </tp>
      <tp t="s">
        <v>KCES6U8</v>
        <stp/>
        <stp>ContractData</stp>
        <stp>KCES6U8</stp>
        <stp>Symbol</stp>
        <tr r="L27" s="2"/>
      </tp>
      <tp t="s">
        <v>KCES6Z8</v>
        <stp/>
        <stp>ContractData</stp>
        <stp>KCES6Z8</stp>
        <stp>Symbol</stp>
        <tr r="M32" s="2"/>
      </tp>
      <tp t="s">
        <v>KCES5N8</v>
        <stp/>
        <stp>ContractData</stp>
        <stp>KCES5N8</stp>
        <stp>Symbol</stp>
        <tr r="J22" s="2"/>
      </tp>
      <tp t="s">
        <v>KCES5K8</v>
        <stp/>
        <stp>ContractData</stp>
        <stp>KCES5K8</stp>
        <stp>Symbol</stp>
        <tr r="I17" s="2"/>
      </tp>
      <tp t="s">
        <v>KCES5K9</v>
        <stp/>
        <stp>ContractData</stp>
        <stp>KCES5K9</stp>
        <stp>Symbol</stp>
        <tr r="N42" s="2"/>
      </tp>
      <tp t="s">
        <v>KCES5H8</v>
        <stp/>
        <stp>ContractData</stp>
        <stp>KCES5H8</stp>
        <stp>Symbol</stp>
        <tr r="H12" s="2"/>
      </tp>
      <tp t="s">
        <v>KCES5H9</v>
        <stp/>
        <stp>ContractData</stp>
        <stp>KCES5H9</stp>
        <stp>Symbol</stp>
        <tr r="M37" s="2"/>
      </tp>
      <tp t="s">
        <v>KCES5U8</v>
        <stp/>
        <stp>ContractData</stp>
        <stp>KCES5U8</stp>
        <stp>Symbol</stp>
        <tr r="K27" s="2"/>
      </tp>
      <tp t="s">
        <v>KCES5Z8</v>
        <stp/>
        <stp>ContractData</stp>
        <stp>KCES5Z8</stp>
        <stp>Symbol</stp>
        <tr r="L32" s="2"/>
      </tp>
      <tp t="s">
        <v>KCES4N8</v>
        <stp/>
        <stp>ContractData</stp>
        <stp>KCES4N8</stp>
        <stp>Symbol</stp>
        <tr r="I22" s="2"/>
      </tp>
      <tp t="s">
        <v>KCES4N9</v>
        <stp/>
        <stp>ContractData</stp>
        <stp>KCES4N9</stp>
        <stp>Symbol</stp>
        <tr r="N47" s="2"/>
      </tp>
      <tp t="s">
        <v>KCES4K8</v>
        <stp/>
        <stp>ContractData</stp>
        <stp>KCES4K8</stp>
        <stp>Symbol</stp>
        <tr r="H17" s="2"/>
      </tp>
      <tp t="s">
        <v>KCES4K9</v>
        <stp/>
        <stp>ContractData</stp>
        <stp>KCES4K9</stp>
        <stp>Symbol</stp>
        <tr r="M42" s="2"/>
      </tp>
      <tp t="s">
        <v>KCES4H8</v>
        <stp/>
        <stp>ContractData</stp>
        <stp>KCES4H8</stp>
        <stp>Symbol</stp>
        <tr r="G12" s="2"/>
      </tp>
      <tp t="s">
        <v>KCES4H9</v>
        <stp/>
        <stp>ContractData</stp>
        <stp>KCES4H9</stp>
        <stp>Symbol</stp>
        <tr r="L37" s="2"/>
      </tp>
      <tp t="s">
        <v>KCES4U8</v>
        <stp/>
        <stp>ContractData</stp>
        <stp>KCES4U8</stp>
        <stp>Symbol</stp>
        <tr r="J27" s="2"/>
      </tp>
      <tp t="s">
        <v>KCES4Z8</v>
        <stp/>
        <stp>ContractData</stp>
        <stp>KCES4Z8</stp>
        <stp>Symbol</stp>
        <tr r="K32" s="2"/>
      </tp>
      <tp>
        <v>64</v>
        <stp/>
        <stp>ContractData</stp>
        <stp>KCEU9</stp>
        <stp>Bate</stp>
        <tr r="Q22" s="3"/>
      </tp>
      <tp>
        <v>64</v>
        <stp/>
        <stp>ContractData</stp>
        <stp>KCEU8</stp>
        <stp>Bate</stp>
        <tr r="Q17" s="3"/>
      </tp>
      <tp>
        <v>2118</v>
        <stp/>
        <stp>ContractData</stp>
        <stp>KCEN8</stp>
        <stp>T_CVol</stp>
        <tr r="E10" s="2"/>
        <tr r="E25" s="2"/>
      </tp>
      <tp>
        <v>1</v>
        <stp/>
        <stp>ContractData</stp>
        <stp>KCEN9</stp>
        <stp>T_CVol</stp>
        <tr r="J10" s="2"/>
        <tr r="J50" s="2"/>
      </tp>
      <tp>
        <v>0</v>
        <stp/>
        <stp>ContractData</stp>
        <stp>KCEK0</stp>
        <stp>T_CVol</stp>
        <tr r="N10" s="2"/>
        <tr r="N70" s="2"/>
      </tp>
      <tp>
        <v>4731</v>
        <stp/>
        <stp>ContractData</stp>
        <stp>KCEK8</stp>
        <stp>T_CVol</stp>
        <tr r="D10" s="2"/>
        <tr r="D20" s="2"/>
      </tp>
      <tp>
        <v>1</v>
        <stp/>
        <stp>ContractData</stp>
        <stp>KCEK9</stp>
        <stp>T_CVol</stp>
        <tr r="I10" s="2"/>
        <tr r="I45" s="2"/>
      </tp>
      <tp>
        <v>0</v>
        <stp/>
        <stp>ContractData</stp>
        <stp>KCEH0</stp>
        <stp>T_CVol</stp>
        <tr r="M65" s="2"/>
        <tr r="M10" s="2"/>
      </tp>
      <tp>
        <v>20154</v>
        <stp/>
        <stp>ContractData</stp>
        <stp>KCEH8</stp>
        <stp>T_CVol</stp>
        <tr r="B10" s="2"/>
        <tr r="B15" s="2"/>
      </tp>
      <tp>
        <v>186</v>
        <stp/>
        <stp>ContractData</stp>
        <stp>KCEH9</stp>
        <stp>T_CVol</stp>
        <tr r="H10" s="2"/>
        <tr r="H40" s="2"/>
      </tp>
      <tp>
        <v>659</v>
        <stp/>
        <stp>ContractData</stp>
        <stp>KCEU8</stp>
        <stp>T_CVol</stp>
        <tr r="F10" s="2"/>
        <tr r="F30" s="2"/>
      </tp>
      <tp>
        <v>1</v>
        <stp/>
        <stp>ContractData</stp>
        <stp>KCEU9</stp>
        <stp>T_CVol</stp>
        <tr r="K10" s="2"/>
        <tr r="K55" s="2"/>
      </tp>
      <tp>
        <v>462</v>
        <stp/>
        <stp>ContractData</stp>
        <stp>KCEZ8</stp>
        <stp>T_CVol</stp>
        <tr r="G10" s="2"/>
        <tr r="G35" s="2"/>
      </tp>
      <tp>
        <v>0</v>
        <stp/>
        <stp>ContractData</stp>
        <stp>KCEZ9</stp>
        <stp>T_CVol</stp>
        <tr r="L60" s="2"/>
        <tr r="L10" s="2"/>
      </tp>
      <tp>
        <v>151.45000000000002</v>
        <stp/>
        <stp>ContractData</stp>
        <stp>KCEZ9</stp>
        <stp>Close</stp>
        <stp/>
        <stp>T</stp>
        <tr r="G64" s="2"/>
        <tr r="G64" s="2"/>
      </tp>
      <tp>
        <v>139.9</v>
        <stp/>
        <stp>ContractData</stp>
        <stp>KCEZ8</stp>
        <stp>Close</stp>
        <stp/>
        <stp>T</stp>
        <tr r="G58" s="2"/>
        <tr r="G58" s="2"/>
      </tp>
      <tp>
        <v>0</v>
        <stp/>
        <stp>ContractData</stp>
        <stp>KCES10K8</stp>
        <stp>T_CVol</stp>
        <tr r="N20" s="2"/>
      </tp>
      <tp>
        <v>0</v>
        <stp/>
        <stp>ContractData</stp>
        <stp>KCES10H8</stp>
        <stp>T_CVol</stp>
        <tr r="M15" s="2"/>
      </tp>
      <tp>
        <v>148.65</v>
        <stp/>
        <stp>ContractData</stp>
        <stp>KCEU9</stp>
        <stp>Close</stp>
        <stp/>
        <stp>T</stp>
        <tr r="G63" s="2"/>
        <tr r="G63" s="2"/>
      </tp>
      <tp>
        <v>136.55000000000001</v>
        <stp/>
        <stp>ContractData</stp>
        <stp>KCEU8</stp>
        <stp>Close</stp>
        <stp/>
        <stp>T</stp>
        <tr r="G56" s="2"/>
        <tr r="G56" s="2"/>
      </tp>
      <tp>
        <v>0.1</v>
        <stp/>
        <stp>ContractData</stp>
        <stp>KCES1H8</stp>
        <stp>NetLastQuoteToday</stp>
        <stp/>
        <stp>T</stp>
        <tr r="X2" s="3"/>
      </tp>
      <tp>
        <v>0.1</v>
        <stp/>
        <stp>ContractData</stp>
        <stp>KCES2H8</stp>
        <stp>NetLastQuoteToday</stp>
        <stp/>
        <stp>T</stp>
        <tr r="X3" s="3"/>
      </tp>
      <tp>
        <v>0.05</v>
        <stp/>
        <stp>ContractData</stp>
        <stp>KCES3H8</stp>
        <stp>NetLastQuoteToday</stp>
        <stp/>
        <stp>T</stp>
        <tr r="X4" s="3"/>
      </tp>
      <tp>
        <v>0.2</v>
        <stp/>
        <stp>ContractData</stp>
        <stp>KCES4H8</stp>
        <stp>NetLastQuoteToday</stp>
        <stp/>
        <stp>T</stp>
        <tr r="X5" s="3"/>
      </tp>
      <tp>
        <v>0.1</v>
        <stp/>
        <stp>ContractData</stp>
        <stp>KCES5H8</stp>
        <stp>NetLastQuoteToday</stp>
        <stp/>
        <stp>T</stp>
        <tr r="X6" s="3"/>
      </tp>
      <tp>
        <v>0.1</v>
        <stp/>
        <stp>ContractData</stp>
        <stp>KCES6H8</stp>
        <stp>NetLastQuoteToday</stp>
        <stp/>
        <stp>T</stp>
        <tr r="X7" s="3"/>
      </tp>
      <tp>
        <v>0.35000000000000003</v>
        <stp/>
        <stp>ContractData</stp>
        <stp>KCES7H8</stp>
        <stp>NetLastQuoteToday</stp>
        <stp/>
        <stp>T</stp>
        <tr r="X8" s="3"/>
      </tp>
      <tp>
        <v>0.35000000000000003</v>
        <stp/>
        <stp>ContractData</stp>
        <stp>KCES8H8</stp>
        <stp>NetLastQuoteToday</stp>
        <stp/>
        <stp>T</stp>
        <tr r="X9" s="3"/>
      </tp>
      <tp>
        <v>-0.05</v>
        <stp/>
        <stp>ContractData</stp>
        <stp>KCES9H8</stp>
        <stp>NetLastQuoteToday</stp>
        <stp/>
        <stp>T</stp>
        <tr r="X10" s="3"/>
      </tp>
      <tp>
        <v>28334</v>
        <stp/>
        <stp>StudyData</stp>
        <stp>KCEH8</stp>
        <stp>VolOI</stp>
        <stp/>
        <stp>Vol</stp>
        <stp/>
        <stp/>
        <stp>all</stp>
        <stp/>
        <stp/>
        <stp/>
        <stp>T</stp>
        <tr r="V20" s="3"/>
      </tp>
      <tp>
        <v>64</v>
        <stp/>
        <stp>ContractData</stp>
        <stp>KCEZ9</stp>
        <stp>Bate</stp>
        <tr r="Q23" s="3"/>
      </tp>
      <tp>
        <v>64</v>
        <stp/>
        <stp>ContractData</stp>
        <stp>KCEZ8</stp>
        <stp>Bate</stp>
        <tr r="Q18" s="3"/>
      </tp>
      <tp>
        <v>150.20000000000002</v>
        <stp/>
        <stp>ContractData</stp>
        <stp>KCEZ9</stp>
        <stp>Y_Open</stp>
        <stp/>
        <stp>T</stp>
        <tr r="D64" s="2"/>
      </tp>
      <tp>
        <v>143.1</v>
        <stp/>
        <stp>ContractData</stp>
        <stp>KCEH9</stp>
        <stp>Close</stp>
        <stp/>
        <stp>T</stp>
        <tr r="G59" s="2"/>
        <tr r="G59" s="2"/>
      </tp>
      <tp>
        <v>129.9</v>
        <stp/>
        <stp>ContractData</stp>
        <stp>KCEH8</stp>
        <stp>Close</stp>
        <stp/>
        <stp>T</stp>
        <tr r="G53" s="2"/>
        <tr r="G53" s="2"/>
      </tp>
      <tp>
        <v>157.6</v>
        <stp/>
        <stp>ContractData</stp>
        <stp>KCEH0</stp>
        <stp>Close</stp>
        <stp/>
        <stp>T</stp>
        <tr r="G65" s="2"/>
        <tr r="G65" s="2"/>
      </tp>
      <tp>
        <v>145.05000000000001</v>
        <stp/>
        <stp>ContractData</stp>
        <stp>KCEK9</stp>
        <stp>Close</stp>
        <stp/>
        <stp>T</stp>
        <tr r="G60" s="2"/>
        <tr r="G60" s="2"/>
      </tp>
      <tp>
        <v>132</v>
        <stp/>
        <stp>ContractData</stp>
        <stp>KCEK8</stp>
        <stp>Close</stp>
        <stp/>
        <stp>T</stp>
        <tr r="G54" s="2"/>
        <tr r="G54" s="2"/>
      </tp>
      <tp>
        <v>159.45000000000002</v>
        <stp/>
        <stp>ContractData</stp>
        <stp>KCEK0</stp>
        <stp>Close</stp>
        <stp/>
        <stp>T</stp>
        <tr r="G66" s="2"/>
        <tr r="G66" s="2"/>
      </tp>
      <tp t="s">
        <v/>
        <stp/>
        <stp>ContractData</stp>
        <stp>KCES8H8</stp>
        <stp>LastTradeorSettle</stp>
        <stp/>
        <stp>T</stp>
        <tr r="W9" s="3"/>
      </tp>
      <tp t="s">
        <v/>
        <stp/>
        <stp>ContractData</stp>
        <stp>KCES9H8</stp>
        <stp>LastTradeorSettle</stp>
        <stp/>
        <stp>T</stp>
        <tr r="W10" s="3"/>
      </tp>
      <tp>
        <v>-4.45</v>
        <stp/>
        <stp>ContractData</stp>
        <stp>KCES2H8</stp>
        <stp>LastTradeorSettle</stp>
        <stp/>
        <stp>T</stp>
        <tr r="W3" s="3"/>
        <tr r="W3" s="3"/>
      </tp>
      <tp>
        <v>-6.75</v>
        <stp/>
        <stp>ContractData</stp>
        <stp>KCES3H8</stp>
        <stp>LastTradeorSettle</stp>
        <stp/>
        <stp>T</stp>
        <tr r="W4" s="3"/>
        <tr r="W4" s="3"/>
      </tp>
      <tp>
        <v>-2.15</v>
        <stp/>
        <stp>ContractData</stp>
        <stp>KCES1H8</stp>
        <stp>LastTradeorSettle</stp>
        <stp/>
        <stp>T</stp>
        <tr r="W2" s="3"/>
        <tr r="W2" s="3"/>
      </tp>
      <tp t="s">
        <v/>
        <stp/>
        <stp>ContractData</stp>
        <stp>KCES6H8</stp>
        <stp>LastTradeorSettle</stp>
        <stp/>
        <stp>T</stp>
        <tr r="W7" s="3"/>
      </tp>
      <tp t="s">
        <v/>
        <stp/>
        <stp>ContractData</stp>
        <stp>KCES7H8</stp>
        <stp>LastTradeorSettle</stp>
        <stp/>
        <stp>T</stp>
        <tr r="W8" s="3"/>
      </tp>
      <tp>
        <v>-10.15</v>
        <stp/>
        <stp>ContractData</stp>
        <stp>KCES4H8</stp>
        <stp>LastTradeorSettle</stp>
        <stp/>
        <stp>T</stp>
        <tr r="W5" s="3"/>
        <tr r="W5" s="3"/>
      </tp>
      <tp t="s">
        <v/>
        <stp/>
        <stp>ContractData</stp>
        <stp>KCES5H8</stp>
        <stp>LastTradeorSettle</stp>
        <stp/>
        <stp>T</stp>
        <tr r="W6" s="3"/>
      </tp>
      <tp>
        <v>43067.508148148154</v>
        <stp/>
        <stp>SystemInfo</stp>
        <stp>Linetime</stp>
        <tr r="B19" s="4"/>
        <tr r="B19" s="2"/>
        <tr r="AJ2" s="3"/>
        <tr r="S4" s="2"/>
      </tp>
      <tp>
        <v>150.20000000000002</v>
        <stp/>
        <stp>ContractData</stp>
        <stp>KCEZ9</stp>
        <stp>Y_High</stp>
        <stp/>
        <stp>T</stp>
        <tr r="E64" s="2"/>
      </tp>
      <tp>
        <v>146.9</v>
        <stp/>
        <stp>ContractData</stp>
        <stp>KCEN9</stp>
        <stp>Close</stp>
        <stp/>
        <stp>T</stp>
        <tr r="G61" s="2"/>
        <tr r="G61" s="2"/>
      </tp>
      <tp>
        <v>134.30000000000001</v>
        <stp/>
        <stp>ContractData</stp>
        <stp>KCEN8</stp>
        <stp>Close</stp>
        <stp/>
        <stp>T</stp>
        <tr r="G55" s="2"/>
        <tr r="G55" s="2"/>
      </tp>
      <tp>
        <v>59</v>
        <stp/>
        <stp>ContractData</stp>
        <stp>KCE</stp>
        <stp>VolumeLastAsk</stp>
        <tr r="D46" s="2"/>
      </tp>
      <tp>
        <v>152.9</v>
        <stp/>
        <stp>ContractData</stp>
        <stp>KCEH0</stp>
        <stp>Y_Open</stp>
        <stp/>
        <stp>T</stp>
        <tr r="D65" s="2"/>
      </tp>
      <tp>
        <v>154.55000000000001</v>
        <stp/>
        <stp>ContractData</stp>
        <stp>KCEK0</stp>
        <stp>Y_Open</stp>
        <stp/>
        <stp>T</stp>
        <tr r="D66" s="2"/>
      </tp>
      <tp>
        <v>64</v>
        <stp/>
        <stp>ContractData</stp>
        <stp>KCEN9</stp>
        <stp>Bate</stp>
        <tr r="Q21" s="3"/>
      </tp>
      <tp>
        <v>64</v>
        <stp/>
        <stp>ContractData</stp>
        <stp>KCEN8</stp>
        <stp>Bate</stp>
        <tr r="Q16" s="3"/>
      </tp>
      <tp t="s">
        <v>Coffee (ICE) Calendar Spread 5, Mar 18, Mar 19</v>
        <stp/>
        <stp>ContractData</stp>
        <stp>KCES5H8</stp>
        <stp>LongDescription</stp>
        <stp/>
        <stp>T</stp>
        <tr r="AF6" s="3"/>
      </tp>
      <tp t="s">
        <v>Coffee (ICE) Calendar Spread 4, Mar 18, Dec 18</v>
        <stp/>
        <stp>ContractData</stp>
        <stp>KCES4H8</stp>
        <stp>LongDescription</stp>
        <stp/>
        <stp>T</stp>
        <tr r="AF5" s="3"/>
      </tp>
      <tp t="s">
        <v>Coffee (ICE) Calendar Spread 7, Mar 18, Jul 19</v>
        <stp/>
        <stp>ContractData</stp>
        <stp>KCES7H8</stp>
        <stp>LongDescription</stp>
        <stp/>
        <stp>T</stp>
        <tr r="AF8" s="3"/>
      </tp>
      <tp t="s">
        <v>Coffee (ICE) Calendar Spread 6, Mar 18, May 19</v>
        <stp/>
        <stp>ContractData</stp>
        <stp>KCES6H8</stp>
        <stp>LongDescription</stp>
        <stp/>
        <stp>T</stp>
        <tr r="AF7" s="3"/>
      </tp>
      <tp>
        <v>6</v>
        <stp/>
        <stp>ContractData</stp>
        <stp>KCE</stp>
        <stp>VolumeLastBid</stp>
        <tr r="D49" s="2"/>
      </tp>
      <tp t="s">
        <v>Coffee (ICE) Calendar Spread 1, Mar 18, May 18</v>
        <stp/>
        <stp>ContractData</stp>
        <stp>KCES1H8</stp>
        <stp>LongDescription</stp>
        <stp/>
        <stp>T</stp>
        <tr r="AF2" s="3"/>
      </tp>
      <tp t="s">
        <v>Coffee (ICE) Calendar Spread 3, Mar 18, Sep 18</v>
        <stp/>
        <stp>ContractData</stp>
        <stp>KCES3H8</stp>
        <stp>LongDescription</stp>
        <stp/>
        <stp>T</stp>
        <tr r="AF4" s="3"/>
      </tp>
      <tp t="s">
        <v>Coffee (ICE) Calendar Spread 2, Mar 18, Jul 18</v>
        <stp/>
        <stp>ContractData</stp>
        <stp>KCES2H8</stp>
        <stp>LongDescription</stp>
        <stp/>
        <stp>T</stp>
        <tr r="AF3" s="3"/>
      </tp>
      <tp t="s">
        <v>Coffee (ICE) Calendar Spread 9, Mar 18, Dec 19</v>
        <stp/>
        <stp>ContractData</stp>
        <stp>KCES9H8</stp>
        <stp>LongDescription</stp>
        <stp/>
        <stp>T</stp>
        <tr r="AF10" s="3"/>
      </tp>
      <tp t="s">
        <v>Coffee (ICE) Calendar Spread 8, Mar 18, Sep 19</v>
        <stp/>
        <stp>ContractData</stp>
        <stp>KCES8H8</stp>
        <stp>LongDescription</stp>
        <stp/>
        <stp>T</stp>
        <tr r="AF9" s="3"/>
      </tp>
      <tp>
        <v>128</v>
        <stp/>
        <stp>ContractData</stp>
        <stp>KCEH0</stp>
        <stp>Bate</stp>
        <tr r="Q24" s="3"/>
      </tp>
      <tp>
        <v>64</v>
        <stp/>
        <stp>ContractData</stp>
        <stp>KCEH9</stp>
        <stp>Bate</stp>
        <tr r="Q19" s="3"/>
      </tp>
      <tp>
        <v>128</v>
        <stp/>
        <stp>ContractData</stp>
        <stp>KCEH8</stp>
        <stp>Bate</stp>
        <tr r="Q14" s="3"/>
      </tp>
      <tp t="s">
        <v>KCEH8</v>
        <stp/>
        <stp>ContractData</stp>
        <stp>KCE?1?</stp>
        <stp>Symbol</stp>
        <tr r="S35" s="3"/>
      </tp>
      <tp t="s">
        <v>KCEH0</v>
        <stp/>
        <stp>ContractData</stp>
        <stp>KCE?12</stp>
        <stp>Symbol</stp>
        <tr r="Q12" s="3"/>
      </tp>
      <tp t="s">
        <v>KCEK0</v>
        <stp/>
        <stp>ContractData</stp>
        <stp>KCE?13</stp>
        <stp>Symbol</stp>
        <tr r="Q13" s="3"/>
      </tp>
      <tp t="s">
        <v>KCEU9</v>
        <stp/>
        <stp>ContractData</stp>
        <stp>KCE?10</stp>
        <stp>Symbol</stp>
        <tr r="Q10" s="3"/>
      </tp>
      <tp t="s">
        <v>KCEZ9</v>
        <stp/>
        <stp>ContractData</stp>
        <stp>KCE?11</stp>
        <stp>Symbol</stp>
        <tr r="Q11" s="3"/>
      </tp>
      <tp>
        <v>128</v>
        <stp/>
        <stp>ContractData</stp>
        <stp>KCEK0</stp>
        <stp>Bate</stp>
        <tr r="Q25" s="3"/>
      </tp>
      <tp>
        <v>64</v>
        <stp/>
        <stp>ContractData</stp>
        <stp>KCEK9</stp>
        <stp>Bate</stp>
        <tr r="Q20" s="3"/>
      </tp>
      <tp>
        <v>64</v>
        <stp/>
        <stp>ContractData</stp>
        <stp>KCEK8</stp>
        <stp>Bate</stp>
        <tr r="Q15" s="3"/>
      </tp>
      <tp>
        <v>154.55000000000001</v>
        <stp/>
        <stp>ContractData</stp>
        <stp>KCEK0</stp>
        <stp>Y_High</stp>
        <stp/>
        <stp>T</stp>
        <tr r="E66" s="2"/>
      </tp>
      <tp>
        <v>152.9</v>
        <stp/>
        <stp>ContractData</stp>
        <stp>KCEH0</stp>
        <stp>Y_High</stp>
        <stp/>
        <stp>T</stp>
        <tr r="E65" s="2"/>
      </tp>
      <tp>
        <v>154.55000000000001</v>
        <stp/>
        <stp>ContractData</stp>
        <stp>KCEK0</stp>
        <stp>Y_Low</stp>
        <stp/>
        <stp>T</stp>
        <tr r="F66" s="2"/>
      </tp>
      <tp>
        <v>152.9</v>
        <stp/>
        <stp>ContractData</stp>
        <stp>KCEH0</stp>
        <stp>Y_Low</stp>
        <stp/>
        <stp>T</stp>
        <tr r="F65" s="2"/>
      </tp>
      <tp>
        <v>0.55000000000000004</v>
        <stp/>
        <stp>ContractData</stp>
        <stp>KCES10H8</stp>
        <stp>NetLastQuoteToday</stp>
        <stp/>
        <stp>T</stp>
        <tr r="X11" s="3"/>
      </tp>
      <tp t="s">
        <v>Coffee (ICE) Calendar Spreads 10, Mar 18, Mar 20</v>
        <stp/>
        <stp>ContractData</stp>
        <stp>KCES10H8</stp>
        <stp>LongDescription</stp>
        <stp/>
        <stp>T</stp>
        <tr r="AF11" s="3"/>
      </tp>
      <tp t="s">
        <v/>
        <stp/>
        <stp>ContractData</stp>
        <stp>KCE</stp>
        <stp>T_Settlement</stp>
        <stp/>
        <stp>T</stp>
        <tr r="AE1" s="3"/>
      </tp>
      <tp>
        <v>150.20000000000002</v>
        <stp/>
        <stp>ContractData</stp>
        <stp>KCEZ9</stp>
        <stp>Y_Low</stp>
        <stp/>
        <stp>T</stp>
        <tr r="F64" s="2"/>
      </tp>
      <tp>
        <v>129.85</v>
        <stp/>
        <stp>ContractData</stp>
        <stp>KCE</stp>
        <stp>Bid</stp>
        <stp/>
        <stp>T</stp>
        <tr r="E49" s="2"/>
      </tp>
      <tp>
        <v>129.9</v>
        <stp/>
        <stp>ContractData</stp>
        <stp>KCE</stp>
        <stp>Ask</stp>
        <stp/>
        <stp>T</stp>
        <tr r="E46" s="2"/>
      </tp>
      <tp>
        <v>140.05000000000001</v>
        <stp/>
        <stp>ContractData</stp>
        <stp>KCEZ8</stp>
        <stp>High</stp>
        <stp/>
        <stp>T</stp>
        <tr r="E58" s="2"/>
        <tr r="E58" s="2"/>
      </tp>
      <tp t="s">
        <v/>
        <stp/>
        <stp>ContractData</stp>
        <stp>KCEZ9</stp>
        <stp>High</stp>
        <stp/>
        <stp>T</stp>
        <tr r="E64" s="2"/>
      </tp>
      <tp>
        <v>136.9</v>
        <stp/>
        <stp>ContractData</stp>
        <stp>KCEU8</stp>
        <stp>High</stp>
        <stp/>
        <stp>T</stp>
        <tr r="E56" s="2"/>
        <tr r="E56" s="2"/>
      </tp>
      <tp>
        <v>149.25</v>
        <stp/>
        <stp>ContractData</stp>
        <stp>KCEU9</stp>
        <stp>High</stp>
        <stp/>
        <stp>T</stp>
        <tr r="E63" s="2"/>
        <tr r="E63" s="2"/>
      </tp>
      <tp>
        <v>134.65</v>
        <stp/>
        <stp>ContractData</stp>
        <stp>KCEN8</stp>
        <stp>High</stp>
        <stp/>
        <stp>T</stp>
        <tr r="E55" s="2"/>
        <tr r="E55" s="2"/>
      </tp>
      <tp>
        <v>147.35</v>
        <stp/>
        <stp>ContractData</stp>
        <stp>KCEN9</stp>
        <stp>High</stp>
        <stp/>
        <stp>T</stp>
        <tr r="E61" s="2"/>
        <tr r="E61" s="2"/>
      </tp>
      <tp t="s">
        <v/>
        <stp/>
        <stp>ContractData</stp>
        <stp>KCEH0</stp>
        <stp>High</stp>
        <stp/>
        <stp>T</stp>
        <tr r="E65" s="2"/>
      </tp>
      <tp>
        <v>130.19999999999999</v>
        <stp/>
        <stp>ContractData</stp>
        <stp>KCEH8</stp>
        <stp>High</stp>
        <stp/>
        <stp>T</stp>
        <tr r="E53" s="2"/>
        <tr r="E53" s="2"/>
      </tp>
      <tp>
        <v>143.5</v>
        <stp/>
        <stp>ContractData</stp>
        <stp>KCEH9</stp>
        <stp>High</stp>
        <stp/>
        <stp>T</stp>
        <tr r="E59" s="2"/>
        <tr r="E59" s="2"/>
      </tp>
      <tp t="s">
        <v/>
        <stp/>
        <stp>ContractData</stp>
        <stp>KCEK0</stp>
        <stp>High</stp>
        <stp/>
        <stp>T</stp>
        <tr r="E66" s="2"/>
      </tp>
      <tp>
        <v>132.35</v>
        <stp/>
        <stp>ContractData</stp>
        <stp>KCEK8</stp>
        <stp>High</stp>
        <stp/>
        <stp>T</stp>
        <tr r="E54" s="2"/>
        <tr r="E54" s="2"/>
      </tp>
      <tp>
        <v>145.45000000000002</v>
        <stp/>
        <stp>ContractData</stp>
        <stp>KCEK9</stp>
        <stp>High</stp>
        <stp/>
        <stp>T</stp>
        <tr r="E60" s="2"/>
        <tr r="E60" s="2"/>
      </tp>
      <tp t="s">
        <v>KCES10H8</v>
        <stp/>
        <stp>ContractData</stp>
        <stp>KCES10H8</stp>
        <stp>Symbol</stp>
        <tr r="M12" s="2"/>
      </tp>
      <tp t="s">
        <v>KCES10K8</v>
        <stp/>
        <stp>ContractData</stp>
        <stp>KCES10K8</stp>
        <stp>Symbol</stp>
        <tr r="N17" s="2"/>
      </tp>
      <tp>
        <v>0</v>
        <stp/>
        <stp>ContractData</stp>
        <stp>KCES8H8</stp>
        <stp>T_CVol</stp>
        <tr r="K15" s="2"/>
      </tp>
      <tp>
        <v>0</v>
        <stp/>
        <stp>ContractData</stp>
        <stp>KCES8K8</stp>
        <stp>T_CVol</stp>
        <tr r="L20" s="2"/>
      </tp>
      <tp>
        <v>0</v>
        <stp/>
        <stp>ContractData</stp>
        <stp>KCES8N8</stp>
        <stp>T_CVol</stp>
        <tr r="M25" s="2"/>
      </tp>
      <tp>
        <v>0</v>
        <stp/>
        <stp>ContractData</stp>
        <stp>KCES8U8</stp>
        <stp>T_CVol</stp>
        <tr r="N30" s="2"/>
      </tp>
      <tp>
        <v>0</v>
        <stp/>
        <stp>ContractData</stp>
        <stp>KCES9H8</stp>
        <stp>T_CVol</stp>
        <tr r="L15" s="2"/>
      </tp>
      <tp>
        <v>0</v>
        <stp/>
        <stp>ContractData</stp>
        <stp>KCES9K8</stp>
        <stp>T_CVol</stp>
        <tr r="M20" s="2"/>
      </tp>
      <tp>
        <v>0</v>
        <stp/>
        <stp>ContractData</stp>
        <stp>KCES9N8</stp>
        <stp>T_CVol</stp>
        <tr r="N25" s="2"/>
      </tp>
      <tp>
        <v>14</v>
        <stp/>
        <stp>ContractData</stp>
        <stp>KCES4H8</stp>
        <stp>T_CVol</stp>
        <tr r="G15" s="2"/>
      </tp>
      <tp>
        <v>0</v>
        <stp/>
        <stp>ContractData</stp>
        <stp>KCES4H9</stp>
        <stp>T_CVol</stp>
        <tr r="L40" s="2"/>
      </tp>
      <tp>
        <v>4</v>
        <stp/>
        <stp>ContractData</stp>
        <stp>KCES4K8</stp>
        <stp>T_CVol</stp>
        <tr r="H20" s="2"/>
      </tp>
      <tp>
        <v>0</v>
        <stp/>
        <stp>ContractData</stp>
        <stp>KCES4K9</stp>
        <stp>T_CVol</stp>
        <tr r="M45" s="2"/>
      </tp>
      <tp>
        <v>0</v>
        <stp/>
        <stp>ContractData</stp>
        <stp>KCES4N8</stp>
        <stp>T_CVol</stp>
        <tr r="I25" s="2"/>
      </tp>
      <tp>
        <v>0</v>
        <stp/>
        <stp>ContractData</stp>
        <stp>KCES4N9</stp>
        <stp>T_CVol</stp>
        <tr r="N50" s="2"/>
      </tp>
      <tp>
        <v>0</v>
        <stp/>
        <stp>ContractData</stp>
        <stp>KCES4U8</stp>
        <stp>T_CVol</stp>
        <tr r="J30" s="2"/>
      </tp>
      <tp>
        <v>0</v>
        <stp/>
        <stp>ContractData</stp>
        <stp>KCES4Z8</stp>
        <stp>T_CVol</stp>
        <tr r="K35" s="2"/>
      </tp>
      <tp>
        <v>0</v>
        <stp/>
        <stp>ContractData</stp>
        <stp>KCES5H8</stp>
        <stp>T_CVol</stp>
        <tr r="H15" s="2"/>
      </tp>
      <tp>
        <v>0</v>
        <stp/>
        <stp>ContractData</stp>
        <stp>KCES5H9</stp>
        <stp>T_CVol</stp>
        <tr r="M40" s="2"/>
      </tp>
      <tp>
        <v>0</v>
        <stp/>
        <stp>ContractData</stp>
        <stp>KCES5K8</stp>
        <stp>T_CVol</stp>
        <tr r="I20" s="2"/>
      </tp>
      <tp>
        <v>0</v>
        <stp/>
        <stp>ContractData</stp>
        <stp>KCES5K9</stp>
        <stp>T_CVol</stp>
        <tr r="N45" s="2"/>
      </tp>
      <tp>
        <v>0</v>
        <stp/>
        <stp>ContractData</stp>
        <stp>KCES5N8</stp>
        <stp>T_CVol</stp>
        <tr r="J25" s="2"/>
      </tp>
      <tp>
        <v>1</v>
        <stp/>
        <stp>ContractData</stp>
        <stp>KCES5U8</stp>
        <stp>T_CVol</stp>
        <tr r="K30" s="2"/>
      </tp>
      <tp>
        <v>0</v>
        <stp/>
        <stp>ContractData</stp>
        <stp>KCES5Z8</stp>
        <stp>T_CVol</stp>
        <tr r="L35" s="2"/>
      </tp>
      <tp>
        <v>0</v>
        <stp/>
        <stp>ContractData</stp>
        <stp>KCES6H8</stp>
        <stp>T_CVol</stp>
        <tr r="I15" s="2"/>
      </tp>
      <tp>
        <v>0</v>
        <stp/>
        <stp>ContractData</stp>
        <stp>KCES6H9</stp>
        <stp>T_CVol</stp>
        <tr r="N40" s="2"/>
      </tp>
      <tp>
        <v>0</v>
        <stp/>
        <stp>ContractData</stp>
        <stp>KCES6K8</stp>
        <stp>T_CVol</stp>
        <tr r="J20" s="2"/>
      </tp>
      <tp>
        <v>0</v>
        <stp/>
        <stp>ContractData</stp>
        <stp>KCES6N8</stp>
        <stp>T_CVol</stp>
        <tr r="K25" s="2"/>
      </tp>
      <tp>
        <v>0</v>
        <stp/>
        <stp>ContractData</stp>
        <stp>KCES6U8</stp>
        <stp>T_CVol</stp>
        <tr r="L30" s="2"/>
      </tp>
      <tp>
        <v>0</v>
        <stp/>
        <stp>ContractData</stp>
        <stp>KCES6Z8</stp>
        <stp>T_CVol</stp>
        <tr r="M35" s="2"/>
      </tp>
      <tp>
        <v>0</v>
        <stp/>
        <stp>ContractData</stp>
        <stp>KCES7H8</stp>
        <stp>T_CVol</stp>
        <tr r="J15" s="2"/>
      </tp>
      <tp>
        <v>0</v>
        <stp/>
        <stp>ContractData</stp>
        <stp>KCES7K8</stp>
        <stp>T_CVol</stp>
        <tr r="K20" s="2"/>
      </tp>
      <tp>
        <v>0</v>
        <stp/>
        <stp>ContractData</stp>
        <stp>KCES7N8</stp>
        <stp>T_CVol</stp>
        <tr r="L25" s="2"/>
      </tp>
      <tp>
        <v>0</v>
        <stp/>
        <stp>ContractData</stp>
        <stp>KCES7U8</stp>
        <stp>T_CVol</stp>
        <tr r="M30" s="2"/>
      </tp>
      <tp>
        <v>0</v>
        <stp/>
        <stp>ContractData</stp>
        <stp>KCES7Z8</stp>
        <stp>T_CVol</stp>
        <tr r="N35" s="2"/>
      </tp>
      <tp>
        <v>2152</v>
        <stp/>
        <stp>ContractData</stp>
        <stp>KCES1H8</stp>
        <stp>T_CVol</stp>
        <tr r="D15" s="2"/>
      </tp>
      <tp>
        <v>1</v>
        <stp/>
        <stp>ContractData</stp>
        <stp>KCES1H9</stp>
        <stp>T_CVol</stp>
        <tr r="I40" s="2"/>
      </tp>
      <tp>
        <v>0</v>
        <stp/>
        <stp>ContractData</stp>
        <stp>KCES1H0</stp>
        <stp>T_CVol</stp>
        <tr r="N65" s="2"/>
      </tp>
      <tp>
        <v>1551</v>
        <stp/>
        <stp>ContractData</stp>
        <stp>KCES1K8</stp>
        <stp>T_CVol</stp>
        <tr r="E20" s="2"/>
      </tp>
      <tp>
        <v>1</v>
        <stp/>
        <stp>ContractData</stp>
        <stp>KCES1K9</stp>
        <stp>T_CVol</stp>
        <tr r="J45" s="2"/>
      </tp>
      <tp>
        <v>0</v>
        <stp/>
        <stp>ContractData</stp>
        <stp>KCES1K0</stp>
        <stp>T_CVol</stp>
        <tr r="O70" s="2"/>
      </tp>
      <tp>
        <v>166</v>
        <stp/>
        <stp>ContractData</stp>
        <stp>KCES1N8</stp>
        <stp>T_CVol</stp>
        <tr r="F25" s="2"/>
      </tp>
      <tp>
        <v>1</v>
        <stp/>
        <stp>ContractData</stp>
        <stp>KCES1N9</stp>
        <stp>T_CVol</stp>
        <tr r="K50" s="2"/>
      </tp>
      <tp>
        <v>70</v>
        <stp/>
        <stp>ContractData</stp>
        <stp>KCES1U8</stp>
        <stp>T_CVol</stp>
        <tr r="G30" s="2"/>
      </tp>
      <tp>
        <v>0</v>
        <stp/>
        <stp>ContractData</stp>
        <stp>KCES1U9</stp>
        <stp>T_CVol</stp>
        <tr r="L55" s="2"/>
      </tp>
      <tp>
        <v>171</v>
        <stp/>
        <stp>ContractData</stp>
        <stp>KCES1Z8</stp>
        <stp>T_CVol</stp>
        <tr r="H35" s="2"/>
      </tp>
      <tp>
        <v>0</v>
        <stp/>
        <stp>ContractData</stp>
        <stp>KCES1Z9</stp>
        <stp>T_CVol</stp>
        <tr r="M60" s="2"/>
      </tp>
      <tp>
        <v>339</v>
        <stp/>
        <stp>ContractData</stp>
        <stp>KCES2H8</stp>
        <stp>T_CVol</stp>
        <tr r="E15" s="2"/>
      </tp>
      <tp>
        <v>0</v>
        <stp/>
        <stp>ContractData</stp>
        <stp>KCES2H9</stp>
        <stp>T_CVol</stp>
        <tr r="J40" s="2"/>
      </tp>
      <tp>
        <v>105</v>
        <stp/>
        <stp>ContractData</stp>
        <stp>KCES2K8</stp>
        <stp>T_CVol</stp>
        <tr r="F20" s="2"/>
      </tp>
      <tp>
        <v>0</v>
        <stp/>
        <stp>ContractData</stp>
        <stp>KCES2K9</stp>
        <stp>T_CVol</stp>
        <tr r="K45" s="2"/>
      </tp>
      <tp>
        <v>78</v>
        <stp/>
        <stp>ContractData</stp>
        <stp>KCES2N8</stp>
        <stp>T_CVol</stp>
        <tr r="G25" s="2"/>
      </tp>
      <tp>
        <v>0</v>
        <stp/>
        <stp>ContractData</stp>
        <stp>KCES2N9</stp>
        <stp>T_CVol</stp>
        <tr r="L50" s="2"/>
      </tp>
      <tp>
        <v>27</v>
        <stp/>
        <stp>ContractData</stp>
        <stp>KCES2U8</stp>
        <stp>T_CVol</stp>
        <tr r="H30" s="2"/>
      </tp>
      <tp>
        <v>0</v>
        <stp/>
        <stp>ContractData</stp>
        <stp>KCES2U9</stp>
        <stp>T_CVol</stp>
        <tr r="M55" s="2"/>
      </tp>
      <tp>
        <v>0</v>
        <stp/>
        <stp>ContractData</stp>
        <stp>KCES2Z8</stp>
        <stp>T_CVol</stp>
        <tr r="I35" s="2"/>
      </tp>
      <tp>
        <v>0</v>
        <stp/>
        <stp>ContractData</stp>
        <stp>KCES2Z9</stp>
        <stp>T_CVol</stp>
        <tr r="N60" s="2"/>
      </tp>
      <tp>
        <v>254</v>
        <stp/>
        <stp>ContractData</stp>
        <stp>KCES3H8</stp>
        <stp>T_CVol</stp>
        <tr r="F15" s="2"/>
      </tp>
      <tp>
        <v>0</v>
        <stp/>
        <stp>ContractData</stp>
        <stp>KCES3H9</stp>
        <stp>T_CVol</stp>
        <tr r="K40" s="2"/>
      </tp>
      <tp>
        <v>49</v>
        <stp/>
        <stp>ContractData</stp>
        <stp>KCES3K8</stp>
        <stp>T_CVol</stp>
        <tr r="G20" s="2"/>
      </tp>
      <tp>
        <v>0</v>
        <stp/>
        <stp>ContractData</stp>
        <stp>KCES3K9</stp>
        <stp>T_CVol</stp>
        <tr r="L45" s="2"/>
      </tp>
      <tp>
        <v>2</v>
        <stp/>
        <stp>ContractData</stp>
        <stp>KCES3N8</stp>
        <stp>T_CVol</stp>
        <tr r="H25" s="2"/>
      </tp>
      <tp>
        <v>0</v>
        <stp/>
        <stp>ContractData</stp>
        <stp>KCES3N9</stp>
        <stp>T_CVol</stp>
        <tr r="M50" s="2"/>
      </tp>
      <tp>
        <v>0</v>
        <stp/>
        <stp>ContractData</stp>
        <stp>KCES3U8</stp>
        <stp>T_CVol</stp>
        <tr r="I30" s="2"/>
      </tp>
      <tp>
        <v>0</v>
        <stp/>
        <stp>ContractData</stp>
        <stp>KCES3U9</stp>
        <stp>T_CVol</stp>
        <tr r="N55" s="2"/>
      </tp>
      <tp>
        <v>0</v>
        <stp/>
        <stp>ContractData</stp>
        <stp>KCES3Z8</stp>
        <stp>T_CVol</stp>
        <tr r="J35" s="2"/>
      </tp>
      <tp t="s">
        <v>MAR</v>
        <stp/>
        <stp>ContractData</stp>
        <stp>KCEH0</stp>
        <stp>ContractMonth</stp>
        <tr r="B12" s="3"/>
      </tp>
      <tp t="s">
        <v>MAY</v>
        <stp/>
        <stp>ContractData</stp>
        <stp>KCEK0</stp>
        <stp>ContractMonth</stp>
        <tr r="B13" s="3"/>
      </tp>
      <tp>
        <v>-2.15</v>
        <stp/>
        <stp>StudyData</stp>
        <stp>KCES1H8</stp>
        <stp>FG</stp>
        <stp/>
        <stp>Close</stp>
        <stp>D</stp>
        <stp/>
        <stp>all</stp>
        <stp/>
        <stp/>
        <stp/>
        <stp>T</stp>
        <tr r="AH2" s="3"/>
      </tp>
      <tp>
        <v>-6.75</v>
        <stp/>
        <stp>StudyData</stp>
        <stp>KCES3H8</stp>
        <stp>FG</stp>
        <stp/>
        <stp>Close</stp>
        <stp>D</stp>
        <stp/>
        <stp>all</stp>
        <stp/>
        <stp/>
        <stp/>
        <stp>T</stp>
        <tr r="AH4" s="3"/>
      </tp>
      <tp>
        <v>-4.45</v>
        <stp/>
        <stp>StudyData</stp>
        <stp>KCES2H8</stp>
        <stp>FG</stp>
        <stp/>
        <stp>Close</stp>
        <stp>D</stp>
        <stp/>
        <stp>all</stp>
        <stp/>
        <stp/>
        <stp/>
        <stp>T</stp>
        <tr r="AH3" s="3"/>
      </tp>
      <tp>
        <v>-13.5</v>
        <stp/>
        <stp>StudyData</stp>
        <stp>KCES5H8</stp>
        <stp>FG</stp>
        <stp/>
        <stp>Close</stp>
        <stp>D</stp>
        <stp/>
        <stp>all</stp>
        <stp/>
        <stp/>
        <stp/>
        <stp>T</stp>
        <tr r="AH6" s="3"/>
      </tp>
      <tp>
        <v>-10.15</v>
        <stp/>
        <stp>StudyData</stp>
        <stp>KCES4H8</stp>
        <stp>FG</stp>
        <stp/>
        <stp>Close</stp>
        <stp>D</stp>
        <stp/>
        <stp>all</stp>
        <stp/>
        <stp/>
        <stp/>
        <stp>T</stp>
        <tr r="AH5" s="3"/>
      </tp>
      <tp>
        <v>-17.399999999999999</v>
        <stp/>
        <stp>StudyData</stp>
        <stp>KCES7H8</stp>
        <stp>FG</stp>
        <stp/>
        <stp>Close</stp>
        <stp>D</stp>
        <stp/>
        <stp>all</stp>
        <stp/>
        <stp/>
        <stp/>
        <stp>T</stp>
        <tr r="AH8" s="3"/>
      </tp>
      <tp>
        <v>-15.5</v>
        <stp/>
        <stp>StudyData</stp>
        <stp>KCES6H8</stp>
        <stp>FG</stp>
        <stp/>
        <stp>Close</stp>
        <stp>D</stp>
        <stp/>
        <stp>all</stp>
        <stp/>
        <stp/>
        <stp/>
        <stp>T</stp>
        <tr r="AH7" s="3"/>
      </tp>
      <tp>
        <v>-22</v>
        <stp/>
        <stp>StudyData</stp>
        <stp>KCES9H8</stp>
        <stp>FG</stp>
        <stp/>
        <stp>Close</stp>
        <stp>D</stp>
        <stp/>
        <stp>all</stp>
        <stp/>
        <stp/>
        <stp/>
        <stp>T</stp>
        <tr r="AH10" s="3"/>
      </tp>
      <tp>
        <v>-19.25</v>
        <stp/>
        <stp>StudyData</stp>
        <stp>KCES8H8</stp>
        <stp>FG</stp>
        <stp/>
        <stp>Close</stp>
        <stp>D</stp>
        <stp/>
        <stp>all</stp>
        <stp/>
        <stp/>
        <stp/>
        <stp>T</stp>
        <tr r="AH9" s="3"/>
      </tp>
      <tp t="s">
        <v>DEC</v>
        <stp/>
        <stp>ContractData</stp>
        <stp>KCE?1</stp>
        <stp>ContractMonth</stp>
        <tr r="R35" s="3"/>
      </tp>
      <tp>
        <v>132.65</v>
        <stp/>
        <stp>ContractData</stp>
        <stp>KCEN8</stp>
        <stp>Open</stp>
        <stp/>
        <stp>T</stp>
        <tr r="D55" s="2"/>
        <tr r="D55" s="2"/>
      </tp>
      <tp>
        <v>147.35</v>
        <stp/>
        <stp>ContractData</stp>
        <stp>KCEN9</stp>
        <stp>Open</stp>
        <stp/>
        <stp>T</stp>
        <tr r="D61" s="2"/>
        <tr r="D61" s="2"/>
      </tp>
      <tp t="s">
        <v/>
        <stp/>
        <stp>ContractData</stp>
        <stp>KCEH0</stp>
        <stp>Open</stp>
        <stp/>
        <stp>T</stp>
        <tr r="D65" s="2"/>
      </tp>
      <tp>
        <v>127.9</v>
        <stp/>
        <stp>ContractData</stp>
        <stp>KCEH8</stp>
        <stp>Open</stp>
        <stp/>
        <stp>T</stp>
        <tr r="D53" s="2"/>
        <tr r="D53" s="2"/>
      </tp>
      <tp>
        <v>140.75</v>
        <stp/>
        <stp>ContractData</stp>
        <stp>KCEH9</stp>
        <stp>Open</stp>
        <stp/>
        <stp>T</stp>
        <tr r="D59" s="2"/>
        <tr r="D59" s="2"/>
      </tp>
      <tp t="s">
        <v/>
        <stp/>
        <stp>ContractData</stp>
        <stp>KCEK0</stp>
        <stp>Open</stp>
        <stp/>
        <stp>T</stp>
        <tr r="D66" s="2"/>
      </tp>
      <tp>
        <v>130.15</v>
        <stp/>
        <stp>ContractData</stp>
        <stp>KCEK8</stp>
        <stp>Open</stp>
        <stp/>
        <stp>T</stp>
        <tr r="D54" s="2"/>
        <tr r="D54" s="2"/>
      </tp>
      <tp>
        <v>145.45000000000002</v>
        <stp/>
        <stp>ContractData</stp>
        <stp>KCEK9</stp>
        <stp>Open</stp>
        <stp/>
        <stp>T</stp>
        <tr r="D60" s="2"/>
        <tr r="D60" s="2"/>
      </tp>
      <tp>
        <v>134.75</v>
        <stp/>
        <stp>ContractData</stp>
        <stp>KCEU8</stp>
        <stp>Open</stp>
        <stp/>
        <stp>T</stp>
        <tr r="D56" s="2"/>
        <tr r="D56" s="2"/>
      </tp>
      <tp>
        <v>149.25</v>
        <stp/>
        <stp>ContractData</stp>
        <stp>KCEU9</stp>
        <stp>Open</stp>
        <stp/>
        <stp>T</stp>
        <tr r="D63" s="2"/>
        <tr r="D63" s="2"/>
      </tp>
      <tp>
        <v>138.15</v>
        <stp/>
        <stp>ContractData</stp>
        <stp>KCEZ8</stp>
        <stp>Open</stp>
        <stp/>
        <stp>T</stp>
        <tr r="D58" s="2"/>
        <tr r="D58" s="2"/>
      </tp>
      <tp t="s">
        <v/>
        <stp/>
        <stp>ContractData</stp>
        <stp>KCEZ9</stp>
        <stp>Open</stp>
        <stp/>
        <stp>T</stp>
        <tr r="D64" s="2"/>
      </tp>
      <tp t="s">
        <v>KCEH8</v>
        <stp/>
        <stp>ContractData</stp>
        <stp>KCEH8</stp>
        <stp>Symbol</stp>
        <tr r="B7" s="2"/>
        <tr r="B12" s="2"/>
      </tp>
      <tp t="s">
        <v>KCEH9</v>
        <stp/>
        <stp>ContractData</stp>
        <stp>KCEH9</stp>
        <stp>Symbol</stp>
        <tr r="H7" s="2"/>
        <tr r="H37" s="2"/>
      </tp>
      <tp t="s">
        <v>KCEH0</v>
        <stp/>
        <stp>ContractData</stp>
        <stp>KCEH0</stp>
        <stp>Symbol</stp>
        <tr r="M62" s="2"/>
        <tr r="M7" s="2"/>
      </tp>
      <tp t="s">
        <v>KCEK8</v>
        <stp/>
        <stp>ContractData</stp>
        <stp>KCEK8</stp>
        <stp>Symbol</stp>
        <tr r="D17" s="2"/>
        <tr r="D7" s="2"/>
      </tp>
      <tp t="s">
        <v>KCEK9</v>
        <stp/>
        <stp>ContractData</stp>
        <stp>KCEK9</stp>
        <stp>Symbol</stp>
        <tr r="I7" s="2"/>
        <tr r="I42" s="2"/>
      </tp>
      <tp t="s">
        <v>KCEK0</v>
        <stp/>
        <stp>ContractData</stp>
        <stp>KCEK0</stp>
        <stp>Symbol</stp>
        <tr r="N7" s="2"/>
        <tr r="N67" s="2"/>
      </tp>
      <tp t="s">
        <v>KCEN8</v>
        <stp/>
        <stp>ContractData</stp>
        <stp>KCEN8</stp>
        <stp>Symbol</stp>
        <tr r="E7" s="2"/>
        <tr r="E22" s="2"/>
      </tp>
      <tp t="s">
        <v>KCEN9</v>
        <stp/>
        <stp>ContractData</stp>
        <stp>KCEN9</stp>
        <stp>Symbol</stp>
        <tr r="J7" s="2"/>
        <tr r="J47" s="2"/>
      </tp>
      <tp t="s">
        <v>KCEU8</v>
        <stp/>
        <stp>ContractData</stp>
        <stp>KCEU8</stp>
        <stp>Symbol</stp>
        <tr r="F7" s="2"/>
        <tr r="F27" s="2"/>
      </tp>
      <tp t="s">
        <v>KCEU9</v>
        <stp/>
        <stp>ContractData</stp>
        <stp>KCEU9</stp>
        <stp>Symbol</stp>
        <tr r="K52" s="2"/>
        <tr r="K7" s="2"/>
      </tp>
      <tp t="s">
        <v>KCEZ8</v>
        <stp/>
        <stp>ContractData</stp>
        <stp>KCEZ8</stp>
        <stp>Symbol</stp>
        <tr r="G32" s="2"/>
        <tr r="G7" s="2"/>
      </tp>
      <tp t="s">
        <v>KCEZ9</v>
        <stp/>
        <stp>ContractData</stp>
        <stp>KCEZ9</stp>
        <stp>Symbol</stp>
        <tr r="L57" s="2"/>
        <tr r="L7" s="2"/>
      </tp>
      <tp t="s">
        <v>KCEK9</v>
        <stp/>
        <stp>ContractData</stp>
        <stp>KCE?8</stp>
        <stp>Symbol</stp>
        <tr r="Q8" s="3"/>
      </tp>
      <tp t="s">
        <v>KCEN9</v>
        <stp/>
        <stp>ContractData</stp>
        <stp>KCE?9</stp>
        <stp>Symbol</stp>
        <tr r="Q9" s="3"/>
      </tp>
      <tp t="s">
        <v>KCEH8</v>
        <stp/>
        <stp>ContractData</stp>
        <stp>KCE?2</stp>
        <stp>Symbol</stp>
        <tr r="Q2" s="3"/>
        <tr r="S36" s="3"/>
      </tp>
      <tp t="s">
        <v>KCEK8</v>
        <stp/>
        <stp>ContractData</stp>
        <stp>KCE?3</stp>
        <stp>Symbol</stp>
        <tr r="Q3" s="3"/>
      </tp>
      <tp t="s">
        <v>KCEZ8</v>
        <stp/>
        <stp>ContractData</stp>
        <stp>KCE?6</stp>
        <stp>Symbol</stp>
        <tr r="Q6" s="3"/>
      </tp>
      <tp t="s">
        <v>KCEH9</v>
        <stp/>
        <stp>ContractData</stp>
        <stp>KCE?7</stp>
        <stp>Symbol</stp>
        <tr r="Q7" s="3"/>
      </tp>
      <tp t="s">
        <v>KCEN8</v>
        <stp/>
        <stp>ContractData</stp>
        <stp>KCE?4</stp>
        <stp>Symbol</stp>
        <tr r="Q4" s="3"/>
      </tp>
      <tp t="s">
        <v>KCEU8</v>
        <stp/>
        <stp>ContractData</stp>
        <stp>KCE?5</stp>
        <stp>Symbol</stp>
        <tr r="Q5" s="3"/>
      </tp>
      <tp t="s">
        <v/>
        <stp/>
        <stp>ContractData</stp>
        <stp>KCES10H8</stp>
        <stp>LastTradeorSettle</stp>
        <stp/>
        <stp>T</stp>
        <tr r="W11" s="3"/>
      </tp>
      <tp>
        <v>150.20000000000002</v>
        <stp/>
        <stp>ContractData</stp>
        <stp>KCEZ9</stp>
        <stp>Y_Settlement</stp>
        <stp/>
        <stp>T</stp>
        <tr r="R11" s="3"/>
      </tp>
      <tp>
        <v>0.89610753290394851</v>
        <stp/>
        <stp>ContractData</stp>
        <stp>CTE</stp>
        <stp>PerCentNetLastQuote</stp>
        <stp/>
        <stp>T</stp>
        <tr r="F40" s="2"/>
      </tp>
      <tp>
        <v>-0.91920657958393803</v>
        <stp/>
        <stp>ContractData</stp>
        <stp>CCE</stp>
        <stp>PerCentNetLastQuote</stp>
        <stp/>
        <stp>T</stp>
        <tr r="F41" s="2"/>
      </tp>
      <tp>
        <v>-1.1390887290167866</v>
        <stp/>
        <stp>ContractData</stp>
        <stp>OJE</stp>
        <stp>PerCentNetLastQuote</stp>
        <stp/>
        <stp>T</stp>
        <tr r="F43" s="2"/>
      </tp>
      <tp>
        <v>154.55000000000001</v>
        <stp/>
        <stp>ContractData</stp>
        <stp>KCEK0</stp>
        <stp>Y_Settlement</stp>
        <stp/>
        <stp>T</stp>
        <tr r="R13" s="3"/>
      </tp>
      <tp>
        <v>152.9</v>
        <stp/>
        <stp>ContractData</stp>
        <stp>KCEH0</stp>
        <stp>Y_Settlement</stp>
        <stp/>
        <stp>T</stp>
        <tr r="R12" s="3"/>
      </tp>
      <tp>
        <v>-1.8843404808317088</v>
        <stp/>
        <stp>ContractData</stp>
        <stp>SBE</stp>
        <stp>PerCentNetLastQuote</stp>
        <stp/>
        <stp>T</stp>
        <tr r="F39" s="2"/>
      </tp>
      <tp>
        <v>43178</v>
        <stp/>
        <stp>ContractData</stp>
        <stp>KCEH8</stp>
        <stp>ExpirationDate</stp>
        <tr r="H68" s="2"/>
      </tp>
      <tp t="s">
        <v>SEP</v>
        <stp/>
        <stp>ContractData</stp>
        <stp>KCEU8</stp>
        <stp>ContractMonth</stp>
        <tr r="B5" s="3"/>
      </tp>
      <tp t="s">
        <v>DEC</v>
        <stp/>
        <stp>ContractData</stp>
        <stp>KCEZ8</stp>
        <stp>ContractMonth</stp>
        <tr r="B6" s="3"/>
      </tp>
      <tp t="s">
        <v>JUL</v>
        <stp/>
        <stp>ContractData</stp>
        <stp>KCEN8</stp>
        <stp>ContractMonth</stp>
        <tr r="B4" s="3"/>
      </tp>
      <tp t="s">
        <v>MAR</v>
        <stp/>
        <stp>ContractData</stp>
        <stp>KCEH8</stp>
        <stp>ContractMonth</stp>
        <tr r="B2" s="3"/>
      </tp>
      <tp t="s">
        <v>MAY</v>
        <stp/>
        <stp>ContractData</stp>
        <stp>KCEK8</stp>
        <stp>ContractMonth</stp>
        <tr r="B3" s="3"/>
      </tp>
      <tp t="s">
        <v>SEP</v>
        <stp/>
        <stp>ContractData</stp>
        <stp>KCEU9</stp>
        <stp>ContractMonth</stp>
        <tr r="B10" s="3"/>
      </tp>
      <tp t="s">
        <v>DEC</v>
        <stp/>
        <stp>ContractData</stp>
        <stp>KCEZ9</stp>
        <stp>ContractMonth</stp>
        <tr r="B11" s="3"/>
      </tp>
      <tp t="s">
        <v>JUL</v>
        <stp/>
        <stp>ContractData</stp>
        <stp>KCEN9</stp>
        <stp>ContractMonth</stp>
        <tr r="B9" s="3"/>
      </tp>
      <tp t="s">
        <v>MAR</v>
        <stp/>
        <stp>ContractData</stp>
        <stp>KCEH9</stp>
        <stp>ContractMonth</stp>
        <tr r="B7" s="3"/>
      </tp>
      <tp t="s">
        <v>MAY</v>
        <stp/>
        <stp>ContractData</stp>
        <stp>KCEK9</stp>
        <stp>ContractMonth</stp>
        <tr r="B8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Mar 18</c:v>
                </c:pt>
                <c:pt idx="1">
                  <c:v>May 18</c:v>
                </c:pt>
                <c:pt idx="2">
                  <c:v>Jul 18</c:v>
                </c:pt>
                <c:pt idx="3">
                  <c:v>Sep 18</c:v>
                </c:pt>
                <c:pt idx="4">
                  <c:v>Dec 18</c:v>
                </c:pt>
                <c:pt idx="5">
                  <c:v>Mar 19</c:v>
                </c:pt>
                <c:pt idx="6">
                  <c:v>May 19</c:v>
                </c:pt>
                <c:pt idx="7">
                  <c:v>Jul 19</c:v>
                </c:pt>
                <c:pt idx="8">
                  <c:v>Sep 19</c:v>
                </c:pt>
                <c:pt idx="9">
                  <c:v>Dec 19</c:v>
                </c:pt>
                <c:pt idx="10">
                  <c:v>Mar 20</c:v>
                </c:pt>
                <c:pt idx="11">
                  <c:v>May 20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129.9</c:v>
                </c:pt>
                <c:pt idx="1">
                  <c:v>132</c:v>
                </c:pt>
                <c:pt idx="2">
                  <c:v>134.30000000000001</c:v>
                </c:pt>
                <c:pt idx="3">
                  <c:v>136.55000000000001</c:v>
                </c:pt>
                <c:pt idx="4">
                  <c:v>139.95000000000002</c:v>
                </c:pt>
                <c:pt idx="5">
                  <c:v>143.17500000000001</c:v>
                </c:pt>
                <c:pt idx="6">
                  <c:v>145.15</c:v>
                </c:pt>
                <c:pt idx="7">
                  <c:v>147.35</c:v>
                </c:pt>
                <c:pt idx="8">
                  <c:v>149.25</c:v>
                </c:pt>
                <c:pt idx="9">
                  <c:v>151.67500000000001</c:v>
                </c:pt>
                <c:pt idx="10">
                  <c:v>152.9</c:v>
                </c:pt>
                <c:pt idx="11">
                  <c:v>154.55000000000001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38-4ED2-8230-6E1CBE94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774560"/>
        <c:axId val="1090990400"/>
      </c:lineChart>
      <c:catAx>
        <c:axId val="116177456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090990400"/>
        <c:crosses val="autoZero"/>
        <c:auto val="1"/>
        <c:lblAlgn val="ctr"/>
        <c:lblOffset val="100"/>
        <c:noMultiLvlLbl val="0"/>
      </c:catAx>
      <c:valAx>
        <c:axId val="109099040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1161774560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1.7</c:v>
                </c:pt>
                <c:pt idx="1">
                  <c:v>1.55</c:v>
                </c:pt>
                <c:pt idx="2">
                  <c:v>1.55</c:v>
                </c:pt>
                <c:pt idx="3">
                  <c:v>1.5</c:v>
                </c:pt>
                <c:pt idx="4">
                  <c:v>1.45</c:v>
                </c:pt>
                <c:pt idx="5">
                  <c:v>1.4000000000000001</c:v>
                </c:pt>
                <c:pt idx="6">
                  <c:v>1.35</c:v>
                </c:pt>
                <c:pt idx="7">
                  <c:v>1.3</c:v>
                </c:pt>
                <c:pt idx="8">
                  <c:v>1.2</c:v>
                </c:pt>
                <c:pt idx="9">
                  <c:v>1.25</c:v>
                </c:pt>
                <c:pt idx="10">
                  <c:v>4.7</c:v>
                </c:pt>
                <c:pt idx="11">
                  <c:v>4.9000000000000004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A2-404F-9829-BCBF8CF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058800"/>
        <c:axId val="1289059360"/>
      </c:barChart>
      <c:catAx>
        <c:axId val="128905880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289059360"/>
        <c:crosses val="autoZero"/>
        <c:auto val="1"/>
        <c:lblAlgn val="ctr"/>
        <c:lblOffset val="100"/>
        <c:noMultiLvlLbl val="0"/>
      </c:catAx>
      <c:valAx>
        <c:axId val="128905936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8905880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Calculations!$AF$2:$AF$11</c:f>
              <c:strCache>
                <c:ptCount val="10"/>
                <c:pt idx="0">
                  <c:v>Mar 18, May 18</c:v>
                </c:pt>
                <c:pt idx="1">
                  <c:v>Mar 18, Jul 18</c:v>
                </c:pt>
                <c:pt idx="2">
                  <c:v>Mar 18, Sep 18</c:v>
                </c:pt>
                <c:pt idx="3">
                  <c:v>Mar 18, Dec 18</c:v>
                </c:pt>
                <c:pt idx="4">
                  <c:v>Mar 18, Mar 19</c:v>
                </c:pt>
                <c:pt idx="5">
                  <c:v>Mar 18, May 19</c:v>
                </c:pt>
                <c:pt idx="6">
                  <c:v>Mar 18, Jul 19</c:v>
                </c:pt>
                <c:pt idx="7">
                  <c:v>Mar 18, Sep 19</c:v>
                </c:pt>
                <c:pt idx="8">
                  <c:v>Mar 18, Dec 19</c:v>
                </c:pt>
                <c:pt idx="9">
                  <c:v>Mar 18, Mar 20</c:v>
                </c:pt>
              </c:strCache>
            </c:strRef>
          </c:cat>
          <c:val>
            <c:numRef>
              <c:f>Calculations!$AE$2:$AE$11</c:f>
              <c:numCache>
                <c:formatCode>0.00</c:formatCode>
                <c:ptCount val="10"/>
                <c:pt idx="0">
                  <c:v>-2.1749999999999998</c:v>
                </c:pt>
                <c:pt idx="1">
                  <c:v>-4.4749999999999996</c:v>
                </c:pt>
                <c:pt idx="2">
                  <c:v>-6.75</c:v>
                </c:pt>
                <c:pt idx="3">
                  <c:v>-10.100000000000001</c:v>
                </c:pt>
                <c:pt idx="4">
                  <c:v>-13.324999999999999</c:v>
                </c:pt>
                <c:pt idx="5">
                  <c:v>-15.3</c:v>
                </c:pt>
                <c:pt idx="6">
                  <c:v>-17.175000000000001</c:v>
                </c:pt>
                <c:pt idx="7">
                  <c:v>-19.425000000000001</c:v>
                </c:pt>
                <c:pt idx="8">
                  <c:v>-21.825000000000003</c:v>
                </c:pt>
                <c:pt idx="9">
                  <c:v>-24.775000000000002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3B-4A24-BE0F-7DC4837F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061600"/>
        <c:axId val="1289062160"/>
      </c:lineChart>
      <c:catAx>
        <c:axId val="128906160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1289062160"/>
        <c:crosses val="autoZero"/>
        <c:auto val="1"/>
        <c:lblAlgn val="ctr"/>
        <c:lblOffset val="100"/>
        <c:noMultiLvlLbl val="0"/>
      </c:catAx>
      <c:valAx>
        <c:axId val="128906216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128906160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Calculations!$AI$2:$AI$13</c:f>
              <c:numCache>
                <c:formatCode>General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0.05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0.35000000000000003</c:v>
                </c:pt>
                <c:pt idx="7">
                  <c:v>0.35000000000000003</c:v>
                </c:pt>
                <c:pt idx="8">
                  <c:v>-0.05</c:v>
                </c:pt>
                <c:pt idx="9">
                  <c:v>0.55000000000000004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D1-4515-9385-D2B38682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064400"/>
        <c:axId val="1289064960"/>
      </c:barChart>
      <c:catAx>
        <c:axId val="128906440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1289064960"/>
        <c:crosses val="autoZero"/>
        <c:auto val="1"/>
        <c:lblAlgn val="ctr"/>
        <c:lblOffset val="100"/>
        <c:noMultiLvlLbl val="0"/>
      </c:catAx>
      <c:valAx>
        <c:axId val="128906496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28906440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28334</c:v>
                </c:pt>
                <c:pt idx="1">
                  <c:v>19329</c:v>
                </c:pt>
                <c:pt idx="2">
                  <c:v>24749</c:v>
                </c:pt>
                <c:pt idx="3">
                  <c:v>18099</c:v>
                </c:pt>
                <c:pt idx="4">
                  <c:v>29158</c:v>
                </c:pt>
                <c:pt idx="5">
                  <c:v>60331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6C-455C-ABEC-870EEB2D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1289067200"/>
        <c:axId val="1289067760"/>
      </c:barChart>
      <c:catAx>
        <c:axId val="1289067200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289067760"/>
        <c:crosses val="autoZero"/>
        <c:auto val="1"/>
        <c:lblAlgn val="ctr"/>
        <c:lblOffset val="100"/>
        <c:noMultiLvlLbl val="0"/>
      </c:catAx>
      <c:valAx>
        <c:axId val="1289067760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1289067200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KCE!$V$66:$V$78</c:f>
              <c:strCache>
                <c:ptCount val="12"/>
                <c:pt idx="0">
                  <c:v>Mar 18</c:v>
                </c:pt>
                <c:pt idx="1">
                  <c:v>May 18</c:v>
                </c:pt>
                <c:pt idx="2">
                  <c:v>Jul 18</c:v>
                </c:pt>
                <c:pt idx="3">
                  <c:v>Sep 18</c:v>
                </c:pt>
                <c:pt idx="4">
                  <c:v>Dec 18</c:v>
                </c:pt>
                <c:pt idx="5">
                  <c:v>Mar 19</c:v>
                </c:pt>
                <c:pt idx="6">
                  <c:v>May 19</c:v>
                </c:pt>
                <c:pt idx="7">
                  <c:v>Jul 19</c:v>
                </c:pt>
                <c:pt idx="8">
                  <c:v>Sep 19</c:v>
                </c:pt>
                <c:pt idx="9">
                  <c:v>Dec 19</c:v>
                </c:pt>
                <c:pt idx="10">
                  <c:v>Mar 20</c:v>
                </c:pt>
                <c:pt idx="11">
                  <c:v>May 20</c:v>
                </c:pt>
              </c:strCache>
            </c:strRef>
          </c:cat>
          <c:val>
            <c:numRef>
              <c:f>KCE!$U$66:$U$78</c:f>
              <c:numCache>
                <c:formatCode>#,##0</c:formatCode>
                <c:ptCount val="12"/>
                <c:pt idx="0">
                  <c:v>20154</c:v>
                </c:pt>
                <c:pt idx="1">
                  <c:v>4731</c:v>
                </c:pt>
                <c:pt idx="2">
                  <c:v>2118</c:v>
                </c:pt>
                <c:pt idx="3">
                  <c:v>659</c:v>
                </c:pt>
                <c:pt idx="4">
                  <c:v>462</c:v>
                </c:pt>
                <c:pt idx="5">
                  <c:v>186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F3-4784-A1FF-3A5872A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070000"/>
        <c:axId val="1289070560"/>
      </c:barChart>
      <c:catAx>
        <c:axId val="128907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1289070560"/>
        <c:crosses val="autoZero"/>
        <c:auto val="1"/>
        <c:lblAlgn val="ctr"/>
        <c:lblOffset val="100"/>
        <c:noMultiLvlLbl val="0"/>
      </c:catAx>
      <c:valAx>
        <c:axId val="1289070560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289070000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35</xdr:row>
      <xdr:rowOff>128154</xdr:rowOff>
    </xdr:from>
    <xdr:to>
      <xdr:col>21</xdr:col>
      <xdr:colOff>114299</xdr:colOff>
      <xdr:row>58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152400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85725</xdr:colOff>
      <xdr:row>64</xdr:row>
      <xdr:rowOff>152399</xdr:rowOff>
    </xdr:from>
    <xdr:ext cx="3886200" cy="202428"/>
    <xdr:sp macro="" textlink="">
      <xdr:nvSpPr>
        <xdr:cNvPr id="12" name="TextBox 11"/>
        <xdr:cNvSpPr txBox="1"/>
      </xdr:nvSpPr>
      <xdr:spPr>
        <a:xfrm>
          <a:off x="13649325" y="8820149"/>
          <a:ext cx="38862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KCE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3</xdr:row>
      <xdr:rowOff>190500</xdr:rowOff>
    </xdr:from>
    <xdr:to>
      <xdr:col>3</xdr:col>
      <xdr:colOff>946406</xdr:colOff>
      <xdr:row>4</xdr:row>
      <xdr:rowOff>153145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04800"/>
          <a:ext cx="898781" cy="210295"/>
        </a:xfrm>
        <a:prstGeom prst="rect">
          <a:avLst/>
        </a:prstGeom>
      </xdr:spPr>
    </xdr:pic>
    <xdr:clientData/>
  </xdr:twoCellAnchor>
  <xdr:oneCellAnchor>
    <xdr:from>
      <xdr:col>14</xdr:col>
      <xdr:colOff>447675</xdr:colOff>
      <xdr:row>37</xdr:row>
      <xdr:rowOff>9525</xdr:rowOff>
    </xdr:from>
    <xdr:ext cx="4698800" cy="231666"/>
    <xdr:sp macro="" textlink="">
      <xdr:nvSpPr>
        <xdr:cNvPr id="15" name="TextBox 14"/>
        <xdr:cNvSpPr txBox="1"/>
      </xdr:nvSpPr>
      <xdr:spPr>
        <a:xfrm>
          <a:off x="12973050" y="4905375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Mid-point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of Bid &amp; Ask or Today's Settlement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79"/>
  <sheetViews>
    <sheetView showGridLines="0" showRowColHeaders="0" tabSelected="1" zoomScaleNormal="100" workbookViewId="0">
      <selection activeCell="B39" sqref="B39"/>
    </sheetView>
  </sheetViews>
  <sheetFormatPr defaultColWidth="9" defaultRowHeight="13.5" x14ac:dyDescent="0.25"/>
  <cols>
    <col min="1" max="1" width="0.875" style="12" customWidth="1"/>
    <col min="2" max="2" width="13.625" style="11" customWidth="1"/>
    <col min="3" max="3" width="10.75" style="11" hidden="1" customWidth="1"/>
    <col min="4" max="14" width="13.625" style="11" customWidth="1"/>
    <col min="15" max="15" width="13.625" style="12" customWidth="1"/>
    <col min="16" max="16384" width="9" style="12"/>
  </cols>
  <sheetData>
    <row r="1" spans="1:23" ht="3" customHeight="1" x14ac:dyDescent="0.25"/>
    <row r="2" spans="1:23" ht="3" customHeight="1" x14ac:dyDescent="0.25"/>
    <row r="3" spans="1:23" ht="3" customHeight="1" x14ac:dyDescent="0.25">
      <c r="U3" s="18"/>
    </row>
    <row r="4" spans="1:23" ht="20.100000000000001" customHeight="1" x14ac:dyDescent="0.25">
      <c r="B4" s="95"/>
      <c r="C4" s="96"/>
      <c r="D4" s="96"/>
      <c r="E4" s="96"/>
      <c r="F4" s="103" t="s">
        <v>27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99">
        <f>RTD("cqg.rtd", ,"SystemInfo", "Linetime")+1/24</f>
        <v>43067.549814814818</v>
      </c>
      <c r="T4" s="99"/>
      <c r="U4" s="100"/>
    </row>
    <row r="5" spans="1:23" ht="20.100000000000001" customHeight="1" x14ac:dyDescent="0.25">
      <c r="A5" s="12">
        <f>Calculations!AJ11</f>
        <v>1</v>
      </c>
      <c r="B5" s="97"/>
      <c r="C5" s="98"/>
      <c r="D5" s="98"/>
      <c r="E5" s="98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1"/>
      <c r="T5" s="101"/>
      <c r="U5" s="102"/>
    </row>
    <row r="6" spans="1:23" ht="14.1" customHeight="1" x14ac:dyDescent="0.3">
      <c r="B6" s="23" t="str">
        <f>RIGHT(RTD("cqg.rtd", ,"ContractData",Calculations!Q2, "LongDescription"),6)</f>
        <v>Mar 18</v>
      </c>
      <c r="C6" s="24"/>
      <c r="D6" s="23" t="str">
        <f>RIGHT(RTD("cqg.rtd", ,"ContractData",Calculations!Q3, "LongDescription"),6)</f>
        <v>May 18</v>
      </c>
      <c r="E6" s="23" t="str">
        <f>RIGHT(RTD("cqg.rtd", ,"ContractData",Calculations!Q4, "LongDescription"),6)</f>
        <v>Jul 18</v>
      </c>
      <c r="F6" s="23" t="str">
        <f>RIGHT(RTD("cqg.rtd", ,"ContractData",Calculations!Q5, "LongDescription"),6)</f>
        <v>Sep 18</v>
      </c>
      <c r="G6" s="23" t="str">
        <f>RIGHT(RTD("cqg.rtd", ,"ContractData",Calculations!Q6, "LongDescription"),6)</f>
        <v>Dec 18</v>
      </c>
      <c r="H6" s="23" t="str">
        <f>RIGHT(RTD("cqg.rtd", ,"ContractData",Calculations!Q7, "LongDescription"),6)</f>
        <v>Mar 19</v>
      </c>
      <c r="I6" s="23" t="str">
        <f>RIGHT(RTD("cqg.rtd", ,"ContractData",Calculations!Q8, "LongDescription"),6)</f>
        <v>May 19</v>
      </c>
      <c r="J6" s="23" t="str">
        <f>RIGHT(RTD("cqg.rtd", ,"ContractData",Calculations!Q9, "LongDescription"),6)</f>
        <v>Jul 19</v>
      </c>
      <c r="K6" s="23" t="str">
        <f>RIGHT(RTD("cqg.rtd", ,"ContractData",Calculations!Q10, "LongDescription"),6)</f>
        <v>Sep 19</v>
      </c>
      <c r="L6" s="23" t="str">
        <f>RIGHT(RTD("cqg.rtd", ,"ContractData",Calculations!Q11, "LongDescription"),6)</f>
        <v>Dec 19</v>
      </c>
      <c r="M6" s="23" t="str">
        <f>RIGHT(RTD("cqg.rtd", ,"ContractData",Calculations!Q12, "LongDescription"),6)</f>
        <v>Mar 20</v>
      </c>
      <c r="N6" s="23" t="str">
        <f>RIGHT(RTD("cqg.rtd", ,"ContractData",Calculations!Q13, "LongDescription"),6)</f>
        <v>May 20</v>
      </c>
      <c r="U6" s="19"/>
    </row>
    <row r="7" spans="1:23" ht="15" hidden="1" customHeight="1" x14ac:dyDescent="0.3">
      <c r="B7" s="1" t="str">
        <f>RTD("cqg.rtd", ,"ContractData",Calculations!Q2, "Symbol")</f>
        <v>KCEH8</v>
      </c>
      <c r="C7" s="1"/>
      <c r="D7" s="1" t="str">
        <f>RTD("cqg.rtd", ,"ContractData",Calculations!Q3, "Symbol")</f>
        <v>KCEK8</v>
      </c>
      <c r="E7" s="1" t="str">
        <f>RTD("cqg.rtd", ,"ContractData",Calculations!Q4, "Symbol")</f>
        <v>KCEN8</v>
      </c>
      <c r="F7" s="1" t="str">
        <f>RTD("cqg.rtd", ,"ContractData",Calculations!Q5, "Symbol")</f>
        <v>KCEU8</v>
      </c>
      <c r="G7" s="1" t="str">
        <f>RTD("cqg.rtd", ,"ContractData",Calculations!Q6, "Symbol")</f>
        <v>KCEZ8</v>
      </c>
      <c r="H7" s="1" t="str">
        <f>RTD("cqg.rtd", ,"ContractData",Calculations!Q7, "Symbol")</f>
        <v>KCEH9</v>
      </c>
      <c r="I7" s="1" t="str">
        <f>RTD("cqg.rtd", ,"ContractData",Calculations!Q8, "Symbol")</f>
        <v>KCEK9</v>
      </c>
      <c r="J7" s="1" t="str">
        <f>RTD("cqg.rtd", ,"ContractData",Calculations!Q9, "Symbol")</f>
        <v>KCEN9</v>
      </c>
      <c r="K7" s="1" t="str">
        <f>RTD("cqg.rtd", ,"ContractData",Calculations!Q10, "Symbol")</f>
        <v>KCEU9</v>
      </c>
      <c r="L7" s="1" t="str">
        <f>RTD("cqg.rtd", ,"ContractData",Calculations!Q11, "Symbol")</f>
        <v>KCEZ9</v>
      </c>
      <c r="M7" s="1" t="str">
        <f>RTD("cqg.rtd", ,"ContractData",Calculations!Q12, "Symbol")</f>
        <v>KCEH0</v>
      </c>
      <c r="N7" s="1" t="str">
        <f>RTD("cqg.rtd", ,"ContractData",Calculations!Q13, "Symbol")</f>
        <v>KCEK0</v>
      </c>
      <c r="O7" s="13"/>
      <c r="U7" s="20"/>
    </row>
    <row r="8" spans="1:23" ht="14.1" customHeight="1" x14ac:dyDescent="0.3">
      <c r="B8" s="25" t="str">
        <f>IF($A$5=2,"",TEXT(RTD("cqg.rtd",,"ContractData",B7,Calculations!$T$1,,"T"),"#.00")&amp;" "&amp;"A")</f>
        <v>129.90 A</v>
      </c>
      <c r="C8" s="25"/>
      <c r="D8" s="25" t="str">
        <f>IF($A$5=2,"",TEXT(RTD("cqg.rtd",,"ContractData",D7,Calculations!$T$1,,"T"),"#.00")&amp;" "&amp;"A")</f>
        <v>132.05 A</v>
      </c>
      <c r="E8" s="25" t="str">
        <f>IF($A$5=2,"",TEXT(RTD("cqg.rtd",,"ContractData",E7,Calculations!$T$1,,"T"),"#.00")&amp;" "&amp;"A")</f>
        <v>134.35 A</v>
      </c>
      <c r="F8" s="25" t="str">
        <f>IF($A$5=2,"",TEXT(RTD("cqg.rtd",,"ContractData",F7,Calculations!$T$1,,"T"),"#.00")&amp;" "&amp;"A")</f>
        <v>136.65 A</v>
      </c>
      <c r="G8" s="25" t="str">
        <f>IF($A$5=2,"",TEXT(RTD("cqg.rtd",,"ContractData",G7,Calculations!$T$1,,"T"),"#.00")&amp;" "&amp;"A")</f>
        <v>140.00 A</v>
      </c>
      <c r="H8" s="25" t="str">
        <f>IF($A$5=2,"",TEXT(RTD("cqg.rtd",,"ContractData",H7,Calculations!$T$1,,"T"),"#.00")&amp;" "&amp;"A")</f>
        <v>143.25 A</v>
      </c>
      <c r="I8" s="25" t="str">
        <f>IF($A$5=2,"",TEXT(RTD("cqg.rtd",,"ContractData",I7,Calculations!$T$1,,"T"),"#.00")&amp;" "&amp;"A")</f>
        <v>145.25 A</v>
      </c>
      <c r="J8" s="25" t="str">
        <f>IF($A$5=2,"",TEXT(RTD("cqg.rtd",,"ContractData",J7,Calculations!$T$1,,"T"),"#.00")&amp;" "&amp;"A")</f>
        <v>147.95 A</v>
      </c>
      <c r="K8" s="25" t="str">
        <f>IF($A$5=2,"",TEXT(RTD("cqg.rtd",,"ContractData",K7,Calculations!$T$1,,"T"),"#.00")&amp;" "&amp;"A")</f>
        <v>152.15 A</v>
      </c>
      <c r="L8" s="25" t="str">
        <f>IF($A$5=2,"",TEXT(RTD("cqg.rtd",,"ContractData",L7,Calculations!$T$1,,"T"),"#.00")&amp;" "&amp;"A")</f>
        <v>151.90 A</v>
      </c>
      <c r="M8" s="25" t="str">
        <f>IF($A$5=2,"",TEXT(RTD("cqg.rtd",,"ContractData",M7,Calculations!$T$1,,"T"),"#.00")&amp;" "&amp;"A")</f>
        <v>157.60 A</v>
      </c>
      <c r="N8" s="25" t="str">
        <f>IF($A$5=2,"",TEXT(RTD("cqg.rtd",,"ContractData",N7,Calculations!$T$1,,"T"),"#.00")&amp;" "&amp;"A")</f>
        <v>159.45 A</v>
      </c>
      <c r="O8" s="14"/>
      <c r="U8" s="20"/>
    </row>
    <row r="9" spans="1:23" ht="14.1" customHeight="1" x14ac:dyDescent="0.3">
      <c r="B9" s="25" t="str">
        <f>IF($A$5=2,TEXT(RTD("cqg.rtd",,"ContractData",B7,"Settlement",,"T"),"#.00")&amp;" "&amp;"S",TEXT(RTD("cqg.rtd",,"ContractData",B7,Calculations!$S$1,,"T"),"#.00")&amp;" "&amp;"B")</f>
        <v>129.85 B</v>
      </c>
      <c r="C9" s="25"/>
      <c r="D9" s="25" t="str">
        <f>IF($A$5=2,TEXT(RTD("cqg.rtd",,"ContractData",D7,"Settlement",,"T"),"#.00")&amp;" "&amp;"S",TEXT(RTD("cqg.rtd",,"ContractData",D7,Calculations!$S$1,,"T"),"#.00")&amp;" "&amp;"B")</f>
        <v>132.00 B</v>
      </c>
      <c r="E9" s="25" t="str">
        <f>IF($A$5=2,TEXT(RTD("cqg.rtd",,"ContractData",E7,"Settlement",,"T"),"#.00")&amp;" "&amp;"S",TEXT(RTD("cqg.rtd",,"ContractData",E7,Calculations!$S$1,,"T"),"#.00")&amp;" "&amp;"B")</f>
        <v>134.30 B</v>
      </c>
      <c r="F9" s="25" t="str">
        <f>IF($A$5=2,TEXT(RTD("cqg.rtd",,"ContractData",F7,"Settlement",,"T"),"#.00")&amp;" "&amp;"S",TEXT(RTD("cqg.rtd",,"ContractData",F7,Calculations!$S$1,,"T"),"#.00")&amp;" "&amp;"B")</f>
        <v>136.55 B</v>
      </c>
      <c r="G9" s="25" t="str">
        <f>IF($A$5=2,TEXT(RTD("cqg.rtd",,"ContractData",G7,"Settlement",,"T"),"#.00")&amp;" "&amp;"S",TEXT(RTD("cqg.rtd",,"ContractData",G7,Calculations!$S$1,,"T"),"#.00")&amp;" "&amp;"B")</f>
        <v>139.90 B</v>
      </c>
      <c r="H9" s="25" t="str">
        <f>IF($A$5=2,TEXT(RTD("cqg.rtd",,"ContractData",H7,"Settlement",,"T"),"#.00")&amp;" "&amp;"S",TEXT(RTD("cqg.rtd",,"ContractData",H7,Calculations!$S$1,,"T"),"#.00")&amp;" "&amp;"B")</f>
        <v>143.10 B</v>
      </c>
      <c r="I9" s="25" t="str">
        <f>IF($A$5=2,TEXT(RTD("cqg.rtd",,"ContractData",I7,"Settlement",,"T"),"#.00")&amp;" "&amp;"S",TEXT(RTD("cqg.rtd",,"ContractData",I7,Calculations!$S$1,,"T"),"#.00")&amp;" "&amp;"B")</f>
        <v>145.05 B</v>
      </c>
      <c r="J9" s="25" t="str">
        <f>IF($A$5=2,TEXT(RTD("cqg.rtd",,"ContractData",J7,"Settlement",,"T"),"#.00")&amp;" "&amp;"S",TEXT(RTD("cqg.rtd",,"ContractData",J7,Calculations!$S$1,,"T"),"#.00")&amp;" "&amp;"B")</f>
        <v>146.90 B</v>
      </c>
      <c r="K9" s="25" t="str">
        <f>IF($A$5=2,TEXT(RTD("cqg.rtd",,"ContractData",K7,"Settlement",,"T"),"#.00")&amp;" "&amp;"S",TEXT(RTD("cqg.rtd",,"ContractData",K7,Calculations!$S$1,,"T"),"#.00")&amp;" "&amp;"B")</f>
        <v>148.65 B</v>
      </c>
      <c r="L9" s="25" t="str">
        <f>IF($A$5=2,TEXT(RTD("cqg.rtd",,"ContractData",L7,"Settlement",,"T"),"#.00")&amp;" "&amp;"S",TEXT(RTD("cqg.rtd",,"ContractData",L7,Calculations!$S$1,,"T"),"#.00")&amp;" "&amp;"B")</f>
        <v>151.45 B</v>
      </c>
      <c r="M9" s="25" t="str">
        <f>IF($A$5=2,TEXT(RTD("cqg.rtd",,"ContractData",M7,"Settlement",,"T"),"#.00")&amp;" "&amp;"S",TEXT(RTD("cqg.rtd",,"ContractData",M7,Calculations!$S$1,,"T"),"#.00")&amp;" "&amp;"B")</f>
        <v>148.50 B</v>
      </c>
      <c r="N9" s="25" t="str">
        <f>IF($A$5=2,TEXT(RTD("cqg.rtd",,"ContractData",N7,"Settlement",,"T"),"#.00")&amp;" "&amp;"S",TEXT(RTD("cqg.rtd",,"ContractData",N7,Calculations!$S$1,,"T"),"#.00")&amp;" "&amp;"B")</f>
        <v>149.95 B</v>
      </c>
      <c r="O9" s="14"/>
      <c r="U9" s="20"/>
    </row>
    <row r="10" spans="1:23" ht="14.1" customHeight="1" x14ac:dyDescent="0.3">
      <c r="B10" s="26">
        <f>RTD("cqg.rtd", ,"ContractData",B7,"T_CVol")</f>
        <v>20154</v>
      </c>
      <c r="C10" s="25"/>
      <c r="D10" s="26">
        <f>RTD("cqg.rtd", ,"ContractData",D7,"T_CVol")</f>
        <v>4731</v>
      </c>
      <c r="E10" s="26">
        <f>RTD("cqg.rtd", ,"ContractData",E7,"T_CVol")</f>
        <v>2118</v>
      </c>
      <c r="F10" s="26">
        <f>RTD("cqg.rtd", ,"ContractData",F7,"T_CVol")</f>
        <v>659</v>
      </c>
      <c r="G10" s="26">
        <f>RTD("cqg.rtd", ,"ContractData",G7,"T_CVol")</f>
        <v>462</v>
      </c>
      <c r="H10" s="26">
        <f>RTD("cqg.rtd",,"ContractData",H7,"T_CVol")</f>
        <v>186</v>
      </c>
      <c r="I10" s="26">
        <f>RTD("cqg.rtd", ,"ContractData",I7,"T_CVol")</f>
        <v>1</v>
      </c>
      <c r="J10" s="26">
        <f>RTD("cqg.rtd", ,"ContractData",J7,"T_CVol")</f>
        <v>1</v>
      </c>
      <c r="K10" s="26">
        <f>RTD("cqg.rtd", ,"ContractData",K7,"T_CVol")</f>
        <v>1</v>
      </c>
      <c r="L10" s="26">
        <f>RTD("cqg.rtd", ,"ContractData",L7,"T_CVol")</f>
        <v>0</v>
      </c>
      <c r="M10" s="26">
        <f>RTD("cqg.rtd", ,"ContractData",M7,"T_CVol")</f>
        <v>0</v>
      </c>
      <c r="N10" s="26">
        <f>RTD("cqg.rtd", ,"ContractData",N7,"T_CVol")</f>
        <v>0</v>
      </c>
      <c r="O10" s="14"/>
      <c r="U10" s="20"/>
    </row>
    <row r="11" spans="1:23" ht="14.1" customHeight="1" x14ac:dyDescent="0.3">
      <c r="B11" s="27" t="str">
        <f>RIGHT(RTD("cqg.rtd", ,"ContractData",Calculations!Q2, "LongDescription"),6)</f>
        <v>Mar 18</v>
      </c>
      <c r="C11" s="28"/>
      <c r="D11" s="27" t="str">
        <f>RIGHT(RTD("cqg.rtd", ,"ContractData",Calculations!D2, "LongDescription"),15)</f>
        <v xml:space="preserve"> Mar 18, May 18</v>
      </c>
      <c r="E11" s="27" t="str">
        <f>RIGHT(RTD("cqg.rtd", ,"ContractData",Calculations!E2, "LongDescription"),15)</f>
        <v xml:space="preserve"> Mar 18, Jul 18</v>
      </c>
      <c r="F11" s="27" t="str">
        <f>RIGHT(RTD("cqg.rtd", ,"ContractData",Calculations!F2, "LongDescription"),15)</f>
        <v xml:space="preserve"> Mar 18, Sep 18</v>
      </c>
      <c r="G11" s="27" t="str">
        <f>RIGHT(RTD("cqg.rtd", ,"ContractData",Calculations!G2, "LongDescription"),15)</f>
        <v xml:space="preserve"> Mar 18, Dec 18</v>
      </c>
      <c r="H11" s="27" t="str">
        <f>RIGHT(RTD("cqg.rtd", ,"ContractData",Calculations!H2, "LongDescription"),15)</f>
        <v xml:space="preserve"> Mar 18, Mar 19</v>
      </c>
      <c r="I11" s="27" t="str">
        <f>RIGHT(RTD("cqg.rtd", ,"ContractData",Calculations!I2, "LongDescription"),15)</f>
        <v xml:space="preserve"> Mar 18, May 19</v>
      </c>
      <c r="J11" s="27" t="str">
        <f>RIGHT(RTD("cqg.rtd", ,"ContractData",Calculations!J2, "LongDescription"),15)</f>
        <v xml:space="preserve"> Mar 18, Jul 19</v>
      </c>
      <c r="K11" s="27" t="str">
        <f>RIGHT(RTD("cqg.rtd", ,"ContractData",Calculations!K2, "LongDescription"),15)</f>
        <v xml:space="preserve"> Mar 18, Sep 19</v>
      </c>
      <c r="L11" s="27" t="str">
        <f>RIGHT(RTD("cqg.rtd", ,"ContractData",Calculations!L2, "LongDescription"),15)</f>
        <v xml:space="preserve"> Mar 18, Dec 19</v>
      </c>
      <c r="M11" s="27" t="str">
        <f>RIGHT(RTD("cqg.rtd", ,"ContractData",Calculations!M2, "LongDescription"),15)</f>
        <v xml:space="preserve"> Mar 18, Mar 20</v>
      </c>
      <c r="N11" s="27"/>
      <c r="O11" s="14"/>
      <c r="U11" s="20"/>
    </row>
    <row r="12" spans="1:23" ht="15" hidden="1" customHeight="1" x14ac:dyDescent="0.3">
      <c r="B12" s="1" t="str">
        <f>RTD("cqg.rtd", ,"ContractData",Calculations!Q2, "Symbol")</f>
        <v>KCEH8</v>
      </c>
      <c r="C12" s="1"/>
      <c r="D12" s="1" t="str">
        <f>RTD("cqg.rtd", ,"ContractData",Calculations!D2, "Symbol")</f>
        <v>KCES1H8</v>
      </c>
      <c r="E12" s="1" t="str">
        <f>RTD("cqg.rtd", ,"ContractData",Calculations!E2, "Symbol")</f>
        <v>KCES2H8</v>
      </c>
      <c r="F12" s="1" t="str">
        <f>RTD("cqg.rtd", ,"ContractData",Calculations!F2, "Symbol")</f>
        <v>KCES3H8</v>
      </c>
      <c r="G12" s="1" t="str">
        <f>RTD("cqg.rtd", ,"ContractData",Calculations!G2, "Symbol")</f>
        <v>KCES4H8</v>
      </c>
      <c r="H12" s="1" t="str">
        <f>RTD("cqg.rtd", ,"ContractData",Calculations!H2, "Symbol")</f>
        <v>KCES5H8</v>
      </c>
      <c r="I12" s="1" t="str">
        <f>RTD("cqg.rtd", ,"ContractData",Calculations!I2, "Symbol")</f>
        <v>KCES6H8</v>
      </c>
      <c r="J12" s="1" t="str">
        <f>RTD("cqg.rtd", ,"ContractData",Calculations!J2, "Symbol")</f>
        <v>KCES7H8</v>
      </c>
      <c r="K12" s="1" t="str">
        <f>RTD("cqg.rtd", ,"ContractData",Calculations!K2, "Symbol")</f>
        <v>KCES8H8</v>
      </c>
      <c r="L12" s="1" t="str">
        <f>RTD("cqg.rtd", ,"ContractData",Calculations!L2, "Symbol")</f>
        <v>KCES9H8</v>
      </c>
      <c r="M12" s="1" t="str">
        <f>RTD("cqg.rtd", ,"ContractData",Calculations!M2, "Symbol")</f>
        <v>KCES10H8</v>
      </c>
      <c r="N12" s="1"/>
      <c r="O12" s="13"/>
      <c r="U12" s="20"/>
    </row>
    <row r="13" spans="1:23" ht="14.1" customHeight="1" x14ac:dyDescent="0.3">
      <c r="B13" s="25" t="str">
        <f>IF($A$5=2,"",TEXT(RTD("cqg.rtd",,"ContractData",B12,Calculations!$T$1,,"T"),"#.00")&amp;" "&amp;"A")</f>
        <v>129.90 A</v>
      </c>
      <c r="C13" s="25"/>
      <c r="D13" s="25" t="str">
        <f>IF($A$5=2,"",TEXT(RTD("cqg.rtd",,"ContractData",D12,Calculations!$T$1,,"T"),"#.00")&amp;" "&amp;"A")</f>
        <v>-2.15 A</v>
      </c>
      <c r="E13" s="25" t="str">
        <f>IF($A$5=2,"",TEXT(RTD("cqg.rtd",,"ContractData",E12,Calculations!$T$1,,"T"),"#.00")&amp;" "&amp;"A")</f>
        <v>-4.45 A</v>
      </c>
      <c r="F13" s="25" t="str">
        <f>IF($A$5=2,"",TEXT(RTD("cqg.rtd",,"ContractData",F12,Calculations!$T$1,,"T"),"#.00")&amp;" "&amp;"A")</f>
        <v>-6.70 A</v>
      </c>
      <c r="G13" s="25" t="str">
        <f>IF($A$5=2,"",TEXT(RTD("cqg.rtd",,"ContractData",G12,Calculations!$T$1,,"T"),"#.00")&amp;" "&amp;"A")</f>
        <v>-10.05 A</v>
      </c>
      <c r="H13" s="25" t="str">
        <f>IF($A$5=2,"",TEXT(RTD("cqg.rtd",,"ContractData",H12,Calculations!$T$1,,"T"),"#.00")&amp;" "&amp;"A")</f>
        <v>-13.25 A</v>
      </c>
      <c r="I13" s="25" t="str">
        <f>IF($A$5=2,"",TEXT(RTD("cqg.rtd",,"ContractData",I12,Calculations!$T$1,,"T"),"#.00")&amp;" "&amp;"A")</f>
        <v>-15.20 A</v>
      </c>
      <c r="J13" s="25" t="str">
        <f>IF($A$5=2,"",TEXT(RTD("cqg.rtd",,"ContractData",J12,Calculations!$T$1,,"T"),"#.00")&amp;" "&amp;"A")</f>
        <v>-17.05 A</v>
      </c>
      <c r="K13" s="25" t="str">
        <f>IF($A$5=2,"",TEXT(RTD("cqg.rtd",,"ContractData",K12,Calculations!$T$1,,"T"),"#.00")&amp;" "&amp;"A")</f>
        <v>-18.90 A</v>
      </c>
      <c r="L13" s="25" t="str">
        <f>IF($A$5=2,"",TEXT(RTD("cqg.rtd",,"ContractData",L12,Calculations!$T$1,,"T"),"#.00")&amp;" "&amp;"A")</f>
        <v>-21.60 A</v>
      </c>
      <c r="M13" s="25" t="str">
        <f>IF($A$5=2,"",TEXT(RTD("cqg.rtd",,"ContractData",M12,Calculations!$T$1,,"T"),"#.00")&amp;" "&amp;"A")</f>
        <v>-24.15 A</v>
      </c>
      <c r="N13" s="25"/>
      <c r="O13" s="14"/>
      <c r="U13" s="20"/>
      <c r="W13" s="12" t="s">
        <v>17</v>
      </c>
    </row>
    <row r="14" spans="1:23" ht="14.1" customHeight="1" x14ac:dyDescent="0.3">
      <c r="B14" s="25" t="str">
        <f>IF($A$5=2,TEXT(RTD("cqg.rtd",,"ContractData",B12,"Settlement",,"T"),"#.00")&amp;" "&amp;"S",TEXT(RTD("cqg.rtd",,"ContractData",B12,Calculations!$S$1,,"T"),"#.00")&amp;" "&amp;"B")</f>
        <v>129.85 B</v>
      </c>
      <c r="C14" s="25"/>
      <c r="D14" s="25" t="str">
        <f>IF($A$5=2,TEXT(RTD("cqg.rtd",,"ContractData",D12,"Settlement",,"T"),"#.00")&amp;" "&amp;"S",TEXT(RTD("cqg.rtd",,"ContractData",D12,Calculations!$S$1,,"T"),"#.00")&amp;" "&amp;"B")</f>
        <v>-2.20 B</v>
      </c>
      <c r="E14" s="25" t="str">
        <f>IF($A$5=2,TEXT(RTD("cqg.rtd",,"ContractData",E12,"Settlement",,"T"),"#.00")&amp;" "&amp;"S",TEXT(RTD("cqg.rtd",,"ContractData",E12,Calculations!$S$1,,"T"),"#.00")&amp;" "&amp;"B")</f>
        <v>-4.50 B</v>
      </c>
      <c r="F14" s="25" t="str">
        <f>IF($A$5=2,TEXT(RTD("cqg.rtd",,"ContractData",F12,"Settlement",,"T"),"#.00")&amp;" "&amp;"S",TEXT(RTD("cqg.rtd",,"ContractData",F12,Calculations!$S$1,,"T"),"#.00")&amp;" "&amp;"B")</f>
        <v>-6.80 B</v>
      </c>
      <c r="G14" s="25" t="str">
        <f>IF($A$5=2,TEXT(RTD("cqg.rtd",,"ContractData",G12,"Settlement",,"T"),"#.00")&amp;" "&amp;"S",TEXT(RTD("cqg.rtd",,"ContractData",G12,Calculations!$S$1,,"T"),"#.00")&amp;" "&amp;"B")</f>
        <v>-10.15 B</v>
      </c>
      <c r="H14" s="25" t="str">
        <f>IF($A$5=2,TEXT(RTD("cqg.rtd",,"ContractData",H12,"Settlement",,"T"),"#.00")&amp;" "&amp;"S",TEXT(RTD("cqg.rtd",,"ContractData",H12,Calculations!$S$1,,"T"),"#.00")&amp;" "&amp;"B")</f>
        <v>-13.40 B</v>
      </c>
      <c r="I14" s="25" t="str">
        <f>IF($A$5=2,TEXT(RTD("cqg.rtd",,"ContractData",I12,"Settlement",,"T"),"#.00")&amp;" "&amp;"S",TEXT(RTD("cqg.rtd",,"ContractData",I12,Calculations!$S$1,,"T"),"#.00")&amp;" "&amp;"B")</f>
        <v>-15.40 B</v>
      </c>
      <c r="J14" s="25" t="str">
        <f>IF($A$5=2,TEXT(RTD("cqg.rtd",,"ContractData",J12,"Settlement",,"T"),"#.00")&amp;" "&amp;"S",TEXT(RTD("cqg.rtd",,"ContractData",J12,Calculations!$S$1,,"T"),"#.00")&amp;" "&amp;"B")</f>
        <v>-17.30 B</v>
      </c>
      <c r="K14" s="25" t="str">
        <f>IF($A$5=2,TEXT(RTD("cqg.rtd",,"ContractData",K12,"Settlement",,"T"),"#.00")&amp;" "&amp;"S",TEXT(RTD("cqg.rtd",,"ContractData",K12,Calculations!$S$1,,"T"),"#.00")&amp;" "&amp;"B")</f>
        <v>-19.95 B</v>
      </c>
      <c r="L14" s="25" t="str">
        <f>IF($A$5=2,TEXT(RTD("cqg.rtd",,"ContractData",L12,"Settlement",,"T"),"#.00")&amp;" "&amp;"S",TEXT(RTD("cqg.rtd",,"ContractData",L12,Calculations!$S$1,,"T"),"#.00")&amp;" "&amp;"B")</f>
        <v>-22.05 B</v>
      </c>
      <c r="M14" s="25" t="str">
        <f>IF($A$5=2,TEXT(RTD("cqg.rtd",,"ContractData",M12,"Settlement",,"T"),"#.00")&amp;" "&amp;"S",TEXT(RTD("cqg.rtd",,"ContractData",M12,Calculations!$S$1,,"T"),"#.00")&amp;" "&amp;"B")</f>
        <v>-25.40 B</v>
      </c>
      <c r="N14" s="25"/>
      <c r="O14" s="14"/>
      <c r="U14" s="20"/>
    </row>
    <row r="15" spans="1:23" ht="14.1" customHeight="1" x14ac:dyDescent="0.3">
      <c r="B15" s="26">
        <f>RTD("cqg.rtd", ,"ContractData",B12,"T_CVol")</f>
        <v>20154</v>
      </c>
      <c r="C15" s="26"/>
      <c r="D15" s="26">
        <f>RTD("cqg.rtd", ,"ContractData",D12,"T_CVol")</f>
        <v>2152</v>
      </c>
      <c r="E15" s="26">
        <f>RTD("cqg.rtd", ,"ContractData",E12,"T_CVol")</f>
        <v>339</v>
      </c>
      <c r="F15" s="26">
        <f>RTD("cqg.rtd", ,"ContractData",F12,"T_CVol")</f>
        <v>254</v>
      </c>
      <c r="G15" s="26">
        <f>RTD("cqg.rtd", ,"ContractData",G12,"T_CVol")</f>
        <v>14</v>
      </c>
      <c r="H15" s="26">
        <f>RTD("cqg.rtd", ,"ContractData",H12,"T_CVol")</f>
        <v>0</v>
      </c>
      <c r="I15" s="26">
        <f>RTD("cqg.rtd", ,"ContractData",I12,"T_CVol")</f>
        <v>0</v>
      </c>
      <c r="J15" s="26">
        <f>RTD("cqg.rtd", ,"ContractData",J12,"T_CVol")</f>
        <v>0</v>
      </c>
      <c r="K15" s="26">
        <f>RTD("cqg.rtd", ,"ContractData",K12,"T_CVol")</f>
        <v>0</v>
      </c>
      <c r="L15" s="26">
        <f>RTD("cqg.rtd", ,"ContractData",L12,"T_CVol")</f>
        <v>0</v>
      </c>
      <c r="M15" s="26">
        <f>RTD("cqg.rtd", ,"ContractData",M12,"T_CVol")</f>
        <v>0</v>
      </c>
      <c r="N15" s="26"/>
      <c r="O15" s="14"/>
      <c r="U15" s="20"/>
    </row>
    <row r="16" spans="1:23" ht="14.1" customHeight="1" x14ac:dyDescent="0.3">
      <c r="B16" s="29"/>
      <c r="C16" s="29"/>
      <c r="D16" s="27" t="str">
        <f>RIGHT(RTD("cqg.rtd", ,"ContractData",Calculations!Q3, "LongDescription"),6)</f>
        <v>May 18</v>
      </c>
      <c r="E16" s="27" t="str">
        <f>RIGHT(RTD("cqg.rtd", ,"ContractData",Calculations!D3, "LongDescription"),15)</f>
        <v xml:space="preserve"> May 18, Jul 18</v>
      </c>
      <c r="F16" s="27" t="str">
        <f>RIGHT(RTD("cqg.rtd", ,"ContractData",Calculations!E3, "LongDescription"),15)</f>
        <v xml:space="preserve"> May 18, Sep 18</v>
      </c>
      <c r="G16" s="27" t="str">
        <f>RIGHT(RTD("cqg.rtd", ,"ContractData",Calculations!F3, "LongDescription"),15)</f>
        <v xml:space="preserve"> May 18, Dec 18</v>
      </c>
      <c r="H16" s="27" t="str">
        <f>RIGHT(RTD("cqg.rtd", ,"ContractData",Calculations!G3, "LongDescription"),15)</f>
        <v xml:space="preserve"> May 18, Mar 19</v>
      </c>
      <c r="I16" s="27" t="str">
        <f>RIGHT(RTD("cqg.rtd", ,"ContractData",Calculations!H3, "LongDescription"),15)</f>
        <v xml:space="preserve"> May 18, May 19</v>
      </c>
      <c r="J16" s="27" t="str">
        <f>RIGHT(RTD("cqg.rtd", ,"ContractData",Calculations!I3, "LongDescription"),15)</f>
        <v xml:space="preserve"> May 18, Jul 19</v>
      </c>
      <c r="K16" s="27" t="str">
        <f>RIGHT(RTD("cqg.rtd", ,"ContractData",Calculations!J3, "LongDescription"),15)</f>
        <v xml:space="preserve"> May 18, Sep 19</v>
      </c>
      <c r="L16" s="27" t="str">
        <f>RIGHT(RTD("cqg.rtd", ,"ContractData",Calculations!K3, "LongDescription"),15)</f>
        <v xml:space="preserve"> May 18, Dec 19</v>
      </c>
      <c r="M16" s="27" t="str">
        <f>RIGHT(RTD("cqg.rtd", ,"ContractData",Calculations!L3, "LongDescription"),15)</f>
        <v xml:space="preserve"> May 18, Mar 20</v>
      </c>
      <c r="N16" s="27" t="str">
        <f>RIGHT(RTD("cqg.rtd", ,"ContractData",Calculations!M3, "LongDescription"),15)</f>
        <v xml:space="preserve"> May 18, May 20</v>
      </c>
      <c r="O16" s="14"/>
      <c r="U16" s="20"/>
    </row>
    <row r="17" spans="2:21" ht="15" hidden="1" customHeight="1" x14ac:dyDescent="0.3">
      <c r="B17" s="30"/>
      <c r="C17" s="31"/>
      <c r="D17" s="1" t="str">
        <f>RTD("cqg.rtd", ,"ContractData", Calculations!Q3, "Symbol")</f>
        <v>KCEK8</v>
      </c>
      <c r="E17" s="1" t="str">
        <f>RTD("cqg.rtd", ,"ContractData",Calculations!D3, "Symbol")</f>
        <v>KCES1K8</v>
      </c>
      <c r="F17" s="1" t="str">
        <f>RTD("cqg.rtd", ,"ContractData",Calculations!E3, "Symbol")</f>
        <v>KCES2K8</v>
      </c>
      <c r="G17" s="1" t="str">
        <f>RTD("cqg.rtd", ,"ContractData",Calculations!F3, "Symbol")</f>
        <v>KCES3K8</v>
      </c>
      <c r="H17" s="1" t="str">
        <f>RTD("cqg.rtd", ,"ContractData",Calculations!G3, "Symbol")</f>
        <v>KCES4K8</v>
      </c>
      <c r="I17" s="1" t="str">
        <f>RTD("cqg.rtd", ,"ContractData",Calculations!H3, "Symbol")</f>
        <v>KCES5K8</v>
      </c>
      <c r="J17" s="1" t="str">
        <f>RTD("cqg.rtd", ,"ContractData",Calculations!I3, "Symbol")</f>
        <v>KCES6K8</v>
      </c>
      <c r="K17" s="1" t="str">
        <f>RTD("cqg.rtd", ,"ContractData",Calculations!J3, "Symbol")</f>
        <v>KCES7K8</v>
      </c>
      <c r="L17" s="1" t="str">
        <f>RTD("cqg.rtd", ,"ContractData",Calculations!K3, "Symbol")</f>
        <v>KCES8K8</v>
      </c>
      <c r="M17" s="1" t="str">
        <f>RTD("cqg.rtd", ,"ContractData",Calculations!L3, "Symbol")</f>
        <v>KCES9K8</v>
      </c>
      <c r="N17" s="1" t="str">
        <f>RTD("cqg.rtd", ,"ContractData",Calculations!M3, "Symbol")</f>
        <v>KCES10K8</v>
      </c>
      <c r="O17" s="13"/>
      <c r="U17" s="20"/>
    </row>
    <row r="18" spans="2:21" ht="14.1" customHeight="1" x14ac:dyDescent="0.3">
      <c r="B18" s="45" t="s">
        <v>28</v>
      </c>
      <c r="C18" s="30"/>
      <c r="D18" s="25" t="str">
        <f>IF($A$5=2,"",TEXT(RTD("cqg.rtd",,"ContractData",D17,Calculations!$T$1,,"T"),"#.00")&amp;" "&amp;"A")</f>
        <v>132.05 A</v>
      </c>
      <c r="E18" s="25" t="str">
        <f>IF($A$5=2,"",TEXT(RTD("cqg.rtd",,"ContractData",E17,Calculations!$T$1,,"T"),"#.00")&amp;" "&amp;"A")</f>
        <v>-2.25 A</v>
      </c>
      <c r="F18" s="25" t="str">
        <f>IF($A$5=2,"",TEXT(RTD("cqg.rtd",,"ContractData",F17,Calculations!$T$1,,"T"),"#.00")&amp;" "&amp;"A")</f>
        <v>-4.55 A</v>
      </c>
      <c r="G18" s="25" t="str">
        <f>IF($A$5=2,"",TEXT(RTD("cqg.rtd",,"ContractData",G17,Calculations!$T$1,,"T"),"#.00")&amp;" "&amp;"A")</f>
        <v>-7.90 A</v>
      </c>
      <c r="H18" s="25" t="str">
        <f>IF($A$5=2,"",TEXT(RTD("cqg.rtd",,"ContractData",H17,Calculations!$T$1,,"T"),"#.00")&amp;" "&amp;"A")</f>
        <v>-11.10 A</v>
      </c>
      <c r="I18" s="25" t="str">
        <f>IF($A$5=2,"",TEXT(RTD("cqg.rtd",,"ContractData",I17,Calculations!$T$1,,"T"),"#.00")&amp;" "&amp;"A")</f>
        <v>-13.05 A</v>
      </c>
      <c r="J18" s="25" t="str">
        <f>IF($A$5=2,"",TEXT(RTD("cqg.rtd",,"ContractData",J17,Calculations!$T$1,,"T"),"#.00")&amp;" "&amp;"A")</f>
        <v>-14.90 A</v>
      </c>
      <c r="K18" s="25" t="str">
        <f>IF($A$5=2,"",TEXT(RTD("cqg.rtd",,"ContractData",K17,Calculations!$T$1,,"T"),"#.00")&amp;" "&amp;"A")</f>
        <v>-16.70 A</v>
      </c>
      <c r="L18" s="25" t="str">
        <f>IF($A$5=2,"",TEXT(RTD("cqg.rtd",,"ContractData",L17,Calculations!$T$1,,"T"),"#.00")&amp;" "&amp;"A")</f>
        <v>-19.45 A</v>
      </c>
      <c r="M18" s="25" t="str">
        <f>IF($A$5=2,"",TEXT(RTD("cqg.rtd",,"ContractData",M17,Calculations!$T$1,,"T"),"#.00")&amp;" "&amp;"A")</f>
        <v>-16.45 A</v>
      </c>
      <c r="N18" s="25" t="str">
        <f>IF($A$5=2,"",TEXT(RTD("cqg.rtd",,"ContractData",N17,Calculations!$T$1,,"T"),"#.00")&amp;" "&amp;"A")</f>
        <v>-17.90 A</v>
      </c>
      <c r="O18" s="14"/>
      <c r="U18" s="20"/>
    </row>
    <row r="19" spans="2:21" ht="14.1" customHeight="1" x14ac:dyDescent="0.3">
      <c r="B19" s="108">
        <f>RTD("cqg.rtd", ,"SystemInfo", "Linetime")+1/24</f>
        <v>43067.549814814818</v>
      </c>
      <c r="C19" s="30"/>
      <c r="D19" s="25" t="str">
        <f>IF($A$5=2,TEXT(RTD("cqg.rtd",,"ContractData",D17,"Settlement",,"T"),"#.00")&amp;" "&amp;"S",TEXT(RTD("cqg.rtd",,"ContractData",D17,Calculations!$S$1,,"T"),"#.00")&amp;" "&amp;"B")</f>
        <v>132.00 B</v>
      </c>
      <c r="E19" s="25" t="str">
        <f>IF($A$5=2,TEXT(RTD("cqg.rtd",,"ContractData",E17,"Settlement",,"T"),"#.00")&amp;" "&amp;"S",TEXT(RTD("cqg.rtd",,"ContractData",E17,Calculations!$S$1,,"T"),"#.00")&amp;" "&amp;"B")</f>
        <v>-2.30 B</v>
      </c>
      <c r="F19" s="25" t="str">
        <f>IF($A$5=2,TEXT(RTD("cqg.rtd",,"ContractData",F17,"Settlement",,"T"),"#.00")&amp;" "&amp;"S",TEXT(RTD("cqg.rtd",,"ContractData",F17,Calculations!$S$1,,"T"),"#.00")&amp;" "&amp;"B")</f>
        <v>-4.60 B</v>
      </c>
      <c r="G19" s="25" t="str">
        <f>IF($A$5=2,TEXT(RTD("cqg.rtd",,"ContractData",G17,"Settlement",,"T"),"#.00")&amp;" "&amp;"S",TEXT(RTD("cqg.rtd",,"ContractData",G17,Calculations!$S$1,,"T"),"#.00")&amp;" "&amp;"B")</f>
        <v>-7.95 B</v>
      </c>
      <c r="H19" s="25" t="str">
        <f>IF($A$5=2,TEXT(RTD("cqg.rtd",,"ContractData",H17,"Settlement",,"T"),"#.00")&amp;" "&amp;"S",TEXT(RTD("cqg.rtd",,"ContractData",H17,Calculations!$S$1,,"T"),"#.00")&amp;" "&amp;"B")</f>
        <v>-11.20 B</v>
      </c>
      <c r="I19" s="25" t="str">
        <f>IF($A$5=2,TEXT(RTD("cqg.rtd",,"ContractData",I17,"Settlement",,"T"),"#.00")&amp;" "&amp;"S",TEXT(RTD("cqg.rtd",,"ContractData",I17,Calculations!$S$1,,"T"),"#.00")&amp;" "&amp;"B")</f>
        <v>-13.20 B</v>
      </c>
      <c r="J19" s="25" t="str">
        <f>IF($A$5=2,TEXT(RTD("cqg.rtd",,"ContractData",J17,"Settlement",,"T"),"#.00")&amp;" "&amp;"S",TEXT(RTD("cqg.rtd",,"ContractData",J17,Calculations!$S$1,,"T"),"#.00")&amp;" "&amp;"B")</f>
        <v>-15.10 B</v>
      </c>
      <c r="K19" s="25" t="str">
        <f>IF($A$5=2,TEXT(RTD("cqg.rtd",,"ContractData",K17,"Settlement",,"T"),"#.00")&amp;" "&amp;"S",TEXT(RTD("cqg.rtd",,"ContractData",K17,Calculations!$S$1,,"T"),"#.00")&amp;" "&amp;"B")</f>
        <v>-17.75 B</v>
      </c>
      <c r="L19" s="25" t="str">
        <f>IF($A$5=2,TEXT(RTD("cqg.rtd",,"ContractData",L17,"Settlement",,"T"),"#.00")&amp;" "&amp;"S",TEXT(RTD("cqg.rtd",,"ContractData",L17,Calculations!$S$1,,"T"),"#.00")&amp;" "&amp;"B")</f>
        <v>-19.85 B</v>
      </c>
      <c r="M19" s="25" t="str">
        <f>IF($A$5=2,TEXT(RTD("cqg.rtd",,"ContractData",M17,"Settlement",,"T"),"#.00")&amp;" "&amp;"S",TEXT(RTD("cqg.rtd",,"ContractData",M17,Calculations!$S$1,,"T"),"#.00")&amp;" "&amp;"B")</f>
        <v>-23.20 B</v>
      </c>
      <c r="N19" s="25" t="str">
        <f>IF($A$5=2,TEXT(RTD("cqg.rtd",,"ContractData",N17,"Settlement",,"T"),"#.00")&amp;" "&amp;"S",TEXT(RTD("cqg.rtd",,"ContractData",N17,Calculations!$S$1,,"T"),"#.00")&amp;" "&amp;"B")</f>
        <v>-49.85 B</v>
      </c>
      <c r="O19" s="14"/>
      <c r="U19" s="20"/>
    </row>
    <row r="20" spans="2:21" ht="14.1" customHeight="1" x14ac:dyDescent="0.3">
      <c r="B20" s="109"/>
      <c r="C20" s="30"/>
      <c r="D20" s="26">
        <f>RTD("cqg.rtd", ,"ContractData",D17,"T_CVol")</f>
        <v>4731</v>
      </c>
      <c r="E20" s="26">
        <f>RTD("cqg.rtd", ,"ContractData",E17,"T_CVol")</f>
        <v>1551</v>
      </c>
      <c r="F20" s="26">
        <f>RTD("cqg.rtd", ,"ContractData",F17,"T_CVol")</f>
        <v>105</v>
      </c>
      <c r="G20" s="26">
        <f>RTD("cqg.rtd", ,"ContractData",G17,"T_CVol")</f>
        <v>49</v>
      </c>
      <c r="H20" s="26">
        <f>RTD("cqg.rtd", ,"ContractData",H17,"T_CVol")</f>
        <v>4</v>
      </c>
      <c r="I20" s="26">
        <f>RTD("cqg.rtd", ,"ContractData",I17,"T_CVol")</f>
        <v>0</v>
      </c>
      <c r="J20" s="26">
        <f>RTD("cqg.rtd", ,"ContractData",J17,"T_CVol")</f>
        <v>0</v>
      </c>
      <c r="K20" s="26">
        <f>RTD("cqg.rtd", ,"ContractData",K17,"T_CVol")</f>
        <v>0</v>
      </c>
      <c r="L20" s="26">
        <f>RTD("cqg.rtd", ,"ContractData",L17,"T_CVol")</f>
        <v>0</v>
      </c>
      <c r="M20" s="26">
        <f>RTD("cqg.rtd", ,"ContractData",M17,"T_CVol")</f>
        <v>0</v>
      </c>
      <c r="N20" s="26">
        <f>RTD("cqg.rtd", ,"ContractData",N17,"T_CVol")</f>
        <v>0</v>
      </c>
      <c r="O20" s="14"/>
      <c r="U20" s="20"/>
    </row>
    <row r="21" spans="2:21" ht="14.1" customHeight="1" x14ac:dyDescent="0.3">
      <c r="B21" s="30"/>
      <c r="C21" s="30"/>
      <c r="D21" s="29"/>
      <c r="E21" s="27" t="str">
        <f>RIGHT(RTD("cqg.rtd", ,"ContractData",Calculations!Q4, "LongDescription"),6)</f>
        <v>Jul 18</v>
      </c>
      <c r="F21" s="27" t="str">
        <f>RIGHT(RTD("cqg.rtd", ,"ContractData",Calculations!D4, "LongDescription"),15)</f>
        <v xml:space="preserve"> Jul 18, Sep 18</v>
      </c>
      <c r="G21" s="27" t="str">
        <f>RIGHT(RTD("cqg.rtd", ,"ContractData",Calculations!E4, "LongDescription"),15)</f>
        <v xml:space="preserve"> Jul 18, Dec 18</v>
      </c>
      <c r="H21" s="27" t="str">
        <f>RIGHT(RTD("cqg.rtd", ,"ContractData",Calculations!F4, "LongDescription"),15)</f>
        <v xml:space="preserve"> Jul 18, Mar 19</v>
      </c>
      <c r="I21" s="27" t="str">
        <f>RIGHT(RTD("cqg.rtd", ,"ContractData",Calculations!G4, "LongDescription"),15)</f>
        <v xml:space="preserve"> Jul 18, May 19</v>
      </c>
      <c r="J21" s="27" t="str">
        <f>RIGHT(RTD("cqg.rtd", ,"ContractData",Calculations!H4, "LongDescription"),15)</f>
        <v xml:space="preserve"> Jul 18, Jul 19</v>
      </c>
      <c r="K21" s="27" t="str">
        <f>RIGHT(RTD("cqg.rtd", ,"ContractData",Calculations!I4, "LongDescription"),15)</f>
        <v xml:space="preserve"> Jul 18, Sep 19</v>
      </c>
      <c r="L21" s="27" t="str">
        <f>RIGHT(RTD("cqg.rtd", ,"ContractData",Calculations!J4, "LongDescription"),15)</f>
        <v xml:space="preserve"> Jul 18, Dec 19</v>
      </c>
      <c r="M21" s="27" t="str">
        <f>RIGHT(RTD("cqg.rtd", ,"ContractData",Calculations!K4, "LongDescription"),15)</f>
        <v xml:space="preserve"> Jul 18, Mar 20</v>
      </c>
      <c r="N21" s="27" t="str">
        <f>RIGHT(RTD("cqg.rtd", ,"ContractData",Calculations!L4, "LongDescription"),15)</f>
        <v xml:space="preserve"> Jul 18, May 20</v>
      </c>
      <c r="O21" s="14"/>
      <c r="U21" s="20"/>
    </row>
    <row r="22" spans="2:21" ht="15" hidden="1" customHeight="1" x14ac:dyDescent="0.3">
      <c r="B22" s="30"/>
      <c r="C22" s="31"/>
      <c r="D22" s="30"/>
      <c r="E22" s="1" t="str">
        <f>RTD("cqg.rtd", ,"ContractData",Calculations!Q4, "Symbol")</f>
        <v>KCEN8</v>
      </c>
      <c r="F22" s="2" t="str">
        <f>RTD("cqg.rtd", ,"ContractData",Calculations!D4, "Symbol")</f>
        <v>KCES1N8</v>
      </c>
      <c r="G22" s="2" t="str">
        <f>RTD("cqg.rtd", ,"ContractData",Calculations!E4, "Symbol")</f>
        <v>KCES2N8</v>
      </c>
      <c r="H22" s="2" t="str">
        <f>RTD("cqg.rtd", ,"ContractData",Calculations!F4, "Symbol")</f>
        <v>KCES3N8</v>
      </c>
      <c r="I22" s="2" t="str">
        <f>RTD("cqg.rtd", ,"ContractData",Calculations!G4, "Symbol")</f>
        <v>KCES4N8</v>
      </c>
      <c r="J22" s="2" t="str">
        <f>RTD("cqg.rtd", ,"ContractData",Calculations!H4, "Symbol")</f>
        <v>KCES5N8</v>
      </c>
      <c r="K22" s="2" t="str">
        <f>RTD("cqg.rtd", ,"ContractData",Calculations!I4, "Symbol")</f>
        <v>KCES6N8</v>
      </c>
      <c r="L22" s="2" t="str">
        <f>RTD("cqg.rtd", ,"ContractData",Calculations!J4, "Symbol")</f>
        <v>KCES7N8</v>
      </c>
      <c r="M22" s="2" t="str">
        <f>RTD("cqg.rtd", ,"ContractData",Calculations!K4, "Symbol")</f>
        <v>KCES8N8</v>
      </c>
      <c r="N22" s="2" t="str">
        <f>RTD("cqg.rtd", ,"ContractData",Calculations!L4, "Symbol")</f>
        <v>KCES9N8</v>
      </c>
      <c r="O22" s="13"/>
      <c r="U22" s="20"/>
    </row>
    <row r="23" spans="2:21" ht="14.1" customHeight="1" x14ac:dyDescent="0.3">
      <c r="B23" s="30"/>
      <c r="C23" s="30"/>
      <c r="D23" s="30"/>
      <c r="E23" s="25" t="str">
        <f>IF($A$5=2,"",TEXT(RTD("cqg.rtd",,"ContractData",E22,Calculations!$T$1,,"T"),"#.00")&amp;" "&amp;"A")</f>
        <v>134.35 A</v>
      </c>
      <c r="F23" s="25" t="str">
        <f>IF($A$5=2,"",TEXT(RTD("cqg.rtd",,"ContractData",F22,Calculations!$T$1,,"T"),"#.00")&amp;" "&amp;"A")</f>
        <v>-2.25 A</v>
      </c>
      <c r="G23" s="25" t="str">
        <f>IF($A$5=2,"",TEXT(RTD("cqg.rtd",,"ContractData",G22,Calculations!$T$1,,"T"),"#.00")&amp;" "&amp;"A")</f>
        <v>-5.60 A</v>
      </c>
      <c r="H23" s="25" t="str">
        <f>IF($A$5=2,"",TEXT(RTD("cqg.rtd",,"ContractData",H22,Calculations!$T$1,,"T"),"#.00")&amp;" "&amp;"A")</f>
        <v>-8.80 A</v>
      </c>
      <c r="I23" s="25" t="str">
        <f>IF($A$5=2,"",TEXT(RTD("cqg.rtd",,"ContractData",I22,Calculations!$T$1,,"T"),"#.00")&amp;" "&amp;"A")</f>
        <v>-10.75 A</v>
      </c>
      <c r="J23" s="25" t="str">
        <f>IF($A$5=2,"",TEXT(RTD("cqg.rtd",,"ContractData",J22,Calculations!$T$1,,"T"),"#.00")&amp;" "&amp;"A")</f>
        <v>-12.60 A</v>
      </c>
      <c r="K23" s="25" t="str">
        <f>IF($A$5=2,"",TEXT(RTD("cqg.rtd",,"ContractData",K22,Calculations!$T$1,,"T"),"#.00")&amp;" "&amp;"A")</f>
        <v>-14.40 A</v>
      </c>
      <c r="L23" s="25" t="str">
        <f>IF($A$5=2,"",TEXT(RTD("cqg.rtd",,"ContractData",L22,Calculations!$T$1,,"T"),"#.00")&amp;" "&amp;"A")</f>
        <v>-17.15 A</v>
      </c>
      <c r="M23" s="25" t="str">
        <f>IF($A$5=2,"",TEXT(RTD("cqg.rtd",,"ContractData",M22,Calculations!$T$1,,"T"),"#.00")&amp;" "&amp;"A")</f>
        <v>-14.15 A</v>
      </c>
      <c r="N23" s="25" t="str">
        <f>IF($A$5=2,"",TEXT(RTD("cqg.rtd",,"ContractData",N22,Calculations!$T$1,,"T"),"#.00")&amp;" "&amp;"A")</f>
        <v>-15.60 A</v>
      </c>
      <c r="O23" s="14"/>
      <c r="U23" s="20"/>
    </row>
    <row r="24" spans="2:21" ht="14.1" customHeight="1" x14ac:dyDescent="0.3">
      <c r="B24" s="28" t="s">
        <v>4</v>
      </c>
      <c r="C24" s="30"/>
      <c r="D24" s="32"/>
      <c r="E24" s="25" t="str">
        <f>IF($A$5=2,TEXT(RTD("cqg.rtd",,"ContractData",E22,"Settlement",,"T"),"#.00")&amp;" "&amp;"S",TEXT(RTD("cqg.rtd",,"ContractData",E22,Calculations!$S$1,,"T"),"#.00")&amp;" "&amp;"B")</f>
        <v>134.30 B</v>
      </c>
      <c r="F24" s="25" t="str">
        <f>IF($A$5=2,TEXT(RTD("cqg.rtd",,"ContractData",F22,"Settlement",,"T"),"#.00")&amp;" "&amp;"S",TEXT(RTD("cqg.rtd",,"ContractData",F22,Calculations!$S$1,,"T"),"#.00")&amp;" "&amp;"B")</f>
        <v>-2.30 B</v>
      </c>
      <c r="G24" s="25" t="str">
        <f>IF($A$5=2,TEXT(RTD("cqg.rtd",,"ContractData",G22,"Settlement",,"T"),"#.00")&amp;" "&amp;"S",TEXT(RTD("cqg.rtd",,"ContractData",G22,Calculations!$S$1,,"T"),"#.00")&amp;" "&amp;"B")</f>
        <v>-5.65 B</v>
      </c>
      <c r="H24" s="25" t="str">
        <f>IF($A$5=2,TEXT(RTD("cqg.rtd",,"ContractData",H22,"Settlement",,"T"),"#.00")&amp;" "&amp;"S",TEXT(RTD("cqg.rtd",,"ContractData",H22,Calculations!$S$1,,"T"),"#.00")&amp;" "&amp;"B")</f>
        <v>-8.90 B</v>
      </c>
      <c r="I24" s="25" t="str">
        <f>IF($A$5=2,TEXT(RTD("cqg.rtd",,"ContractData",I22,"Settlement",,"T"),"#.00")&amp;" "&amp;"S",TEXT(RTD("cqg.rtd",,"ContractData",I22,Calculations!$S$1,,"T"),"#.00")&amp;" "&amp;"B")</f>
        <v>-10.90 B</v>
      </c>
      <c r="J24" s="25" t="str">
        <f>IF($A$5=2,TEXT(RTD("cqg.rtd",,"ContractData",J22,"Settlement",,"T"),"#.00")&amp;" "&amp;"S",TEXT(RTD("cqg.rtd",,"ContractData",J22,Calculations!$S$1,,"T"),"#.00")&amp;" "&amp;"B")</f>
        <v>-12.80 B</v>
      </c>
      <c r="K24" s="25" t="str">
        <f>IF($A$5=2,TEXT(RTD("cqg.rtd",,"ContractData",K22,"Settlement",,"T"),"#.00")&amp;" "&amp;"S",TEXT(RTD("cqg.rtd",,"ContractData",K22,Calculations!$S$1,,"T"),"#.00")&amp;" "&amp;"B")</f>
        <v>-15.45 B</v>
      </c>
      <c r="L24" s="25" t="str">
        <f>IF($A$5=2,TEXT(RTD("cqg.rtd",,"ContractData",L22,"Settlement",,"T"),"#.00")&amp;" "&amp;"S",TEXT(RTD("cqg.rtd",,"ContractData",L22,Calculations!$S$1,,"T"),"#.00")&amp;" "&amp;"B")</f>
        <v>-17.55 B</v>
      </c>
      <c r="M24" s="25" t="str">
        <f>IF($A$5=2,TEXT(RTD("cqg.rtd",,"ContractData",M22,"Settlement",,"T"),"#.00")&amp;" "&amp;"S",TEXT(RTD("cqg.rtd",,"ContractData",M22,Calculations!$S$1,,"T"),"#.00")&amp;" "&amp;"B")</f>
        <v>-20.90 B</v>
      </c>
      <c r="N24" s="25" t="str">
        <f>IF($A$5=2,TEXT(RTD("cqg.rtd",,"ContractData",N22,"Settlement",,"T"),"#.00")&amp;" "&amp;"S",TEXT(RTD("cqg.rtd",,"ContractData",N22,Calculations!$S$1,,"T"),"#.00")&amp;" "&amp;"B")</f>
        <v>-47.60 B</v>
      </c>
      <c r="O24" s="14"/>
      <c r="U24" s="20"/>
    </row>
    <row r="25" spans="2:21" ht="14.1" customHeight="1" x14ac:dyDescent="0.3">
      <c r="B25" s="57" t="s">
        <v>22</v>
      </c>
      <c r="C25" s="30"/>
      <c r="D25" s="33"/>
      <c r="E25" s="26">
        <f>RTD("cqg.rtd", ,"ContractData",E22,"T_CVol")</f>
        <v>2118</v>
      </c>
      <c r="F25" s="26">
        <f>RTD("cqg.rtd", ,"ContractData",F22,"T_CVol")</f>
        <v>166</v>
      </c>
      <c r="G25" s="26">
        <f>RTD("cqg.rtd", ,"ContractData",G22,"T_CVol")</f>
        <v>78</v>
      </c>
      <c r="H25" s="26">
        <f>RTD("cqg.rtd", ,"ContractData",H22,"T_CVol")</f>
        <v>2</v>
      </c>
      <c r="I25" s="26">
        <f>RTD("cqg.rtd", ,"ContractData",I22,"T_CVol")</f>
        <v>0</v>
      </c>
      <c r="J25" s="26">
        <f>RTD("cqg.rtd", ,"ContractData",J22,"T_CVol")</f>
        <v>0</v>
      </c>
      <c r="K25" s="26">
        <f>RTD("cqg.rtd", ,"ContractData",K22,"T_CVol")</f>
        <v>0</v>
      </c>
      <c r="L25" s="26">
        <f>RTD("cqg.rtd", ,"ContractData",L22,"T_CVol")</f>
        <v>0</v>
      </c>
      <c r="M25" s="26">
        <f>RTD("cqg.rtd", ,"ContractData",M22,"T_CVol")</f>
        <v>0</v>
      </c>
      <c r="N25" s="26">
        <f>RTD("cqg.rtd", ,"ContractData",N22,"T_CVol")</f>
        <v>0</v>
      </c>
      <c r="O25" s="14"/>
      <c r="U25" s="20"/>
    </row>
    <row r="26" spans="2:21" ht="14.1" customHeight="1" x14ac:dyDescent="0.3">
      <c r="B26" s="34"/>
      <c r="C26" s="30"/>
      <c r="D26" s="34"/>
      <c r="E26" s="29"/>
      <c r="F26" s="27" t="str">
        <f>RIGHT(RTD("cqg.rtd", ,"ContractData",Calculations!Q5, "LongDescription"),6)</f>
        <v>Sep 18</v>
      </c>
      <c r="G26" s="27" t="str">
        <f>RIGHT(RTD("cqg.rtd", ,"ContractData",Calculations!D5, "LongDescription"),15)</f>
        <v xml:space="preserve"> Sep 18, Dec 18</v>
      </c>
      <c r="H26" s="27" t="str">
        <f>RIGHT(RTD("cqg.rtd", ,"ContractData",Calculations!E5, "LongDescription"),15)</f>
        <v xml:space="preserve"> Sep 18, Mar 19</v>
      </c>
      <c r="I26" s="27" t="str">
        <f>RIGHT(RTD("cqg.rtd", ,"ContractData",Calculations!F5, "LongDescription"),15)</f>
        <v xml:space="preserve"> Sep 18, May 19</v>
      </c>
      <c r="J26" s="27" t="str">
        <f>RIGHT(RTD("cqg.rtd", ,"ContractData",Calculations!G5, "LongDescription"),15)</f>
        <v xml:space="preserve"> Sep 18, Jul 19</v>
      </c>
      <c r="K26" s="27" t="str">
        <f>RIGHT(RTD("cqg.rtd", ,"ContractData",Calculations!H5, "LongDescription"),15)</f>
        <v xml:space="preserve"> Sep 18, Sep 19</v>
      </c>
      <c r="L26" s="27" t="str">
        <f>RIGHT(RTD("cqg.rtd", ,"ContractData",Calculations!I5, "LongDescription"),15)</f>
        <v xml:space="preserve"> Sep 18, Dec 19</v>
      </c>
      <c r="M26" s="27" t="str">
        <f>RIGHT(RTD("cqg.rtd", ,"ContractData",Calculations!J5, "LongDescription"),15)</f>
        <v xml:space="preserve"> Sep 18, Mar 20</v>
      </c>
      <c r="N26" s="27" t="str">
        <f>RIGHT(RTD("cqg.rtd", ,"ContractData",Calculations!K5, "LongDescription"),15)</f>
        <v xml:space="preserve"> Sep 18, May 20</v>
      </c>
      <c r="O26" s="14"/>
      <c r="U26" s="20"/>
    </row>
    <row r="27" spans="2:21" ht="15" hidden="1" customHeight="1" x14ac:dyDescent="0.3">
      <c r="B27" s="35"/>
      <c r="C27" s="35"/>
      <c r="D27" s="35"/>
      <c r="E27" s="35"/>
      <c r="F27" s="1" t="str">
        <f>RTD("cqg.rtd", ,"ContractData",Calculations!Q5, "Symbol")</f>
        <v>KCEU8</v>
      </c>
      <c r="G27" s="2" t="str">
        <f>RTD("cqg.rtd", ,"ContractData",Calculations!D5, "Symbol")</f>
        <v>KCES1U8</v>
      </c>
      <c r="H27" s="2" t="str">
        <f>RTD("cqg.rtd", ,"ContractData",Calculations!E5, "Symbol")</f>
        <v>KCES2U8</v>
      </c>
      <c r="I27" s="2" t="str">
        <f>RTD("cqg.rtd", ,"ContractData",Calculations!F5, "Symbol")</f>
        <v>KCES3U8</v>
      </c>
      <c r="J27" s="2" t="str">
        <f>RTD("cqg.rtd", ,"ContractData",Calculations!G5, "Symbol")</f>
        <v>KCES4U8</v>
      </c>
      <c r="K27" s="2" t="str">
        <f>RTD("cqg.rtd", ,"ContractData",Calculations!H5, "Symbol")</f>
        <v>KCES5U8</v>
      </c>
      <c r="L27" s="2" t="str">
        <f>RTD("cqg.rtd", ,"ContractData",Calculations!I5, "Symbol")</f>
        <v>KCES6U8</v>
      </c>
      <c r="M27" s="2" t="str">
        <f>RTD("cqg.rtd", ,"ContractData",Calculations!J5, "Symbol")</f>
        <v>KCES7U8</v>
      </c>
      <c r="N27" s="2" t="str">
        <f>RTD("cqg.rtd", ,"ContractData",Calculations!K5, "Symbol")</f>
        <v>KCES8U8</v>
      </c>
      <c r="O27" s="13"/>
      <c r="U27" s="20"/>
    </row>
    <row r="28" spans="2:21" ht="14.1" customHeight="1" x14ac:dyDescent="0.3">
      <c r="B28" s="110" t="s">
        <v>18</v>
      </c>
      <c r="C28" s="111"/>
      <c r="D28" s="111"/>
      <c r="E28" s="112"/>
      <c r="F28" s="25" t="str">
        <f>IF($A$5=2,"",TEXT(RTD("cqg.rtd",,"ContractData",F27,Calculations!$T$1,,"T"),"#.00")&amp;" "&amp;"A")</f>
        <v>136.65 A</v>
      </c>
      <c r="G28" s="25" t="str">
        <f>IF($A$5=2,"",TEXT(RTD("cqg.rtd",,"ContractData",G27,Calculations!$T$1,,"T"),"#.00")&amp;" "&amp;"A")</f>
        <v>-3.35 A</v>
      </c>
      <c r="H28" s="25" t="str">
        <f>IF($A$5=2,"",TEXT(RTD("cqg.rtd",,"ContractData",H27,Calculations!$T$1,,"T"),"#.00")&amp;" "&amp;"A")</f>
        <v>-6.55 A</v>
      </c>
      <c r="I28" s="25" t="str">
        <f>IF($A$5=2,"",TEXT(RTD("cqg.rtd",,"ContractData",I27,Calculations!$T$1,,"T"),"#.00")&amp;" "&amp;"A")</f>
        <v>-8.50 A</v>
      </c>
      <c r="J28" s="25" t="str">
        <f>IF($A$5=2,"",TEXT(RTD("cqg.rtd",,"ContractData",J27,Calculations!$T$1,,"T"),"#.00")&amp;" "&amp;"A")</f>
        <v>-10.35 A</v>
      </c>
      <c r="K28" s="25" t="str">
        <f>IF($A$5=2,"",TEXT(RTD("cqg.rtd",,"ContractData",K27,Calculations!$T$1,,"T"),"#.00")&amp;" "&amp;"A")</f>
        <v>-12.20 A</v>
      </c>
      <c r="L28" s="25" t="str">
        <f>IF($A$5=2,"",TEXT(RTD("cqg.rtd",,"ContractData",L27,Calculations!$T$1,,"T"),"#.00")&amp;" "&amp;"A")</f>
        <v>-14.70 A</v>
      </c>
      <c r="M28" s="25" t="str">
        <f>IF($A$5=2,"",TEXT(RTD("cqg.rtd",,"ContractData",M27,Calculations!$T$1,,"T"),"#.00")&amp;" "&amp;"A")</f>
        <v>-11.85 A</v>
      </c>
      <c r="N28" s="25" t="str">
        <f>IF($A$5=2,"",TEXT(RTD("cqg.rtd",,"ContractData",N27,Calculations!$T$1,,"T"),"#.00")&amp;" "&amp;"A")</f>
        <v>-13.25 A</v>
      </c>
      <c r="O28" s="14"/>
      <c r="U28" s="20"/>
    </row>
    <row r="29" spans="2:21" ht="14.1" customHeight="1" x14ac:dyDescent="0.3">
      <c r="B29" s="30"/>
      <c r="C29" s="30"/>
      <c r="D29" s="30"/>
      <c r="E29" s="30"/>
      <c r="F29" s="25" t="str">
        <f>IF($A$5=2,TEXT(RTD("cqg.rtd",,"ContractData",F27,"Settlement",,"T"),"#.00")&amp;" "&amp;"S",TEXT(RTD("cqg.rtd",,"ContractData",F27,Calculations!$S$1,,"T"),"#.00")&amp;" "&amp;"B")</f>
        <v>136.55 B</v>
      </c>
      <c r="G29" s="25" t="str">
        <f>IF($A$5=2,TEXT(RTD("cqg.rtd",,"ContractData",G27,"Settlement",,"T"),"#.00")&amp;" "&amp;"S",TEXT(RTD("cqg.rtd",,"ContractData",G27,Calculations!$S$1,,"T"),"#.00")&amp;" "&amp;"B")</f>
        <v>-3.40 B</v>
      </c>
      <c r="H29" s="25" t="str">
        <f>IF($A$5=2,TEXT(RTD("cqg.rtd",,"ContractData",H27,"Settlement",,"T"),"#.00")&amp;" "&amp;"S",TEXT(RTD("cqg.rtd",,"ContractData",H27,Calculations!$S$1,,"T"),"#.00")&amp;" "&amp;"B")</f>
        <v>-6.60 B</v>
      </c>
      <c r="I29" s="25" t="str">
        <f>IF($A$5=2,TEXT(RTD("cqg.rtd",,"ContractData",I27,"Settlement",,"T"),"#.00")&amp;" "&amp;"S",TEXT(RTD("cqg.rtd",,"ContractData",I27,Calculations!$S$1,,"T"),"#.00")&amp;" "&amp;"B")</f>
        <v>-8.60 B</v>
      </c>
      <c r="J29" s="25" t="str">
        <f>IF($A$5=2,TEXT(RTD("cqg.rtd",,"ContractData",J27,"Settlement",,"T"),"#.00")&amp;" "&amp;"S",TEXT(RTD("cqg.rtd",,"ContractData",J27,Calculations!$S$1,,"T"),"#.00")&amp;" "&amp;"B")</f>
        <v>-10.50 B</v>
      </c>
      <c r="K29" s="25" t="str">
        <f>IF($A$5=2,TEXT(RTD("cqg.rtd",,"ContractData",K27,"Settlement",,"T"),"#.00")&amp;" "&amp;"S",TEXT(RTD("cqg.rtd",,"ContractData",K27,Calculations!$S$1,,"T"),"#.00")&amp;" "&amp;"B")</f>
        <v>-13.20 B</v>
      </c>
      <c r="L29" s="25" t="str">
        <f>IF($A$5=2,TEXT(RTD("cqg.rtd",,"ContractData",L27,"Settlement",,"T"),"#.00")&amp;" "&amp;"S",TEXT(RTD("cqg.rtd",,"ContractData",L27,Calculations!$S$1,,"T"),"#.00")&amp;" "&amp;"B")</f>
        <v>-15.90 B</v>
      </c>
      <c r="M29" s="25" t="str">
        <f>IF($A$5=2,TEXT(RTD("cqg.rtd",,"ContractData",M27,"Settlement",,"T"),"#.00")&amp;" "&amp;"S",TEXT(RTD("cqg.rtd",,"ContractData",M27,Calculations!$S$1,,"T"),"#.00")&amp;" "&amp;"B")</f>
        <v>-18.65 B</v>
      </c>
      <c r="N29" s="25" t="str">
        <f>IF($A$5=2,TEXT(RTD("cqg.rtd",,"ContractData",N27,"Settlement",,"T"),"#.00")&amp;" "&amp;"S",TEXT(RTD("cqg.rtd",,"ContractData",N27,Calculations!$S$1,,"T"),"#.00")&amp;" "&amp;"B")</f>
        <v>-45.35 B</v>
      </c>
      <c r="O29" s="14"/>
      <c r="U29" s="20"/>
    </row>
    <row r="30" spans="2:21" ht="14.1" customHeight="1" x14ac:dyDescent="0.3">
      <c r="B30" s="31"/>
      <c r="C30" s="30"/>
      <c r="D30" s="30"/>
      <c r="E30" s="30"/>
      <c r="F30" s="26">
        <f>RTD("cqg.rtd", ,"ContractData",F27,"T_CVol")</f>
        <v>659</v>
      </c>
      <c r="G30" s="26">
        <f>RTD("cqg.rtd", ,"ContractData",G27,"T_CVol")</f>
        <v>70</v>
      </c>
      <c r="H30" s="26">
        <f>RTD("cqg.rtd", ,"ContractData",H27,"T_CVol")</f>
        <v>27</v>
      </c>
      <c r="I30" s="26">
        <f>RTD("cqg.rtd", ,"ContractData",I27,"T_CVol")</f>
        <v>0</v>
      </c>
      <c r="J30" s="26">
        <f>RTD("cqg.rtd", ,"ContractData",J27,"T_CVol")</f>
        <v>0</v>
      </c>
      <c r="K30" s="26">
        <f>RTD("cqg.rtd", ,"ContractData",K27,"T_CVol")</f>
        <v>1</v>
      </c>
      <c r="L30" s="26">
        <f>RTD("cqg.rtd", ,"ContractData",L27,"T_CVol")</f>
        <v>0</v>
      </c>
      <c r="M30" s="26">
        <f>RTD("cqg.rtd", ,"ContractData",M27,"T_CVol")</f>
        <v>0</v>
      </c>
      <c r="N30" s="26">
        <f>RTD("cqg.rtd", ,"ContractData",N27,"T_CVol")</f>
        <v>0</v>
      </c>
      <c r="O30" s="14"/>
      <c r="U30" s="20"/>
    </row>
    <row r="31" spans="2:21" ht="14.1" customHeight="1" thickBot="1" x14ac:dyDescent="0.35">
      <c r="B31" s="31"/>
      <c r="C31" s="30"/>
      <c r="D31" s="30"/>
      <c r="E31" s="30"/>
      <c r="F31" s="29"/>
      <c r="G31" s="36" t="str">
        <f>RIGHT(RTD("cqg.rtd", ,"ContractData",Calculations!Q6, "LongDescription"),6)</f>
        <v>Dec 18</v>
      </c>
      <c r="H31" s="36" t="str">
        <f>RIGHT(RTD("cqg.rtd", ,"ContractData",Calculations!D6, "LongDescription"),15)</f>
        <v xml:space="preserve"> Dec 18, Mar 19</v>
      </c>
      <c r="I31" s="36" t="str">
        <f>RIGHT(RTD("cqg.rtd", ,"ContractData",Calculations!E6, "LongDescription"),15)</f>
        <v xml:space="preserve"> Dec 18, May 19</v>
      </c>
      <c r="J31" s="36" t="str">
        <f>RIGHT(RTD("cqg.rtd", ,"ContractData",Calculations!F6, "LongDescription"),15)</f>
        <v xml:space="preserve"> Dec 18, Jul 19</v>
      </c>
      <c r="K31" s="36" t="str">
        <f>RIGHT(RTD("cqg.rtd", ,"ContractData",Calculations!G6, "LongDescription"),15)</f>
        <v xml:space="preserve"> Dec 18, Sep 19</v>
      </c>
      <c r="L31" s="36" t="str">
        <f>RIGHT(RTD("cqg.rtd", ,"ContractData",Calculations!H6, "LongDescription"),15)</f>
        <v xml:space="preserve"> Dec 18, Dec 19</v>
      </c>
      <c r="M31" s="36" t="str">
        <f>RIGHT(RTD("cqg.rtd", ,"ContractData",Calculations!I6, "LongDescription"),15)</f>
        <v xml:space="preserve"> Dec 18, Mar 20</v>
      </c>
      <c r="N31" s="55" t="str">
        <f>RIGHT(RTD("cqg.rtd", ,"ContractData",Calculations!J6, "LongDescription"),15)</f>
        <v xml:space="preserve"> Dec 18, May 20</v>
      </c>
      <c r="O31" s="14"/>
      <c r="U31" s="20"/>
    </row>
    <row r="32" spans="2:21" ht="15" hidden="1" customHeight="1" thickBot="1" x14ac:dyDescent="0.35">
      <c r="B32" s="30"/>
      <c r="C32" s="31"/>
      <c r="D32" s="31"/>
      <c r="E32" s="31"/>
      <c r="F32" s="31"/>
      <c r="G32" s="3" t="str">
        <f>RTD("cqg.rtd", ,"ContractData",Calculations!Q6, "Symbol")</f>
        <v>KCEZ8</v>
      </c>
      <c r="H32" s="4" t="str">
        <f>RTD("cqg.rtd", ,"ContractData",Calculations!D6, "Symbol")</f>
        <v>KCES1Z8</v>
      </c>
      <c r="I32" s="4" t="str">
        <f>RTD("cqg.rtd", ,"ContractData",Calculations!E6, "Symbol")</f>
        <v>KCES2Z8</v>
      </c>
      <c r="J32" s="4" t="str">
        <f>RTD("cqg.rtd", ,"ContractData",Calculations!F6, "Symbol")</f>
        <v>KCES3Z8</v>
      </c>
      <c r="K32" s="4" t="str">
        <f>RTD("cqg.rtd", ,"ContractData",Calculations!G6, "Symbol")</f>
        <v>KCES4Z8</v>
      </c>
      <c r="L32" s="4" t="str">
        <f>RTD("cqg.rtd", ,"ContractData",Calculations!H6, "Symbol")</f>
        <v>KCES5Z8</v>
      </c>
      <c r="M32" s="4" t="str">
        <f>RTD("cqg.rtd", ,"ContractData",Calculations!I6, "Symbol")</f>
        <v>KCES6Z8</v>
      </c>
      <c r="N32" s="7" t="str">
        <f>RTD("cqg.rtd", ,"ContractData",Calculations!J6, "Symbol")</f>
        <v>KCES7Z8</v>
      </c>
      <c r="O32" s="13"/>
      <c r="U32" s="20"/>
    </row>
    <row r="33" spans="2:21" ht="14.1" customHeight="1" x14ac:dyDescent="0.3">
      <c r="B33" s="31"/>
      <c r="C33" s="30"/>
      <c r="D33" s="30"/>
      <c r="E33" s="30"/>
      <c r="F33" s="31"/>
      <c r="G33" s="25" t="str">
        <f>IF($A$5=2,"",TEXT(RTD("cqg.rtd",,"ContractData",G32,Calculations!$T$1,,"T"),"#.00")&amp;" "&amp;"A")</f>
        <v>140.00 A</v>
      </c>
      <c r="H33" s="25" t="str">
        <f>IF($A$5=2,"",TEXT(RTD("cqg.rtd",,"ContractData",H32,Calculations!$T$1,,"T"),"#.00")&amp;" "&amp;"A")</f>
        <v>-3.20 A</v>
      </c>
      <c r="I33" s="25" t="str">
        <f>IF($A$5=2,"",TEXT(RTD("cqg.rtd",,"ContractData",I32,Calculations!$T$1,,"T"),"#.00")&amp;" "&amp;"A")</f>
        <v>-5.15 A</v>
      </c>
      <c r="J33" s="25" t="str">
        <f>IF($A$5=2,"",TEXT(RTD("cqg.rtd",,"ContractData",J32,Calculations!$T$1,,"T"),"#.00")&amp;" "&amp;"A")</f>
        <v>-7.00 A</v>
      </c>
      <c r="K33" s="25" t="str">
        <f>IF($A$5=2,"",TEXT(RTD("cqg.rtd",,"ContractData",K32,Calculations!$T$1,,"T"),"#.00")&amp;" "&amp;"A")</f>
        <v>-8.85 A</v>
      </c>
      <c r="L33" s="25" t="str">
        <f>IF($A$5=2,"",TEXT(RTD("cqg.rtd",,"ContractData",L32,Calculations!$T$1,,"T"),"#.00")&amp;" "&amp;"A")</f>
        <v>-11.55 A</v>
      </c>
      <c r="M33" s="25" t="str">
        <f>IF($A$5=2,"",TEXT(RTD("cqg.rtd",,"ContractData",M32,Calculations!$T$1,,"T"),"#.00")&amp;" "&amp;"A")</f>
        <v>-8.50 A</v>
      </c>
      <c r="N33" s="25" t="str">
        <f>IF($A$5=2,"",TEXT(RTD("cqg.rtd",,"ContractData",N32,Calculations!$T$1,,"T"),"#.00")&amp;" "&amp;"A")</f>
        <v>-8.50 A</v>
      </c>
      <c r="O33" s="14"/>
      <c r="U33" s="20"/>
    </row>
    <row r="34" spans="2:21" ht="14.1" customHeight="1" x14ac:dyDescent="0.3">
      <c r="B34" s="31"/>
      <c r="C34" s="30"/>
      <c r="D34" s="30"/>
      <c r="E34" s="30"/>
      <c r="F34" s="31"/>
      <c r="G34" s="25" t="str">
        <f>IF($A$5=2,TEXT(RTD("cqg.rtd",,"ContractData",G32,"Settlement",,"T"),"#.00")&amp;" "&amp;"S",TEXT(RTD("cqg.rtd",,"ContractData",G32,Calculations!$S$1,,"T"),"#.00")&amp;" "&amp;"B")</f>
        <v>139.90 B</v>
      </c>
      <c r="H34" s="25" t="str">
        <f>IF($A$5=2,TEXT(RTD("cqg.rtd",,"ContractData",H32,"Settlement",,"T"),"#.00")&amp;" "&amp;"S",TEXT(RTD("cqg.rtd",,"ContractData",H32,Calculations!$S$1,,"T"),"#.00")&amp;" "&amp;"B")</f>
        <v>-3.25 B</v>
      </c>
      <c r="I34" s="25" t="str">
        <f>IF($A$5=2,TEXT(RTD("cqg.rtd",,"ContractData",I32,"Settlement",,"T"),"#.00")&amp;" "&amp;"S",TEXT(RTD("cqg.rtd",,"ContractData",I32,Calculations!$S$1,,"T"),"#.00")&amp;" "&amp;"B")</f>
        <v>-5.25 B</v>
      </c>
      <c r="J34" s="25" t="str">
        <f>IF($A$5=2,TEXT(RTD("cqg.rtd",,"ContractData",J32,"Settlement",,"T"),"#.00")&amp;" "&amp;"S",TEXT(RTD("cqg.rtd",,"ContractData",J32,Calculations!$S$1,,"T"),"#.00")&amp;" "&amp;"B")</f>
        <v>-7.15 B</v>
      </c>
      <c r="K34" s="25" t="str">
        <f>IF($A$5=2,TEXT(RTD("cqg.rtd",,"ContractData",K32,"Settlement",,"T"),"#.00")&amp;" "&amp;"S",TEXT(RTD("cqg.rtd",,"ContractData",K32,Calculations!$S$1,,"T"),"#.00")&amp;" "&amp;"B")</f>
        <v>-9.80 B</v>
      </c>
      <c r="L34" s="25" t="str">
        <f>IF($A$5=2,TEXT(RTD("cqg.rtd",,"ContractData",L32,"Settlement",,"T"),"#.00")&amp;" "&amp;"S",TEXT(RTD("cqg.rtd",,"ContractData",L32,Calculations!$S$1,,"T"),"#.00")&amp;" "&amp;"B")</f>
        <v>-11.90 B</v>
      </c>
      <c r="M34" s="25" t="str">
        <f>IF($A$5=2,TEXT(RTD("cqg.rtd",,"ContractData",M32,"Settlement",,"T"),"#.00")&amp;" "&amp;"S",TEXT(RTD("cqg.rtd",,"ContractData",M32,Calculations!$S$1,,"T"),"#.00")&amp;" "&amp;"B")</f>
        <v>-15.25 B</v>
      </c>
      <c r="N34" s="25" t="str">
        <f>IF($A$5=2,TEXT(RTD("cqg.rtd",,"ContractData",N32,"Settlement",,"T"),"#.00")&amp;" "&amp;"S",TEXT(RTD("cqg.rtd",,"ContractData",N32,Calculations!$S$1,,"T"),"#.00")&amp;" "&amp;"B")</f>
        <v>-17.10 B</v>
      </c>
      <c r="O34" s="14"/>
      <c r="U34" s="20"/>
    </row>
    <row r="35" spans="2:21" ht="14.1" customHeight="1" thickBot="1" x14ac:dyDescent="0.35">
      <c r="B35" s="35"/>
      <c r="C35" s="35"/>
      <c r="D35" s="35"/>
      <c r="E35" s="35"/>
      <c r="F35" s="31"/>
      <c r="G35" s="26">
        <f>RTD("cqg.rtd", ,"ContractData",G32,"T_CVol")</f>
        <v>462</v>
      </c>
      <c r="H35" s="26">
        <f>RTD("cqg.rtd", ,"ContractData",H32,"T_CVol")</f>
        <v>171</v>
      </c>
      <c r="I35" s="26">
        <f>RTD("cqg.rtd", ,"ContractData",I32,"T_CVol")</f>
        <v>0</v>
      </c>
      <c r="J35" s="26">
        <f>RTD("cqg.rtd", ,"ContractData",J32,"T_CVol")</f>
        <v>0</v>
      </c>
      <c r="K35" s="26">
        <f>RTD("cqg.rtd", ,"ContractData",K32,"T_CVol")</f>
        <v>0</v>
      </c>
      <c r="L35" s="26">
        <f>RTD("cqg.rtd", ,"ContractData",L32,"T_CVol")</f>
        <v>0</v>
      </c>
      <c r="M35" s="26">
        <f>RTD("cqg.rtd", ,"ContractData",M32,"T_CVol")</f>
        <v>0</v>
      </c>
      <c r="N35" s="26">
        <f>RTD("cqg.rtd", ,"ContractData",N32,"T_CVol")</f>
        <v>0</v>
      </c>
      <c r="O35" s="53"/>
      <c r="P35" s="16"/>
      <c r="Q35" s="16"/>
      <c r="R35" s="16"/>
      <c r="S35" s="16"/>
      <c r="T35" s="16"/>
      <c r="U35" s="22"/>
    </row>
    <row r="36" spans="2:21" ht="14.1" customHeight="1" thickBot="1" x14ac:dyDescent="0.35">
      <c r="B36" s="118" t="s">
        <v>19</v>
      </c>
      <c r="C36" s="118"/>
      <c r="D36" s="118"/>
      <c r="E36" s="118"/>
      <c r="F36" s="118"/>
      <c r="G36" s="29"/>
      <c r="H36" s="37" t="str">
        <f>RIGHT(RTD("cqg.rtd", ,"ContractData",Calculations!Q7, "LongDescription"),6)</f>
        <v>Mar 19</v>
      </c>
      <c r="I36" s="37" t="str">
        <f>RIGHT(RTD("cqg.rtd", ,"ContractData",Calculations!D7, "LongDescription"),15)</f>
        <v xml:space="preserve"> Mar 19, May 19</v>
      </c>
      <c r="J36" s="37" t="str">
        <f>RIGHT(RTD("cqg.rtd", ,"ContractData",Calculations!E7, "LongDescription"),15)</f>
        <v xml:space="preserve"> Mar 19, Jul 19</v>
      </c>
      <c r="K36" s="37" t="str">
        <f>RIGHT(RTD("cqg.rtd", ,"ContractData",Calculations!F7, "LongDescription"),15)</f>
        <v xml:space="preserve"> Mar 19, Sep 19</v>
      </c>
      <c r="L36" s="37" t="str">
        <f>RIGHT(RTD("cqg.rtd", ,"ContractData",Calculations!G7, "LongDescription"),15)</f>
        <v xml:space="preserve"> Mar 19, Dec 19</v>
      </c>
      <c r="M36" s="37" t="str">
        <f>RIGHT(RTD("cqg.rtd", ,"ContractData",Calculations!H7, "LongDescription"),15)</f>
        <v xml:space="preserve"> Mar 19, Mar 20</v>
      </c>
      <c r="N36" s="56" t="str">
        <f>RIGHT(RTD("cqg.rtd", ,"ContractData",Calculations!I7, "LongDescription"),15)</f>
        <v xml:space="preserve"> Mar 19, May 20</v>
      </c>
      <c r="O36" s="14"/>
      <c r="U36" s="20"/>
    </row>
    <row r="37" spans="2:21" ht="15" hidden="1" customHeight="1" thickBot="1" x14ac:dyDescent="0.35">
      <c r="B37" s="117"/>
      <c r="C37" s="117"/>
      <c r="D37" s="117"/>
      <c r="E37" s="117"/>
      <c r="F37" s="117"/>
      <c r="G37" s="31"/>
      <c r="H37" s="3" t="str">
        <f>RTD("cqg.rtd", ,"ContractData",Calculations!Q7, "Symbol")</f>
        <v>KCEH9</v>
      </c>
      <c r="I37" s="5" t="str">
        <f>RTD("cqg.rtd", ,"ContractData",Calculations!D7, "Symbol")</f>
        <v>KCES1H9</v>
      </c>
      <c r="J37" s="5" t="str">
        <f>RTD("cqg.rtd", ,"ContractData",Calculations!E7, "Symbol")</f>
        <v>KCES2H9</v>
      </c>
      <c r="K37" s="5" t="str">
        <f>RTD("cqg.rtd", ,"ContractData",Calculations!F7, "Symbol")</f>
        <v>KCES3H9</v>
      </c>
      <c r="L37" s="5" t="str">
        <f>RTD("cqg.rtd", ,"ContractData",Calculations!G7, "Symbol")</f>
        <v>KCES4H9</v>
      </c>
      <c r="M37" s="5" t="str">
        <f>RTD("cqg.rtd", ,"ContractData",Calculations!H7, "Symbol")</f>
        <v>KCES5H9</v>
      </c>
      <c r="N37" s="8" t="str">
        <f>RTD("cqg.rtd", ,"ContractData",Calculations!I7, "Symbol")</f>
        <v>KCES6H9</v>
      </c>
      <c r="O37" s="13"/>
      <c r="U37" s="20"/>
    </row>
    <row r="38" spans="2:21" ht="14.1" customHeight="1" x14ac:dyDescent="0.3">
      <c r="B38" s="38" t="s">
        <v>4</v>
      </c>
      <c r="C38" s="39"/>
      <c r="D38" s="39" t="s">
        <v>0</v>
      </c>
      <c r="E38" s="39" t="s">
        <v>11</v>
      </c>
      <c r="F38" s="39" t="s">
        <v>12</v>
      </c>
      <c r="G38" s="30"/>
      <c r="H38" s="25" t="str">
        <f>IF($A$5=2,"",TEXT(RTD("cqg.rtd",,"ContractData",H37,Calculations!$T$1,,"T"),"#.00")&amp;" "&amp;"A")</f>
        <v>143.25 A</v>
      </c>
      <c r="I38" s="25" t="str">
        <f>IF($A$5=2,"",TEXT(RTD("cqg.rtd",,"ContractData",I37,Calculations!$T$1,,"T"),"#.00")&amp;" "&amp;"A")</f>
        <v>-1.95 A</v>
      </c>
      <c r="J38" s="25" t="str">
        <f>IF($A$5=2,"",TEXT(RTD("cqg.rtd",,"ContractData",J37,Calculations!$T$1,,"T"),"#.00")&amp;" "&amp;"A")</f>
        <v>-3.80 A</v>
      </c>
      <c r="K38" s="25" t="str">
        <f>IF($A$5=2,"",TEXT(RTD("cqg.rtd",,"ContractData",K37,Calculations!$T$1,,"T"),"#.00")&amp;" "&amp;"A")</f>
        <v>-5.65 A</v>
      </c>
      <c r="L38" s="25" t="str">
        <f>IF($A$5=2,"",TEXT(RTD("cqg.rtd",,"ContractData",L37,Calculations!$T$1,,"T"),"#.00")&amp;" "&amp;"A")</f>
        <v>-8.35 A</v>
      </c>
      <c r="M38" s="25" t="str">
        <f>IF($A$5=2,"",TEXT(RTD("cqg.rtd",,"ContractData",M37,Calculations!$T$1,,"T"),"#.00")&amp;" "&amp;"A")</f>
        <v>-5.25 A</v>
      </c>
      <c r="N38" s="25" t="str">
        <f>IF($A$5=2,"",TEXT(RTD("cqg.rtd",,"ContractData",N37,Calculations!$T$1,,"T"),"#.00")&amp;" "&amp;"A")</f>
        <v>-5.25 A</v>
      </c>
      <c r="O38" s="14"/>
      <c r="U38" s="20"/>
    </row>
    <row r="39" spans="2:21" ht="14.1" customHeight="1" x14ac:dyDescent="0.3">
      <c r="B39" s="40" t="s">
        <v>23</v>
      </c>
      <c r="C39" s="42"/>
      <c r="D39" s="42">
        <f>RTD("cqg.rtd", ,"ContractData",B39,Calculations!$R$1,,"T")</f>
        <v>15.1</v>
      </c>
      <c r="E39" s="42">
        <f>RTD("cqg.rtd", ,"ContractData", B39, "NetLastQuoteToday",,"T")</f>
        <v>-0.28999999999999998</v>
      </c>
      <c r="F39" s="41">
        <f>IFERROR(RTD("cqg.rtd", ,"ContractData",B39, "PerCentNetLastQuote",,"T")/100,"")</f>
        <v>-1.8843404808317088E-2</v>
      </c>
      <c r="G39" s="30"/>
      <c r="H39" s="25" t="str">
        <f>IF($A$5=2,TEXT(RTD("cqg.rtd",,"ContractData",H37,"Settlement",,"T"),"#.00")&amp;" "&amp;"S",TEXT(RTD("cqg.rtd",,"ContractData",H37,Calculations!$S$1,,"T"),"#.00")&amp;" "&amp;"B")</f>
        <v>143.10 B</v>
      </c>
      <c r="I39" s="25" t="str">
        <f>IF($A$5=2,TEXT(RTD("cqg.rtd",,"ContractData",I37,"Settlement",,"T"),"#.00")&amp;" "&amp;"S",TEXT(RTD("cqg.rtd",,"ContractData",I37,Calculations!$S$1,,"T"),"#.00")&amp;" "&amp;"B")</f>
        <v>-2.00 B</v>
      </c>
      <c r="J39" s="25" t="str">
        <f>IF($A$5=2,TEXT(RTD("cqg.rtd",,"ContractData",J37,"Settlement",,"T"),"#.00")&amp;" "&amp;"S",TEXT(RTD("cqg.rtd",,"ContractData",J37,Calculations!$S$1,,"T"),"#.00")&amp;" "&amp;"B")</f>
        <v>-3.90 B</v>
      </c>
      <c r="K39" s="25" t="str">
        <f>IF($A$5=2,TEXT(RTD("cqg.rtd",,"ContractData",K37,"Settlement",,"T"),"#.00")&amp;" "&amp;"S",TEXT(RTD("cqg.rtd",,"ContractData",K37,Calculations!$S$1,,"T"),"#.00")&amp;" "&amp;"B")</f>
        <v>-5.85 B</v>
      </c>
      <c r="L39" s="25" t="str">
        <f>IF($A$5=2,TEXT(RTD("cqg.rtd",,"ContractData",L37,"Settlement",,"T"),"#.00")&amp;" "&amp;"S",TEXT(RTD("cqg.rtd",,"ContractData",L37,Calculations!$S$1,,"T"),"#.00")&amp;" "&amp;"B")</f>
        <v>-9.30 B</v>
      </c>
      <c r="M39" s="25" t="str">
        <f>IF($A$5=2,TEXT(RTD("cqg.rtd",,"ContractData",M37,"Settlement",,"T"),"#.00")&amp;" "&amp;"S",TEXT(RTD("cqg.rtd",,"ContractData",M37,Calculations!$S$1,,"T"),"#.00")&amp;" "&amp;"B")</f>
        <v>-12.05 B</v>
      </c>
      <c r="N39" s="25" t="str">
        <f>IF($A$5=2,TEXT(RTD("cqg.rtd",,"ContractData",N37,"Settlement",,"T"),"#.00")&amp;" "&amp;"S",TEXT(RTD("cqg.rtd",,"ContractData",N37,Calculations!$S$1,,"T"),"#.00")&amp;" "&amp;"B")</f>
        <v>-44.60 B</v>
      </c>
      <c r="O39" s="14"/>
      <c r="U39" s="20"/>
    </row>
    <row r="40" spans="2:21" ht="14.1" customHeight="1" thickBot="1" x14ac:dyDescent="0.35">
      <c r="B40" s="40" t="s">
        <v>24</v>
      </c>
      <c r="C40" s="40"/>
      <c r="D40" s="42">
        <f>RTD("cqg.rtd", ,"ContractData",B40,Calculations!$R$1,,"T")</f>
        <v>72.08</v>
      </c>
      <c r="E40" s="42">
        <f>RTD("cqg.rtd", ,"ContractData", B40, "NetLastQuoteToday",,"T")</f>
        <v>0.64</v>
      </c>
      <c r="F40" s="41">
        <f>IFERROR(RTD("cqg.rtd", ,"ContractData",B40, "PerCentNetLastQuote",,"T")/100,"")</f>
        <v>8.9610753290394855E-3</v>
      </c>
      <c r="G40" s="30"/>
      <c r="H40" s="26">
        <f>RTD("cqg.rtd", ,"ContractData",H37,"T_CVol")</f>
        <v>186</v>
      </c>
      <c r="I40" s="26">
        <f>RTD("cqg.rtd", ,"ContractData",I37,"T_CVol")</f>
        <v>1</v>
      </c>
      <c r="J40" s="26">
        <f>RTD("cqg.rtd", ,"ContractData",J37,"T_CVol")</f>
        <v>0</v>
      </c>
      <c r="K40" s="26">
        <f>RTD("cqg.rtd", ,"ContractData",K37,"T_CVol")</f>
        <v>0</v>
      </c>
      <c r="L40" s="26">
        <f>RTD("cqg.rtd", ,"ContractData",L37,"T_CVol")</f>
        <v>0</v>
      </c>
      <c r="M40" s="26">
        <f>RTD("cqg.rtd", ,"ContractData",M37,"T_CVol")</f>
        <v>0</v>
      </c>
      <c r="N40" s="26">
        <f>RTD("cqg.rtd", ,"ContractData",N37,"T_CVol")</f>
        <v>0</v>
      </c>
      <c r="O40" s="14"/>
      <c r="U40" s="20"/>
    </row>
    <row r="41" spans="2:21" ht="14.1" customHeight="1" thickBot="1" x14ac:dyDescent="0.35">
      <c r="B41" s="42" t="s">
        <v>25</v>
      </c>
      <c r="C41" s="40"/>
      <c r="D41" s="42">
        <f>RTD("cqg.rtd", ,"ContractData",B41,Calculations!$R$1,,"T")</f>
        <v>2048</v>
      </c>
      <c r="E41" s="42">
        <f>RTD("cqg.rtd", ,"ContractData", B41, "NetLastQuoteToday",,"T")</f>
        <v>-19</v>
      </c>
      <c r="F41" s="41">
        <f>IFERROR(RTD("cqg.rtd", ,"ContractData",B41, "PerCentNetLastQuote",,"T")/100,"")</f>
        <v>-9.1920657958393798E-3</v>
      </c>
      <c r="G41" s="30"/>
      <c r="H41" s="29"/>
      <c r="I41" s="37" t="str">
        <f>RIGHT(RTD("cqg.rtd", ,"ContractData",Calculations!Q8, "LongDescription"),6)</f>
        <v>May 19</v>
      </c>
      <c r="J41" s="37" t="str">
        <f>RIGHT(RTD("cqg.rtd", ,"ContractData",Calculations!D8, "LongDescription"),15)</f>
        <v xml:space="preserve"> May 19, Jul 19</v>
      </c>
      <c r="K41" s="37" t="str">
        <f>RIGHT(RTD("cqg.rtd", ,"ContractData",Calculations!E8, "LongDescription"),15)</f>
        <v xml:space="preserve"> May 19, Sep 19</v>
      </c>
      <c r="L41" s="37" t="str">
        <f>RIGHT(RTD("cqg.rtd", ,"ContractData",Calculations!F8, "LongDescription"),15)</f>
        <v xml:space="preserve"> May 19, Dec 19</v>
      </c>
      <c r="M41" s="37" t="str">
        <f>RIGHT(RTD("cqg.rtd", ,"ContractData",Calculations!G8, "LongDescription"),15)</f>
        <v xml:space="preserve"> May 19, Mar 20</v>
      </c>
      <c r="N41" s="56" t="str">
        <f>RIGHT(RTD("cqg.rtd", ,"ContractData",Calculations!H8, "LongDescription"),15)</f>
        <v xml:space="preserve"> May 19, May 20</v>
      </c>
      <c r="O41" s="14"/>
      <c r="U41" s="20"/>
    </row>
    <row r="42" spans="2:21" ht="15" hidden="1" customHeight="1" thickBot="1" x14ac:dyDescent="0.35">
      <c r="B42" s="42"/>
      <c r="C42" s="42"/>
      <c r="D42" s="42"/>
      <c r="E42" s="42"/>
      <c r="F42" s="41"/>
      <c r="G42" s="30"/>
      <c r="H42" s="31"/>
      <c r="I42" s="3" t="str">
        <f>RTD("cqg.rtd", ,"ContractData",Calculations!Q8, "Symbol")</f>
        <v>KCEK9</v>
      </c>
      <c r="J42" s="5" t="str">
        <f>RTD("cqg.rtd", ,"ContractData",Calculations!D8, "Symbol")</f>
        <v>KCES1K9</v>
      </c>
      <c r="K42" s="5" t="str">
        <f>RTD("cqg.rtd", ,"ContractData",Calculations!E8, "Symbol")</f>
        <v>KCES2K9</v>
      </c>
      <c r="L42" s="5" t="str">
        <f>RTD("cqg.rtd", ,"ContractData",Calculations!F8, "Symbol")</f>
        <v>KCES3K9</v>
      </c>
      <c r="M42" s="5" t="str">
        <f>RTD("cqg.rtd", ,"ContractData",Calculations!G8, "Symbol")</f>
        <v>KCES4K9</v>
      </c>
      <c r="N42" s="8" t="str">
        <f>RTD("cqg.rtd", ,"ContractData",Calculations!H8, "Symbol")</f>
        <v>KCES5K9</v>
      </c>
      <c r="U42" s="20"/>
    </row>
    <row r="43" spans="2:21" ht="14.1" customHeight="1" x14ac:dyDescent="0.3">
      <c r="B43" s="40" t="s">
        <v>26</v>
      </c>
      <c r="C43" s="42"/>
      <c r="D43" s="42">
        <f>RTD("cqg.rtd", ,"ContractData",B43,Calculations!$R$1,,"T")</f>
        <v>165</v>
      </c>
      <c r="E43" s="42">
        <f>RTD("cqg.rtd", ,"ContractData", B43, "NetLastQuoteToday",,"T")</f>
        <v>-1.9000000000000001</v>
      </c>
      <c r="F43" s="41">
        <f>IFERROR(RTD("cqg.rtd", ,"ContractData",B43, "PerCentNetLastQuote",,"T")/100,"")</f>
        <v>-1.1390887290167866E-2</v>
      </c>
      <c r="G43" s="31"/>
      <c r="H43" s="31"/>
      <c r="I43" s="25" t="str">
        <f>IF($A$5=2,"",TEXT(RTD("cqg.rtd",,"ContractData",I42,Calculations!$T$1,,"T"),"#.00")&amp;" "&amp;"A")</f>
        <v>145.25 A</v>
      </c>
      <c r="J43" s="25" t="str">
        <f>IF($A$5=2,"",TEXT(RTD("cqg.rtd",,"ContractData",J42,Calculations!$T$1,,"T"),"#.00")&amp;" "&amp;"A")</f>
        <v>-1.85 A</v>
      </c>
      <c r="K43" s="25" t="str">
        <f>IF($A$5=2,"",TEXT(RTD("cqg.rtd",,"ContractData",K42,Calculations!$T$1,,"T"),"#.00")&amp;" "&amp;"A")</f>
        <v>-3.70 A</v>
      </c>
      <c r="L43" s="25" t="str">
        <f>IF($A$5=2,"",TEXT(RTD("cqg.rtd",,"ContractData",L42,Calculations!$T$1,,"T"),"#.00")&amp;" "&amp;"A")</f>
        <v>-6.40 A</v>
      </c>
      <c r="M43" s="25" t="str">
        <f>IF($A$5=2,"",TEXT(RTD("cqg.rtd",,"ContractData",M42,Calculations!$T$1,,"T"),"#.00")&amp;" "&amp;"A")</f>
        <v>-8.65 A</v>
      </c>
      <c r="N43" s="25" t="str">
        <f>IF($A$5=2,"",TEXT(RTD("cqg.rtd",,"ContractData",N42,Calculations!$T$1,,"T"),"#.00")&amp;" "&amp;"A")</f>
        <v>-6.50 A</v>
      </c>
      <c r="U43" s="20"/>
    </row>
    <row r="44" spans="2:21" ht="14.1" customHeight="1" x14ac:dyDescent="0.3">
      <c r="B44" s="121" t="str">
        <f>RTD("cqg.rtd", ,"ContractData", B25, "LongDescription")</f>
        <v>Coffee (ICE), Mar 18</v>
      </c>
      <c r="C44" s="121"/>
      <c r="D44" s="121"/>
      <c r="E44" s="121"/>
      <c r="F44" s="121"/>
      <c r="G44" s="121"/>
      <c r="H44" s="121"/>
      <c r="I44" s="25" t="str">
        <f>IF($A$5=2,TEXT(RTD("cqg.rtd",,"ContractData",I42,"Settlement",,"T"),"#.00")&amp;" "&amp;"S",TEXT(RTD("cqg.rtd",,"ContractData",I42,Calculations!$S$1,,"T"),"#.00")&amp;" "&amp;"B")</f>
        <v>145.05 B</v>
      </c>
      <c r="J44" s="25" t="str">
        <f>IF($A$5=2,TEXT(RTD("cqg.rtd",,"ContractData",J42,"Settlement",,"T"),"#.00")&amp;" "&amp;"S",TEXT(RTD("cqg.rtd",,"ContractData",J42,Calculations!$S$1,,"T"),"#.00")&amp;" "&amp;"B")</f>
        <v>-1.90 B</v>
      </c>
      <c r="K44" s="25" t="str">
        <f>IF($A$5=2,TEXT(RTD("cqg.rtd",,"ContractData",K42,"Settlement",,"T"),"#.00")&amp;" "&amp;"S",TEXT(RTD("cqg.rtd",,"ContractData",K42,Calculations!$S$1,,"T"),"#.00")&amp;" "&amp;"B")</f>
        <v>-3.85 B</v>
      </c>
      <c r="L44" s="25" t="str">
        <f>IF($A$5=2,TEXT(RTD("cqg.rtd",,"ContractData",L42,"Settlement",,"T"),"#.00")&amp;" "&amp;"S",TEXT(RTD("cqg.rtd",,"ContractData",L42,Calculations!$S$1,,"T"),"#.00")&amp;" "&amp;"B")</f>
        <v>-6.65 B</v>
      </c>
      <c r="M44" s="25" t="str">
        <f>IF($A$5=2,TEXT(RTD("cqg.rtd",,"ContractData",M42,"Settlement",,"T"),"#.00")&amp;" "&amp;"S",TEXT(RTD("cqg.rtd",,"ContractData",M42,Calculations!$S$1,,"T"),"#.00")&amp;" "&amp;"B")</f>
        <v>-18.60 B</v>
      </c>
      <c r="N44" s="25" t="str">
        <f>IF($A$5=2,TEXT(RTD("cqg.rtd",,"ContractData",N42,"Settlement",,"T"),"#.00")&amp;" "&amp;"S",TEXT(RTD("cqg.rtd",,"ContractData",N42,Calculations!$S$1,,"T"),"#.00")&amp;" "&amp;"B")</f>
        <v>-42.85 B</v>
      </c>
      <c r="U44" s="20"/>
    </row>
    <row r="45" spans="2:21" ht="14.1" customHeight="1" thickBot="1" x14ac:dyDescent="0.35">
      <c r="B45" s="121"/>
      <c r="C45" s="121"/>
      <c r="D45" s="121"/>
      <c r="E45" s="121"/>
      <c r="F45" s="121"/>
      <c r="G45" s="121"/>
      <c r="H45" s="121"/>
      <c r="I45" s="43">
        <f>RTD("cqg.rtd", ,"ContractData",I42,"T_CVol")</f>
        <v>1</v>
      </c>
      <c r="J45" s="26">
        <f>RTD("cqg.rtd", ,"ContractData",J42,"T_CVol")</f>
        <v>1</v>
      </c>
      <c r="K45" s="26">
        <f>RTD("cqg.rtd", ,"ContractData",K42,"T_CVol")</f>
        <v>0</v>
      </c>
      <c r="L45" s="26">
        <f>RTD("cqg.rtd", ,"ContractData",L42,"T_CVol")</f>
        <v>0</v>
      </c>
      <c r="M45" s="26">
        <f>RTD("cqg.rtd", ,"ContractData",M42,"T_CVol")</f>
        <v>0</v>
      </c>
      <c r="N45" s="26">
        <f>RTD("cqg.rtd", ,"ContractData",N42,"T_CVol")</f>
        <v>0</v>
      </c>
      <c r="U45" s="20"/>
    </row>
    <row r="46" spans="2:21" ht="14.1" customHeight="1" thickBot="1" x14ac:dyDescent="0.35">
      <c r="B46" s="125" t="s">
        <v>2</v>
      </c>
      <c r="C46" s="46"/>
      <c r="D46" s="126">
        <f>RTD("cqg.rtd",,"ContractData",B25,"VolumeLastAsk")</f>
        <v>59</v>
      </c>
      <c r="E46" s="127" t="str">
        <f>TEXT(RTD("cqg.rtd",,"ContractData",B25,"Ask",,"T"),"#.00")</f>
        <v>129.90</v>
      </c>
      <c r="F46" s="128" t="s">
        <v>0</v>
      </c>
      <c r="G46" s="129"/>
      <c r="H46" s="130"/>
      <c r="I46" s="29"/>
      <c r="J46" s="37" t="str">
        <f>RIGHT(RTD("cqg.rtd", ,"ContractData",Calculations!Q9, "LongDescription"),6)</f>
        <v>Jul 19</v>
      </c>
      <c r="K46" s="37" t="str">
        <f>RIGHT(RTD("cqg.rtd", ,"ContractData",Calculations!D9, "LongDescription"),15)</f>
        <v xml:space="preserve"> Jul 19, Sep 19</v>
      </c>
      <c r="L46" s="37" t="str">
        <f>RIGHT(RTD("cqg.rtd", ,"ContractData",Calculations!E9, "LongDescription"),15)</f>
        <v xml:space="preserve"> Jul 19, Dec 19</v>
      </c>
      <c r="M46" s="37" t="str">
        <f>RIGHT(RTD("cqg.rtd", ,"ContractData",Calculations!F9, "LongDescription"),15)</f>
        <v xml:space="preserve"> Jul 19, Mar 20</v>
      </c>
      <c r="N46" s="56" t="str">
        <f>RIGHT(RTD("cqg.rtd", ,"ContractData",Calculations!G9, "LongDescription"),15)</f>
        <v xml:space="preserve"> Jul 19, May 20</v>
      </c>
      <c r="U46" s="20"/>
    </row>
    <row r="47" spans="2:21" ht="15" hidden="1" customHeight="1" thickBot="1" x14ac:dyDescent="0.35">
      <c r="B47" s="125"/>
      <c r="C47" s="46"/>
      <c r="D47" s="126"/>
      <c r="E47" s="127"/>
      <c r="F47" s="131"/>
      <c r="G47" s="132"/>
      <c r="H47" s="133"/>
      <c r="I47" s="31"/>
      <c r="J47" s="3" t="str">
        <f>RTD("cqg.rtd", ,"ContractData",Calculations!Q9, "Symbol")</f>
        <v>KCEN9</v>
      </c>
      <c r="K47" s="5" t="str">
        <f>RTD("cqg.rtd", ,"ContractData",Calculations!D9, "Symbol")</f>
        <v>KCES1N9</v>
      </c>
      <c r="L47" s="5" t="str">
        <f>RTD("cqg.rtd", ,"ContractData",Calculations!E9, "Symbol")</f>
        <v>KCES2N9</v>
      </c>
      <c r="M47" s="5" t="str">
        <f>RTD("cqg.rtd", ,"ContractData",Calculations!F9, "Symbol")</f>
        <v>KCES3N9</v>
      </c>
      <c r="N47" s="8" t="str">
        <f>RTD("cqg.rtd", ,"ContractData",Calculations!G9, "Symbol")</f>
        <v>KCES4N9</v>
      </c>
      <c r="U47" s="20"/>
    </row>
    <row r="48" spans="2:21" ht="14.1" customHeight="1" x14ac:dyDescent="0.3">
      <c r="B48" s="125"/>
      <c r="C48" s="46"/>
      <c r="D48" s="126"/>
      <c r="E48" s="127"/>
      <c r="F48" s="131"/>
      <c r="G48" s="132"/>
      <c r="H48" s="133"/>
      <c r="I48" s="31"/>
      <c r="J48" s="25" t="str">
        <f>IF($A$5=2,"",TEXT(RTD("cqg.rtd",,"ContractData",J47,Calculations!$T$1,,"T"),"#.00")&amp;" "&amp;"A")</f>
        <v>147.95 A</v>
      </c>
      <c r="K48" s="25" t="str">
        <f>IF($A$5=2,"",TEXT(RTD("cqg.rtd",,"ContractData",K47,Calculations!$T$1,,"T"),"#.00")&amp;" "&amp;"A")</f>
        <v>-1.85 A</v>
      </c>
      <c r="L48" s="25" t="str">
        <f>IF($A$5=2,"",TEXT(RTD("cqg.rtd",,"ContractData",L47,Calculations!$T$1,,"T"),"#.00")&amp;" "&amp;"A")</f>
        <v>-4.55 A</v>
      </c>
      <c r="M48" s="25" t="str">
        <f>IF($A$5=2,"",TEXT(RTD("cqg.rtd",,"ContractData",M47,Calculations!$T$1,,"T"),"#.00")&amp;" "&amp;"A")</f>
        <v>-7.20 A</v>
      </c>
      <c r="N48" s="25" t="str">
        <f>IF($A$5=2,"",TEXT(RTD("cqg.rtd",,"ContractData",N47,Calculations!$T$1,,"T"),"#.00")&amp;" "&amp;"A")</f>
        <v>-5.05 A</v>
      </c>
      <c r="U48" s="20"/>
    </row>
    <row r="49" spans="2:21" ht="13.5" customHeight="1" x14ac:dyDescent="0.3">
      <c r="B49" s="122" t="s">
        <v>1</v>
      </c>
      <c r="C49" s="47"/>
      <c r="D49" s="123">
        <f>RTD("cqg.rtd",,"ContractData",B25,"VolumeLastBid")</f>
        <v>6</v>
      </c>
      <c r="E49" s="124" t="str">
        <f>TEXT(RTD("cqg.rtd",,"ContractData",B25,"Bid",,"T"),"#.00")</f>
        <v>129.85</v>
      </c>
      <c r="F49" s="113">
        <f>G53</f>
        <v>129.9</v>
      </c>
      <c r="G49" s="114"/>
      <c r="H49" s="119" t="str">
        <f>IF(AND(H53&gt;0,H53&lt;&gt;""),"+"&amp;TEXT(RTD("cqg.rtd",,"ContractData",B53,"NEtChange",,"T"),"#.00"),TEXT(H53,"#.00"))</f>
        <v>+1.70</v>
      </c>
      <c r="I49" s="31"/>
      <c r="J49" s="25" t="str">
        <f>IF($A$5=2,TEXT(RTD("cqg.rtd",,"ContractData",J47,"Settlement",,"T"),"#.00")&amp;" "&amp;"S",TEXT(RTD("cqg.rtd",,"ContractData",J47,Calculations!$S$1,,"T"),"#.00")&amp;" "&amp;"B")</f>
        <v>146.90 B</v>
      </c>
      <c r="K49" s="25" t="str">
        <f>IF($A$5=2,TEXT(RTD("cqg.rtd",,"ContractData",K47,"Settlement",,"T"),"#.00")&amp;" "&amp;"S",TEXT(RTD("cqg.rtd",,"ContractData",K47,Calculations!$S$1,,"T"),"#.00")&amp;" "&amp;"B")</f>
        <v>-1.95 B</v>
      </c>
      <c r="L49" s="25" t="str">
        <f>IF($A$5=2,TEXT(RTD("cqg.rtd",,"ContractData",L47,"Settlement",,"T"),"#.00")&amp;" "&amp;"S",TEXT(RTD("cqg.rtd",,"ContractData",L47,Calculations!$S$1,,"T"),"#.00")&amp;" "&amp;"B")</f>
        <v>-4.75 B</v>
      </c>
      <c r="M49" s="25" t="str">
        <f>IF($A$5=2,TEXT(RTD("cqg.rtd",,"ContractData",M47,"Settlement",,"T"),"#.00")&amp;" "&amp;"S",TEXT(RTD("cqg.rtd",,"ContractData",M47,Calculations!$S$1,,"T"),"#.00")&amp;" "&amp;"B")</f>
        <v>-7.50 B</v>
      </c>
      <c r="N49" s="25" t="str">
        <f>IF($A$5=2,TEXT(RTD("cqg.rtd",,"ContractData",N47,"Settlement",,"T"),"#.00")&amp;" "&amp;"S",TEXT(RTD("cqg.rtd",,"ContractData",N47,Calculations!$S$1,,"T"),"#.00")&amp;" "&amp;"B")</f>
        <v>-52.85 B</v>
      </c>
      <c r="U49" s="20"/>
    </row>
    <row r="50" spans="2:21" ht="14.1" customHeight="1" thickBot="1" x14ac:dyDescent="0.35">
      <c r="B50" s="122"/>
      <c r="C50" s="47"/>
      <c r="D50" s="123"/>
      <c r="E50" s="124"/>
      <c r="F50" s="115"/>
      <c r="G50" s="116"/>
      <c r="H50" s="120"/>
      <c r="I50" s="31"/>
      <c r="J50" s="26">
        <f>RTD("cqg.rtd", ,"ContractData",J47,"T_CVol")</f>
        <v>1</v>
      </c>
      <c r="K50" s="26">
        <f>RTD("cqg.rtd", ,"ContractData",K47,"T_CVol")</f>
        <v>1</v>
      </c>
      <c r="L50" s="26">
        <f>RTD("cqg.rtd", ,"ContractData",L47,"T_CVol")</f>
        <v>0</v>
      </c>
      <c r="M50" s="26">
        <f>RTD("cqg.rtd", ,"ContractData",M47,"T_CVol")</f>
        <v>0</v>
      </c>
      <c r="N50" s="26">
        <f>RTD("cqg.rtd", ,"ContractData",N47,"T_CVol")</f>
        <v>0</v>
      </c>
      <c r="U50" s="20"/>
    </row>
    <row r="51" spans="2:21" ht="14.1" customHeight="1" thickBot="1" x14ac:dyDescent="0.35">
      <c r="B51" s="28" t="s">
        <v>4</v>
      </c>
      <c r="C51" s="27"/>
      <c r="D51" s="27" t="s">
        <v>5</v>
      </c>
      <c r="E51" s="27" t="s">
        <v>6</v>
      </c>
      <c r="F51" s="27" t="s">
        <v>7</v>
      </c>
      <c r="G51" s="27" t="s">
        <v>0</v>
      </c>
      <c r="H51" s="27" t="s">
        <v>8</v>
      </c>
      <c r="I51" s="31"/>
      <c r="J51" s="29"/>
      <c r="K51" s="37" t="str">
        <f>RIGHT(RTD("cqg.rtd", ,"ContractData",Calculations!Q10, "LongDescription"),6)</f>
        <v>Sep 19</v>
      </c>
      <c r="L51" s="37" t="str">
        <f>RIGHT(RTD("cqg.rtd", ,"ContractData",Calculations!D10, "LongDescription"),15)</f>
        <v xml:space="preserve"> Sep 19, Dec 19</v>
      </c>
      <c r="M51" s="37" t="str">
        <f>RIGHT(RTD("cqg.rtd", ,"ContractData",Calculations!E10, "LongDescription"),15)</f>
        <v xml:space="preserve"> Sep 19, Mar 20</v>
      </c>
      <c r="N51" s="56" t="str">
        <f>RIGHT(RTD("cqg.rtd", ,"ContractData",Calculations!F10, "LongDescription"),15)</f>
        <v xml:space="preserve"> Sep 19, May 20</v>
      </c>
      <c r="U51" s="20"/>
    </row>
    <row r="52" spans="2:21" ht="15" hidden="1" customHeight="1" thickBot="1" x14ac:dyDescent="0.35">
      <c r="B52" s="38" t="s">
        <v>4</v>
      </c>
      <c r="C52" s="39"/>
      <c r="D52" s="39" t="s">
        <v>5</v>
      </c>
      <c r="E52" s="39" t="s">
        <v>6</v>
      </c>
      <c r="F52" s="39" t="s">
        <v>7</v>
      </c>
      <c r="G52" s="39" t="s">
        <v>0</v>
      </c>
      <c r="H52" s="39" t="s">
        <v>8</v>
      </c>
      <c r="I52" s="31"/>
      <c r="J52" s="31"/>
      <c r="K52" s="3" t="str">
        <f>RTD("cqg.rtd", ,"ContractData",Calculations!Q10, "Symbol")</f>
        <v>KCEU9</v>
      </c>
      <c r="L52" s="5" t="str">
        <f>RTD("cqg.rtd", ,"ContractData",Calculations!D10, "Symbol")</f>
        <v>KCES1U9</v>
      </c>
      <c r="M52" s="5" t="str">
        <f>RTD("cqg.rtd", ,"ContractData",Calculations!E10, "Symbol")</f>
        <v>KCES2U9</v>
      </c>
      <c r="N52" s="8" t="str">
        <f>RTD("cqg.rtd", ,"ContractData",Calculations!F10, "Symbol")</f>
        <v>KCES3U9</v>
      </c>
      <c r="U52" s="20"/>
    </row>
    <row r="53" spans="2:21" ht="14.1" customHeight="1" x14ac:dyDescent="0.3">
      <c r="B53" s="58" t="str">
        <f>B7</f>
        <v>KCEH8</v>
      </c>
      <c r="C53" s="59"/>
      <c r="D53" s="59">
        <f>IF(RTD("cqg.rtd",,"ContractData",B53,"Open",,"T")="",RTD("cqg.rtd",,"ContractData",B53,"Y_Open",,"T"),RTD("cqg.rtd",,"ContractData",B53,"Open",,"T"))</f>
        <v>127.9</v>
      </c>
      <c r="E53" s="59">
        <f>IF(RTD("cqg.rtd",,"ContractData",B53,"High",,"T")="",RTD("cqg.rtd",,"ContractData",B53,"Y_High",,"T"),RTD("cqg.rtd",,"ContractData",B53,"High",,"T"))</f>
        <v>130.19999999999999</v>
      </c>
      <c r="F53" s="59">
        <f>IF(RTD("cqg.rtd",,"ContractData",B53,"Low",,"T")="",RTD("cqg.rtd",,"ContractData",B53,"Y_Low",,"T"),RTD("cqg.rtd",,"ContractData",B53,"Low",,"T"))</f>
        <v>126.75</v>
      </c>
      <c r="G53" s="59">
        <f>IF(RTD("cqg.rtd",,"ContractData",B53,"Close",,"T")="",RTD("cqg.rtd",,"ContractData",B53,"Y_Close",,"T"),RTD("cqg.rtd",,"ContractData",B53,"Close",,"T"))</f>
        <v>129.9</v>
      </c>
      <c r="H53" s="25">
        <f>RTD("cqg.rtd",,"ContractData",B53,"NetLastTradeToday",,"T")</f>
        <v>1.7</v>
      </c>
      <c r="I53" s="31"/>
      <c r="J53" s="31"/>
      <c r="K53" s="25" t="str">
        <f>IF($A$5=2,"",TEXT(RTD("cqg.rtd",,"ContractData",K52,Calculations!$T$1,,"T"),"#.00")&amp;" "&amp;"A")</f>
        <v>152.15 A</v>
      </c>
      <c r="L53" s="25" t="str">
        <f>IF($A$5=2,"",TEXT(RTD("cqg.rtd",,"ContractData",L52,Calculations!$T$1,,"T"),"#.00")&amp;" "&amp;"A")</f>
        <v>-2.70 A</v>
      </c>
      <c r="M53" s="25" t="str">
        <f>IF($A$5=2,"",TEXT(RTD("cqg.rtd",,"ContractData",M52,Calculations!$T$1,,"T"),"#.00")&amp;" "&amp;"A")</f>
        <v>-5.35 A</v>
      </c>
      <c r="N53" s="25" t="str">
        <f>IF($A$5=2,"",TEXT(RTD("cqg.rtd",,"ContractData",N52,Calculations!$T$1,,"T"),"#.00")&amp;" "&amp;"A")</f>
        <v>-6.80 A</v>
      </c>
      <c r="U53" s="20"/>
    </row>
    <row r="54" spans="2:21" ht="14.1" customHeight="1" x14ac:dyDescent="0.3">
      <c r="B54" s="58" t="str">
        <f>D7</f>
        <v>KCEK8</v>
      </c>
      <c r="C54" s="59"/>
      <c r="D54" s="59">
        <f>IF(RTD("cqg.rtd",,"ContractData",B54,"Open",,"T")="",RTD("cqg.rtd",,"ContractData",B54,"Y_Open",,"T"),RTD("cqg.rtd",,"ContractData",B54,"Open",,"T"))</f>
        <v>130.15</v>
      </c>
      <c r="E54" s="59">
        <f>IF(RTD("cqg.rtd",,"ContractData",B54,"High",,"T")="",RTD("cqg.rtd",,"ContractData",B54,"Y_High",,"T"),RTD("cqg.rtd",,"ContractData",B54,"High",,"T"))</f>
        <v>132.35</v>
      </c>
      <c r="F54" s="59">
        <f>IF(RTD("cqg.rtd",,"ContractData",B54,"Low",,"T")="",RTD("cqg.rtd",,"ContractData",B54,"Y_Low",,"T"),RTD("cqg.rtd",,"ContractData",B54,"Low",,"T"))</f>
        <v>128.94999999999999</v>
      </c>
      <c r="G54" s="59">
        <f>IF(RTD("cqg.rtd",,"ContractData",B54,"Close",,"T")="",RTD("cqg.rtd",,"ContractData",B54,"Y_Close",,"T"),RTD("cqg.rtd",,"ContractData",B54,"Close",,"T"))</f>
        <v>132</v>
      </c>
      <c r="H54" s="25">
        <f>RTD("cqg.rtd",,"ContractData",B54,"NetLastTradeToday",,"T")</f>
        <v>1.55</v>
      </c>
      <c r="I54" s="31"/>
      <c r="J54" s="31"/>
      <c r="K54" s="25" t="str">
        <f>IF($A$5=2,TEXT(RTD("cqg.rtd",,"ContractData",K52,"Settlement",,"T"),"#.00")&amp;" "&amp;"S",TEXT(RTD("cqg.rtd",,"ContractData",K52,Calculations!$S$1,,"T"),"#.00")&amp;" "&amp;"B")</f>
        <v>148.65 B</v>
      </c>
      <c r="L54" s="25" t="str">
        <f>IF($A$5=2,TEXT(RTD("cqg.rtd",,"ContractData",L52,"Settlement",,"T"),"#.00")&amp;" "&amp;"S",TEXT(RTD("cqg.rtd",,"ContractData",L52,Calculations!$S$1,,"T"),"#.00")&amp;" "&amp;"B")</f>
        <v>-2.80 B</v>
      </c>
      <c r="M54" s="25" t="str">
        <f>IF($A$5=2,TEXT(RTD("cqg.rtd",,"ContractData",M52,"Settlement",,"T"),"#.00")&amp;" "&amp;"S",TEXT(RTD("cqg.rtd",,"ContractData",M52,Calculations!$S$1,,"T"),"#.00")&amp;" "&amp;"B")</f>
        <v>-5.55 B</v>
      </c>
      <c r="N54" s="25" t="str">
        <f>IF($A$5=2,TEXT(RTD("cqg.rtd",,"ContractData",N52,"Settlement",,"T"),"#.00")&amp;" "&amp;"S",TEXT(RTD("cqg.rtd",,"ContractData",N52,Calculations!$S$1,,"T"),"#.00")&amp;" "&amp;"B")</f>
        <v>-7.40 B</v>
      </c>
      <c r="U54" s="20"/>
    </row>
    <row r="55" spans="2:21" ht="14.1" customHeight="1" thickBot="1" x14ac:dyDescent="0.35">
      <c r="B55" s="58" t="str">
        <f>E7</f>
        <v>KCEN8</v>
      </c>
      <c r="C55" s="59"/>
      <c r="D55" s="59">
        <f>IF(RTD("cqg.rtd",,"ContractData",B55,"Open",,"T")="",RTD("cqg.rtd",,"ContractData",B55,"Y_Open",,"T"),RTD("cqg.rtd",,"ContractData",B55,"Open",,"T"))</f>
        <v>132.65</v>
      </c>
      <c r="E55" s="59">
        <f>IF(RTD("cqg.rtd",,"ContractData",B55,"High",,"T")="",RTD("cqg.rtd",,"ContractData",B55,"Y_High",,"T"),RTD("cqg.rtd",,"ContractData",B55,"High",,"T"))</f>
        <v>134.65</v>
      </c>
      <c r="F55" s="59">
        <f>IF(RTD("cqg.rtd",,"ContractData",B55,"Low",,"T")="",RTD("cqg.rtd",,"ContractData",B55,"Y_Low",,"T"),RTD("cqg.rtd",,"ContractData",B55,"Low",,"T"))</f>
        <v>131.30000000000001</v>
      </c>
      <c r="G55" s="59">
        <f>IF(RTD("cqg.rtd",,"ContractData",B55,"Close",,"T")="",RTD("cqg.rtd",,"ContractData",B55,"Y_Close",,"T"),RTD("cqg.rtd",,"ContractData",B55,"Close",,"T"))</f>
        <v>134.30000000000001</v>
      </c>
      <c r="H55" s="25">
        <f>RTD("cqg.rtd",,"ContractData",B55,"NetLastTradeToday",,"T")</f>
        <v>1.55</v>
      </c>
      <c r="I55" s="31"/>
      <c r="J55" s="31"/>
      <c r="K55" s="26">
        <f>RTD("cqg.rtd", ,"ContractData",K52,"T_CVol")</f>
        <v>1</v>
      </c>
      <c r="L55" s="26">
        <f>RTD("cqg.rtd", ,"ContractData",L52,"T_CVol")</f>
        <v>0</v>
      </c>
      <c r="M55" s="26">
        <f>RTD("cqg.rtd", ,"ContractData",M52,"T_CVol")</f>
        <v>0</v>
      </c>
      <c r="N55" s="26">
        <f>RTD("cqg.rtd", ,"ContractData",N52,"T_CVol")</f>
        <v>0</v>
      </c>
      <c r="U55" s="20"/>
    </row>
    <row r="56" spans="2:21" ht="14.1" customHeight="1" thickBot="1" x14ac:dyDescent="0.35">
      <c r="B56" s="59" t="str">
        <f>F7</f>
        <v>KCEU8</v>
      </c>
      <c r="C56" s="59"/>
      <c r="D56" s="59">
        <f>IF(RTD("cqg.rtd",,"ContractData",B56,"Open",,"T")="",RTD("cqg.rtd",,"ContractData",B56,"Y_Open",,"T"),RTD("cqg.rtd",,"ContractData",B56,"Open",,"T"))</f>
        <v>134.75</v>
      </c>
      <c r="E56" s="59">
        <f>IF(RTD("cqg.rtd",,"ContractData",B56,"High",,"T")="",RTD("cqg.rtd",,"ContractData",B56,"Y_High",,"T"),RTD("cqg.rtd",,"ContractData",B56,"High",,"T"))</f>
        <v>136.9</v>
      </c>
      <c r="F56" s="59">
        <f>IF(RTD("cqg.rtd",,"ContractData",B56,"Low",,"T")="",RTD("cqg.rtd",,"ContractData",B56,"Y_Low",,"T"),RTD("cqg.rtd",,"ContractData",B56,"Low",,"T"))</f>
        <v>133.6</v>
      </c>
      <c r="G56" s="59">
        <f>IF(RTD("cqg.rtd",,"ContractData",B56,"Close",,"T")="",RTD("cqg.rtd",,"ContractData",B56,"Y_Close",,"T"),RTD("cqg.rtd",,"ContractData",B56,"Close",,"T"))</f>
        <v>136.55000000000001</v>
      </c>
      <c r="H56" s="25">
        <f>RTD("cqg.rtd",,"ContractData",B56,"NetLastTradeToday",,"T")</f>
        <v>1.5</v>
      </c>
      <c r="I56" s="31"/>
      <c r="J56" s="31"/>
      <c r="K56" s="29"/>
      <c r="L56" s="37" t="str">
        <f>RIGHT(RTD("cqg.rtd", ,"ContractData",Calculations!Q11, "LongDescription"),6)</f>
        <v>Dec 19</v>
      </c>
      <c r="M56" s="37" t="str">
        <f>RIGHT(RTD("cqg.rtd", ,"ContractData",Calculations!D11, "LongDescription"),15)</f>
        <v xml:space="preserve"> Dec 19, Mar 20</v>
      </c>
      <c r="N56" s="56" t="str">
        <f>RIGHT(RTD("cqg.rtd", ,"ContractData",Calculations!E11, "LongDescription"),15)</f>
        <v xml:space="preserve"> Dec 19, May 20</v>
      </c>
      <c r="U56" s="20"/>
    </row>
    <row r="57" spans="2:21" ht="15" hidden="1" customHeight="1" thickBot="1" x14ac:dyDescent="0.35">
      <c r="B57" s="58"/>
      <c r="C57" s="58"/>
      <c r="D57" s="59"/>
      <c r="E57" s="59"/>
      <c r="F57" s="59"/>
      <c r="G57" s="59"/>
      <c r="H57" s="25"/>
      <c r="I57" s="31"/>
      <c r="J57" s="31"/>
      <c r="K57" s="31"/>
      <c r="L57" s="3" t="str">
        <f>RTD("cqg.rtd", ,"ContractData",Calculations!Q11, "Symbol")</f>
        <v>KCEZ9</v>
      </c>
      <c r="M57" s="5" t="str">
        <f>RTD("cqg.rtd", ,"ContractData",Calculations!D11, "Symbol")</f>
        <v>KCES1Z9</v>
      </c>
      <c r="N57" s="8" t="str">
        <f>RTD("cqg.rtd", ,"ContractData",Calculations!E11, "Symbol")</f>
        <v>KCES2Z9</v>
      </c>
      <c r="U57" s="20"/>
    </row>
    <row r="58" spans="2:21" ht="14.1" customHeight="1" x14ac:dyDescent="0.3">
      <c r="B58" s="58" t="str">
        <f>G7</f>
        <v>KCEZ8</v>
      </c>
      <c r="C58" s="59"/>
      <c r="D58" s="59">
        <f>IF(RTD("cqg.rtd",,"ContractData",B58,"Open",,"T")="",RTD("cqg.rtd",,"ContractData",B58,"Y_Open",,"T"),RTD("cqg.rtd",,"ContractData",B58,"Open",,"T"))</f>
        <v>138.15</v>
      </c>
      <c r="E58" s="59">
        <f>IF(RTD("cqg.rtd",,"ContractData",B58,"High",,"T")="",RTD("cqg.rtd",,"ContractData",B58,"Y_High",,"T"),RTD("cqg.rtd",,"ContractData",B58,"High",,"T"))</f>
        <v>140.05000000000001</v>
      </c>
      <c r="F58" s="59">
        <f>IF(RTD("cqg.rtd",,"ContractData",B58,"Low",,"T")="",RTD("cqg.rtd",,"ContractData",B58,"Y_Low",,"T"),RTD("cqg.rtd",,"ContractData",B58,"Low",,"T"))</f>
        <v>137.25</v>
      </c>
      <c r="G58" s="59">
        <f>IF(RTD("cqg.rtd",,"ContractData",B58,"Close",,"T")="",RTD("cqg.rtd",,"ContractData",B58,"Y_Close",,"T"),RTD("cqg.rtd",,"ContractData",B58,"Close",,"T"))</f>
        <v>139.9</v>
      </c>
      <c r="H58" s="25">
        <f>RTD("cqg.rtd",,"ContractData",B58,"NetLastTradeToday",,"T")</f>
        <v>1.5</v>
      </c>
      <c r="I58" s="31"/>
      <c r="J58" s="31"/>
      <c r="K58" s="31"/>
      <c r="L58" s="25" t="str">
        <f>IF($A$5=2,"",TEXT(RTD("cqg.rtd",,"ContractData",L57,Calculations!$T$1,,"T"),"#.00")&amp;" "&amp;"A")</f>
        <v>151.90 A</v>
      </c>
      <c r="M58" s="25" t="str">
        <f>IF($A$5=2,"",TEXT(RTD("cqg.rtd",,"ContractData",M57,Calculations!$T$1,,"T"),"#.00")&amp;" "&amp;"A")</f>
        <v>-2.65 A</v>
      </c>
      <c r="N58" s="25" t="str">
        <f>IF($A$5=2,"",TEXT(RTD("cqg.rtd",,"ContractData",N57,Calculations!$T$1,,"T"),"#.00")&amp;" "&amp;"A")</f>
        <v>-4.10 A</v>
      </c>
      <c r="U58" s="20"/>
    </row>
    <row r="59" spans="2:21" ht="14.1" customHeight="1" x14ac:dyDescent="0.3">
      <c r="B59" s="58" t="str">
        <f>H7</f>
        <v>KCEH9</v>
      </c>
      <c r="C59" s="59"/>
      <c r="D59" s="59">
        <f>IF(RTD("cqg.rtd",,"ContractData",B59,"Open",,"T")="",RTD("cqg.rtd",,"ContractData",B59,"Y_Open",,"T"),RTD("cqg.rtd",,"ContractData",B59,"Open",,"T"))</f>
        <v>140.75</v>
      </c>
      <c r="E59" s="59">
        <f>IF(RTD("cqg.rtd",,"ContractData",B59,"High",,"T")="",RTD("cqg.rtd",,"ContractData",B59,"Y_High",,"T"),RTD("cqg.rtd",,"ContractData",B59,"High",,"T"))</f>
        <v>143.5</v>
      </c>
      <c r="F59" s="59">
        <f>IF(RTD("cqg.rtd",,"ContractData",B59,"Low",,"T")="",RTD("cqg.rtd",,"ContractData",B59,"Y_Low",,"T"),RTD("cqg.rtd",,"ContractData",B59,"Low",,"T"))</f>
        <v>140.70000000000002</v>
      </c>
      <c r="G59" s="59">
        <f>IF(RTD("cqg.rtd",,"ContractData",B59,"Close",,"T")="",RTD("cqg.rtd",,"ContractData",B59,"Y_Close",,"T"),RTD("cqg.rtd",,"ContractData",B59,"Close",,"T"))</f>
        <v>143.1</v>
      </c>
      <c r="H59" s="25">
        <f>RTD("cqg.rtd",,"ContractData",B59,"NetLastTradeToday",,"T")</f>
        <v>1.8</v>
      </c>
      <c r="I59" s="31"/>
      <c r="J59" s="31"/>
      <c r="K59" s="31"/>
      <c r="L59" s="25" t="str">
        <f>IF($A$5=2,TEXT(RTD("cqg.rtd",,"ContractData",L57,"Settlement",,"T"),"#.00")&amp;" "&amp;"S",TEXT(RTD("cqg.rtd",,"ContractData",L57,Calculations!$S$1,,"T"),"#.00")&amp;" "&amp;"B")</f>
        <v>151.45 B</v>
      </c>
      <c r="M59" s="25" t="str">
        <f>IF($A$5=2,TEXT(RTD("cqg.rtd",,"ContractData",M57,"Settlement",,"T"),"#.00")&amp;" "&amp;"S",TEXT(RTD("cqg.rtd",,"ContractData",M57,Calculations!$S$1,,"T"),"#.00")&amp;" "&amp;"B")</f>
        <v>-2.75 B</v>
      </c>
      <c r="N59" s="25" t="str">
        <f>IF($A$5=2,TEXT(RTD("cqg.rtd",,"ContractData",N57,"Settlement",,"T"),"#.00")&amp;" "&amp;"S",TEXT(RTD("cqg.rtd",,"ContractData",N57,Calculations!$S$1,,"T"),"#.00")&amp;" "&amp;"B")</f>
        <v>-4.60 B</v>
      </c>
      <c r="U59" s="20"/>
    </row>
    <row r="60" spans="2:21" ht="14.1" customHeight="1" thickBot="1" x14ac:dyDescent="0.35">
      <c r="B60" s="59" t="str">
        <f>I7</f>
        <v>KCEK9</v>
      </c>
      <c r="C60" s="59"/>
      <c r="D60" s="59">
        <f>IF(RTD("cqg.rtd",,"ContractData",B60,"Open",,"T")="",RTD("cqg.rtd",,"ContractData",B60,"Y_Open",,"T"),RTD("cqg.rtd",,"ContractData",B60,"Open",,"T"))</f>
        <v>145.45000000000002</v>
      </c>
      <c r="E60" s="59">
        <f>IF(RTD("cqg.rtd",,"ContractData",B60,"High",,"T")="",RTD("cqg.rtd",,"ContractData",B60,"Y_High",,"T"),RTD("cqg.rtd",,"ContractData",B60,"High",,"T"))</f>
        <v>145.45000000000002</v>
      </c>
      <c r="F60" s="59">
        <f>IF(RTD("cqg.rtd",,"ContractData",B60,"Low",,"T")="",RTD("cqg.rtd",,"ContractData",B60,"Y_Low",,"T"),RTD("cqg.rtd",,"ContractData",B60,"Low",,"T"))</f>
        <v>145.45000000000002</v>
      </c>
      <c r="G60" s="59">
        <f>IF(RTD("cqg.rtd",,"ContractData",B60,"Close",,"T")="",RTD("cqg.rtd",,"ContractData",B60,"Y_Close",,"T"),RTD("cqg.rtd",,"ContractData",B60,"Close",,"T"))</f>
        <v>145.05000000000001</v>
      </c>
      <c r="H60" s="25">
        <f>RTD("cqg.rtd",,"ContractData",B60,"NetLastTradeToday",,"T")</f>
        <v>1.75</v>
      </c>
      <c r="I60" s="31"/>
      <c r="J60" s="31"/>
      <c r="K60" s="31"/>
      <c r="L60" s="26">
        <f>RTD("cqg.rtd", ,"ContractData",L57,"T_CVol")</f>
        <v>0</v>
      </c>
      <c r="M60" s="26">
        <f>RTD("cqg.rtd", ,"ContractData",M57,"T_CVol")</f>
        <v>0</v>
      </c>
      <c r="N60" s="26">
        <f>RTD("cqg.rtd", ,"ContractData",N57,"T_CVol")</f>
        <v>0</v>
      </c>
      <c r="U60" s="20"/>
    </row>
    <row r="61" spans="2:21" ht="14.1" customHeight="1" thickBot="1" x14ac:dyDescent="0.35">
      <c r="B61" s="58" t="str">
        <f>J7</f>
        <v>KCEN9</v>
      </c>
      <c r="C61" s="58"/>
      <c r="D61" s="59">
        <f>IF(RTD("cqg.rtd",,"ContractData",B61,"Open",,"T")="",RTD("cqg.rtd",,"ContractData",B61,"Y_Open",,"T"),RTD("cqg.rtd",,"ContractData",B61,"Open",,"T"))</f>
        <v>147.35</v>
      </c>
      <c r="E61" s="59">
        <f>IF(RTD("cqg.rtd",,"ContractData",B61,"High",,"T")="",RTD("cqg.rtd",,"ContractData",B61,"Y_High",,"T"),RTD("cqg.rtd",,"ContractData",B61,"High",,"T"))</f>
        <v>147.35</v>
      </c>
      <c r="F61" s="59">
        <f>IF(RTD("cqg.rtd",,"ContractData",B61,"Low",,"T")="",RTD("cqg.rtd",,"ContractData",B61,"Y_Low",,"T"),RTD("cqg.rtd",,"ContractData",B61,"Low",,"T"))</f>
        <v>147.35</v>
      </c>
      <c r="G61" s="59">
        <f>IF(RTD("cqg.rtd",,"ContractData",B61,"Close",,"T")="",RTD("cqg.rtd",,"ContractData",B61,"Y_Close",,"T"),RTD("cqg.rtd",,"ContractData",B61,"Close",,"T"))</f>
        <v>146.9</v>
      </c>
      <c r="H61" s="25">
        <f>RTD("cqg.rtd",,"ContractData",B61,"NetLastTradeToday",,"T")</f>
        <v>1.75</v>
      </c>
      <c r="I61" s="31"/>
      <c r="J61" s="31"/>
      <c r="K61" s="31"/>
      <c r="L61" s="29"/>
      <c r="M61" s="37" t="str">
        <f>RIGHT(RTD("cqg.rtd", ,"ContractData",Calculations!Q12, "LongDescription"),6)</f>
        <v>Mar 20</v>
      </c>
      <c r="N61" s="56" t="str">
        <f>RIGHT(RTD("cqg.rtd", ,"ContractData",Calculations!D12, "LongDescription"),15)</f>
        <v xml:space="preserve"> Mar 20, May 20</v>
      </c>
      <c r="U61" s="20"/>
    </row>
    <row r="62" spans="2:21" ht="15" hidden="1" customHeight="1" thickBot="1" x14ac:dyDescent="0.35">
      <c r="B62" s="58"/>
      <c r="C62" s="58"/>
      <c r="D62" s="59"/>
      <c r="E62" s="59"/>
      <c r="F62" s="59"/>
      <c r="G62" s="59"/>
      <c r="H62" s="25"/>
      <c r="I62" s="31"/>
      <c r="J62" s="31"/>
      <c r="K62" s="31"/>
      <c r="L62" s="31"/>
      <c r="M62" s="3" t="str">
        <f>RTD("cqg.rtd", ,"ContractData",Calculations!Q12, "Symbol")</f>
        <v>KCEH0</v>
      </c>
      <c r="N62" s="9" t="str">
        <f>RTD("cqg.rtd", ,"ContractData",Calculations!D12, "Symbol")</f>
        <v>KCES1H0</v>
      </c>
      <c r="U62" s="20"/>
    </row>
    <row r="63" spans="2:21" ht="14.1" customHeight="1" x14ac:dyDescent="0.3">
      <c r="B63" s="58" t="str">
        <f>K7</f>
        <v>KCEU9</v>
      </c>
      <c r="C63" s="59"/>
      <c r="D63" s="59">
        <f>IF(RTD("cqg.rtd",,"ContractData",B63,"Open",,"T")="",RTD("cqg.rtd",,"ContractData",B63,"Y_Open",,"T"),RTD("cqg.rtd",,"ContractData",B63,"Open",,"T"))</f>
        <v>149.25</v>
      </c>
      <c r="E63" s="59">
        <f>IF(RTD("cqg.rtd",,"ContractData",B63,"High",,"T")="",RTD("cqg.rtd",,"ContractData",B63,"Y_High",,"T"),RTD("cqg.rtd",,"ContractData",B63,"High",,"T"))</f>
        <v>149.25</v>
      </c>
      <c r="F63" s="59">
        <f>IF(RTD("cqg.rtd",,"ContractData",B63,"Low",,"T")="",RTD("cqg.rtd",,"ContractData",B63,"Y_Low",,"T"),RTD("cqg.rtd",,"ContractData",B63,"Low",,"T"))</f>
        <v>149.25</v>
      </c>
      <c r="G63" s="59">
        <f>IF(RTD("cqg.rtd",,"ContractData",B63,"Close",,"T")="",RTD("cqg.rtd",,"ContractData",B63,"Y_Close",,"T"),RTD("cqg.rtd",,"ContractData",B63,"Close",,"T"))</f>
        <v>148.65</v>
      </c>
      <c r="H63" s="25">
        <f>RTD("cqg.rtd",,"ContractData",B63,"NetLastTradeToday",,"T")</f>
        <v>1.8</v>
      </c>
      <c r="I63" s="31"/>
      <c r="J63" s="31"/>
      <c r="K63" s="31"/>
      <c r="L63" s="31"/>
      <c r="M63" s="25" t="str">
        <f>IF($A$5=2,"",TEXT(RTD("cqg.rtd",,"ContractData",M62,Calculations!$T$1,,"T"),"#.00")&amp;" "&amp;"A")</f>
        <v>157.60 A</v>
      </c>
      <c r="N63" s="25" t="str">
        <f>IF($A$5=2,"",TEXT(RTD("cqg.rtd",,"ContractData",N62,Calculations!$T$1,,"T"),"#.00")&amp;" "&amp;"A")</f>
        <v>-1.45 A</v>
      </c>
      <c r="U63" s="20"/>
    </row>
    <row r="64" spans="2:21" ht="14.1" customHeight="1" x14ac:dyDescent="0.3">
      <c r="B64" s="58" t="str">
        <f>L7</f>
        <v>KCEZ9</v>
      </c>
      <c r="C64" s="59"/>
      <c r="D64" s="59">
        <f>IF(RTD("cqg.rtd",,"ContractData",B64,"Open",,"T")="",RTD("cqg.rtd",,"ContractData",B64,"Y_Open",,"T"),RTD("cqg.rtd",,"ContractData",B64,"Open",,"T"))</f>
        <v>150.20000000000002</v>
      </c>
      <c r="E64" s="59">
        <f>IF(RTD("cqg.rtd",,"ContractData",B64,"High",,"T")="",RTD("cqg.rtd",,"ContractData",B64,"Y_High",,"T"),RTD("cqg.rtd",,"ContractData",B64,"High",,"T"))</f>
        <v>150.20000000000002</v>
      </c>
      <c r="F64" s="59">
        <f>IF(RTD("cqg.rtd",,"ContractData",B64,"Low",,"T")="",RTD("cqg.rtd",,"ContractData",B64,"Y_Low",,"T"),RTD("cqg.rtd",,"ContractData",B64,"Low",,"T"))</f>
        <v>150.20000000000002</v>
      </c>
      <c r="G64" s="59">
        <f>IF(RTD("cqg.rtd",,"ContractData",B64,"Close",,"T")="",RTD("cqg.rtd",,"ContractData",B64,"Y_Close",,"T"),RTD("cqg.rtd",,"ContractData",B64,"Close",,"T"))</f>
        <v>151.45000000000002</v>
      </c>
      <c r="H64" s="25" t="str">
        <f>RTD("cqg.rtd",,"ContractData",B64,"NetLastTradeToday",,"T")</f>
        <v/>
      </c>
      <c r="I64" s="31"/>
      <c r="J64" s="31"/>
      <c r="K64" s="31"/>
      <c r="L64" s="31"/>
      <c r="M64" s="25" t="str">
        <f>IF($A$5=2,TEXT(RTD("cqg.rtd",,"ContractData",M62,"Settlement",,"T"),"#.00")&amp;" "&amp;"S",TEXT(RTD("cqg.rtd",,"ContractData",M62,Calculations!$S$1,,"T"),"#.00")&amp;" "&amp;"B")</f>
        <v>148.50 B</v>
      </c>
      <c r="N64" s="25" t="str">
        <f>IF($A$5=2,TEXT(RTD("cqg.rtd",,"ContractData",N62,"Settlement",,"T"),"#.00")&amp;" "&amp;"S",TEXT(RTD("cqg.rtd",,"ContractData",N62,Calculations!$S$1,,"T"),"#.00")&amp;" "&amp;"B")</f>
        <v>-1.85 B</v>
      </c>
      <c r="U64" s="20"/>
    </row>
    <row r="65" spans="2:22" ht="14.1" customHeight="1" thickBot="1" x14ac:dyDescent="0.35">
      <c r="B65" s="58" t="str">
        <f>M7</f>
        <v>KCEH0</v>
      </c>
      <c r="C65" s="59"/>
      <c r="D65" s="59">
        <f>IF(RTD("cqg.rtd",,"ContractData",B65,"Open",,"T")="",RTD("cqg.rtd",,"ContractData",B65,"Y_Open",,"T"),RTD("cqg.rtd",,"ContractData",B65,"Open",,"T"))</f>
        <v>152.9</v>
      </c>
      <c r="E65" s="59">
        <f>IF(RTD("cqg.rtd",,"ContractData",B65,"High",,"T")="",RTD("cqg.rtd",,"ContractData",B65,"Y_High",,"T"),RTD("cqg.rtd",,"ContractData",B65,"High",,"T"))</f>
        <v>152.9</v>
      </c>
      <c r="F65" s="59">
        <f>IF(RTD("cqg.rtd",,"ContractData",B65,"Low",,"T")="",RTD("cqg.rtd",,"ContractData",B65,"Y_Low",,"T"),RTD("cqg.rtd",,"ContractData",B65,"Low",,"T"))</f>
        <v>152.9</v>
      </c>
      <c r="G65" s="59">
        <f>IF(RTD("cqg.rtd",,"ContractData",B65,"Close",,"T")="",RTD("cqg.rtd",,"ContractData",B65,"Y_Close",,"T"),RTD("cqg.rtd",,"ContractData",B65,"Close",,"T"))</f>
        <v>157.6</v>
      </c>
      <c r="H65" s="25" t="str">
        <f>RTD("cqg.rtd",,"ContractData",B65,"NetLastTradeToday",,"T")</f>
        <v/>
      </c>
      <c r="I65" s="31"/>
      <c r="J65" s="31"/>
      <c r="K65" s="31"/>
      <c r="L65" s="31"/>
      <c r="M65" s="26">
        <f>RTD("cqg.rtd", ,"ContractData",M62,"T_CVol")</f>
        <v>0</v>
      </c>
      <c r="N65" s="26">
        <f>RTD("cqg.rtd", ,"ContractData",N62,"T_CVol")</f>
        <v>0</v>
      </c>
      <c r="U65" s="20"/>
    </row>
    <row r="66" spans="2:22" ht="14.1" customHeight="1" thickBot="1" x14ac:dyDescent="0.35">
      <c r="B66" s="58" t="str">
        <f>N7</f>
        <v>KCEK0</v>
      </c>
      <c r="C66" s="59"/>
      <c r="D66" s="59">
        <f>IF(RTD("cqg.rtd",,"ContractData",B66,"Open",,"T")="",RTD("cqg.rtd",,"ContractData",B66,"Y_Open",,"T"),RTD("cqg.rtd",,"ContractData",B66,"Open",,"T"))</f>
        <v>154.55000000000001</v>
      </c>
      <c r="E66" s="59">
        <f>IF(RTD("cqg.rtd",,"ContractData",B66,"High",,"T")="",RTD("cqg.rtd",,"ContractData",B66,"Y_High",,"T"),RTD("cqg.rtd",,"ContractData",B66,"High",,"T"))</f>
        <v>154.55000000000001</v>
      </c>
      <c r="F66" s="59">
        <f>IF(RTD("cqg.rtd",,"ContractData",B66,"Low",,"T")="",RTD("cqg.rtd",,"ContractData",B66,"Y_Low",,"T"),RTD("cqg.rtd",,"ContractData",B66,"Low",,"T"))</f>
        <v>154.55000000000001</v>
      </c>
      <c r="G66" s="59">
        <f>IF(RTD("cqg.rtd",,"ContractData",B66,"Close",,"T")="",RTD("cqg.rtd",,"ContractData",B66,"Y_Close",,"T"),RTD("cqg.rtd",,"ContractData",B66,"Close",,"T"))</f>
        <v>159.45000000000002</v>
      </c>
      <c r="H66" s="25" t="str">
        <f>RTD("cqg.rtd",,"ContractData",B66,"NetLastTradeToday",,"T")</f>
        <v/>
      </c>
      <c r="I66" s="44"/>
      <c r="J66" s="44"/>
      <c r="K66" s="44"/>
      <c r="L66" s="44"/>
      <c r="M66" s="44"/>
      <c r="N66" s="56" t="str">
        <f>RIGHT(RTD("cqg.rtd", ,"ContractData",Calculations!Q13, "LongDescription"),6)</f>
        <v>May 20</v>
      </c>
      <c r="O66" s="54" t="str">
        <f>RIGHT(RTD("cqg.rtd", ,"ContractData",Calculations!D13, "LongDescription"),15)</f>
        <v xml:space="preserve"> May 20, Jul 20</v>
      </c>
      <c r="U66" s="48">
        <f>B10</f>
        <v>20154</v>
      </c>
      <c r="V66" s="15" t="str">
        <f>B6</f>
        <v>Mar 18</v>
      </c>
    </row>
    <row r="67" spans="2:22" ht="15" hidden="1" customHeight="1" thickBot="1" x14ac:dyDescent="0.35">
      <c r="B67" s="135"/>
      <c r="C67" s="135"/>
      <c r="D67" s="135"/>
      <c r="E67" s="136"/>
      <c r="F67" s="136"/>
      <c r="G67" s="136"/>
      <c r="H67" s="136"/>
      <c r="I67" s="44"/>
      <c r="J67" s="44"/>
      <c r="K67" s="44"/>
      <c r="L67" s="44"/>
      <c r="M67" s="44"/>
      <c r="N67" s="8" t="str">
        <f>RTD("cqg.rtd", ,"ContractData",Calculations!Q13, "Symbol")</f>
        <v>KCEK0</v>
      </c>
      <c r="O67" s="6" t="str">
        <f>RTD("cqg.rtd", ,"ContractData",Calculations!D13, "Symbol")</f>
        <v>KCES1K0</v>
      </c>
      <c r="U67" s="21"/>
      <c r="V67" s="15"/>
    </row>
    <row r="68" spans="2:22" ht="14.1" customHeight="1" x14ac:dyDescent="0.3">
      <c r="B68" s="134">
        <f ca="1">NOW()</f>
        <v>43067.466485069446</v>
      </c>
      <c r="C68" s="134"/>
      <c r="D68" s="134"/>
      <c r="E68" s="52"/>
      <c r="F68" s="137" t="str">
        <f>B6&amp; " Contract Expiration Date: "</f>
        <v xml:space="preserve">Mar 18 Contract Expiration Date: </v>
      </c>
      <c r="G68" s="138"/>
      <c r="H68" s="51">
        <f>RTD("cqg.rtd", ,"ContractData",Calculations!Q2, "ExpirationDate")</f>
        <v>43178</v>
      </c>
      <c r="I68" s="44"/>
      <c r="J68" s="44"/>
      <c r="K68" s="44"/>
      <c r="L68" s="44"/>
      <c r="M68" s="44"/>
      <c r="N68" s="25" t="str">
        <f>IF($A$5=2,"",TEXT(RTD("cqg.rtd",,"ContractData",N67,Calculations!$T$1,,"T"),"#.00")&amp;" "&amp;"A")</f>
        <v>159.45 A</v>
      </c>
      <c r="O68" s="25" t="str">
        <f>IF($A$5=2,"",TEXT(RTD("cqg.rtd",,"ContractData",O67,Calculations!$T$1,,"T"),"#.00")&amp;" "&amp;"A")</f>
        <v>-1.25 A</v>
      </c>
      <c r="U68" s="48">
        <f>D10</f>
        <v>4731</v>
      </c>
      <c r="V68" s="15" t="str">
        <f>D6</f>
        <v>May 18</v>
      </c>
    </row>
    <row r="69" spans="2:22" ht="14.1" customHeight="1" x14ac:dyDescent="0.3">
      <c r="B69" s="105" t="s">
        <v>13</v>
      </c>
      <c r="C69" s="106"/>
      <c r="D69" s="106"/>
      <c r="E69" s="107" t="s">
        <v>29</v>
      </c>
      <c r="F69" s="107"/>
      <c r="G69" s="107"/>
      <c r="H69" s="107"/>
      <c r="I69" s="44"/>
      <c r="J69" s="44"/>
      <c r="K69" s="44"/>
      <c r="L69" s="44"/>
      <c r="M69" s="44"/>
      <c r="N69" s="25" t="str">
        <f>IF($A$5=2,TEXT(RTD("cqg.rtd",,"ContractData",N67,"Settlement",,"T"),"#.00")&amp;" "&amp;"S",TEXT(RTD("cqg.rtd",,"ContractData",N67,Calculations!$S$1,,"T"),"#.00")&amp;" "&amp;"B")</f>
        <v>149.95 B</v>
      </c>
      <c r="O69" s="25" t="str">
        <f>IF($A$5=2,TEXT(RTD("cqg.rtd",,"ContractData",O67,"Settlement",,"T"),"#.00")&amp;" "&amp;"S",TEXT(RTD("cqg.rtd",,"ContractData",O67,Calculations!$S$1,,"T"),"#.00")&amp;" "&amp;"B")</f>
        <v>-2.30 B</v>
      </c>
      <c r="U69" s="48">
        <f>E10</f>
        <v>2118</v>
      </c>
      <c r="V69" s="15" t="str">
        <f>E6</f>
        <v>Jul 18</v>
      </c>
    </row>
    <row r="70" spans="2:22" ht="14.1" customHeight="1" x14ac:dyDescent="0.3">
      <c r="I70" s="44"/>
      <c r="J70" s="44"/>
      <c r="K70" s="44"/>
      <c r="L70" s="44"/>
      <c r="M70" s="44"/>
      <c r="N70" s="26">
        <f>RTD("cqg.rtd", ,"ContractData",N67,"T_CVol")</f>
        <v>0</v>
      </c>
      <c r="O70" s="43">
        <f>RTD("cqg.rtd", ,"ContractData",O67,"T_CVol")</f>
        <v>0</v>
      </c>
      <c r="U70" s="49">
        <f>F10</f>
        <v>659</v>
      </c>
      <c r="V70" s="15" t="str">
        <f>F6</f>
        <v>Sep 18</v>
      </c>
    </row>
    <row r="71" spans="2:22" x14ac:dyDescent="0.25">
      <c r="O71" s="18"/>
      <c r="P71" s="17"/>
      <c r="Q71" s="17"/>
      <c r="R71" s="17"/>
      <c r="S71" s="17"/>
      <c r="T71" s="17"/>
      <c r="U71" s="50">
        <f>G10</f>
        <v>462</v>
      </c>
      <c r="V71" s="15" t="str">
        <f>G6</f>
        <v>Dec 18</v>
      </c>
    </row>
    <row r="72" spans="2:22" x14ac:dyDescent="0.25">
      <c r="U72" s="50">
        <f>H10</f>
        <v>186</v>
      </c>
      <c r="V72" s="15" t="str">
        <f>H6</f>
        <v>Mar 19</v>
      </c>
    </row>
    <row r="73" spans="2:22" x14ac:dyDescent="0.25">
      <c r="U73" s="50">
        <f>I10</f>
        <v>1</v>
      </c>
      <c r="V73" s="15" t="str">
        <f>I6</f>
        <v>May 19</v>
      </c>
    </row>
    <row r="74" spans="2:22" x14ac:dyDescent="0.25">
      <c r="U74" s="50">
        <f>J10</f>
        <v>1</v>
      </c>
      <c r="V74" s="15" t="str">
        <f>J6</f>
        <v>Jul 19</v>
      </c>
    </row>
    <row r="75" spans="2:22" x14ac:dyDescent="0.25">
      <c r="U75" s="50">
        <f>K10</f>
        <v>1</v>
      </c>
      <c r="V75" s="15" t="str">
        <f>K6</f>
        <v>Sep 19</v>
      </c>
    </row>
    <row r="76" spans="2:22" x14ac:dyDescent="0.25">
      <c r="U76" s="50">
        <f>L10</f>
        <v>0</v>
      </c>
      <c r="V76" s="15" t="str">
        <f>L6</f>
        <v>Dec 19</v>
      </c>
    </row>
    <row r="77" spans="2:22" x14ac:dyDescent="0.25">
      <c r="U77" s="50">
        <f>M10</f>
        <v>0</v>
      </c>
      <c r="V77" s="15" t="str">
        <f>M6</f>
        <v>Mar 20</v>
      </c>
    </row>
    <row r="78" spans="2:22" x14ac:dyDescent="0.25">
      <c r="U78" s="50">
        <f>N10</f>
        <v>0</v>
      </c>
      <c r="V78" s="15" t="str">
        <f>N6</f>
        <v>May 20</v>
      </c>
    </row>
    <row r="79" spans="2:22" x14ac:dyDescent="0.25">
      <c r="U79" s="15"/>
      <c r="V79" s="15"/>
    </row>
  </sheetData>
  <sheetProtection algorithmName="SHA-512" hashValue="VOr1PogZqwEkKeipkKrE6b/q077wbEs0iMPS3+Ia30VmuRoCviofF5dI9xlZWquvovTWZA2sAyWMWVmBGRTlNA==" saltValue="jgTq4MEZ3P1ZGq55OWBITw==" spinCount="100000" sheet="1" objects="1" scenarios="1" selectLockedCells="1"/>
  <mergeCells count="23">
    <mergeCell ref="D46:D48"/>
    <mergeCell ref="E46:E48"/>
    <mergeCell ref="F46:H48"/>
    <mergeCell ref="B68:D68"/>
    <mergeCell ref="B67:D67"/>
    <mergeCell ref="E67:H67"/>
    <mergeCell ref="F68:G68"/>
    <mergeCell ref="B4:E5"/>
    <mergeCell ref="S4:U5"/>
    <mergeCell ref="F4:R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</mergeCells>
  <conditionalFormatting sqref="H52">
    <cfRule type="dataBar" priority="1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1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450" priority="954">
      <formula>$H$53&lt;0</formula>
    </cfRule>
  </conditionalFormatting>
  <conditionalFormatting sqref="H51"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56 H63:H66 H58:H61">
    <cfRule type="dataBar" priority="7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730">
      <colorScale>
        <cfvo type="min"/>
        <cfvo type="max"/>
        <color theme="1"/>
        <color theme="4"/>
      </colorScale>
    </cfRule>
  </conditionalFormatting>
  <conditionalFormatting sqref="D15:N15">
    <cfRule type="colorScale" priority="729">
      <colorScale>
        <cfvo type="min"/>
        <cfvo type="max"/>
        <color theme="1"/>
        <color theme="4"/>
      </colorScale>
    </cfRule>
  </conditionalFormatting>
  <conditionalFormatting sqref="E20:N20">
    <cfRule type="colorScale" priority="728">
      <colorScale>
        <cfvo type="min"/>
        <cfvo type="max"/>
        <color theme="1"/>
        <color theme="4"/>
      </colorScale>
    </cfRule>
  </conditionalFormatting>
  <conditionalFormatting sqref="G30:N30">
    <cfRule type="colorScale" priority="646">
      <colorScale>
        <cfvo type="min"/>
        <cfvo type="max"/>
        <color theme="1"/>
        <color theme="4"/>
      </colorScale>
    </cfRule>
  </conditionalFormatting>
  <conditionalFormatting sqref="H35:N35">
    <cfRule type="colorScale" priority="645">
      <colorScale>
        <cfvo type="min"/>
        <cfvo type="max"/>
        <color theme="1"/>
        <color theme="4"/>
      </colorScale>
    </cfRule>
  </conditionalFormatting>
  <conditionalFormatting sqref="I40:N40">
    <cfRule type="colorScale" priority="644">
      <colorScale>
        <cfvo type="min"/>
        <cfvo type="max"/>
        <color theme="1"/>
        <color theme="4"/>
      </colorScale>
    </cfRule>
  </conditionalFormatting>
  <conditionalFormatting sqref="J45:N45">
    <cfRule type="colorScale" priority="643">
      <colorScale>
        <cfvo type="min"/>
        <cfvo type="max"/>
        <color theme="1"/>
        <color theme="4"/>
      </colorScale>
    </cfRule>
  </conditionalFormatting>
  <conditionalFormatting sqref="K50:N50">
    <cfRule type="colorScale" priority="642">
      <colorScale>
        <cfvo type="min"/>
        <cfvo type="max"/>
        <color theme="1"/>
        <color theme="4"/>
      </colorScale>
    </cfRule>
  </conditionalFormatting>
  <conditionalFormatting sqref="L55:N55">
    <cfRule type="colorScale" priority="64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H53:H56 H63:H66 H58:H61</xm:sqref>
        </x14:conditionalFormatting>
        <x14:conditionalFormatting xmlns:xm="http://schemas.microsoft.com/office/excel/2006/main">
          <x14:cfRule type="expression" priority="113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7" id="{161CE35C-D3D3-4E10-B5C7-775035393381}">
            <xm:f>'KCE (2)'!B9=1</xm:f>
            <x14:dxf>
              <font>
                <color rgb="FF00B050"/>
              </font>
            </x14:dxf>
          </x14:cfRule>
          <x14:cfRule type="expression" priority="556" id="{01172D34-E730-47BA-90A1-1FEC8E89DFEF}">
            <xm:f>'KCE (2)'!B9=0</xm:f>
            <x14:dxf>
              <font>
                <color rgb="FFFF0000"/>
              </font>
            </x14:dxf>
          </x14:cfRule>
          <x14:cfRule type="expression" priority="555" id="{868A4E17-B48F-4A29-81F7-492F74CDDDF8}">
            <xm:f>'KCE (2)'!B9=2</xm:f>
            <x14:dxf>
              <font>
                <color rgb="FFFFFF00"/>
              </font>
            </x14:dxf>
          </x14:cfRule>
          <xm:sqref>B9</xm:sqref>
        </x14:conditionalFormatting>
        <x14:conditionalFormatting xmlns:xm="http://schemas.microsoft.com/office/excel/2006/main">
          <x14:cfRule type="expression" priority="113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08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108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08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993" id="{9C89C9E7-D35F-4CBB-855D-3BA7ECC1E3BB}">
            <xm:f>Calculations!D16=128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638" id="{90905372-3700-4AB8-B5D4-DBA676C5905C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637" id="{08CC6949-0E24-4862-A1B1-62213358402F}">
            <xm:f>Calculations!D14=128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636" id="{43ACA498-CE72-4E5A-86BE-97A12DED8BE0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635" id="{ED2B80FC-5FAA-4F8E-B4AC-E791414E12CB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633" id="{28263A8D-03A7-480C-88D6-51DB0742C3FB}">
            <xm:f>Calculations!D15=128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629" id="{1878BC77-F9D5-42A4-B2D0-E377DA1974C9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625" id="{8109C502-CF0D-4D71-9C9D-325D8245EBDE}">
            <xm:f>Calculations!D17=128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621" id="{BDCDBA07-E9D7-4F4F-AF50-A5115D72719B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615" id="{6C1472FA-BED7-4ABB-8351-DF344F7D9EF8}">
            <xm:f>Calculations!D18=128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611" id="{2814068D-91A8-440A-99DA-760383B22385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607" id="{D2B4771D-35F5-469E-B369-1C5AD236BAD7}">
            <xm:f>Calculations!D19=128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603" id="{872AB8F1-A054-4298-A5F0-7310E4B8F6D9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599" id="{F553F66B-AA30-4AD0-B0A5-36FEF1237C66}">
            <xm:f>Calculations!D20=128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597" id="{428C588B-C3EC-49E4-BBC5-95AC2779A101}">
            <xm:f>Calculations!$Q21=128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593" id="{4E4CCB98-C29C-4755-AA67-2B2756C3D7AE}">
            <xm:f>Calculations!D21=128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587" id="{AF125884-95CD-4DA3-86E6-B46601E50D0C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583" id="{892CA940-1203-416D-A82D-66FC61E8ED26}">
            <xm:f>Calculations!D22=128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579" id="{AD58C4AB-F69B-4A8F-9867-C377BDFDF051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575" id="{967CADA2-A3FB-4E42-BCEB-126FBCF25FEF}">
            <xm:f>Calculations!D23=128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571" id="{86AF25F4-095D-4C2C-9190-16B49471E8B3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567" id="{401D584B-23FB-4669-ADCA-071C9129F457}">
            <xm:f>Calculations!D24=128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563" id="{7714C4A2-3816-4ACE-926B-5AEB595CD3E8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561" id="{B583FABE-7538-4799-AC34-C88FAC85F603}">
            <xm:f>Calculations!D25=128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547" id="{7A9F575C-DCCF-4662-8533-02FCA6E9FDBD}">
            <xm:f>'KCE (2)'!D9=2</xm:f>
            <x14:dxf>
              <font>
                <color rgb="FFFFFF00"/>
              </font>
            </x14:dxf>
          </x14:cfRule>
          <x14:cfRule type="expression" priority="548" id="{68925042-6749-44F9-B6CC-42D548E3AA89}">
            <xm:f>'KCE (2)'!D9=0</xm:f>
            <x14:dxf>
              <font>
                <color rgb="FFFF0000"/>
              </font>
            </x14:dxf>
          </x14:cfRule>
          <x14:cfRule type="expression" priority="549" id="{AA506152-C779-4FD4-9536-84C7F31460EE}">
            <xm:f>'KCE (2)'!D9=1</xm:f>
            <x14:dxf>
              <font>
                <color rgb="FF00B050"/>
              </font>
            </x14:dxf>
          </x14:cfRule>
          <x14:cfRule type="expression" priority="550" id="{47CDF039-6C21-47EE-ABA5-0B736B34BB7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543" id="{384F9B82-3E28-4D31-BCEA-C5ABE8717617}">
            <xm:f>'KCE (2)'!E9=2</xm:f>
            <x14:dxf>
              <font>
                <color rgb="FFFFFF00"/>
              </font>
            </x14:dxf>
          </x14:cfRule>
          <x14:cfRule type="expression" priority="544" id="{2D74D936-7765-44C2-86EE-78E00771CD96}">
            <xm:f>'KCE (2)'!E9=0</xm:f>
            <x14:dxf>
              <font>
                <color rgb="FFFF0000"/>
              </font>
            </x14:dxf>
          </x14:cfRule>
          <x14:cfRule type="expression" priority="545" id="{FADAD462-764E-4E83-A093-A96B25A66E9E}">
            <xm:f>'KCE (2)'!E9=1</xm:f>
            <x14:dxf>
              <font>
                <color rgb="FF00B050"/>
              </font>
            </x14:dxf>
          </x14:cfRule>
          <x14:cfRule type="expression" priority="546" id="{B387FD19-6DF1-4519-91C8-894D192C32DB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539" id="{F7932A62-DC36-4C85-8EAC-258253EF4A3D}">
            <xm:f>'KCE (2)'!F9=2</xm:f>
            <x14:dxf>
              <font>
                <color rgb="FFFFFF00"/>
              </font>
            </x14:dxf>
          </x14:cfRule>
          <x14:cfRule type="expression" priority="540" id="{E7CDC224-C035-428C-850F-F23C8257EAF0}">
            <xm:f>'KCE (2)'!F9=0</xm:f>
            <x14:dxf>
              <font>
                <color rgb="FFFF0000"/>
              </font>
            </x14:dxf>
          </x14:cfRule>
          <x14:cfRule type="expression" priority="541" id="{CCAEE7FA-9D93-48DC-9D3C-B2DB69192BD4}">
            <xm:f>'KCE (2)'!F9=1</xm:f>
            <x14:dxf>
              <font>
                <color rgb="FF00B050"/>
              </font>
            </x14:dxf>
          </x14:cfRule>
          <x14:cfRule type="expression" priority="542" id="{9E274DAE-F9ED-4949-8026-DF5C3C0C92AC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535" id="{25D40BAA-B249-4430-B430-32A547DF287B}">
            <xm:f>'KCE (2)'!G9=2</xm:f>
            <x14:dxf>
              <font>
                <color rgb="FFFFFF00"/>
              </font>
            </x14:dxf>
          </x14:cfRule>
          <x14:cfRule type="expression" priority="536" id="{06424AAB-47B9-4E14-8153-CFFC712BC534}">
            <xm:f>'KCE (2)'!G9=0</xm:f>
            <x14:dxf>
              <font>
                <color rgb="FFFF0000"/>
              </font>
            </x14:dxf>
          </x14:cfRule>
          <x14:cfRule type="expression" priority="537" id="{7964F5FF-3A9A-4FE1-AFCE-C031D5ED7C38}">
            <xm:f>'KCE (2)'!G9=1</xm:f>
            <x14:dxf>
              <font>
                <color rgb="FF00B050"/>
              </font>
            </x14:dxf>
          </x14:cfRule>
          <x14:cfRule type="expression" priority="538" id="{C390AA32-E2FD-4819-9899-5C46106CA6E2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531" id="{59ACF793-3318-4423-A9CA-E435E49E78F9}">
            <xm:f>'KCE (2)'!H9=2</xm:f>
            <x14:dxf>
              <font>
                <color rgb="FFFFFF00"/>
              </font>
            </x14:dxf>
          </x14:cfRule>
          <x14:cfRule type="expression" priority="532" id="{291145A0-1E19-484C-8C41-AD4B5932B57E}">
            <xm:f>'KCE (2)'!H9=0</xm:f>
            <x14:dxf>
              <font>
                <color rgb="FFFF0000"/>
              </font>
            </x14:dxf>
          </x14:cfRule>
          <x14:cfRule type="expression" priority="533" id="{2ACF1D2C-022D-4379-B535-AD58BC5E7B7D}">
            <xm:f>'KCE (2)'!H9=1</xm:f>
            <x14:dxf>
              <font>
                <color rgb="FF00B050"/>
              </font>
            </x14:dxf>
          </x14:cfRule>
          <x14:cfRule type="expression" priority="534" id="{B679BDD1-88AC-4558-9100-BB3D4A020DD9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527" id="{202DAA91-D901-4056-B767-49AA541FEE82}">
            <xm:f>'KCE (2)'!I9=2</xm:f>
            <x14:dxf>
              <font>
                <color rgb="FFFFFF00"/>
              </font>
            </x14:dxf>
          </x14:cfRule>
          <x14:cfRule type="expression" priority="528" id="{775E79E5-7C0E-45DB-95B7-B281E9FD3054}">
            <xm:f>'KCE (2)'!I9=0</xm:f>
            <x14:dxf>
              <font>
                <color rgb="FFFF0000"/>
              </font>
            </x14:dxf>
          </x14:cfRule>
          <x14:cfRule type="expression" priority="529" id="{84DF13EB-2196-4BAE-807B-6D8E99ECE945}">
            <xm:f>'KCE (2)'!I9=1</xm:f>
            <x14:dxf>
              <font>
                <color rgb="FF00B050"/>
              </font>
            </x14:dxf>
          </x14:cfRule>
          <x14:cfRule type="expression" priority="530" id="{5B5C232E-4A45-4191-91C9-F9C040786F4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523" id="{4B185B70-DA6E-4C05-B713-7A83C95990E2}">
            <xm:f>'KCE (2)'!J9=2</xm:f>
            <x14:dxf>
              <font>
                <color rgb="FFFFFF00"/>
              </font>
            </x14:dxf>
          </x14:cfRule>
          <x14:cfRule type="expression" priority="524" id="{DBB12699-6788-411B-AD37-F0458931A0A4}">
            <xm:f>'KCE (2)'!J9=0</xm:f>
            <x14:dxf>
              <font>
                <color rgb="FFFF0000"/>
              </font>
            </x14:dxf>
          </x14:cfRule>
          <x14:cfRule type="expression" priority="525" id="{D9EEF2B5-DA96-443A-A4D8-FD3F4344B0A8}">
            <xm:f>'KCE (2)'!J9=1</xm:f>
            <x14:dxf>
              <font>
                <color rgb="FF00B050"/>
              </font>
            </x14:dxf>
          </x14:cfRule>
          <x14:cfRule type="expression" priority="526" id="{BF298FE2-25D8-44BD-8AD9-4249931076EC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519" id="{E66EEEF3-CCD9-49BB-8FFC-A7D7EB2747CD}">
            <xm:f>'KCE (2)'!K9=2</xm:f>
            <x14:dxf>
              <font>
                <color rgb="FFFFFF00"/>
              </font>
            </x14:dxf>
          </x14:cfRule>
          <x14:cfRule type="expression" priority="520" id="{F5ED6ADE-3C76-4907-BA01-F83D6385078B}">
            <xm:f>'KCE (2)'!K9=0</xm:f>
            <x14:dxf>
              <font>
                <color rgb="FFFF0000"/>
              </font>
            </x14:dxf>
          </x14:cfRule>
          <x14:cfRule type="expression" priority="521" id="{B2336090-94AF-4D17-BA4D-0022B7617F27}">
            <xm:f>'KCE (2)'!K9=1</xm:f>
            <x14:dxf>
              <font>
                <color rgb="FF00B050"/>
              </font>
            </x14:dxf>
          </x14:cfRule>
          <x14:cfRule type="expression" priority="522" id="{641DDEEF-3DCA-407C-821D-A772A9179E15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515" id="{E2B41243-B4D1-497A-A3F9-0857743F2B90}">
            <xm:f>'KCE (2)'!L9=2</xm:f>
            <x14:dxf>
              <font>
                <color rgb="FFFFFF00"/>
              </font>
            </x14:dxf>
          </x14:cfRule>
          <x14:cfRule type="expression" priority="516" id="{5F3365DF-D18E-4231-A647-E620A0641582}">
            <xm:f>'KCE (2)'!L9=0</xm:f>
            <x14:dxf>
              <font>
                <color rgb="FFFF0000"/>
              </font>
            </x14:dxf>
          </x14:cfRule>
          <x14:cfRule type="expression" priority="517" id="{BFA70488-5C03-4E4B-9BBB-86863B97C545}">
            <xm:f>'KCE (2)'!L9=1</xm:f>
            <x14:dxf>
              <font>
                <color rgb="FF00B050"/>
              </font>
            </x14:dxf>
          </x14:cfRule>
          <x14:cfRule type="expression" priority="518" id="{70D3A86C-B242-499D-B2EF-6A536C4B6603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511" id="{FFB260D2-E117-4806-A723-59924BD73B9C}">
            <xm:f>'KCE (2)'!M9=2</xm:f>
            <x14:dxf>
              <font>
                <color rgb="FFFFFF00"/>
              </font>
            </x14:dxf>
          </x14:cfRule>
          <x14:cfRule type="expression" priority="512" id="{DFA9AE09-986D-4B30-8274-3F4A0917801D}">
            <xm:f>'KCE (2)'!M9=0</xm:f>
            <x14:dxf>
              <font>
                <color rgb="FFFF0000"/>
              </font>
            </x14:dxf>
          </x14:cfRule>
          <x14:cfRule type="expression" priority="513" id="{4AF2BF6E-F34C-4741-A598-FE101DA921C2}">
            <xm:f>'KCE (2)'!M9=1</xm:f>
            <x14:dxf>
              <font>
                <color rgb="FF00B050"/>
              </font>
            </x14:dxf>
          </x14:cfRule>
          <x14:cfRule type="expression" priority="514" id="{7835ABC4-7482-4C61-95A6-3CBE63591C50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507" id="{31457D63-2A06-4957-96C7-510F36C3A99F}">
            <xm:f>'KCE (2)'!N9=2</xm:f>
            <x14:dxf>
              <font>
                <color rgb="FFFFFF00"/>
              </font>
            </x14:dxf>
          </x14:cfRule>
          <x14:cfRule type="expression" priority="508" id="{6688EEC6-8302-4E89-88EB-63DA8FF48DBB}">
            <xm:f>'KCE (2)'!N9=0</xm:f>
            <x14:dxf>
              <font>
                <color rgb="FFFF0000"/>
              </font>
            </x14:dxf>
          </x14:cfRule>
          <x14:cfRule type="expression" priority="509" id="{0FE2BAC0-5E53-4B09-884D-73543CD6E40C}">
            <xm:f>'KCE (2)'!N9=1</xm:f>
            <x14:dxf>
              <font>
                <color rgb="FF00B050"/>
              </font>
            </x14:dxf>
          </x14:cfRule>
          <x14:cfRule type="expression" priority="510" id="{7BE8808B-3F7B-4E5C-8597-AB946DDA9C90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503" id="{7622D168-F6BE-4886-8E21-3333F13D26F7}">
            <xm:f>'KCE (2)'!D14=2</xm:f>
            <x14:dxf>
              <font>
                <color rgb="FFFFFF00"/>
              </font>
            </x14:dxf>
          </x14:cfRule>
          <x14:cfRule type="expression" priority="504" id="{FB8B0509-F190-4BD1-A836-4303FFCFB2EC}">
            <xm:f>'KCE (2)'!D14=0</xm:f>
            <x14:dxf>
              <font>
                <color rgb="FFFF0000"/>
              </font>
            </x14:dxf>
          </x14:cfRule>
          <x14:cfRule type="expression" priority="505" id="{F926323E-3C48-44A5-BD6A-574369FCB1FB}">
            <xm:f>'KCE (2)'!D14=1</xm:f>
            <x14:dxf>
              <font>
                <color rgb="FF00B050"/>
              </font>
            </x14:dxf>
          </x14:cfRule>
          <x14:cfRule type="expression" priority="506" id="{9BCBE35D-182D-40EC-866A-CBBC4503457D}">
            <xm:f>Calculations!D14=64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63" id="{B04B2170-C455-46C9-9918-3952AE5AE1B2}">
            <xm:f>'KCE (2)'!D19=2</xm:f>
            <x14:dxf>
              <font>
                <color rgb="FFFFFF00"/>
              </font>
            </x14:dxf>
          </x14:cfRule>
          <x14:cfRule type="expression" priority="464" id="{08DCDA40-3D74-4397-BE1E-7C2EA4EBDD30}">
            <xm:f>'KCE (2)'!D19=0</xm:f>
            <x14:dxf>
              <font>
                <color rgb="FFFF0000"/>
              </font>
            </x14:dxf>
          </x14:cfRule>
          <x14:cfRule type="expression" priority="465" id="{C4259F3D-9BF4-41BA-AD61-56C7F21F5F28}">
            <xm:f>'KCE (2)'!D19=1</xm:f>
            <x14:dxf>
              <font>
                <color rgb="FF00B050"/>
              </font>
            </x14:dxf>
          </x14:cfRule>
          <x14:cfRule type="expression" priority="466" id="{1E194A30-0225-45AA-A290-75AD354D55F7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459" id="{83FC61DF-E6D8-4E75-9B12-C5BF97166ACC}">
            <xm:f>'KCE (2)'!E19=2</xm:f>
            <x14:dxf>
              <font>
                <color rgb="FFFFFF00"/>
              </font>
            </x14:dxf>
          </x14:cfRule>
          <x14:cfRule type="expression" priority="460" id="{C9D2C1E8-348B-4718-824F-D99F2E63C81E}">
            <xm:f>'KCE (2)'!E19=0</xm:f>
            <x14:dxf>
              <font>
                <color rgb="FFFF0000"/>
              </font>
            </x14:dxf>
          </x14:cfRule>
          <x14:cfRule type="expression" priority="461" id="{CD226B77-D4D6-40EC-B160-6148278FD509}">
            <xm:f>'KCE (2)'!E19=1</xm:f>
            <x14:dxf>
              <font>
                <color rgb="FF00B050"/>
              </font>
            </x14:dxf>
          </x14:cfRule>
          <x14:cfRule type="expression" priority="462" id="{42C99AFC-2D1E-42C6-87BC-28C2A6E493A6}">
            <xm:f>Calculations!D15=64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419" id="{F70B1112-6DEF-49FB-92C7-9C51F0FEEF7B}">
            <xm:f>'KCE (2)'!E24=2</xm:f>
            <x14:dxf>
              <font>
                <color rgb="FFFFFF00"/>
              </font>
            </x14:dxf>
          </x14:cfRule>
          <x14:cfRule type="expression" priority="420" id="{8009AE29-516F-4753-9304-1A5FB0125C6A}">
            <xm:f>'KCE (2)'!E24=0</xm:f>
            <x14:dxf>
              <font>
                <color rgb="FFFF0000"/>
              </font>
            </x14:dxf>
          </x14:cfRule>
          <x14:cfRule type="expression" priority="421" id="{6E135568-F7B4-45C0-8FA9-D0E92752A7F3}">
            <xm:f>'KCE (2)'!E24=1</xm:f>
            <x14:dxf>
              <font>
                <color rgb="FF00B050"/>
              </font>
            </x14:dxf>
          </x14:cfRule>
          <x14:cfRule type="expression" priority="422" id="{1F9D9779-C9A1-4734-92BF-1B5EF45A3175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415" id="{DFA515BE-4D03-4948-9B22-92818B42A935}">
            <xm:f>'KCE (2)'!F24=2</xm:f>
            <x14:dxf>
              <font>
                <color rgb="FFFFFF00"/>
              </font>
            </x14:dxf>
          </x14:cfRule>
          <x14:cfRule type="expression" priority="416" id="{C08ED261-39B7-41C7-B4ED-331D923C3D8E}">
            <xm:f>'KCE (2)'!F24=0</xm:f>
            <x14:dxf>
              <font>
                <color rgb="FFFF0000"/>
              </font>
            </x14:dxf>
          </x14:cfRule>
          <x14:cfRule type="expression" priority="417" id="{DDD45823-6597-4F60-A91C-9269273B5FCF}">
            <xm:f>'KCE (2)'!F24=1</xm:f>
            <x14:dxf>
              <font>
                <color rgb="FF00B050"/>
              </font>
            </x14:dxf>
          </x14:cfRule>
          <x14:cfRule type="expression" priority="418" id="{3C618C42-9A97-43F4-9976-D3245E8E6AFF}">
            <xm:f>Calculations!D16=64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411" id="{72D607C2-2491-46E5-9866-8608B7B8670D}">
            <xm:f>'KCE (2)'!G24=2</xm:f>
            <x14:dxf>
              <font>
                <color rgb="FFFFFF00"/>
              </font>
            </x14:dxf>
          </x14:cfRule>
          <x14:cfRule type="expression" priority="412" id="{689A1A8E-D1D3-46FE-A920-4B1AB44C1B13}">
            <xm:f>'KCE (2)'!G24=0</xm:f>
            <x14:dxf>
              <font>
                <color rgb="FFFF0000"/>
              </font>
            </x14:dxf>
          </x14:cfRule>
          <x14:cfRule type="expression" priority="413" id="{6376D0CB-1B36-46C8-9B44-AEB43AA81EBD}">
            <xm:f>'KCE (2)'!G24=1</xm:f>
            <x14:dxf>
              <font>
                <color rgb="FF00B050"/>
              </font>
            </x14:dxf>
          </x14:cfRule>
          <x14:cfRule type="expression" priority="414" id="{965A8C7D-DBAE-4EB2-B154-7A0CF1A39DC8}">
            <xm:f>Calculations!E16=64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407" id="{211184C2-8ED4-4802-BF21-4842160F1143}">
            <xm:f>'KCE (2)'!H24=2</xm:f>
            <x14:dxf>
              <font>
                <color rgb="FFFFFF00"/>
              </font>
            </x14:dxf>
          </x14:cfRule>
          <x14:cfRule type="expression" priority="408" id="{7D775A24-D39C-4141-AF03-2A8EF1CA3B5F}">
            <xm:f>'KCE (2)'!H24=0</xm:f>
            <x14:dxf>
              <font>
                <color rgb="FFFF0000"/>
              </font>
            </x14:dxf>
          </x14:cfRule>
          <x14:cfRule type="expression" priority="409" id="{8FF56E13-8EF7-4713-A098-1034AC86A978}">
            <xm:f>'KCE (2)'!H24=1</xm:f>
            <x14:dxf>
              <font>
                <color rgb="FF00B050"/>
              </font>
            </x14:dxf>
          </x14:cfRule>
          <x14:cfRule type="expression" priority="410" id="{9739A9CB-95A5-4964-8AED-2CCFE2A7EE26}">
            <xm:f>Calculations!F16=64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403" id="{C5F2328B-0312-4599-AD6B-845E42DBA472}">
            <xm:f>'KCE (2)'!I24=2</xm:f>
            <x14:dxf>
              <font>
                <color rgb="FFFFFF00"/>
              </font>
            </x14:dxf>
          </x14:cfRule>
          <x14:cfRule type="expression" priority="404" id="{411E11A8-A8AC-4B55-BF95-42555EC32036}">
            <xm:f>'KCE (2)'!I24=0</xm:f>
            <x14:dxf>
              <font>
                <color rgb="FFFF0000"/>
              </font>
            </x14:dxf>
          </x14:cfRule>
          <x14:cfRule type="expression" priority="405" id="{BF8F92C4-C46E-4AAA-B1FB-5D3882133359}">
            <xm:f>'KCE (2)'!I24=1</xm:f>
            <x14:dxf>
              <font>
                <color rgb="FF00B050"/>
              </font>
            </x14:dxf>
          </x14:cfRule>
          <x14:cfRule type="expression" priority="406" id="{917E611D-10BE-4061-B2B1-ACE55B5885C4}">
            <xm:f>Calculations!G16=64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99" id="{C9E640E2-E814-4355-93EE-6A8E3B792FB9}">
            <xm:f>'KCE (2)'!J24=2</xm:f>
            <x14:dxf>
              <font>
                <color rgb="FFFFFF00"/>
              </font>
            </x14:dxf>
          </x14:cfRule>
          <x14:cfRule type="expression" priority="400" id="{812CEC4D-3142-40B7-90A8-1608DA7AF98D}">
            <xm:f>'KCE (2)'!J24=0</xm:f>
            <x14:dxf>
              <font>
                <color rgb="FFFF0000"/>
              </font>
            </x14:dxf>
          </x14:cfRule>
          <x14:cfRule type="expression" priority="401" id="{32460440-7964-47B0-9C71-D5ACDC3DCC06}">
            <xm:f>'KCE (2)'!J24=1</xm:f>
            <x14:dxf>
              <font>
                <color rgb="FF00B050"/>
              </font>
            </x14:dxf>
          </x14:cfRule>
          <x14:cfRule type="expression" priority="402" id="{0E8D7199-A2B0-4F12-BBD7-C515B4E480A6}">
            <xm:f>Calculations!H16=64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95" id="{C80DA126-D58F-4865-B274-3C60E98DBE4C}">
            <xm:f>'KCE (2)'!K24=2</xm:f>
            <x14:dxf>
              <font>
                <color rgb="FFFFFF00"/>
              </font>
            </x14:dxf>
          </x14:cfRule>
          <x14:cfRule type="expression" priority="396" id="{279E069B-514C-46B2-BC05-B5DD1807E152}">
            <xm:f>'KCE (2)'!K24=0</xm:f>
            <x14:dxf>
              <font>
                <color rgb="FFFF0000"/>
              </font>
            </x14:dxf>
          </x14:cfRule>
          <x14:cfRule type="expression" priority="397" id="{19C09034-AE24-41C9-A799-96681C7C1E48}">
            <xm:f>'KCE (2)'!K24=1</xm:f>
            <x14:dxf>
              <font>
                <color rgb="FF00B050"/>
              </font>
            </x14:dxf>
          </x14:cfRule>
          <x14:cfRule type="expression" priority="398" id="{60E6A422-8BD7-42BB-875F-71C15855051A}">
            <xm:f>Calculations!I16=64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91" id="{9960FC9D-BEE2-49F2-B8D7-5B73DDD0D150}">
            <xm:f>'KCE (2)'!L24=2</xm:f>
            <x14:dxf>
              <font>
                <color rgb="FFFFFF00"/>
              </font>
            </x14:dxf>
          </x14:cfRule>
          <x14:cfRule type="expression" priority="392" id="{EF4FD67D-7C65-454F-9AD4-B607CC6988C1}">
            <xm:f>'KCE (2)'!L24=0</xm:f>
            <x14:dxf>
              <font>
                <color rgb="FFFF0000"/>
              </font>
            </x14:dxf>
          </x14:cfRule>
          <x14:cfRule type="expression" priority="393" id="{1EDCCEE6-4C1C-446F-A4C0-90E933615EC3}">
            <xm:f>'KCE (2)'!L24=1</xm:f>
            <x14:dxf>
              <font>
                <color rgb="FF00B050"/>
              </font>
            </x14:dxf>
          </x14:cfRule>
          <x14:cfRule type="expression" priority="394" id="{2F758B75-2B2C-4871-A1DD-2A798A83D777}">
            <xm:f>Calculations!J16=64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87" id="{60750705-8A0A-4D71-AE10-336AB45F5069}">
            <xm:f>'KCE (2)'!M24=2</xm:f>
            <x14:dxf>
              <font>
                <color rgb="FFFFFF00"/>
              </font>
            </x14:dxf>
          </x14:cfRule>
          <x14:cfRule type="expression" priority="388" id="{C6CABCF5-6D70-4D36-8472-27A19399245E}">
            <xm:f>'KCE (2)'!M24=0</xm:f>
            <x14:dxf>
              <font>
                <color rgb="FFFF0000"/>
              </font>
            </x14:dxf>
          </x14:cfRule>
          <x14:cfRule type="expression" priority="389" id="{EBF0001B-24C9-49D6-A3E9-62BCF58C3FBB}">
            <xm:f>'KCE (2)'!M24=1</xm:f>
            <x14:dxf>
              <font>
                <color rgb="FF00B050"/>
              </font>
            </x14:dxf>
          </x14:cfRule>
          <x14:cfRule type="expression" priority="390" id="{FE75B0B1-9E73-4630-93ED-0C571B135298}">
            <xm:f>Calculations!K16=64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83" id="{23279845-A931-4C20-90C4-1C53D0EFADCE}">
            <xm:f>'KCE (2)'!N24=2</xm:f>
            <x14:dxf>
              <font>
                <color rgb="FFFFFF00"/>
              </font>
            </x14:dxf>
          </x14:cfRule>
          <x14:cfRule type="expression" priority="384" id="{78B629AF-252F-48E4-9389-D799E634DA3E}">
            <xm:f>'KCE (2)'!N24=0</xm:f>
            <x14:dxf>
              <font>
                <color rgb="FFFF0000"/>
              </font>
            </x14:dxf>
          </x14:cfRule>
          <x14:cfRule type="expression" priority="385" id="{81B505C9-4C34-4728-9E55-BB15476A5B68}">
            <xm:f>'KCE (2)'!N24=1</xm:f>
            <x14:dxf>
              <font>
                <color rgb="FF00B050"/>
              </font>
            </x14:dxf>
          </x14:cfRule>
          <x14:cfRule type="expression" priority="386" id="{44071B84-E94F-4C26-9D74-1B80CB341A44}">
            <xm:f>Calculations!L16=64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79" id="{1D1CE267-6449-484C-9020-3FBEF38E5DE7}">
            <xm:f>'KCE (2)'!F29=2</xm:f>
            <x14:dxf>
              <font>
                <color rgb="FFFFFF00"/>
              </font>
            </x14:dxf>
          </x14:cfRule>
          <x14:cfRule type="expression" priority="380" id="{3B57A600-004D-4520-9D15-0B6D14EA771E}">
            <xm:f>'KCE (2)'!F29=0</xm:f>
            <x14:dxf>
              <font>
                <color rgb="FFFF0000"/>
              </font>
            </x14:dxf>
          </x14:cfRule>
          <x14:cfRule type="expression" priority="381" id="{57EE05D4-3A0E-416D-A0CD-91202B4521C2}">
            <xm:f>'KCE (2)'!F29=1</xm:f>
            <x14:dxf>
              <font>
                <color rgb="FF00B050"/>
              </font>
            </x14:dxf>
          </x14:cfRule>
          <x14:cfRule type="expression" priority="382" id="{5FB22C9C-3C2F-4C2A-82D5-8767A263E316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75" id="{2158C8E9-C6CF-43EB-9F95-CD5005212DAC}">
            <xm:f>'KCE (2)'!G29=2</xm:f>
            <x14:dxf>
              <font>
                <color rgb="FFFFFF00"/>
              </font>
            </x14:dxf>
          </x14:cfRule>
          <x14:cfRule type="expression" priority="376" id="{F27039A0-6A00-4F3C-B093-DF52F91CEE16}">
            <xm:f>'KCE (2)'!G29=0</xm:f>
            <x14:dxf>
              <font>
                <color rgb="FFFF0000"/>
              </font>
            </x14:dxf>
          </x14:cfRule>
          <x14:cfRule type="expression" priority="377" id="{AF302E74-103E-4733-BE69-0FD39117DEE4}">
            <xm:f>'KCE (2)'!G29=1</xm:f>
            <x14:dxf>
              <font>
                <color rgb="FF00B050"/>
              </font>
            </x14:dxf>
          </x14:cfRule>
          <x14:cfRule type="expression" priority="378" id="{516F6F4C-72FF-41C0-9FE3-15E97BA67DCF}">
            <xm:f>Calculations!$D17=64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71" id="{C41E959A-FB08-4137-9834-0E482371D7A0}">
            <xm:f>'KCE (2)'!H29=2</xm:f>
            <x14:dxf>
              <font>
                <color rgb="FFFFFF00"/>
              </font>
            </x14:dxf>
          </x14:cfRule>
          <x14:cfRule type="expression" priority="372" id="{5CF5E748-3847-404E-89A7-A8D0E7532CF8}">
            <xm:f>'KCE (2)'!H29=0</xm:f>
            <x14:dxf>
              <font>
                <color rgb="FFFF0000"/>
              </font>
            </x14:dxf>
          </x14:cfRule>
          <x14:cfRule type="expression" priority="373" id="{7540EF5E-6669-44A7-B5B4-7F17686A5198}">
            <xm:f>'KCE (2)'!H29=1</xm:f>
            <x14:dxf>
              <font>
                <color rgb="FF00B050"/>
              </font>
            </x14:dxf>
          </x14:cfRule>
          <x14:cfRule type="expression" priority="374" id="{BC933252-146A-407B-87F3-0C83B4F5BCA1}">
            <xm:f>Calculations!E17=64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67" id="{A9A041ED-D406-436A-AD0A-36D77FF30915}">
            <xm:f>'KCE (2)'!I29=2</xm:f>
            <x14:dxf>
              <font>
                <color rgb="FFFFFF00"/>
              </font>
            </x14:dxf>
          </x14:cfRule>
          <x14:cfRule type="expression" priority="368" id="{157FF895-0F9F-4F6D-A9CA-9E8B60273B6F}">
            <xm:f>'KCE (2)'!I29=0</xm:f>
            <x14:dxf>
              <font>
                <color rgb="FFFF0000"/>
              </font>
            </x14:dxf>
          </x14:cfRule>
          <x14:cfRule type="expression" priority="369" id="{7E174C09-F4D4-41D7-AC04-0F020F4468A3}">
            <xm:f>'KCE (2)'!I29=1</xm:f>
            <x14:dxf>
              <font>
                <color rgb="FF00B050"/>
              </font>
            </x14:dxf>
          </x14:cfRule>
          <x14:cfRule type="expression" priority="370" id="{6D54D802-71D8-49C4-B536-B90A468C0395}">
            <xm:f>Calculations!F17=64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63" id="{11E9C7BB-428F-40DF-8474-3CD97DB629FF}">
            <xm:f>'KCE (2)'!J29=2</xm:f>
            <x14:dxf>
              <font>
                <color rgb="FFFFFF00"/>
              </font>
            </x14:dxf>
          </x14:cfRule>
          <x14:cfRule type="expression" priority="364" id="{5B6BF5A4-E9B6-4E74-928B-F85C664DF2C4}">
            <xm:f>'KCE (2)'!J29=0</xm:f>
            <x14:dxf>
              <font>
                <color rgb="FFFF0000"/>
              </font>
            </x14:dxf>
          </x14:cfRule>
          <x14:cfRule type="expression" priority="365" id="{8A63B5BB-A714-4A4D-9169-8A9C18A76036}">
            <xm:f>'KCE (2)'!J29=1</xm:f>
            <x14:dxf>
              <font>
                <color rgb="FF00B050"/>
              </font>
            </x14:dxf>
          </x14:cfRule>
          <x14:cfRule type="expression" priority="366" id="{D7A5BD25-C2C7-4A12-AB6A-33C0F15A5F48}">
            <xm:f>Calculations!G17=64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59" id="{DA2B0D5A-BE4B-4CED-A83D-F54FAFE98894}">
            <xm:f>'KCE (2)'!K29=2</xm:f>
            <x14:dxf>
              <font>
                <color rgb="FFFFFF00"/>
              </font>
            </x14:dxf>
          </x14:cfRule>
          <x14:cfRule type="expression" priority="360" id="{594C06B6-E33D-4E41-8CB0-7943134796C9}">
            <xm:f>'KCE (2)'!K29=0</xm:f>
            <x14:dxf>
              <font>
                <color rgb="FFFF0000"/>
              </font>
            </x14:dxf>
          </x14:cfRule>
          <x14:cfRule type="expression" priority="361" id="{B63F374B-A1D5-42B1-9E12-789D455745AC}">
            <xm:f>'KCE (2)'!K29=1</xm:f>
            <x14:dxf>
              <font>
                <color rgb="FF00B050"/>
              </font>
            </x14:dxf>
          </x14:cfRule>
          <x14:cfRule type="expression" priority="362" id="{DC1A332D-0E3E-48FB-A802-419AA1B1516E}">
            <xm:f>Calculations!H17=64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55" id="{4121BDFE-A418-43F7-845B-A727096AE7D3}">
            <xm:f>'KCE (2)'!L29=2</xm:f>
            <x14:dxf>
              <font>
                <color rgb="FFFFFF00"/>
              </font>
            </x14:dxf>
          </x14:cfRule>
          <x14:cfRule type="expression" priority="356" id="{FD35DFF4-7C97-40B3-AF8A-119736A985BF}">
            <xm:f>'KCE (2)'!L29=0</xm:f>
            <x14:dxf>
              <font>
                <color rgb="FFFF0000"/>
              </font>
            </x14:dxf>
          </x14:cfRule>
          <x14:cfRule type="expression" priority="357" id="{36FBA4F0-4398-4425-AFD5-983223919167}">
            <xm:f>'KCE (2)'!L29=1</xm:f>
            <x14:dxf>
              <font>
                <color rgb="FF00B050"/>
              </font>
            </x14:dxf>
          </x14:cfRule>
          <x14:cfRule type="expression" priority="358" id="{8228C80B-2899-472E-9111-6B588A995617}">
            <xm:f>Calculations!I17=64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51" id="{9A1B0C72-8648-4727-97C6-22DD55E2CABB}">
            <xm:f>'KCE (2)'!M29=2</xm:f>
            <x14:dxf>
              <font>
                <color rgb="FFFFFF00"/>
              </font>
            </x14:dxf>
          </x14:cfRule>
          <x14:cfRule type="expression" priority="352" id="{1B6B6FB8-FE14-449A-87D9-FA8F8A5A3489}">
            <xm:f>'KCE (2)'!M29=0</xm:f>
            <x14:dxf>
              <font>
                <color rgb="FFFF0000"/>
              </font>
            </x14:dxf>
          </x14:cfRule>
          <x14:cfRule type="expression" priority="353" id="{9BC7D92B-C8A8-4190-8787-7D248E525858}">
            <xm:f>'KCE (2)'!M29=1</xm:f>
            <x14:dxf>
              <font>
                <color rgb="FF00B050"/>
              </font>
            </x14:dxf>
          </x14:cfRule>
          <x14:cfRule type="expression" priority="354" id="{9C193C4F-A116-445A-B06B-1D185E7D815F}">
            <xm:f>Calculations!J17=64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347" id="{75580BC5-E89A-4618-AD86-418393B1CE73}">
            <xm:f>'KCE (2)'!N29=2</xm:f>
            <x14:dxf>
              <font>
                <color rgb="FFFFFF00"/>
              </font>
            </x14:dxf>
          </x14:cfRule>
          <x14:cfRule type="expression" priority="348" id="{A510E3A1-B8B3-4719-829A-B9D5D56889A6}">
            <xm:f>'KCE (2)'!N29=0</xm:f>
            <x14:dxf>
              <font>
                <color rgb="FFFF0000"/>
              </font>
            </x14:dxf>
          </x14:cfRule>
          <x14:cfRule type="expression" priority="349" id="{9A503DF9-2048-4BB5-ADD8-ED99ACF27991}">
            <xm:f>'KCE (2)'!N29=1</xm:f>
            <x14:dxf>
              <font>
                <color rgb="FF00B050"/>
              </font>
            </x14:dxf>
          </x14:cfRule>
          <x14:cfRule type="expression" priority="350" id="{8B3838D6-9C7B-441E-88EF-157C86A4AC22}">
            <xm:f>Calculations!K17=64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343" id="{647D979F-1943-4DF4-AB42-F29FCD76131B}">
            <xm:f>'KCE (2)'!G34=2</xm:f>
            <x14:dxf>
              <font>
                <color rgb="FFFFFF00"/>
              </font>
            </x14:dxf>
          </x14:cfRule>
          <x14:cfRule type="expression" priority="344" id="{79D05754-A14E-4A56-BA46-72F103898E5E}">
            <xm:f>'KCE (2)'!G34=0</xm:f>
            <x14:dxf>
              <font>
                <color rgb="FFFF0000"/>
              </font>
            </x14:dxf>
          </x14:cfRule>
          <x14:cfRule type="expression" priority="345" id="{941D57AC-E579-4988-B119-D310F9BFD67D}">
            <xm:f>'KCE (2)'!G34=1</xm:f>
            <x14:dxf>
              <font>
                <color rgb="FF00B050"/>
              </font>
            </x14:dxf>
          </x14:cfRule>
          <x14:cfRule type="expression" priority="346" id="{30A3A3C9-077C-45D9-A0AF-17336F7A7445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339" id="{7E0F797D-1C84-413C-A7A3-65EA6EFDAFF3}">
            <xm:f>'KCE (2)'!H34=2</xm:f>
            <x14:dxf>
              <font>
                <color rgb="FFFFFF00"/>
              </font>
            </x14:dxf>
          </x14:cfRule>
          <x14:cfRule type="expression" priority="340" id="{269EADEC-9EB1-4C9D-9244-21E54E1CC626}">
            <xm:f>'KCE (2)'!H34=0</xm:f>
            <x14:dxf>
              <font>
                <color rgb="FFFF0000"/>
              </font>
            </x14:dxf>
          </x14:cfRule>
          <x14:cfRule type="expression" priority="341" id="{5FE481CD-1A0C-4A0C-8D59-6CE49B7E1B7E}">
            <xm:f>'KCE (2)'!H34=1</xm:f>
            <x14:dxf>
              <font>
                <color rgb="FF00B050"/>
              </font>
            </x14:dxf>
          </x14:cfRule>
          <x14:cfRule type="expression" priority="342" id="{2FB505AE-699B-431E-A507-854E04A6F8EE}">
            <xm:f>Calculations!D18=64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311" id="{04CD350C-AF5F-489C-8045-12DD356B681A}">
            <xm:f>'KCE (2)'!H39=2</xm:f>
            <x14:dxf>
              <font>
                <color rgb="FFFFFF00"/>
              </font>
            </x14:dxf>
          </x14:cfRule>
          <x14:cfRule type="expression" priority="312" id="{F4747967-7138-47F2-8F0B-889EAFDE26A2}">
            <xm:f>'KCE (2)'!H39=0</xm:f>
            <x14:dxf>
              <font>
                <color rgb="FFFF0000"/>
              </font>
            </x14:dxf>
          </x14:cfRule>
          <x14:cfRule type="expression" priority="313" id="{ECD0B189-58BE-454C-8578-2967C55DDC78}">
            <xm:f>'KCE (2)'!H39=1</xm:f>
            <x14:dxf>
              <font>
                <color rgb="FF00B050"/>
              </font>
            </x14:dxf>
          </x14:cfRule>
          <x14:cfRule type="expression" priority="314" id="{537C3302-F9C9-4300-8E86-7743A39A1E9A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307" id="{B378F0C0-CA5A-454D-8D21-8EBA93FB177F}">
            <xm:f>'KCE (2)'!I39=2</xm:f>
            <x14:dxf>
              <font>
                <color rgb="FFFFFF00"/>
              </font>
            </x14:dxf>
          </x14:cfRule>
          <x14:cfRule type="expression" priority="308" id="{AE629442-B1FC-4340-86CB-4D1E384F2773}">
            <xm:f>'KCE (2)'!I39=0</xm:f>
            <x14:dxf>
              <font>
                <color rgb="FFFF0000"/>
              </font>
            </x14:dxf>
          </x14:cfRule>
          <x14:cfRule type="expression" priority="309" id="{1988575F-C4FF-4BC9-AD59-AAB86FC09564}">
            <xm:f>'KCE (2)'!I39=1</xm:f>
            <x14:dxf>
              <font>
                <color rgb="FF00B050"/>
              </font>
            </x14:dxf>
          </x14:cfRule>
          <x14:cfRule type="expression" priority="310" id="{C50E3C22-C551-479B-8B5D-BEFDD913699F}">
            <xm:f>Calculations!D19=64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303" id="{76093C11-E928-490B-A196-CDEF34D3A1FD}">
            <xm:f>'KCE (2)'!J39=2</xm:f>
            <x14:dxf>
              <font>
                <color rgb="FFFFFF00"/>
              </font>
            </x14:dxf>
          </x14:cfRule>
          <x14:cfRule type="expression" priority="304" id="{353C9D11-730B-4A1F-A466-16CD916E6BB4}">
            <xm:f>'KCE (2)'!J39=0</xm:f>
            <x14:dxf>
              <font>
                <color rgb="FFFF0000"/>
              </font>
            </x14:dxf>
          </x14:cfRule>
          <x14:cfRule type="expression" priority="305" id="{FDCE12D8-7D9E-4B3B-900B-047095F83CE0}">
            <xm:f>'KCE (2)'!J39=1</xm:f>
            <x14:dxf>
              <font>
                <color rgb="FF00B050"/>
              </font>
            </x14:dxf>
          </x14:cfRule>
          <x14:cfRule type="expression" priority="306" id="{BACE30BE-6E5F-4872-85C7-632C4ABC3057}">
            <xm:f>Calculations!E19=64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99" id="{AD566AF7-3009-495E-9B65-858B07CEA5B0}">
            <xm:f>'KCE (2)'!K39=2</xm:f>
            <x14:dxf>
              <font>
                <color rgb="FFFFFF00"/>
              </font>
            </x14:dxf>
          </x14:cfRule>
          <x14:cfRule type="expression" priority="300" id="{487A1AF5-9156-4A6D-AB76-C7959BD94F18}">
            <xm:f>'KCE (2)'!K39=0</xm:f>
            <x14:dxf>
              <font>
                <color rgb="FFFF0000"/>
              </font>
            </x14:dxf>
          </x14:cfRule>
          <x14:cfRule type="expression" priority="301" id="{399248E0-860B-4FA0-8349-A32C78A234CB}">
            <xm:f>'KCE (2)'!K39=1</xm:f>
            <x14:dxf>
              <font>
                <color rgb="FF00B050"/>
              </font>
            </x14:dxf>
          </x14:cfRule>
          <x14:cfRule type="expression" priority="302" id="{382D6541-3664-4035-8152-0351514B48C6}">
            <xm:f>Calculations!F19=64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95" id="{8F99E15E-CD70-491A-BB54-906435A5BE22}">
            <xm:f>'KCE (2)'!L39=2</xm:f>
            <x14:dxf>
              <font>
                <color rgb="FFFFFF00"/>
              </font>
            </x14:dxf>
          </x14:cfRule>
          <x14:cfRule type="expression" priority="296" id="{E62B370F-BE8A-4D93-80CC-CEFB7AD5FEFD}">
            <xm:f>'KCE (2)'!L39=0</xm:f>
            <x14:dxf>
              <font>
                <color rgb="FFFF0000"/>
              </font>
            </x14:dxf>
          </x14:cfRule>
          <x14:cfRule type="expression" priority="297" id="{08EEFC52-892F-46E4-B02E-D6DA5FED9DD3}">
            <xm:f>'KCE (2)'!L39=1</xm:f>
            <x14:dxf>
              <font>
                <color rgb="FF00B050"/>
              </font>
            </x14:dxf>
          </x14:cfRule>
          <x14:cfRule type="expression" priority="298" id="{7527E935-0D90-483A-A7B2-B99F4A700BCF}">
            <xm:f>Calculations!G19=64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91" id="{83DFE698-4069-4E41-BC68-7E15D2A08D9B}">
            <xm:f>'KCE (2)'!M39=2</xm:f>
            <x14:dxf>
              <font>
                <color rgb="FFFFFF00"/>
              </font>
            </x14:dxf>
          </x14:cfRule>
          <x14:cfRule type="expression" priority="292" id="{B180EFB2-C2AC-467D-A065-E5FC91CDFE50}">
            <xm:f>'KCE (2)'!M39=0</xm:f>
            <x14:dxf>
              <font>
                <color rgb="FFFF0000"/>
              </font>
            </x14:dxf>
          </x14:cfRule>
          <x14:cfRule type="expression" priority="293" id="{560D4B28-D845-49F7-B5D3-AC7606FAC11C}">
            <xm:f>'KCE (2)'!M39=1</xm:f>
            <x14:dxf>
              <font>
                <color rgb="FF00B050"/>
              </font>
            </x14:dxf>
          </x14:cfRule>
          <x14:cfRule type="expression" priority="294" id="{CE7DD58A-01FA-44D5-A44E-175CD97B4D35}">
            <xm:f>Calculations!H19=64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87" id="{75A1C657-874A-4AD5-BD0E-56F98D5085EC}">
            <xm:f>'KCE (2)'!N39=2</xm:f>
            <x14:dxf>
              <font>
                <color rgb="FFFFFF00"/>
              </font>
            </x14:dxf>
          </x14:cfRule>
          <x14:cfRule type="expression" priority="288" id="{1A3A70D6-E640-406F-87DA-E0DD531B1C9E}">
            <xm:f>'KCE (2)'!N39=0</xm:f>
            <x14:dxf>
              <font>
                <color rgb="FFFF0000"/>
              </font>
            </x14:dxf>
          </x14:cfRule>
          <x14:cfRule type="expression" priority="289" id="{274FED17-7782-4ED7-9B10-C7CCCC3BC684}">
            <xm:f>'KCE (2)'!N39=1</xm:f>
            <x14:dxf>
              <font>
                <color rgb="FF00B050"/>
              </font>
            </x14:dxf>
          </x14:cfRule>
          <x14:cfRule type="expression" priority="290" id="{2E28C6A0-25B7-4EA5-BC1E-4C6DCDE5A962}">
            <xm:f>Calculations!I19=64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83" id="{19DC8C14-B9F8-4D33-A64F-35D0C155A93B}">
            <xm:f>'KCE (2)'!I44=2</xm:f>
            <x14:dxf>
              <font>
                <color rgb="FFFFFF00"/>
              </font>
            </x14:dxf>
          </x14:cfRule>
          <x14:cfRule type="expression" priority="284" id="{1FF41497-1446-4476-B555-1F787D451FA7}">
            <xm:f>'KCE (2)'!I44=0</xm:f>
            <x14:dxf>
              <font>
                <color rgb="FFFF0000"/>
              </font>
            </x14:dxf>
          </x14:cfRule>
          <x14:cfRule type="expression" priority="285" id="{1C26D533-999D-4E36-922F-CBDF49344A8B}">
            <xm:f>'KCE (2)'!I44=1</xm:f>
            <x14:dxf>
              <font>
                <color rgb="FF00B050"/>
              </font>
            </x14:dxf>
          </x14:cfRule>
          <x14:cfRule type="expression" priority="286" id="{58012B78-62BE-4DE8-AB57-059C3633FB79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79" id="{F584B1ED-FD18-479A-8599-E05315AEC216}">
            <xm:f>'KCE (2)'!J44=2</xm:f>
            <x14:dxf>
              <font>
                <color rgb="FFFFFF00"/>
              </font>
            </x14:dxf>
          </x14:cfRule>
          <x14:cfRule type="expression" priority="280" id="{B70EA1F2-38EB-4DF3-93BD-4AFA4EFD3389}">
            <xm:f>'KCE (2)'!J44=0</xm:f>
            <x14:dxf>
              <font>
                <color rgb="FFFF0000"/>
              </font>
            </x14:dxf>
          </x14:cfRule>
          <x14:cfRule type="expression" priority="281" id="{812713DF-4288-477B-963B-3CD3C5A1C4FA}">
            <xm:f>'KCE (2)'!J44=1</xm:f>
            <x14:dxf>
              <font>
                <color rgb="FF00B050"/>
              </font>
            </x14:dxf>
          </x14:cfRule>
          <x14:cfRule type="expression" priority="282" id="{14010AFF-6C49-4207-9881-B7016DABB9C5}">
            <xm:f>Calculations!D20=64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59" id="{316BA5F8-D2EB-4C41-A5CD-211384D9E24C}">
            <xm:f>'KCE (2)'!J49=2</xm:f>
            <x14:dxf>
              <font>
                <color rgb="FFFFFF00"/>
              </font>
            </x14:dxf>
          </x14:cfRule>
          <x14:cfRule type="expression" priority="260" id="{6235BC26-DAB5-4667-A11C-A03C65C6EA60}">
            <xm:f>'KCE (2)'!J49=0</xm:f>
            <x14:dxf>
              <font>
                <color rgb="FFFF0000"/>
              </font>
            </x14:dxf>
          </x14:cfRule>
          <x14:cfRule type="expression" priority="261" id="{54E1C768-E69D-49FC-B09F-F8C7845D094C}">
            <xm:f>'KCE (2)'!J49=1</xm:f>
            <x14:dxf>
              <font>
                <color rgb="FF00B050"/>
              </font>
            </x14:dxf>
          </x14:cfRule>
          <x14:cfRule type="expression" priority="262" id="{FFF60F3B-1618-4829-9B83-A2E9EB416930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5" id="{19349915-D921-461A-A71C-BD1B1F999789}">
            <xm:f>'KCE (2)'!K49=2</xm:f>
            <x14:dxf>
              <font>
                <color rgb="FFFFFF00"/>
              </font>
            </x14:dxf>
          </x14:cfRule>
          <x14:cfRule type="expression" priority="256" id="{63D934DF-F92C-42EA-969A-0CC97090DB43}">
            <xm:f>'KCE (2)'!K49=0</xm:f>
            <x14:dxf>
              <font>
                <color rgb="FFFF0000"/>
              </font>
            </x14:dxf>
          </x14:cfRule>
          <x14:cfRule type="expression" priority="257" id="{D0A01E7F-C2C4-436F-B124-259A8B099CB1}">
            <xm:f>'KCE (2)'!K49=1</xm:f>
            <x14:dxf>
              <font>
                <color rgb="FF00B050"/>
              </font>
            </x14:dxf>
          </x14:cfRule>
          <x14:cfRule type="expression" priority="258" id="{99CF6579-FFF3-4A09-A0F7-2CA146F85C68}">
            <xm:f>Calculations!D21=64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51" id="{0B4C1483-192C-4943-BAEF-5B2295E3EB08}">
            <xm:f>'KCE (2)'!L49=2</xm:f>
            <x14:dxf>
              <font>
                <color rgb="FFFFFF00"/>
              </font>
            </x14:dxf>
          </x14:cfRule>
          <x14:cfRule type="expression" priority="252" id="{37FD1891-F75F-4E7D-9F4C-18F904DC17DD}">
            <xm:f>'KCE (2)'!L49=0</xm:f>
            <x14:dxf>
              <font>
                <color rgb="FFFF0000"/>
              </font>
            </x14:dxf>
          </x14:cfRule>
          <x14:cfRule type="expression" priority="253" id="{B6E875F2-53A2-456E-973D-2B0D2B2AAC93}">
            <xm:f>'KCE (2)'!L49=1</xm:f>
            <x14:dxf>
              <font>
                <color rgb="FF00B050"/>
              </font>
            </x14:dxf>
          </x14:cfRule>
          <x14:cfRule type="expression" priority="254" id="{858CA474-9232-4819-A91B-043AE1697CB0}">
            <xm:f>Calculations!E21=64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47" id="{390C8850-8335-44E4-A43D-5210B50D6866}">
            <xm:f>'KCE (2)'!M49=2</xm:f>
            <x14:dxf>
              <font>
                <color rgb="FFFFFF00"/>
              </font>
            </x14:dxf>
          </x14:cfRule>
          <x14:cfRule type="expression" priority="248" id="{2337BB74-D1DF-44A4-BDE2-51BFDB5590C8}">
            <xm:f>'KCE (2)'!M49=0</xm:f>
            <x14:dxf>
              <font>
                <color rgb="FFFF0000"/>
              </font>
            </x14:dxf>
          </x14:cfRule>
          <x14:cfRule type="expression" priority="249" id="{B98C3363-00E8-4286-BE8F-A82F2F204031}">
            <xm:f>'KCE (2)'!M49=1</xm:f>
            <x14:dxf>
              <font>
                <color rgb="FF00B050"/>
              </font>
            </x14:dxf>
          </x14:cfRule>
          <x14:cfRule type="expression" priority="250" id="{4252D204-AFF1-4EA1-BC65-4BB655D644A4}">
            <xm:f>Calculations!F21=64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43" id="{05C4280B-349D-489B-BEFD-406481480424}">
            <xm:f>'KCE (2)'!N49=2</xm:f>
            <x14:dxf>
              <font>
                <color rgb="FFFFFF00"/>
              </font>
            </x14:dxf>
          </x14:cfRule>
          <x14:cfRule type="expression" priority="244" id="{A345A608-9AF2-4781-8EE0-CF6A65703DBE}">
            <xm:f>'KCE (2)'!N49=0</xm:f>
            <x14:dxf>
              <font>
                <color rgb="FFFF0000"/>
              </font>
            </x14:dxf>
          </x14:cfRule>
          <x14:cfRule type="expression" priority="245" id="{639F6BBA-11A1-41DD-98BA-D2064C20537B}">
            <xm:f>'KCE (2)'!N49=1</xm:f>
            <x14:dxf>
              <font>
                <color rgb="FF00B050"/>
              </font>
            </x14:dxf>
          </x14:cfRule>
          <x14:cfRule type="expression" priority="246" id="{9C919A5B-709C-457F-A586-9F6A50AAA66D}">
            <xm:f>Calculations!G21=64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39" id="{5F0F017B-F65B-4DA5-9781-74266E5014DC}">
            <xm:f>'KCE (2)'!K54=2</xm:f>
            <x14:dxf>
              <font>
                <color rgb="FFFFFF00"/>
              </font>
            </x14:dxf>
          </x14:cfRule>
          <x14:cfRule type="expression" priority="240" id="{CBABEFFE-C120-4790-8B4E-515FF19A02A8}">
            <xm:f>'KCE (2)'!K54=0</xm:f>
            <x14:dxf>
              <font>
                <color rgb="FFFF0000"/>
              </font>
            </x14:dxf>
          </x14:cfRule>
          <x14:cfRule type="expression" priority="241" id="{1FA98FB6-D22B-4C24-8D44-EDEC5F6E825C}">
            <xm:f>'KCE (2)'!K54=1</xm:f>
            <x14:dxf>
              <font>
                <color rgb="FF00B050"/>
              </font>
            </x14:dxf>
          </x14:cfRule>
          <x14:cfRule type="expression" priority="242" id="{CE80F426-4F78-4C2A-8E16-0726B97C0CB4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35" id="{70493B2A-C6CB-4936-AF66-F7FFD4136D0C}">
            <xm:f>'KCE (2)'!L54=2</xm:f>
            <x14:dxf>
              <font>
                <color rgb="FFFFFF00"/>
              </font>
            </x14:dxf>
          </x14:cfRule>
          <x14:cfRule type="expression" priority="236" id="{21C9A0BF-E9EB-4435-B16B-F7186B83059D}">
            <xm:f>'KCE (2)'!L54=0</xm:f>
            <x14:dxf>
              <font>
                <color rgb="FFFF0000"/>
              </font>
            </x14:dxf>
          </x14:cfRule>
          <x14:cfRule type="expression" priority="237" id="{4B0BB593-6904-4A71-9747-8FF3143EA5E1}">
            <xm:f>'KCE (2)'!L54=1</xm:f>
            <x14:dxf>
              <font>
                <color rgb="FF00B050"/>
              </font>
            </x14:dxf>
          </x14:cfRule>
          <x14:cfRule type="expression" priority="238" id="{148E055F-4EB1-4094-9819-851539546064}">
            <xm:f>Calculations!D22=64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31" id="{ECBA036C-62AE-4C87-95BA-37AEDC523648}">
            <xm:f>'KCE (2)'!M54=2</xm:f>
            <x14:dxf>
              <font>
                <color rgb="FFFFFF00"/>
              </font>
            </x14:dxf>
          </x14:cfRule>
          <x14:cfRule type="expression" priority="232" id="{D6434F06-52B5-49B9-8771-98E17AA5F1E7}">
            <xm:f>'KCE (2)'!M54=0</xm:f>
            <x14:dxf>
              <font>
                <color rgb="FFFF0000"/>
              </font>
            </x14:dxf>
          </x14:cfRule>
          <x14:cfRule type="expression" priority="233" id="{EBBCC42C-F519-445E-857B-4CF3F3753589}">
            <xm:f>'KCE (2)'!M54=1</xm:f>
            <x14:dxf>
              <font>
                <color rgb="FF00B050"/>
              </font>
            </x14:dxf>
          </x14:cfRule>
          <x14:cfRule type="expression" priority="234" id="{87832905-5A93-4FD2-9C9F-626633C7805F}">
            <xm:f>Calculations!E22=64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23" id="{4B58FD5C-93B9-4B1F-A5FD-3CBCB05368E8}">
            <xm:f>'KCE (2)'!L59=2</xm:f>
            <x14:dxf>
              <font>
                <color rgb="FFFFFF00"/>
              </font>
            </x14:dxf>
          </x14:cfRule>
          <x14:cfRule type="expression" priority="224" id="{2CA98746-D13E-45F9-81EB-8790434CA4AB}">
            <xm:f>'KCE (2)'!L59=0</xm:f>
            <x14:dxf>
              <font>
                <color rgb="FFFF0000"/>
              </font>
            </x14:dxf>
          </x14:cfRule>
          <x14:cfRule type="expression" priority="225" id="{5C9C397E-9E9C-4E2F-A1E4-56ACF6D1CF1F}">
            <xm:f>'KCE (2)'!L59=1</xm:f>
            <x14:dxf>
              <font>
                <color rgb="FF00B050"/>
              </font>
            </x14:dxf>
          </x14:cfRule>
          <x14:cfRule type="expression" priority="226" id="{5DE40DF0-DF05-4DA0-B889-7C84D2AFB807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19" id="{5F1BC6A7-D1BF-4AAB-AAF4-51DED08B0174}">
            <xm:f>'KCE (2)'!M59=2</xm:f>
            <x14:dxf>
              <font>
                <color rgb="FFFFFF00"/>
              </font>
            </x14:dxf>
          </x14:cfRule>
          <x14:cfRule type="expression" priority="220" id="{DC11AB98-A6BD-48BE-8E7B-68AB1D5BE13E}">
            <xm:f>'KCE (2)'!M59=0</xm:f>
            <x14:dxf>
              <font>
                <color rgb="FFFF0000"/>
              </font>
            </x14:dxf>
          </x14:cfRule>
          <x14:cfRule type="expression" priority="221" id="{9D8000FD-A802-4DD0-8465-4F96B0136150}">
            <xm:f>'KCE (2)'!M59=1</xm:f>
            <x14:dxf>
              <font>
                <color rgb="FF00B050"/>
              </font>
            </x14:dxf>
          </x14:cfRule>
          <x14:cfRule type="expression" priority="222" id="{DD2FAC0B-C2BA-4DCB-A282-7536D044227D}">
            <xm:f>Calculations!D23=64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0F3B7090-54E6-461D-BEA1-258C704A3D45}">
            <xm:f>'KCE (2)'!M64=2</xm:f>
            <x14:dxf>
              <font>
                <color rgb="FFFFFF00"/>
              </font>
            </x14:dxf>
          </x14:cfRule>
          <x14:cfRule type="expression" priority="212" id="{0D3683F9-1F2F-444E-8F08-EAD3A4E80644}">
            <xm:f>'KCE (2)'!M64=0</xm:f>
            <x14:dxf>
              <font>
                <color rgb="FFFF0000"/>
              </font>
            </x14:dxf>
          </x14:cfRule>
          <x14:cfRule type="expression" priority="213" id="{F7A14901-5654-4054-A809-D1006A47E393}">
            <xm:f>'KCE (2)'!M64=1</xm:f>
            <x14:dxf>
              <font>
                <color rgb="FF00B050"/>
              </font>
            </x14:dxf>
          </x14:cfRule>
          <x14:cfRule type="expression" priority="214" id="{9E27A045-5E4E-4D6B-AB75-5627C55353ED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07" id="{110E6B27-A89A-4C05-9EFF-C323BC43BCD3}">
            <xm:f>'KCE (2)'!N64=2</xm:f>
            <x14:dxf>
              <font>
                <color rgb="FFFFFF00"/>
              </font>
            </x14:dxf>
          </x14:cfRule>
          <x14:cfRule type="expression" priority="208" id="{B970E512-5FF8-4F44-919A-61BDC620711A}">
            <xm:f>'KCE (2)'!N64=0</xm:f>
            <x14:dxf>
              <font>
                <color rgb="FFFF0000"/>
              </font>
            </x14:dxf>
          </x14:cfRule>
          <x14:cfRule type="expression" priority="209" id="{0E4ABE81-2730-4DD2-AAB6-845B728614E1}">
            <xm:f>'KCE (2)'!N64=1</xm:f>
            <x14:dxf>
              <font>
                <color rgb="FF00B050"/>
              </font>
            </x14:dxf>
          </x14:cfRule>
          <x14:cfRule type="expression" priority="210" id="{486C8F44-A2AC-47B1-9BFB-F60DA1698899}">
            <xm:f>Calculations!D24=64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203" id="{90219B06-D901-49A0-9717-A0E5AC77CB4A}">
            <xm:f>'KCE (2)'!N69=2</xm:f>
            <x14:dxf>
              <font>
                <color rgb="FFFFFF00"/>
              </font>
            </x14:dxf>
          </x14:cfRule>
          <x14:cfRule type="expression" priority="204" id="{2D4F3C8E-A84B-4B77-A780-8333C2AA00EE}">
            <xm:f>'KCE (2)'!N69=0</xm:f>
            <x14:dxf>
              <font>
                <color rgb="FFFF0000"/>
              </font>
            </x14:dxf>
          </x14:cfRule>
          <x14:cfRule type="expression" priority="205" id="{9175F7B9-1C42-44F6-B43C-4D31C726AC85}">
            <xm:f>'KCE (2)'!N69=1</xm:f>
            <x14:dxf>
              <font>
                <color rgb="FF00B050"/>
              </font>
            </x14:dxf>
          </x14:cfRule>
          <x14:cfRule type="expression" priority="206" id="{1C3698D6-B0C0-4412-A19A-A34D4AD66D8D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  <x14:conditionalFormatting xmlns:xm="http://schemas.microsoft.com/office/excel/2006/main">
          <x14:cfRule type="expression" priority="199" id="{0887F469-A895-4B22-BE8E-2916D3DCD215}">
            <xm:f>'KCE (2)'!O69=2</xm:f>
            <x14:dxf>
              <font>
                <color rgb="FFFFFF00"/>
              </font>
            </x14:dxf>
          </x14:cfRule>
          <x14:cfRule type="expression" priority="200" id="{6FE729BF-7D3F-445B-9A63-8AE611A7CECD}">
            <xm:f>'KCE (2)'!O69=0</xm:f>
            <x14:dxf>
              <font>
                <color rgb="FFFF0000"/>
              </font>
            </x14:dxf>
          </x14:cfRule>
          <x14:cfRule type="expression" priority="201" id="{CF704BE2-A961-4CFA-A3EB-3430AE290F28}">
            <xm:f>'KCE (2)'!O69=1</xm:f>
            <x14:dxf>
              <font>
                <color rgb="FF00B050"/>
              </font>
            </x14:dxf>
          </x14:cfRule>
          <x14:cfRule type="expression" priority="202" id="{59C5D9C8-F436-4AB2-B100-E226F3AFAED4}">
            <xm:f>Calculations!D25=64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98" id="{2E4B593B-39B8-4177-B952-F1E88A280CA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197" id="{C2E26A6B-287E-44F8-A4FF-01671E5C1F16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196" id="{815ACAB8-0AF1-4718-A601-0F65B99EF323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195" id="{877A4658-9224-4D24-8B33-74B88DCB077E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94" id="{FEB8B475-FDD1-4B38-AE21-7FBC7F8E0B4C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193" id="{CEBD64BF-35B2-469F-A6BA-7E7D15EC4995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192" id="{4C8BEF67-8939-47D4-B636-4881719497C6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91" id="{280056C6-696B-4FF6-B6B7-FE66B1AC8A99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190" id="{96EFFCA1-4028-406C-BD85-F904D908FF2D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189" id="{7366CA22-6830-4EF2-A275-03F1426E5A8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188" id="{E33F247F-E89B-4211-864F-0F426C34495B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186" id="{7278C432-F1E3-451E-A480-8F2E7303ED7C}">
            <xm:f>Calculations!E14=128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183" id="{28C47CA8-CBA4-4719-AAFB-A8A4DD0CCB6B}">
            <xm:f>Calculations!F14=128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182" id="{41F0D8EB-5402-4C28-AA0F-15FA43DE2EC4}">
            <xm:f>Calculations!G14=128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81" id="{0E828B2B-14F4-4CB1-9FD1-F8C435EF620B}">
            <xm:f>Calculations!H14=128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180" id="{738510DF-4634-42F7-A495-7C52D65422D8}">
            <xm:f>Calculations!I14=128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179" id="{ADFE3A94-A816-43F1-96A2-DA02A7E989E7}">
            <xm:f>Calculations!J14=128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178" id="{F52A66BE-4C3B-4637-AEAE-1B132EE88A07}">
            <xm:f>Calculations!K14=128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177" id="{1BF4E780-DFE4-4954-B173-01F11FCC00BA}">
            <xm:f>Calculations!L14=128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76" id="{C71F5CE8-06D5-4289-BE4F-2E10F6B34A9A}">
            <xm:f>Calculations!M14=128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172" id="{3F3037F4-9EC2-4580-819A-1207BC433556}">
            <xm:f>'KCE (2)'!E14=2</xm:f>
            <x14:dxf>
              <font>
                <color rgb="FFFFFF00"/>
              </font>
            </x14:dxf>
          </x14:cfRule>
          <x14:cfRule type="expression" priority="173" id="{F1B2BE09-63FF-4D36-ABA2-F41D3571B4F8}">
            <xm:f>'KCE (2)'!E14=0</xm:f>
            <x14:dxf>
              <font>
                <color rgb="FFFF0000"/>
              </font>
            </x14:dxf>
          </x14:cfRule>
          <x14:cfRule type="expression" priority="174" id="{E89D7BBD-C722-4271-BE86-D596EF2449A0}">
            <xm:f>'KCE (2)'!E14=1</xm:f>
            <x14:dxf>
              <font>
                <color rgb="FF00B050"/>
              </font>
            </x14:dxf>
          </x14:cfRule>
          <x14:cfRule type="expression" priority="175" id="{74503CF1-8CB5-48F4-BCA9-80E7132DDCAA}">
            <xm:f>Calculations!E14=64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68" id="{D722B8DC-0BE7-41B8-8CE4-C6B80E90E73C}">
            <xm:f>'KCE (2)'!F14=2</xm:f>
            <x14:dxf>
              <font>
                <color rgb="FFFFFF00"/>
              </font>
            </x14:dxf>
          </x14:cfRule>
          <x14:cfRule type="expression" priority="169" id="{E8733F8C-483F-4720-9A20-6E7DBFA484AF}">
            <xm:f>'KCE (2)'!F14=0</xm:f>
            <x14:dxf>
              <font>
                <color rgb="FFFF0000"/>
              </font>
            </x14:dxf>
          </x14:cfRule>
          <x14:cfRule type="expression" priority="170" id="{83B18BF6-9B52-4D4C-A050-399DFC67ADE9}">
            <xm:f>'KCE (2)'!F14=1</xm:f>
            <x14:dxf>
              <font>
                <color rgb="FF00B050"/>
              </font>
            </x14:dxf>
          </x14:cfRule>
          <x14:cfRule type="expression" priority="171" id="{0C294908-4A47-4C92-ABAF-5CE7752014CE}">
            <xm:f>Calculations!F14=64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64" id="{1203B10D-D884-4E7B-89EA-2BF90C2D577A}">
            <xm:f>'KCE (2)'!G14=2</xm:f>
            <x14:dxf>
              <font>
                <color rgb="FFFFFF00"/>
              </font>
            </x14:dxf>
          </x14:cfRule>
          <x14:cfRule type="expression" priority="165" id="{3476DAA4-D48F-45BF-84D7-1329920BDAD6}">
            <xm:f>'KCE (2)'!G14=0</xm:f>
            <x14:dxf>
              <font>
                <color rgb="FFFF0000"/>
              </font>
            </x14:dxf>
          </x14:cfRule>
          <x14:cfRule type="expression" priority="166" id="{E1B658ED-1339-43D9-AF51-1A596E4021FC}">
            <xm:f>'KCE (2)'!G14=1</xm:f>
            <x14:dxf>
              <font>
                <color rgb="FF00B050"/>
              </font>
            </x14:dxf>
          </x14:cfRule>
          <x14:cfRule type="expression" priority="167" id="{B8C8C69B-7DA1-4C42-B91C-F1A1955B52FB}">
            <xm:f>Calculations!G14=64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160" id="{345368F6-C191-4E30-BB48-4625BC6F4B2F}">
            <xm:f>'KCE (2)'!H14=2</xm:f>
            <x14:dxf>
              <font>
                <color rgb="FFFFFF00"/>
              </font>
            </x14:dxf>
          </x14:cfRule>
          <x14:cfRule type="expression" priority="161" id="{1E661BA1-CF3E-4D65-B254-DADF8042C785}">
            <xm:f>'KCE (2)'!H14=0</xm:f>
            <x14:dxf>
              <font>
                <color rgb="FFFF0000"/>
              </font>
            </x14:dxf>
          </x14:cfRule>
          <x14:cfRule type="expression" priority="162" id="{2AE0C996-1025-44ED-8D3E-72BF6BAF6B6C}">
            <xm:f>'KCE (2)'!H14=1</xm:f>
            <x14:dxf>
              <font>
                <color rgb="FF00B050"/>
              </font>
            </x14:dxf>
          </x14:cfRule>
          <x14:cfRule type="expression" priority="163" id="{CDD30589-4303-4683-B09B-C4AE2EE56180}">
            <xm:f>Calculations!H14=64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156" id="{4480EDB5-D4B6-4659-9627-B68716D1875C}">
            <xm:f>'KCE (2)'!I14=2</xm:f>
            <x14:dxf>
              <font>
                <color rgb="FFFFFF00"/>
              </font>
            </x14:dxf>
          </x14:cfRule>
          <x14:cfRule type="expression" priority="157" id="{59A41B8F-A0AE-42D5-8B46-0FF7A6023B8A}">
            <xm:f>'KCE (2)'!I14=0</xm:f>
            <x14:dxf>
              <font>
                <color rgb="FFFF0000"/>
              </font>
            </x14:dxf>
          </x14:cfRule>
          <x14:cfRule type="expression" priority="158" id="{E6028EE3-08A8-4E62-9437-2799C0F2E9C7}">
            <xm:f>'KCE (2)'!I14=1</xm:f>
            <x14:dxf>
              <font>
                <color rgb="FF00B050"/>
              </font>
            </x14:dxf>
          </x14:cfRule>
          <x14:cfRule type="expression" priority="159" id="{405767DD-CB7A-4A24-838F-9790186FB183}">
            <xm:f>Calculations!I14=64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152" id="{7358991D-F092-4418-9DA5-5FB12D5F087A}">
            <xm:f>'KCE (2)'!J14=2</xm:f>
            <x14:dxf>
              <font>
                <color rgb="FFFFFF00"/>
              </font>
            </x14:dxf>
          </x14:cfRule>
          <x14:cfRule type="expression" priority="153" id="{D088FF6E-3755-44A6-B626-06956723B101}">
            <xm:f>'KCE (2)'!J14=0</xm:f>
            <x14:dxf>
              <font>
                <color rgb="FFFF0000"/>
              </font>
            </x14:dxf>
          </x14:cfRule>
          <x14:cfRule type="expression" priority="154" id="{13E6912E-9A89-42A3-A2C6-DFB86D3B3025}">
            <xm:f>'KCE (2)'!J14=1</xm:f>
            <x14:dxf>
              <font>
                <color rgb="FF00B050"/>
              </font>
            </x14:dxf>
          </x14:cfRule>
          <x14:cfRule type="expression" priority="155" id="{9AC4C5D4-13B3-46F3-8EF4-45158AF6C255}">
            <xm:f>Calculations!J14=64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148" id="{496E1534-25F0-4D9A-8797-58747DC3988B}">
            <xm:f>'KCE (2)'!K14=2</xm:f>
            <x14:dxf>
              <font>
                <color rgb="FFFFFF00"/>
              </font>
            </x14:dxf>
          </x14:cfRule>
          <x14:cfRule type="expression" priority="149" id="{22D4E579-7547-4717-8C1B-3E4EBEC9A28C}">
            <xm:f>'KCE (2)'!K14=0</xm:f>
            <x14:dxf>
              <font>
                <color rgb="FFFF0000"/>
              </font>
            </x14:dxf>
          </x14:cfRule>
          <x14:cfRule type="expression" priority="150" id="{47B6C704-C19F-45BA-98CE-859E0FE7C8C5}">
            <xm:f>'KCE (2)'!K14=1</xm:f>
            <x14:dxf>
              <font>
                <color rgb="FF00B050"/>
              </font>
            </x14:dxf>
          </x14:cfRule>
          <x14:cfRule type="expression" priority="151" id="{1F50787C-205F-49B9-8715-88AFA0225F3C}">
            <xm:f>Calculations!K14=64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144" id="{4C771221-48F5-43BB-B150-B93934483BB7}">
            <xm:f>'KCE (2)'!L14=2</xm:f>
            <x14:dxf>
              <font>
                <color rgb="FFFFFF00"/>
              </font>
            </x14:dxf>
          </x14:cfRule>
          <x14:cfRule type="expression" priority="145" id="{8995BA93-E0F1-41F5-BCEB-7B19E6C321D3}">
            <xm:f>'KCE (2)'!L14=0</xm:f>
            <x14:dxf>
              <font>
                <color rgb="FFFF0000"/>
              </font>
            </x14:dxf>
          </x14:cfRule>
          <x14:cfRule type="expression" priority="146" id="{AB207738-CEF0-4EB6-9D20-D04C38A2873D}">
            <xm:f>'KCE (2)'!L14=1</xm:f>
            <x14:dxf>
              <font>
                <color rgb="FF00B050"/>
              </font>
            </x14:dxf>
          </x14:cfRule>
          <x14:cfRule type="expression" priority="147" id="{D547A4FC-1C2B-4E6D-8228-E401792F5952}">
            <xm:f>Calculations!L14=64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136" id="{BB8FA175-CA90-47A0-9412-60CB42C0C86D}">
            <xm:f>'KCE (2)'!M14=2</xm:f>
            <x14:dxf>
              <font>
                <color rgb="FFFFFF00"/>
              </font>
            </x14:dxf>
          </x14:cfRule>
          <x14:cfRule type="expression" priority="137" id="{8AE91A34-CC2B-44C9-B9F7-7F414E5D45E0}">
            <xm:f>'KCE (2)'!M14=0</xm:f>
            <x14:dxf>
              <font>
                <color rgb="FFFF0000"/>
              </font>
            </x14:dxf>
          </x14:cfRule>
          <x14:cfRule type="expression" priority="138" id="{4EB2510B-ACCC-4E6A-855D-07704D90F3C8}">
            <xm:f>'KCE (2)'!M14=1</xm:f>
            <x14:dxf>
              <font>
                <color rgb="FF00B050"/>
              </font>
            </x14:dxf>
          </x14:cfRule>
          <x14:cfRule type="expression" priority="139" id="{D309E77E-2CE5-4338-A15A-590E00AC48C9}">
            <xm:f>Calculations!M14=64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132" id="{4E5021E3-2D7A-468A-B200-7DE4B6A4CC3C}">
            <xm:f>'KCE (2)'!F19=2</xm:f>
            <x14:dxf>
              <font>
                <color rgb="FFFFFF00"/>
              </font>
            </x14:dxf>
          </x14:cfRule>
          <x14:cfRule type="expression" priority="133" id="{BA73FE98-9D1C-4690-A646-8AC12298770E}">
            <xm:f>'KCE (2)'!F19=0</xm:f>
            <x14:dxf>
              <font>
                <color rgb="FFFF0000"/>
              </font>
            </x14:dxf>
          </x14:cfRule>
          <x14:cfRule type="expression" priority="134" id="{3BE8B4B4-9253-48F5-BFF6-8974585DCD77}">
            <xm:f>'KCE (2)'!F19=1</xm:f>
            <x14:dxf>
              <font>
                <color rgb="FF00B050"/>
              </font>
            </x14:dxf>
          </x14:cfRule>
          <x14:cfRule type="expression" priority="135" id="{F58632DC-FB44-4ED2-A52C-E7BFCA841FC6}">
            <xm:f>Calculations!E15=64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128" id="{7EAB8D11-F266-4AC4-9D31-5E923DFDC102}">
            <xm:f>'KCE (2)'!G19=2</xm:f>
            <x14:dxf>
              <font>
                <color rgb="FFFFFF00"/>
              </font>
            </x14:dxf>
          </x14:cfRule>
          <x14:cfRule type="expression" priority="129" id="{8DA91F45-EEFD-4705-A91E-F47508935D4B}">
            <xm:f>'KCE (2)'!G19=0</xm:f>
            <x14:dxf>
              <font>
                <color rgb="FFFF0000"/>
              </font>
            </x14:dxf>
          </x14:cfRule>
          <x14:cfRule type="expression" priority="130" id="{796DF6C2-C290-400F-91E2-99E5FA6F5500}">
            <xm:f>'KCE (2)'!G19=1</xm:f>
            <x14:dxf>
              <font>
                <color rgb="FF00B050"/>
              </font>
            </x14:dxf>
          </x14:cfRule>
          <x14:cfRule type="expression" priority="131" id="{8965D60F-7BD2-49E2-AF7A-1656750E07C4}">
            <xm:f>Calculations!F15=64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124" id="{E21ED96E-27F5-4613-951A-E997E19EFE11}">
            <xm:f>'KCE (2)'!H19=2</xm:f>
            <x14:dxf>
              <font>
                <color rgb="FFFFFF00"/>
              </font>
            </x14:dxf>
          </x14:cfRule>
          <x14:cfRule type="expression" priority="125" id="{7EF489F8-45CD-4DA3-AF2A-DC2BD49375A0}">
            <xm:f>'KCE (2)'!H19=0</xm:f>
            <x14:dxf>
              <font>
                <color rgb="FFFF0000"/>
              </font>
            </x14:dxf>
          </x14:cfRule>
          <x14:cfRule type="expression" priority="126" id="{5C3FDE08-8202-4FF7-83C3-6034C78273CF}">
            <xm:f>'KCE (2)'!H19=1</xm:f>
            <x14:dxf>
              <font>
                <color rgb="FF00B050"/>
              </font>
            </x14:dxf>
          </x14:cfRule>
          <x14:cfRule type="expression" priority="127" id="{3BAD7971-3B44-46FD-86C9-86038AAE5D61}">
            <xm:f>Calculations!G15=64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120" id="{CA7C486A-2831-4558-9499-6EA61E362F40}">
            <xm:f>'KCE (2)'!I19=2</xm:f>
            <x14:dxf>
              <font>
                <color rgb="FFFFFF00"/>
              </font>
            </x14:dxf>
          </x14:cfRule>
          <x14:cfRule type="expression" priority="121" id="{4AB5EC96-A6C7-4C61-905D-EE2A9B78D343}">
            <xm:f>'KCE (2)'!I19=0</xm:f>
            <x14:dxf>
              <font>
                <color rgb="FFFF0000"/>
              </font>
            </x14:dxf>
          </x14:cfRule>
          <x14:cfRule type="expression" priority="122" id="{38DA455A-D082-4F98-A683-1CF1B5905C2B}">
            <xm:f>'KCE (2)'!I19=1</xm:f>
            <x14:dxf>
              <font>
                <color rgb="FF00B050"/>
              </font>
            </x14:dxf>
          </x14:cfRule>
          <x14:cfRule type="expression" priority="123" id="{A82CCB22-D2E8-4155-AEED-65F9EBF90155}">
            <xm:f>Calculations!H15=64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116" id="{1000C6B3-5545-45EE-B7EB-AB83BE1DA7D2}">
            <xm:f>'KCE (2)'!J19=2</xm:f>
            <x14:dxf>
              <font>
                <color rgb="FFFFFF00"/>
              </font>
            </x14:dxf>
          </x14:cfRule>
          <x14:cfRule type="expression" priority="117" id="{8A3F3C62-8D5A-4C78-852D-24E0412CB762}">
            <xm:f>'KCE (2)'!J19=0</xm:f>
            <x14:dxf>
              <font>
                <color rgb="FFFF0000"/>
              </font>
            </x14:dxf>
          </x14:cfRule>
          <x14:cfRule type="expression" priority="118" id="{F160BACA-0FD4-4129-93C6-2D8594C6B741}">
            <xm:f>'KCE (2)'!J19=1</xm:f>
            <x14:dxf>
              <font>
                <color rgb="FF00B050"/>
              </font>
            </x14:dxf>
          </x14:cfRule>
          <x14:cfRule type="expression" priority="119" id="{2CEB2899-804D-4909-8E12-3B366B061980}">
            <xm:f>Calculations!I15=64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112" id="{18BC1373-3F85-48FD-A258-026ADAECD7A5}">
            <xm:f>'KCE (2)'!K19=2</xm:f>
            <x14:dxf>
              <font>
                <color rgb="FFFFFF00"/>
              </font>
            </x14:dxf>
          </x14:cfRule>
          <x14:cfRule type="expression" priority="113" id="{D2F2B676-DA05-4AF2-8641-8EE4DC6D9A65}">
            <xm:f>'KCE (2)'!K19=0</xm:f>
            <x14:dxf>
              <font>
                <color rgb="FFFF0000"/>
              </font>
            </x14:dxf>
          </x14:cfRule>
          <x14:cfRule type="expression" priority="114" id="{56A98EA7-A43A-4B91-A41D-C5C7F88834D6}">
            <xm:f>'KCE (2)'!K19=1</xm:f>
            <x14:dxf>
              <font>
                <color rgb="FF00B050"/>
              </font>
            </x14:dxf>
          </x14:cfRule>
          <x14:cfRule type="expression" priority="115" id="{7F8988FD-C1F6-47FF-BCB2-55D542A047D8}">
            <xm:f>Calculations!J15=64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108" id="{15D34FC8-3B08-4A1F-BC0E-EA2EA7E6321A}">
            <xm:f>'KCE (2)'!L19=2</xm:f>
            <x14:dxf>
              <font>
                <color rgb="FFFFFF00"/>
              </font>
            </x14:dxf>
          </x14:cfRule>
          <x14:cfRule type="expression" priority="109" id="{CF13C40D-62AB-4BC5-8C26-32979A1A1B35}">
            <xm:f>'KCE (2)'!L19=0</xm:f>
            <x14:dxf>
              <font>
                <color rgb="FFFF0000"/>
              </font>
            </x14:dxf>
          </x14:cfRule>
          <x14:cfRule type="expression" priority="110" id="{4B59959A-1E2B-4061-BCBF-E54DCCFE40D1}">
            <xm:f>'KCE (2)'!L19=1</xm:f>
            <x14:dxf>
              <font>
                <color rgb="FF00B050"/>
              </font>
            </x14:dxf>
          </x14:cfRule>
          <x14:cfRule type="expression" priority="111" id="{A437BBF4-B515-40EE-A0A9-F371A14B8A1D}">
            <xm:f>Calculations!K15=64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104" id="{CC7A7E35-43D2-4C1E-9BDF-47C7AC3169AB}">
            <xm:f>'KCE (2)'!M19=2</xm:f>
            <x14:dxf>
              <font>
                <color rgb="FFFFFF00"/>
              </font>
            </x14:dxf>
          </x14:cfRule>
          <x14:cfRule type="expression" priority="105" id="{76348527-8CEA-4067-B130-9A31B2A3DD7C}">
            <xm:f>'KCE (2)'!M19=0</xm:f>
            <x14:dxf>
              <font>
                <color rgb="FFFF0000"/>
              </font>
            </x14:dxf>
          </x14:cfRule>
          <x14:cfRule type="expression" priority="106" id="{3B4A3D53-0C09-4A14-9605-DA7D4E001EF8}">
            <xm:f>'KCE (2)'!M19=1</xm:f>
            <x14:dxf>
              <font>
                <color rgb="FF00B050"/>
              </font>
            </x14:dxf>
          </x14:cfRule>
          <x14:cfRule type="expression" priority="107" id="{8DC3B156-E2A8-463B-A299-02D60A8F7FD3}">
            <xm:f>Calculations!L15=64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100" id="{1B8A50F3-47A1-4EE8-B4B3-09B79C9BA6F1}">
            <xm:f>'KCE (2)'!N19=2</xm:f>
            <x14:dxf>
              <font>
                <color rgb="FFFFFF00"/>
              </font>
            </x14:dxf>
          </x14:cfRule>
          <x14:cfRule type="expression" priority="101" id="{1F2CE788-E4EB-4B11-98D2-92FD4CF7D7E1}">
            <xm:f>'KCE (2)'!N19=0</xm:f>
            <x14:dxf>
              <font>
                <color rgb="FFFF0000"/>
              </font>
            </x14:dxf>
          </x14:cfRule>
          <x14:cfRule type="expression" priority="102" id="{E03C4D18-FA2B-4AE1-A9B1-9EB43EA57701}">
            <xm:f>'KCE (2)'!N19=1</xm:f>
            <x14:dxf>
              <font>
                <color rgb="FF00B050"/>
              </font>
            </x14:dxf>
          </x14:cfRule>
          <x14:cfRule type="expression" priority="103" id="{C7A03AF8-ED69-41F4-98D8-A0A85B229F79}">
            <xm:f>Calculations!M15=64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99" id="{73E54700-7E61-4C29-8A01-359F222EBFDA}">
            <xm:f>Calculations!E15=128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98" id="{27110460-542A-46E6-9CBF-9862DA425CFF}">
            <xm:f>Calculations!F15=128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97" id="{21916B7E-A109-4771-A003-72D3C8186E39}">
            <xm:f>Calculations!G15=128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96" id="{D9C6AE60-D200-4AC4-A3DA-37CE52C0DFEE}">
            <xm:f>Calculations!H15=128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95" id="{348641D4-C073-4521-BC0B-FD816B36FB53}">
            <xm:f>Calculations!I15=128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94" id="{350267A4-E295-410C-A6AC-C74EBD4B08FE}">
            <xm:f>Calculations!J15=128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93" id="{F4D44250-11C8-4403-9CC6-BE7C5082FE1A}">
            <xm:f>Calculations!K15=128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92" id="{6316D810-C4BE-4171-B772-C1D1D6FCCE0C}">
            <xm:f>Calculations!L15=128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91" id="{2DB97BB9-ECFF-4EE7-8B81-AFF7FEBAA261}">
            <xm:f>Calculations!M15=128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90" id="{29A2AB16-4DFF-454F-9256-82F0BEA89826}">
            <xm:f>Calculations!E16=128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89" id="{6884D73E-4A18-4402-9A37-D0938C0FFFBC}">
            <xm:f>Calculations!F16=128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88" id="{599EA3CF-C466-40D0-9EFC-2F8040F8DAB5}">
            <xm:f>Calculations!G16=128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87" id="{EA6BCF31-7BE4-4570-B6C4-F787734741CA}">
            <xm:f>Calculations!H16=128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86" id="{FBA0F70F-D71B-4D94-B978-7B28812A1A4D}">
            <xm:f>Calculations!I16=128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85" id="{C079D9EF-F37B-4484-8CA8-2557EF6C8C65}">
            <xm:f>Calculations!J16=128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84" id="{2538F969-9BF1-4618-9D64-B4C6DAE9DDB8}">
            <xm:f>Calculations!K16=128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83" id="{F8975471-F9BC-4B61-886D-A4BA3AB7F68A}">
            <xm:f>Calculations!L16=128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82" id="{58DE7EF6-168B-425E-ABD2-0AFAF7124039}">
            <xm:f>Calculations!Q16=128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81" id="{770E6057-B7DC-45B3-9FC2-729E9D85EB3E}">
            <xm:f>Calculations!E17=128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80" id="{D582A8E8-EB27-4B97-86C2-C9774D169AC3}">
            <xm:f>Calculations!F17=128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78" id="{D6774B43-C6AC-4216-8C50-76A9EF80E39D}">
            <xm:f>Calculations!G17=128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77" id="{EFCC7E2E-A5A9-4D2A-BC20-774AB144C160}">
            <xm:f>Calculations!H17=128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76" id="{58941B7C-C105-4426-8AD5-57A62EDED62A}">
            <xm:f>Calculations!I17=128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75" id="{67EF19D5-8A0D-43E7-A55E-E42253F59AA3}">
            <xm:f>Calculations!J17=128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74" id="{C10C07C9-692E-4460-9C05-D30BEDA69667}">
            <xm:f>Calculations!K17=128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73" id="{C4C19E2E-1067-4594-85C6-43B83CDD4721}">
            <xm:f>Calculations!E18=128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72" id="{E97859AE-848B-4A22-97A4-A764841A446C}">
            <xm:f>Calculations!F18=128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71" id="{AA84ABE6-6976-4D7D-AD32-07FD7FEDBAEA}">
            <xm:f>Calculations!G18=128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70" id="{3670C8B6-75C7-47BB-93F7-AA27B11B9E06}">
            <xm:f>Calculations!H18=128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69" id="{AFF247CE-4B06-4906-81E0-B216EAC155ED}">
            <xm:f>Calculations!I18=128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68" id="{0EAEC003-E0B0-40DD-8B58-3271A80F92E0}">
            <xm:f>Calculations!J18=128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64" id="{5E84A3A1-F38A-4DA6-BBF0-17530AD906F2}">
            <xm:f>'KCE (2)'!I34=2</xm:f>
            <x14:dxf>
              <font>
                <color rgb="FFFFFF00"/>
              </font>
            </x14:dxf>
          </x14:cfRule>
          <x14:cfRule type="expression" priority="65" id="{FF259C3D-552E-4D00-A49B-D877D9D380DA}">
            <xm:f>'KCE (2)'!I34=0</xm:f>
            <x14:dxf>
              <font>
                <color rgb="FFFF0000"/>
              </font>
            </x14:dxf>
          </x14:cfRule>
          <x14:cfRule type="expression" priority="66" id="{9649CE93-7A5F-4E25-87B9-0093E4B432CC}">
            <xm:f>'KCE (2)'!I34=1</xm:f>
            <x14:dxf>
              <font>
                <color rgb="FF00B050"/>
              </font>
            </x14:dxf>
          </x14:cfRule>
          <x14:cfRule type="expression" priority="67" id="{2E04171B-56EC-44AE-AB0D-0238AE9C28EA}">
            <xm:f>Calculations!E18=64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60" id="{6992812D-6547-4A3B-8045-B2E7C224EB6D}">
            <xm:f>'KCE (2)'!J34=2</xm:f>
            <x14:dxf>
              <font>
                <color rgb="FFFFFF00"/>
              </font>
            </x14:dxf>
          </x14:cfRule>
          <x14:cfRule type="expression" priority="61" id="{C4EC60D4-52B3-467D-AC3B-205B81084F5C}">
            <xm:f>'KCE (2)'!J34=0</xm:f>
            <x14:dxf>
              <font>
                <color rgb="FFFF0000"/>
              </font>
            </x14:dxf>
          </x14:cfRule>
          <x14:cfRule type="expression" priority="62" id="{C9431C14-D0BB-4D62-A80D-33ADE95E48AB}">
            <xm:f>'KCE (2)'!J34=1</xm:f>
            <x14:dxf>
              <font>
                <color rgb="FF00B050"/>
              </font>
            </x14:dxf>
          </x14:cfRule>
          <x14:cfRule type="expression" priority="63" id="{14CD115E-D5B5-4215-AF7B-E997EAB67081}">
            <xm:f>Calculations!F18=64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56" id="{AE7F0473-BA27-4100-ACFE-53D17F8DD55F}">
            <xm:f>'KCE (2)'!K34=2</xm:f>
            <x14:dxf>
              <font>
                <color rgb="FFFFFF00"/>
              </font>
            </x14:dxf>
          </x14:cfRule>
          <x14:cfRule type="expression" priority="57" id="{CFF11924-F5A2-4BFC-8979-054E2D27E9F0}">
            <xm:f>'KCE (2)'!K34=0</xm:f>
            <x14:dxf>
              <font>
                <color rgb="FFFF0000"/>
              </font>
            </x14:dxf>
          </x14:cfRule>
          <x14:cfRule type="expression" priority="58" id="{5F78AB2F-099F-4EFE-9CE8-DBC383CB0904}">
            <xm:f>'KCE (2)'!K34=1</xm:f>
            <x14:dxf>
              <font>
                <color rgb="FF00B050"/>
              </font>
            </x14:dxf>
          </x14:cfRule>
          <x14:cfRule type="expression" priority="59" id="{D64FA0F7-D7F1-4502-8424-83A76AD5C5E0}">
            <xm:f>Calculations!G18=64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52" id="{4D916125-AC2F-48ED-B839-1A4A77E06506}">
            <xm:f>'KCE (2)'!L34=2</xm:f>
            <x14:dxf>
              <font>
                <color rgb="FFFFFF00"/>
              </font>
            </x14:dxf>
          </x14:cfRule>
          <x14:cfRule type="expression" priority="53" id="{C03218F6-5E07-49ED-BE94-54348E924A77}">
            <xm:f>'KCE (2)'!L34=0</xm:f>
            <x14:dxf>
              <font>
                <color rgb="FFFF0000"/>
              </font>
            </x14:dxf>
          </x14:cfRule>
          <x14:cfRule type="expression" priority="54" id="{6E6E9655-01EC-4DB4-8950-E377740ABF56}">
            <xm:f>'KCE (2)'!L34=1</xm:f>
            <x14:dxf>
              <font>
                <color rgb="FF00B050"/>
              </font>
            </x14:dxf>
          </x14:cfRule>
          <x14:cfRule type="expression" priority="55" id="{EADC0B9B-AB09-4D45-8744-4DFD91AD0233}">
            <xm:f>Calculations!H18=64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48" id="{E3C9091A-D5F2-458F-94C1-F4852323BF65}">
            <xm:f>'KCE (2)'!M34=2</xm:f>
            <x14:dxf>
              <font>
                <color rgb="FFFFFF00"/>
              </font>
            </x14:dxf>
          </x14:cfRule>
          <x14:cfRule type="expression" priority="49" id="{34AA6217-3CD4-438D-A3A3-990DAE81E68A}">
            <xm:f>'KCE (2)'!M34=0</xm:f>
            <x14:dxf>
              <font>
                <color rgb="FFFF0000"/>
              </font>
            </x14:dxf>
          </x14:cfRule>
          <x14:cfRule type="expression" priority="50" id="{E25C058F-4B78-45D4-9980-B0B5E191BCE5}">
            <xm:f>'KCE (2)'!M34=1</xm:f>
            <x14:dxf>
              <font>
                <color rgb="FF00B050"/>
              </font>
            </x14:dxf>
          </x14:cfRule>
          <x14:cfRule type="expression" priority="51" id="{6C275EB9-6A00-4478-8EDE-AEF91412E6B7}">
            <xm:f>Calculations!I18=64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44" id="{C4C791E3-BD6C-4F29-A536-E76BAE6E59F9}">
            <xm:f>'KCE (2)'!N34=2</xm:f>
            <x14:dxf>
              <font>
                <color rgb="FFFFFF00"/>
              </font>
            </x14:dxf>
          </x14:cfRule>
          <x14:cfRule type="expression" priority="45" id="{4C19852D-7323-4699-872E-1593AE9B1935}">
            <xm:f>'KCE (2)'!N34=0</xm:f>
            <x14:dxf>
              <font>
                <color rgb="FFFF0000"/>
              </font>
            </x14:dxf>
          </x14:cfRule>
          <x14:cfRule type="expression" priority="46" id="{0B4C8E40-80FA-4FFE-917A-825018EE4F0B}">
            <xm:f>'KCE (2)'!N34=1</xm:f>
            <x14:dxf>
              <font>
                <color rgb="FF00B050"/>
              </font>
            </x14:dxf>
          </x14:cfRule>
          <x14:cfRule type="expression" priority="47" id="{EAD730B0-09C2-455F-A252-F40DDD832E49}">
            <xm:f>Calculations!J18=64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43" id="{BE1D7B15-3EA7-4734-BE48-DD16AC5B2ED6}">
            <xm:f>Calculations!E19=128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42" id="{399F728D-2657-4B3F-B1B3-FB248E0AA354}">
            <xm:f>Calculations!F19=128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41" id="{CB8D2DAD-4445-4ACD-8A9F-DACF3CEA5785}">
            <xm:f>Calculations!G19=128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40" id="{D1FD2CA4-FADC-478C-8A8D-6D26A21BCC1A}">
            <xm:f>Calculations!H19=128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39" id="{0D54240F-4E5C-4BFE-9F3E-4E4299AD57E0}">
            <xm:f>Calculations!I19=128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38" id="{E59AB6EC-223E-4E27-BBEE-441E3ED5F2D0}">
            <xm:f>Calculations!E20=128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37" id="{72CAF147-A2AC-4E4D-946C-6355503997EC}">
            <xm:f>Calculations!F20=128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36" id="{428179BE-2C07-43A8-AF8F-AB53F84B8739}">
            <xm:f>Calculations!G20=128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35" id="{21FEB56E-8CBF-4311-B9DE-47DFAC38F18C}">
            <xm:f>Calculations!H20=128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31" id="{E5C2D85C-01DD-43E9-A816-799E747050F9}">
            <xm:f>'KCE (2)'!K44=2</xm:f>
            <x14:dxf>
              <font>
                <color rgb="FFFFFF00"/>
              </font>
            </x14:dxf>
          </x14:cfRule>
          <x14:cfRule type="expression" priority="32" id="{10646498-FE28-4344-8226-14B44F054A15}">
            <xm:f>'KCE (2)'!K44=0</xm:f>
            <x14:dxf>
              <font>
                <color rgb="FFFF0000"/>
              </font>
            </x14:dxf>
          </x14:cfRule>
          <x14:cfRule type="expression" priority="33" id="{C8152C72-DAAD-4EA7-81C5-172C901ACF7A}">
            <xm:f>'KCE (2)'!K44=1</xm:f>
            <x14:dxf>
              <font>
                <color rgb="FF00B050"/>
              </font>
            </x14:dxf>
          </x14:cfRule>
          <x14:cfRule type="expression" priority="34" id="{9F50CB2D-5B71-4750-8E0D-8027FAC3F5B8}">
            <xm:f>Calculations!E20=64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7" id="{CB02B1C8-6500-498A-B22A-C4A90FBBA009}">
            <xm:f>'KCE (2)'!L44=2</xm:f>
            <x14:dxf>
              <font>
                <color rgb="FFFFFF00"/>
              </font>
            </x14:dxf>
          </x14:cfRule>
          <x14:cfRule type="expression" priority="28" id="{62E0AD2A-EDCD-48BF-89C1-A4AAA620D189}">
            <xm:f>'KCE (2)'!L44=0</xm:f>
            <x14:dxf>
              <font>
                <color rgb="FFFF0000"/>
              </font>
            </x14:dxf>
          </x14:cfRule>
          <x14:cfRule type="expression" priority="29" id="{A8FDACB6-46CE-431A-93CF-921A8CA6B8F0}">
            <xm:f>'KCE (2)'!L44=1</xm:f>
            <x14:dxf>
              <font>
                <color rgb="FF00B050"/>
              </font>
            </x14:dxf>
          </x14:cfRule>
          <x14:cfRule type="expression" priority="30" id="{B3B3D876-2D39-4AAD-A7E1-6BA82DE9BFF0}">
            <xm:f>Calculations!F20=64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3" id="{878599E9-F725-45B5-9D76-5D996CE13055}">
            <xm:f>'KCE (2)'!M44=2</xm:f>
            <x14:dxf>
              <font>
                <color rgb="FFFFFF00"/>
              </font>
            </x14:dxf>
          </x14:cfRule>
          <x14:cfRule type="expression" priority="24" id="{D63C9F20-DE33-4220-9A1D-6D6AF22BA959}">
            <xm:f>'KCE (2)'!M44=0</xm:f>
            <x14:dxf>
              <font>
                <color rgb="FFFF0000"/>
              </font>
            </x14:dxf>
          </x14:cfRule>
          <x14:cfRule type="expression" priority="25" id="{0BFEFF69-357B-40FF-A3EF-C1FB8C3B9339}">
            <xm:f>'KCE (2)'!M44=1</xm:f>
            <x14:dxf>
              <font>
                <color rgb="FF00B050"/>
              </font>
            </x14:dxf>
          </x14:cfRule>
          <x14:cfRule type="expression" priority="26" id="{10B44FDD-FB98-4378-BE03-C693EF8389FC}">
            <xm:f>Calculations!G20=64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19" id="{8AED127B-1104-47CA-8F09-0CAB1C007E9D}">
            <xm:f>'KCE (2)'!N44=2</xm:f>
            <x14:dxf>
              <font>
                <color rgb="FFFFFF00"/>
              </font>
            </x14:dxf>
          </x14:cfRule>
          <x14:cfRule type="expression" priority="20" id="{1D5BD3FD-C3B6-4C63-BFDD-66372FA556E5}">
            <xm:f>'KCE (2)'!N44=0</xm:f>
            <x14:dxf>
              <font>
                <color rgb="FFFF0000"/>
              </font>
            </x14:dxf>
          </x14:cfRule>
          <x14:cfRule type="expression" priority="21" id="{37B41EC2-53B4-4155-B65D-26430E772317}">
            <xm:f>'KCE (2)'!N44=1</xm:f>
            <x14:dxf>
              <font>
                <color rgb="FF00B050"/>
              </font>
            </x14:dxf>
          </x14:cfRule>
          <x14:cfRule type="expression" priority="22" id="{D381746E-B457-4BDB-A77B-8B99331F60E6}">
            <xm:f>Calculations!H20=64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18" id="{67A00E95-C16D-49AA-855C-0227A90C7A80}">
            <xm:f>Calculations!E21=128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17" id="{D4D2F3B9-6971-4183-ACDE-270292ACB8A2}">
            <xm:f>Calculations!F21=128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16" id="{BFE365F2-717F-43C0-9889-B80192276361}">
            <xm:f>Calculations!G21=128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15" id="{C36073C9-2BDF-4863-82C6-FEAA34C73ECB}">
            <xm:f>Calculations!E22=128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14" id="{6EDD0C5A-7A4B-41B4-A17D-6F45F74BA80E}">
            <xm:f>Calculations!F22=128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10" id="{2E6553F6-7236-478C-9F9A-325593268916}">
            <xm:f>'KCE (2)'!N54=2</xm:f>
            <x14:dxf>
              <font>
                <color rgb="FFFFFF00"/>
              </font>
            </x14:dxf>
          </x14:cfRule>
          <x14:cfRule type="expression" priority="11" id="{FCBB14F8-E8F0-4B04-8239-13AF61B5CECE}">
            <xm:f>'KCE (2)'!N54=0</xm:f>
            <x14:dxf>
              <font>
                <color rgb="FFFF0000"/>
              </font>
            </x14:dxf>
          </x14:cfRule>
          <x14:cfRule type="expression" priority="12" id="{FD56B090-D836-45FE-8EBF-09B1A5481BA9}">
            <xm:f>'KCE (2)'!N54=1</xm:f>
            <x14:dxf>
              <font>
                <color rgb="FF00B050"/>
              </font>
            </x14:dxf>
          </x14:cfRule>
          <x14:cfRule type="expression" priority="13" id="{9D3B3BE1-0523-4EBB-AAE8-E6C68D772A94}">
            <xm:f>Calculations!F22=64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9" id="{7DF1BEA4-34A6-4EFB-916F-F9AE185C2138}">
            <xm:f>Calculations!E23=128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1" id="{2A86161E-AF99-4BF0-A649-BD01C87BF4E9}">
            <xm:f>'KCE (2)'!N59=2</xm:f>
            <x14:dxf>
              <font>
                <color rgb="FFFFFF00"/>
              </font>
            </x14:dxf>
          </x14:cfRule>
          <x14:cfRule type="expression" priority="2" id="{3EA9E9FF-F48D-4952-BD05-3F12420F29A2}">
            <xm:f>'KCE (2)'!N59=0</xm:f>
            <x14:dxf>
              <font>
                <color rgb="FFFF0000"/>
              </font>
            </x14:dxf>
          </x14:cfRule>
          <x14:cfRule type="expression" priority="3" id="{E3D3548E-E07A-4818-93F9-06F003F10B0E}">
            <xm:f>'KCE (2)'!N59=1</xm:f>
            <x14:dxf>
              <font>
                <color rgb="FF00B050"/>
              </font>
            </x14:dxf>
          </x14:cfRule>
          <x14:cfRule type="expression" priority="4" id="{3D09BCC3-E111-4BA1-8816-0226B8FFF5EC}">
            <xm:f>Calculations!E23=64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46"/>
  <sheetViews>
    <sheetView workbookViewId="0">
      <selection activeCell="A21" sqref="A21"/>
    </sheetView>
  </sheetViews>
  <sheetFormatPr defaultColWidth="9" defaultRowHeight="14.25" x14ac:dyDescent="0.2"/>
  <cols>
    <col min="1" max="17" width="9" style="60"/>
    <col min="18" max="18" width="14.375" style="60" customWidth="1"/>
    <col min="19" max="20" width="9" style="60"/>
    <col min="21" max="21" width="17.75" style="60" customWidth="1"/>
    <col min="22" max="35" width="9" style="60"/>
    <col min="36" max="36" width="10.25" style="60" bestFit="1" customWidth="1"/>
    <col min="37" max="16384" width="9" style="60"/>
  </cols>
  <sheetData>
    <row r="1" spans="1:36" x14ac:dyDescent="0.2">
      <c r="A1" s="10"/>
      <c r="B1" s="10"/>
      <c r="C1" s="10" t="s">
        <v>3</v>
      </c>
      <c r="D1" s="60">
        <v>1</v>
      </c>
      <c r="E1" s="60">
        <v>2</v>
      </c>
      <c r="F1" s="60">
        <v>3</v>
      </c>
      <c r="G1" s="60">
        <v>4</v>
      </c>
      <c r="H1" s="60">
        <v>5</v>
      </c>
      <c r="I1" s="60">
        <v>6</v>
      </c>
      <c r="J1" s="60">
        <v>7</v>
      </c>
      <c r="K1" s="60">
        <v>8</v>
      </c>
      <c r="L1" s="60">
        <v>9</v>
      </c>
      <c r="M1" s="60">
        <v>10</v>
      </c>
      <c r="N1" s="60">
        <v>11</v>
      </c>
      <c r="O1" s="60">
        <v>12</v>
      </c>
      <c r="P1" s="61"/>
      <c r="Q1" s="62" t="str">
        <f>KCE!B25</f>
        <v>KCE</v>
      </c>
      <c r="R1" s="63" t="s">
        <v>9</v>
      </c>
      <c r="S1" s="63" t="s">
        <v>1</v>
      </c>
      <c r="T1" s="63" t="s">
        <v>2</v>
      </c>
      <c r="U1" s="61" t="s">
        <v>10</v>
      </c>
      <c r="V1" s="61"/>
      <c r="W1" s="63" t="s">
        <v>9</v>
      </c>
      <c r="X1" s="61" t="s">
        <v>10</v>
      </c>
      <c r="Y1" s="63" t="s">
        <v>1</v>
      </c>
      <c r="Z1" s="63" t="s">
        <v>2</v>
      </c>
      <c r="AA1" s="61" t="s">
        <v>14</v>
      </c>
      <c r="AB1" s="61" t="s">
        <v>14</v>
      </c>
      <c r="AC1" s="64"/>
      <c r="AD1" s="61" t="s">
        <v>14</v>
      </c>
      <c r="AE1" s="60" t="str">
        <f>RTD("cqg.rtd", ,"ContractData",Q1, "T_Settlement",, "T")</f>
        <v/>
      </c>
    </row>
    <row r="2" spans="1:36" x14ac:dyDescent="0.2">
      <c r="A2" s="10" t="str">
        <f>Q2</f>
        <v>KCEH8</v>
      </c>
      <c r="B2" s="10" t="str">
        <f>RTD("cqg.rtd", ,"ContractData",A2, "ContractMonth")</f>
        <v>MAR</v>
      </c>
      <c r="C2" s="65" t="str">
        <f>IF(B2="Jan","F",IF(B2="Feb","G",IF(B2="Mar","H",IF(B2="Apr","J",IF(B2="May","K",IF(B2="JUN","M",IF(B2="Jul","N",IF(B2="Aug","Q",IF(B2="Sep","U",IF(B2="Oct","V",IF(B2="Nov","X",IF(B2="Dec","Z"))))))))))))</f>
        <v>H</v>
      </c>
      <c r="D2" s="60" t="str">
        <f t="shared" ref="D2:D13" si="0">$Q$1&amp;$C$1&amp;$D$1&amp;$C2&amp;RIGHT(A2,1)</f>
        <v>KCES1H8</v>
      </c>
      <c r="E2" s="60" t="str">
        <f>$Q$1&amp;$C$1&amp;$E$1&amp;$C2&amp;RIGHT(A2,1)</f>
        <v>KCES2H8</v>
      </c>
      <c r="F2" s="60" t="str">
        <f>$Q$1&amp;$C$1&amp;$F$1&amp;$C2&amp;RIGHT(A2,1)</f>
        <v>KCES3H8</v>
      </c>
      <c r="G2" s="60" t="str">
        <f>$Q$1&amp;$C$1&amp;$G$1&amp;$C2&amp;RIGHT(A2,1)</f>
        <v>KCES4H8</v>
      </c>
      <c r="H2" s="60" t="str">
        <f>$Q$1&amp;$C$1&amp;$H$1&amp;$C2&amp;RIGHT(A2,1)</f>
        <v>KCES5H8</v>
      </c>
      <c r="I2" s="60" t="str">
        <f>$Q$1&amp;$C$1&amp;$I$1&amp;$C2&amp;RIGHT(A2,1)</f>
        <v>KCES6H8</v>
      </c>
      <c r="J2" s="60" t="str">
        <f>$Q$1&amp;$C$1&amp;$J$1&amp;$C2&amp;RIGHT(A2,1)</f>
        <v>KCES7H8</v>
      </c>
      <c r="K2" s="60" t="str">
        <f>$Q$1&amp;$C$1&amp;$K$1&amp;$C2&amp;RIGHT(A2,1)</f>
        <v>KCES8H8</v>
      </c>
      <c r="L2" s="60" t="str">
        <f>$Q$1&amp;$C$1&amp;$L$1&amp;$C2&amp;RIGHT(A2,1)</f>
        <v>KCES9H8</v>
      </c>
      <c r="M2" s="60" t="str">
        <f>$Q$1&amp;$C$1&amp;$M$1&amp;$C2&amp;RIGHT(A2,1)</f>
        <v>KCES10H8</v>
      </c>
      <c r="N2" s="60" t="str">
        <f>$Q$1&amp;$C$1&amp;$N$1&amp;$C2&amp;RIGHT(A2,1)</f>
        <v>KCES11H8</v>
      </c>
      <c r="O2" s="60" t="str">
        <f>$Q$1&amp;$C$1&amp;$O$1&amp;$C2&amp;RIGHT(A2,1)</f>
        <v>KCES12H8</v>
      </c>
      <c r="P2" s="61"/>
      <c r="Q2" s="66" t="str">
        <f>RTD("cqg.rtd", ,"ContractData", $Q$1&amp;"?"&amp;R35, "Symbol")</f>
        <v>KCEH8</v>
      </c>
      <c r="R2" s="64">
        <f>IF(RTD("cqg.rtd",,"ContractData",Q2,$R$1,,"T")="",RTD("cqg.rtd",,"ContractData",Q2,"Y_Settlement",,"T"),RTD("cqg.rtd",,"ContractData",Q2,$R$1,,"T"))</f>
        <v>129.9</v>
      </c>
      <c r="S2" s="64">
        <f>RTD("cqg.rtd", ,"ContractData", Q2,$S$1,,"T")</f>
        <v>129.85</v>
      </c>
      <c r="T2" s="64">
        <f>RTD("cqg.rtd", ,"ContractData", Q2,$T$1,,"T")</f>
        <v>129.9</v>
      </c>
      <c r="U2" s="67">
        <f>RTD("cqg.rtd", ,"ContractData", Q2, $U$1,,"T")</f>
        <v>1.7</v>
      </c>
      <c r="V2" s="61" t="str">
        <f>D2</f>
        <v>KCES1H8</v>
      </c>
      <c r="W2" s="67">
        <f>IF(RTD("cqg.rtd", ,"ContractData", V2, $W$1,,"T")="",NA(),RTD("cqg.rtd", ,"ContractData", V2, $W$1,,"T"))</f>
        <v>-2.15</v>
      </c>
      <c r="X2" s="67">
        <f>RTD("cqg.rtd", ,"ContractData", V2, $X$1,,"T")</f>
        <v>0.1</v>
      </c>
      <c r="Y2" s="67">
        <f>RTD("cqg.rtd", ,"ContractData",V2,$Y$1,,"T")</f>
        <v>-2.2000000000000002</v>
      </c>
      <c r="Z2" s="67">
        <f>RTD("cqg.rtd", ,"ContractData", V2,$Z$1,,"T")</f>
        <v>-2.15</v>
      </c>
      <c r="AA2" s="67">
        <f>IFERROR((Y2+Z2)/2,NA())</f>
        <v>-2.1749999999999998</v>
      </c>
      <c r="AB2" s="67">
        <f t="shared" ref="AB2:AB7" si="1">IF(OR(S2="",T2=""),R2,(IF(OR(R2="",R2&lt;S2,R2&gt;T2),(S2+T2)/2,R2)))</f>
        <v>129.9</v>
      </c>
      <c r="AC2" s="67">
        <f>IF(OR(R2="",R2&lt;S2,R2&gt;T2),(S2+T2)/2,R2)</f>
        <v>129.9</v>
      </c>
      <c r="AD2" s="67">
        <f>IF(OR(Y2="",Z2=""),NA(),(IF(OR(W2="",W2&lt;Y2,W2&gt;Z2),(Y2+Z2)/2,W2)))</f>
        <v>-2.15</v>
      </c>
      <c r="AE2" s="68">
        <f>IF($AJ$11=2,AH2,AA2)</f>
        <v>-2.1749999999999998</v>
      </c>
      <c r="AF2" s="60" t="str">
        <f>RIGHT(RTD("cqg.rtd", ,"ContractData", V2,"LongDescription",,"T"),14)</f>
        <v>Mar 18, May 18</v>
      </c>
      <c r="AH2" s="68">
        <f xml:space="preserve"> RTD("cqg.rtd",,"StudyData",V2, "FG",, "Close","D","","all",,,,"T")</f>
        <v>-2.15</v>
      </c>
      <c r="AI2" s="60">
        <f>IF(AJ11=2, RTD("cqg.rtd",,"StudyData",V2, "FG",, "Close","D","","all",,,,"T")-RTD("cqg.rtd",,"StudyData",V2, "FG",, "Close","D","-2","all",,,,"T"),X2)</f>
        <v>0.1</v>
      </c>
      <c r="AJ2" s="69">
        <f>MOD(RTD("cqg.rtd", ,"SystemInfo", "Linetime"),1)</f>
        <v>0.50814814815385034</v>
      </c>
    </row>
    <row r="3" spans="1:36" x14ac:dyDescent="0.2">
      <c r="A3" s="10" t="str">
        <f t="shared" ref="A3:A12" si="2">Q3</f>
        <v>KCEK8</v>
      </c>
      <c r="B3" s="10" t="str">
        <f>RTD("cqg.rtd", ,"ContractData",A3, "ContractMonth")</f>
        <v>MAY</v>
      </c>
      <c r="C3" s="65" t="str">
        <f t="shared" ref="C3:C13" si="3">IF(B3="Jan","F",IF(B3="Feb","G",IF(B3="Mar","H",IF(B3="Apr","J",IF(B3="May","K",IF(B3="JUN","M",IF(B3="Jul","N",IF(B3="Aug","Q",IF(B3="Sep","U",IF(B3="Oct","V",IF(B3="Nov","X",IF(B3="Dec","Z"))))))))))))</f>
        <v>K</v>
      </c>
      <c r="D3" s="60" t="str">
        <f t="shared" si="0"/>
        <v>KCES1K8</v>
      </c>
      <c r="E3" s="60" t="str">
        <f t="shared" ref="E3:E13" si="4">$Q$1&amp;$C$1&amp;$E$1&amp;$C3&amp;RIGHT(A3,1)</f>
        <v>KCES2K8</v>
      </c>
      <c r="F3" s="60" t="str">
        <f t="shared" ref="F3:F13" si="5">$Q$1&amp;$C$1&amp;$F$1&amp;$C3&amp;RIGHT(A3,1)</f>
        <v>KCES3K8</v>
      </c>
      <c r="G3" s="60" t="str">
        <f t="shared" ref="G3:G11" si="6">$Q$1&amp;$C$1&amp;$G$1&amp;$C3&amp;RIGHT(A3,1)</f>
        <v>KCES4K8</v>
      </c>
      <c r="H3" s="60" t="str">
        <f t="shared" ref="H3:H10" si="7">$Q$1&amp;$C$1&amp;$H$1&amp;$C3&amp;RIGHT(A3,1)</f>
        <v>KCES5K8</v>
      </c>
      <c r="I3" s="60" t="str">
        <f t="shared" ref="I3:I9" si="8">$Q$1&amp;$C$1&amp;$I$1&amp;$C3&amp;RIGHT(A3,1)</f>
        <v>KCES6K8</v>
      </c>
      <c r="J3" s="60" t="str">
        <f t="shared" ref="J3:J8" si="9">$Q$1&amp;$C$1&amp;$J$1&amp;$C3&amp;RIGHT(A3,1)</f>
        <v>KCES7K8</v>
      </c>
      <c r="K3" s="60" t="str">
        <f t="shared" ref="K3:K7" si="10">$Q$1&amp;$C$1&amp;$K$1&amp;$C3&amp;RIGHT(A3,1)</f>
        <v>KCES8K8</v>
      </c>
      <c r="L3" s="60" t="str">
        <f t="shared" ref="L3:L6" si="11">$Q$1&amp;$C$1&amp;$L$1&amp;$C3&amp;RIGHT(A3,1)</f>
        <v>KCES9K8</v>
      </c>
      <c r="M3" s="60" t="str">
        <f t="shared" ref="M3:M5" si="12">$Q$1&amp;$C$1&amp;$M$1&amp;$C3&amp;RIGHT(A3,1)</f>
        <v>KCES10K8</v>
      </c>
      <c r="N3" s="60" t="str">
        <f>$Q$1&amp;$C$1&amp;$N$1&amp;$C3&amp;RIGHT(A3,1)</f>
        <v>KCES11K8</v>
      </c>
      <c r="O3" s="60" t="str">
        <f>$Q$1&amp;$C$1&amp;$O$1&amp;$C3&amp;RIGHT(A3,1)</f>
        <v>KCES12K8</v>
      </c>
      <c r="P3" s="61"/>
      <c r="Q3" s="66" t="str">
        <f>RTD("cqg.rtd", ,"ContractData", $Q$1&amp;"?"&amp;R36, "Symbol")</f>
        <v>KCEK8</v>
      </c>
      <c r="R3" s="64">
        <f>IF(RTD("cqg.rtd",,"ContractData",Q3,$R$1,,"T")="",RTD("cqg.rtd",,"ContractData",Q3,"Y_Settlement",,"T"),RTD("cqg.rtd",,"ContractData",Q3,$R$1,,"T"))</f>
        <v>132</v>
      </c>
      <c r="S3" s="64">
        <f>RTD("cqg.rtd", ,"ContractData", Q3,$S$1,,"T")</f>
        <v>132</v>
      </c>
      <c r="T3" s="64">
        <f>RTD("cqg.rtd", ,"ContractData", Q3,$T$1,,"T")</f>
        <v>132.05000000000001</v>
      </c>
      <c r="U3" s="67">
        <f>RTD("cqg.rtd", ,"ContractData", Q3, $U$1,,"T")</f>
        <v>1.55</v>
      </c>
      <c r="V3" s="61" t="str">
        <f>E2</f>
        <v>KCES2H8</v>
      </c>
      <c r="W3" s="67">
        <f>IF(RTD("cqg.rtd", ,"ContractData", V3, $W$1,,"T")="",NA(),RTD("cqg.rtd", ,"ContractData", V3, $W$1,,"T"))</f>
        <v>-4.45</v>
      </c>
      <c r="X3" s="67">
        <f>RTD("cqg.rtd", ,"ContractData", V3, $X$1,,"T")</f>
        <v>0.1</v>
      </c>
      <c r="Y3" s="67">
        <f>RTD("cqg.rtd", ,"ContractData",V3,$Y$1,,"T")</f>
        <v>-4.5</v>
      </c>
      <c r="Z3" s="67">
        <f>RTD("cqg.rtd", ,"ContractData", V3,$Z$1,,"T")</f>
        <v>-4.45</v>
      </c>
      <c r="AA3" s="67">
        <f t="shared" ref="AA3:AA11" si="13">IFERROR((Y3+Z3)/2,NA())</f>
        <v>-4.4749999999999996</v>
      </c>
      <c r="AB3" s="67">
        <f t="shared" si="1"/>
        <v>132</v>
      </c>
      <c r="AC3" s="67">
        <f>IF(OR(R3="",R3&lt;S3,R3&gt;T3),(S3+T3)/2,R3)</f>
        <v>132</v>
      </c>
      <c r="AD3" s="67">
        <f t="shared" ref="AD3:AD11" si="14">IF(OR(Y3="",Z3=""),NA(),(IF(OR(W3="",W3&lt;Y3,W3&gt;Z3),(Y3+Z3)/2,W3)))</f>
        <v>-4.45</v>
      </c>
      <c r="AE3" s="68">
        <f t="shared" ref="AE3:AE11" si="15">IF($AJ$11=2,AH3,AA3)</f>
        <v>-4.4749999999999996</v>
      </c>
      <c r="AF3" s="60" t="str">
        <f>RIGHT(RTD("cqg.rtd", ,"ContractData", V3,"LongDescription",,"T"),14)</f>
        <v>Mar 18, Jul 18</v>
      </c>
      <c r="AH3" s="68">
        <f xml:space="preserve"> RTD("cqg.rtd",,"StudyData",V3, "FG",, "Close","D","","all",,,,"T")</f>
        <v>-4.45</v>
      </c>
      <c r="AI3" s="60">
        <f>IF(AJ12=2, RTD("cqg.rtd",,"StudyData",V3, "FG",, "Close","D","","all",,,,"T")-RTD("cqg.rtd",,"StudyData",V3, "FG",, "Close","D","-2","all",,,,"T"),X3)</f>
        <v>0.1</v>
      </c>
      <c r="AJ3" s="69"/>
    </row>
    <row r="4" spans="1:36" x14ac:dyDescent="0.2">
      <c r="A4" s="10" t="str">
        <f t="shared" si="2"/>
        <v>KCEN8</v>
      </c>
      <c r="B4" s="10" t="str">
        <f>RTD("cqg.rtd", ,"ContractData",A4, "ContractMonth")</f>
        <v>JUL</v>
      </c>
      <c r="C4" s="65" t="str">
        <f t="shared" si="3"/>
        <v>N</v>
      </c>
      <c r="D4" s="60" t="str">
        <f t="shared" si="0"/>
        <v>KCES1N8</v>
      </c>
      <c r="E4" s="60" t="str">
        <f t="shared" si="4"/>
        <v>KCES2N8</v>
      </c>
      <c r="F4" s="60" t="str">
        <f t="shared" si="5"/>
        <v>KCES3N8</v>
      </c>
      <c r="G4" s="60" t="str">
        <f t="shared" si="6"/>
        <v>KCES4N8</v>
      </c>
      <c r="H4" s="60" t="str">
        <f t="shared" si="7"/>
        <v>KCES5N8</v>
      </c>
      <c r="I4" s="60" t="str">
        <f t="shared" si="8"/>
        <v>KCES6N8</v>
      </c>
      <c r="J4" s="60" t="str">
        <f t="shared" si="9"/>
        <v>KCES7N8</v>
      </c>
      <c r="K4" s="60" t="str">
        <f t="shared" si="10"/>
        <v>KCES8N8</v>
      </c>
      <c r="L4" s="60" t="str">
        <f t="shared" si="11"/>
        <v>KCES9N8</v>
      </c>
      <c r="M4" s="60" t="str">
        <f t="shared" si="12"/>
        <v>KCES10N8</v>
      </c>
      <c r="N4" s="60" t="str">
        <f>$Q$1&amp;$C$1&amp;$N$1&amp;$C4&amp;RIGHT(A4,1)</f>
        <v>KCES11N8</v>
      </c>
      <c r="P4" s="61"/>
      <c r="Q4" s="66" t="str">
        <f>RTD("cqg.rtd", ,"ContractData", $Q$1&amp;"?"&amp;R37, "Symbol")</f>
        <v>KCEN8</v>
      </c>
      <c r="R4" s="64">
        <f>IF(RTD("cqg.rtd",,"ContractData",Q4,$R$1,,"T")="",RTD("cqg.rtd",,"ContractData",Q4,"Y_Settlement",,"T"),RTD("cqg.rtd",,"ContractData",Q4,$R$1,,"T"))</f>
        <v>134.30000000000001</v>
      </c>
      <c r="S4" s="64">
        <f>RTD("cqg.rtd", ,"ContractData", Q4,$S$1,,"T")</f>
        <v>134.30000000000001</v>
      </c>
      <c r="T4" s="64">
        <f>RTD("cqg.rtd", ,"ContractData", Q4,$T$1,,"T")</f>
        <v>134.35</v>
      </c>
      <c r="U4" s="67">
        <f>RTD("cqg.rtd", ,"ContractData", Q4, $U$1,,"T")</f>
        <v>1.55</v>
      </c>
      <c r="V4" s="61" t="str">
        <f>F2</f>
        <v>KCES3H8</v>
      </c>
      <c r="W4" s="67">
        <f>IF(RTD("cqg.rtd", ,"ContractData", V4, $W$1,,"T")="",NA(),RTD("cqg.rtd", ,"ContractData", V4, $W$1,,"T"))</f>
        <v>-6.75</v>
      </c>
      <c r="X4" s="67">
        <f>RTD("cqg.rtd", ,"ContractData", V4, $X$1,,"T")</f>
        <v>0.05</v>
      </c>
      <c r="Y4" s="67">
        <f>RTD("cqg.rtd", ,"ContractData",V4,$Y$1,,"T")</f>
        <v>-6.8</v>
      </c>
      <c r="Z4" s="67">
        <f>RTD("cqg.rtd", ,"ContractData", V4,$Z$1,,"T")</f>
        <v>-6.7</v>
      </c>
      <c r="AA4" s="67">
        <f t="shared" si="13"/>
        <v>-6.75</v>
      </c>
      <c r="AB4" s="67">
        <f t="shared" si="1"/>
        <v>134.30000000000001</v>
      </c>
      <c r="AC4" s="67">
        <f t="shared" ref="AC4:AC11" si="16">IF(OR(R4="",R4&lt;S4,R4&gt;T4),(S4+T4)/2,R4)</f>
        <v>134.30000000000001</v>
      </c>
      <c r="AD4" s="67">
        <f t="shared" si="14"/>
        <v>-6.75</v>
      </c>
      <c r="AE4" s="68">
        <f t="shared" si="15"/>
        <v>-6.75</v>
      </c>
      <c r="AF4" s="60" t="str">
        <f>RIGHT(RTD("cqg.rtd", ,"ContractData", V4,"LongDescription",,"T"),14)</f>
        <v>Mar 18, Sep 18</v>
      </c>
      <c r="AH4" s="68">
        <f xml:space="preserve"> RTD("cqg.rtd",,"StudyData",V4, "FG",, "Close","D","","all",,,,"T")</f>
        <v>-6.75</v>
      </c>
      <c r="AI4" s="60">
        <f>IF(AJ13=2, RTD("cqg.rtd",,"StudyData",V4, "FG",, "Close","D","","all",,,,"T")-RTD("cqg.rtd",,"StudyData",V4, "FG",, "Close","D","-2","all",,,,"T"),X4)</f>
        <v>0.05</v>
      </c>
      <c r="AJ4" s="70">
        <v>0.13541666666666666</v>
      </c>
    </row>
    <row r="5" spans="1:36" x14ac:dyDescent="0.2">
      <c r="A5" s="10" t="str">
        <f t="shared" si="2"/>
        <v>KCEU8</v>
      </c>
      <c r="B5" s="10" t="str">
        <f>RTD("cqg.rtd", ,"ContractData",A5, "ContractMonth")</f>
        <v>SEP</v>
      </c>
      <c r="C5" s="65" t="str">
        <f t="shared" si="3"/>
        <v>U</v>
      </c>
      <c r="D5" s="60" t="str">
        <f t="shared" si="0"/>
        <v>KCES1U8</v>
      </c>
      <c r="E5" s="60" t="str">
        <f t="shared" si="4"/>
        <v>KCES2U8</v>
      </c>
      <c r="F5" s="60" t="str">
        <f t="shared" si="5"/>
        <v>KCES3U8</v>
      </c>
      <c r="G5" s="60" t="str">
        <f t="shared" si="6"/>
        <v>KCES4U8</v>
      </c>
      <c r="H5" s="60" t="str">
        <f t="shared" si="7"/>
        <v>KCES5U8</v>
      </c>
      <c r="I5" s="60" t="str">
        <f t="shared" si="8"/>
        <v>KCES6U8</v>
      </c>
      <c r="J5" s="60" t="str">
        <f t="shared" si="9"/>
        <v>KCES7U8</v>
      </c>
      <c r="K5" s="60" t="str">
        <f t="shared" si="10"/>
        <v>KCES8U8</v>
      </c>
      <c r="L5" s="60" t="str">
        <f t="shared" si="11"/>
        <v>KCES9U8</v>
      </c>
      <c r="M5" s="60" t="str">
        <f t="shared" si="12"/>
        <v>KCES10U8</v>
      </c>
      <c r="P5" s="61"/>
      <c r="Q5" s="66" t="str">
        <f>RTD("cqg.rtd", ,"ContractData", $Q$1&amp;"?"&amp;R38, "Symbol")</f>
        <v>KCEU8</v>
      </c>
      <c r="R5" s="64">
        <f>IF(RTD("cqg.rtd",,"ContractData",Q5,$R$1,,"T")="",RTD("cqg.rtd",,"ContractData",Q5,"Y_Settlement",,"T"),RTD("cqg.rtd",,"ContractData",Q5,$R$1,,"T"))</f>
        <v>136.55000000000001</v>
      </c>
      <c r="S5" s="64">
        <f>RTD("cqg.rtd", ,"ContractData", Q5,$S$1,,"T")</f>
        <v>136.55000000000001</v>
      </c>
      <c r="T5" s="64">
        <f>RTD("cqg.rtd", ,"ContractData", Q5,$T$1,,"T")</f>
        <v>136.65</v>
      </c>
      <c r="U5" s="67">
        <f>RTD("cqg.rtd", ,"ContractData", Q5, $U$1,,"T")</f>
        <v>1.5</v>
      </c>
      <c r="V5" s="61" t="str">
        <f>G2</f>
        <v>KCES4H8</v>
      </c>
      <c r="W5" s="67">
        <f>IF(RTD("cqg.rtd", ,"ContractData", V5, $W$1,,"T")="",NA(),RTD("cqg.rtd", ,"ContractData", V5, $W$1,,"T"))</f>
        <v>-10.15</v>
      </c>
      <c r="X5" s="67">
        <f>RTD("cqg.rtd", ,"ContractData", V5, $X$1,,"T")</f>
        <v>0.2</v>
      </c>
      <c r="Y5" s="67">
        <f>RTD("cqg.rtd", ,"ContractData",V5,$Y$1,,"T")</f>
        <v>-10.15</v>
      </c>
      <c r="Z5" s="67">
        <f>RTD("cqg.rtd", ,"ContractData", V5,$Z$1,,"T")</f>
        <v>-10.050000000000001</v>
      </c>
      <c r="AA5" s="67">
        <f t="shared" si="13"/>
        <v>-10.100000000000001</v>
      </c>
      <c r="AB5" s="67">
        <f t="shared" si="1"/>
        <v>136.55000000000001</v>
      </c>
      <c r="AC5" s="67">
        <f t="shared" si="16"/>
        <v>136.55000000000001</v>
      </c>
      <c r="AD5" s="67">
        <f t="shared" si="14"/>
        <v>-10.15</v>
      </c>
      <c r="AE5" s="68">
        <f t="shared" si="15"/>
        <v>-10.100000000000001</v>
      </c>
      <c r="AF5" s="60" t="str">
        <f>RIGHT(RTD("cqg.rtd", ,"ContractData", V5,"LongDescription",,"T"),14)</f>
        <v>Mar 18, Dec 18</v>
      </c>
      <c r="AH5" s="68">
        <f xml:space="preserve"> RTD("cqg.rtd",,"StudyData",V5, "FG",, "Close","D","","all",,,,"T")</f>
        <v>-10.15</v>
      </c>
      <c r="AI5" s="60">
        <f>IF(AJ14=2, RTD("cqg.rtd",,"StudyData",V5, "FG",, "Close","D","","all",,,,"T")-RTD("cqg.rtd",,"StudyData",V5, "FG",, "Close","D","-2","all",,,,"T"),X5)</f>
        <v>0.2</v>
      </c>
      <c r="AJ5" s="70">
        <v>0.52083333333333337</v>
      </c>
    </row>
    <row r="6" spans="1:36" x14ac:dyDescent="0.2">
      <c r="A6" s="10" t="str">
        <f t="shared" si="2"/>
        <v>KCEZ8</v>
      </c>
      <c r="B6" s="10" t="str">
        <f>RTD("cqg.rtd", ,"ContractData",A6, "ContractMonth")</f>
        <v>DEC</v>
      </c>
      <c r="C6" s="65" t="str">
        <f t="shared" si="3"/>
        <v>Z</v>
      </c>
      <c r="D6" s="60" t="str">
        <f t="shared" si="0"/>
        <v>KCES1Z8</v>
      </c>
      <c r="E6" s="60" t="str">
        <f t="shared" si="4"/>
        <v>KCES2Z8</v>
      </c>
      <c r="F6" s="60" t="str">
        <f t="shared" si="5"/>
        <v>KCES3Z8</v>
      </c>
      <c r="G6" s="60" t="str">
        <f t="shared" si="6"/>
        <v>KCES4Z8</v>
      </c>
      <c r="H6" s="60" t="str">
        <f t="shared" si="7"/>
        <v>KCES5Z8</v>
      </c>
      <c r="I6" s="60" t="str">
        <f t="shared" si="8"/>
        <v>KCES6Z8</v>
      </c>
      <c r="J6" s="60" t="str">
        <f t="shared" si="9"/>
        <v>KCES7Z8</v>
      </c>
      <c r="K6" s="60" t="str">
        <f t="shared" si="10"/>
        <v>KCES8Z8</v>
      </c>
      <c r="L6" s="60" t="str">
        <f t="shared" si="11"/>
        <v>KCES9Z8</v>
      </c>
      <c r="P6" s="61"/>
      <c r="Q6" s="66" t="str">
        <f>RTD("cqg.rtd", ,"ContractData", $Q$1&amp;"?"&amp;R39, "Symbol")</f>
        <v>KCEZ8</v>
      </c>
      <c r="R6" s="64">
        <f>IF(RTD("cqg.rtd",,"ContractData",Q6,$R$1,,"T")="",RTD("cqg.rtd",,"ContractData",Q6,"Y_Settlement",,"T"),RTD("cqg.rtd",,"ContractData",Q6,$R$1,,"T"))</f>
        <v>139.95000000000002</v>
      </c>
      <c r="S6" s="64">
        <f>RTD("cqg.rtd", ,"ContractData", Q6,$S$1,,"T")</f>
        <v>139.9</v>
      </c>
      <c r="T6" s="64">
        <f>RTD("cqg.rtd", ,"ContractData", Q6,$T$1,,"T")</f>
        <v>140</v>
      </c>
      <c r="U6" s="67">
        <f>RTD("cqg.rtd", ,"ContractData", Q6, $U$1,,"T")</f>
        <v>1.45</v>
      </c>
      <c r="V6" s="61" t="str">
        <f>H2</f>
        <v>KCES5H8</v>
      </c>
      <c r="W6" s="67" t="e">
        <f>IF(RTD("cqg.rtd", ,"ContractData", V6, $W$1,,"T")="",NA(),RTD("cqg.rtd", ,"ContractData", V6, $W$1,,"T"))</f>
        <v>#N/A</v>
      </c>
      <c r="X6" s="67">
        <f>RTD("cqg.rtd", ,"ContractData", V6, $X$1,,"T")</f>
        <v>0.1</v>
      </c>
      <c r="Y6" s="67">
        <f>RTD("cqg.rtd", ,"ContractData",V6,$Y$1,,"T")</f>
        <v>-13.4</v>
      </c>
      <c r="Z6" s="67">
        <f>RTD("cqg.rtd", ,"ContractData", V6,$Z$1,,"T")</f>
        <v>-13.25</v>
      </c>
      <c r="AA6" s="67">
        <f t="shared" si="13"/>
        <v>-13.324999999999999</v>
      </c>
      <c r="AB6" s="67">
        <f t="shared" si="1"/>
        <v>139.95000000000002</v>
      </c>
      <c r="AC6" s="67">
        <f t="shared" si="16"/>
        <v>139.95000000000002</v>
      </c>
      <c r="AD6" s="67" t="e">
        <f t="shared" si="14"/>
        <v>#N/A</v>
      </c>
      <c r="AE6" s="68">
        <f t="shared" si="15"/>
        <v>-13.324999999999999</v>
      </c>
      <c r="AF6" s="60" t="str">
        <f>RIGHT(RTD("cqg.rtd", ,"ContractData", V6,"LongDescription",,"T"),14)</f>
        <v>Mar 18, Mar 19</v>
      </c>
      <c r="AH6" s="68">
        <f xml:space="preserve"> RTD("cqg.rtd",,"StudyData",V6, "FG",, "Close","D","","all",,,,"T")</f>
        <v>-13.5</v>
      </c>
      <c r="AI6" s="60">
        <f>IF(AJ15=2, RTD("cqg.rtd",,"StudyData",V6, "FG",, "Close","D","","all",,,,"T")-RTD("cqg.rtd",,"StudyData",V6, "FG",, "Close","D","-2","all",,,,"T"),X6)</f>
        <v>0.1</v>
      </c>
      <c r="AJ6" s="70"/>
    </row>
    <row r="7" spans="1:36" x14ac:dyDescent="0.2">
      <c r="A7" s="10" t="str">
        <f t="shared" si="2"/>
        <v>KCEH9</v>
      </c>
      <c r="B7" s="10" t="str">
        <f>RTD("cqg.rtd", ,"ContractData",A7, "ContractMonth")</f>
        <v>MAR</v>
      </c>
      <c r="C7" s="65" t="str">
        <f t="shared" si="3"/>
        <v>H</v>
      </c>
      <c r="D7" s="60" t="str">
        <f t="shared" si="0"/>
        <v>KCES1H9</v>
      </c>
      <c r="E7" s="60" t="str">
        <f t="shared" si="4"/>
        <v>KCES2H9</v>
      </c>
      <c r="F7" s="60" t="str">
        <f t="shared" si="5"/>
        <v>KCES3H9</v>
      </c>
      <c r="G7" s="60" t="str">
        <f t="shared" si="6"/>
        <v>KCES4H9</v>
      </c>
      <c r="H7" s="60" t="str">
        <f t="shared" si="7"/>
        <v>KCES5H9</v>
      </c>
      <c r="I7" s="60" t="str">
        <f t="shared" si="8"/>
        <v>KCES6H9</v>
      </c>
      <c r="J7" s="60" t="str">
        <f t="shared" si="9"/>
        <v>KCES7H9</v>
      </c>
      <c r="K7" s="60" t="str">
        <f t="shared" si="10"/>
        <v>KCES8H9</v>
      </c>
      <c r="P7" s="61"/>
      <c r="Q7" s="66" t="str">
        <f>RTD("cqg.rtd", ,"ContractData", $Q$1&amp;"?"&amp;R40, "Symbol")</f>
        <v>KCEH9</v>
      </c>
      <c r="R7" s="64">
        <f>IF(RTD("cqg.rtd",,"ContractData",Q7,$R$1,,"T")="",RTD("cqg.rtd",,"ContractData",Q7,"Y_Settlement",,"T"),RTD("cqg.rtd",,"ContractData",Q7,$R$1,,"T"))</f>
        <v>143.5</v>
      </c>
      <c r="S7" s="64">
        <f>RTD("cqg.rtd", ,"ContractData", Q7,$S$1,,"T")</f>
        <v>143.1</v>
      </c>
      <c r="T7" s="64">
        <f>RTD("cqg.rtd", ,"ContractData", Q7,$T$1,,"T")</f>
        <v>143.25</v>
      </c>
      <c r="U7" s="67">
        <f>RTD("cqg.rtd", ,"ContractData", Q7, $U$1,,"T")</f>
        <v>1.4000000000000001</v>
      </c>
      <c r="V7" s="61" t="str">
        <f>I2</f>
        <v>KCES6H8</v>
      </c>
      <c r="W7" s="67" t="e">
        <f>IF(RTD("cqg.rtd", ,"ContractData", V7, $W$1,,"T")="",NA(),RTD("cqg.rtd", ,"ContractData", V7, $W$1,,"T"))</f>
        <v>#N/A</v>
      </c>
      <c r="X7" s="67">
        <f>RTD("cqg.rtd", ,"ContractData", V7, $X$1,,"T")</f>
        <v>0.1</v>
      </c>
      <c r="Y7" s="67">
        <f>RTD("cqg.rtd", ,"ContractData",V7,$Y$1,,"T")</f>
        <v>-15.4</v>
      </c>
      <c r="Z7" s="67">
        <f>RTD("cqg.rtd", ,"ContractData", V7,$Z$1,,"T")</f>
        <v>-15.200000000000001</v>
      </c>
      <c r="AA7" s="67">
        <f t="shared" si="13"/>
        <v>-15.3</v>
      </c>
      <c r="AB7" s="67">
        <f t="shared" si="1"/>
        <v>143.17500000000001</v>
      </c>
      <c r="AC7" s="67">
        <f t="shared" si="16"/>
        <v>143.17500000000001</v>
      </c>
      <c r="AD7" s="67" t="e">
        <f t="shared" si="14"/>
        <v>#N/A</v>
      </c>
      <c r="AE7" s="68">
        <f t="shared" si="15"/>
        <v>-15.3</v>
      </c>
      <c r="AF7" s="60" t="str">
        <f>RIGHT(RTD("cqg.rtd", ,"ContractData", V7,"LongDescription",,"T"),14)</f>
        <v>Mar 18, May 19</v>
      </c>
      <c r="AH7" s="68">
        <f xml:space="preserve"> RTD("cqg.rtd",,"StudyData",V7, "FG",, "Close","D","","all",,,,"T")</f>
        <v>-15.5</v>
      </c>
      <c r="AI7" s="60">
        <f>IF(AJ16=2, RTD("cqg.rtd",,"StudyData",V7, "FG",, "Close","D","","all",,,,"T")-RTD("cqg.rtd",,"StudyData",V7, "FG",, "Close","D","-2","all",,,,"T"),X7)</f>
        <v>0.1</v>
      </c>
    </row>
    <row r="8" spans="1:36" x14ac:dyDescent="0.2">
      <c r="A8" s="10" t="str">
        <f t="shared" si="2"/>
        <v>KCEK9</v>
      </c>
      <c r="B8" s="10" t="str">
        <f>RTD("cqg.rtd", ,"ContractData",A8, "ContractMonth")</f>
        <v>MAY</v>
      </c>
      <c r="C8" s="65" t="str">
        <f t="shared" si="3"/>
        <v>K</v>
      </c>
      <c r="D8" s="60" t="str">
        <f t="shared" si="0"/>
        <v>KCES1K9</v>
      </c>
      <c r="E8" s="60" t="str">
        <f t="shared" si="4"/>
        <v>KCES2K9</v>
      </c>
      <c r="F8" s="60" t="str">
        <f t="shared" si="5"/>
        <v>KCES3K9</v>
      </c>
      <c r="G8" s="60" t="str">
        <f t="shared" si="6"/>
        <v>KCES4K9</v>
      </c>
      <c r="H8" s="60" t="str">
        <f t="shared" si="7"/>
        <v>KCES5K9</v>
      </c>
      <c r="I8" s="60" t="str">
        <f t="shared" si="8"/>
        <v>KCES6K9</v>
      </c>
      <c r="J8" s="60" t="str">
        <f t="shared" si="9"/>
        <v>KCES7K9</v>
      </c>
      <c r="P8" s="61"/>
      <c r="Q8" s="66" t="str">
        <f>RTD("cqg.rtd", ,"ContractData", $Q$1&amp;"?"&amp;R41, "Symbol")</f>
        <v>KCEK9</v>
      </c>
      <c r="R8" s="64">
        <f>IF(RTD("cqg.rtd",,"ContractData",Q8,$R$1,,"T")="",RTD("cqg.rtd",,"ContractData",Q8,"Y_Settlement",,"T"),RTD("cqg.rtd",,"ContractData",Q8,$R$1,,"T"))</f>
        <v>145.45000000000002</v>
      </c>
      <c r="S8" s="64">
        <f>RTD("cqg.rtd", ,"ContractData", Q8,$S$1,,"T")</f>
        <v>145.05000000000001</v>
      </c>
      <c r="T8" s="64">
        <f>RTD("cqg.rtd", ,"ContractData", Q8,$T$1,,"T")</f>
        <v>145.25</v>
      </c>
      <c r="U8" s="67">
        <f>RTD("cqg.rtd", ,"ContractData", Q8, $U$1,,"T")</f>
        <v>1.35</v>
      </c>
      <c r="V8" s="61" t="str">
        <f>J2</f>
        <v>KCES7H8</v>
      </c>
      <c r="W8" s="67" t="e">
        <f>IF(RTD("cqg.rtd", ,"ContractData", V8, $W$1,,"T")="",NA(),RTD("cqg.rtd", ,"ContractData", V8, $W$1,,"T"))</f>
        <v>#N/A</v>
      </c>
      <c r="X8" s="67">
        <f>RTD("cqg.rtd", ,"ContractData", V8, $X$1,,"T")</f>
        <v>0.35000000000000003</v>
      </c>
      <c r="Y8" s="67">
        <f>RTD("cqg.rtd", ,"ContractData",V8,$Y$1,,"T")</f>
        <v>-17.3</v>
      </c>
      <c r="Z8" s="67">
        <f>RTD("cqg.rtd", ,"ContractData", V8,$Z$1,,"T")</f>
        <v>-17.05</v>
      </c>
      <c r="AA8" s="67">
        <f t="shared" si="13"/>
        <v>-17.175000000000001</v>
      </c>
      <c r="AB8" s="67">
        <f>IF(OR(S8="",T8=""),R8,(IF(OR(R8="",R8&lt;S8,R8&gt;T8),(S8+T8)/2,R8)))</f>
        <v>145.15</v>
      </c>
      <c r="AC8" s="67">
        <f t="shared" si="16"/>
        <v>145.15</v>
      </c>
      <c r="AD8" s="67" t="e">
        <f t="shared" si="14"/>
        <v>#N/A</v>
      </c>
      <c r="AE8" s="68">
        <f t="shared" si="15"/>
        <v>-17.175000000000001</v>
      </c>
      <c r="AF8" s="60" t="str">
        <f>RIGHT(RTD("cqg.rtd", ,"ContractData", V8,"LongDescription",,"T"),14)</f>
        <v>Mar 18, Jul 19</v>
      </c>
      <c r="AH8" s="68">
        <f xml:space="preserve"> RTD("cqg.rtd",,"StudyData",V8, "FG",, "Close","D","","all",,,,"T")</f>
        <v>-17.399999999999999</v>
      </c>
      <c r="AI8" s="60">
        <f>IF(AJ17=2, RTD("cqg.rtd",,"StudyData",V8, "FG",, "Close","D","","all",,,,"T")-RTD("cqg.rtd",,"StudyData",V8, "FG",, "Close","D","-2","all",,,,"T"),X8)</f>
        <v>0.35000000000000003</v>
      </c>
    </row>
    <row r="9" spans="1:36" x14ac:dyDescent="0.2">
      <c r="A9" s="10" t="str">
        <f t="shared" si="2"/>
        <v>KCEN9</v>
      </c>
      <c r="B9" s="10" t="str">
        <f>RTD("cqg.rtd", ,"ContractData",A9, "ContractMonth")</f>
        <v>JUL</v>
      </c>
      <c r="C9" s="65" t="str">
        <f t="shared" si="3"/>
        <v>N</v>
      </c>
      <c r="D9" s="60" t="str">
        <f t="shared" si="0"/>
        <v>KCES1N9</v>
      </c>
      <c r="E9" s="60" t="str">
        <f t="shared" si="4"/>
        <v>KCES2N9</v>
      </c>
      <c r="F9" s="60" t="str">
        <f t="shared" si="5"/>
        <v>KCES3N9</v>
      </c>
      <c r="G9" s="60" t="str">
        <f t="shared" si="6"/>
        <v>KCES4N9</v>
      </c>
      <c r="H9" s="60" t="str">
        <f t="shared" si="7"/>
        <v>KCES5N9</v>
      </c>
      <c r="I9" s="60" t="str">
        <f t="shared" si="8"/>
        <v>KCES6N9</v>
      </c>
      <c r="P9" s="61"/>
      <c r="Q9" s="66" t="str">
        <f>RTD("cqg.rtd", ,"ContractData", $Q$1&amp;"?"&amp;R42, "Symbol")</f>
        <v>KCEN9</v>
      </c>
      <c r="R9" s="64">
        <f>IF(RTD("cqg.rtd",,"ContractData",Q9,$R$1,,"T")="",RTD("cqg.rtd",,"ContractData",Q9,"Y_Settlement",,"T"),RTD("cqg.rtd",,"ContractData",Q9,$R$1,,"T"))</f>
        <v>147.35</v>
      </c>
      <c r="S9" s="64">
        <f>RTD("cqg.rtd", ,"ContractData", Q9,$S$1,,"T")</f>
        <v>146.9</v>
      </c>
      <c r="T9" s="64">
        <f>RTD("cqg.rtd", ,"ContractData", Q9,$T$1,,"T")</f>
        <v>147.95000000000002</v>
      </c>
      <c r="U9" s="67">
        <f>RTD("cqg.rtd", ,"ContractData", Q9, $U$1,,"T")</f>
        <v>1.3</v>
      </c>
      <c r="V9" s="61" t="str">
        <f>K2</f>
        <v>KCES8H8</v>
      </c>
      <c r="W9" s="67" t="e">
        <f>IF(RTD("cqg.rtd", ,"ContractData", V9, $W$1,,"T")="",NA(),RTD("cqg.rtd", ,"ContractData", V9, $W$1,,"T"))</f>
        <v>#N/A</v>
      </c>
      <c r="X9" s="67">
        <f>RTD("cqg.rtd", ,"ContractData", V9, $X$1,,"T")</f>
        <v>0.35000000000000003</v>
      </c>
      <c r="Y9" s="67">
        <f>RTD("cqg.rtd", ,"ContractData",V9,$Y$1,,"T")</f>
        <v>-19.95</v>
      </c>
      <c r="Z9" s="67">
        <f>RTD("cqg.rtd", ,"ContractData", V9,$Z$1,,"T")</f>
        <v>-18.900000000000002</v>
      </c>
      <c r="AA9" s="67">
        <f t="shared" si="13"/>
        <v>-19.425000000000001</v>
      </c>
      <c r="AB9" s="67">
        <f t="shared" ref="AB9:AB10" si="17">IF(OR(S9="",T9=""),R9,(IF(OR(R9="",R9&lt;S9,R9&gt;T9),(S9+T9)/2,R9)))</f>
        <v>147.35</v>
      </c>
      <c r="AC9" s="67">
        <f t="shared" si="16"/>
        <v>147.35</v>
      </c>
      <c r="AD9" s="67" t="e">
        <f t="shared" si="14"/>
        <v>#N/A</v>
      </c>
      <c r="AE9" s="68">
        <f t="shared" si="15"/>
        <v>-19.425000000000001</v>
      </c>
      <c r="AF9" s="60" t="str">
        <f>RIGHT(RTD("cqg.rtd", ,"ContractData", V9,"LongDescription",,"T"),14)</f>
        <v>Mar 18, Sep 19</v>
      </c>
      <c r="AH9" s="68">
        <f xml:space="preserve"> RTD("cqg.rtd",,"StudyData",V9, "FG",, "Close","D","","all",,,,"T")</f>
        <v>-19.25</v>
      </c>
      <c r="AI9" s="60">
        <f>IF(AJ18=2, RTD("cqg.rtd",,"StudyData",V9, "FG",, "Close","D","","all",,,,"T")-RTD("cqg.rtd",,"StudyData",V9, "FG",, "Close","D","-2","all",,,,"T"),X9)</f>
        <v>0.35000000000000003</v>
      </c>
      <c r="AJ9" s="69"/>
    </row>
    <row r="10" spans="1:36" x14ac:dyDescent="0.2">
      <c r="A10" s="10" t="str">
        <f t="shared" si="2"/>
        <v>KCEU9</v>
      </c>
      <c r="B10" s="10" t="str">
        <f>RTD("cqg.rtd", ,"ContractData",A10, "ContractMonth")</f>
        <v>SEP</v>
      </c>
      <c r="C10" s="65" t="str">
        <f t="shared" si="3"/>
        <v>U</v>
      </c>
      <c r="D10" s="60" t="str">
        <f t="shared" si="0"/>
        <v>KCES1U9</v>
      </c>
      <c r="E10" s="60" t="str">
        <f t="shared" si="4"/>
        <v>KCES2U9</v>
      </c>
      <c r="F10" s="60" t="str">
        <f t="shared" si="5"/>
        <v>KCES3U9</v>
      </c>
      <c r="G10" s="60" t="str">
        <f t="shared" si="6"/>
        <v>KCES4U9</v>
      </c>
      <c r="H10" s="60" t="str">
        <f t="shared" si="7"/>
        <v>KCES5U9</v>
      </c>
      <c r="P10" s="61"/>
      <c r="Q10" s="66" t="str">
        <f>RTD("cqg.rtd", ,"ContractData", $Q$1&amp;"?"&amp;R43, "Symbol")</f>
        <v>KCEU9</v>
      </c>
      <c r="R10" s="64">
        <f>IF(RTD("cqg.rtd",,"ContractData",Q10,$R$1,,"T")="",RTD("cqg.rtd",,"ContractData",Q10,"Y_Settlement",,"T"),RTD("cqg.rtd",,"ContractData",Q10,$R$1,,"T"))</f>
        <v>149.25</v>
      </c>
      <c r="S10" s="64">
        <f>RTD("cqg.rtd", ,"ContractData", Q10,$S$1,,"T")</f>
        <v>148.65</v>
      </c>
      <c r="T10" s="64">
        <f>RTD("cqg.rtd", ,"ContractData", Q10,$T$1,,"T")</f>
        <v>152.15</v>
      </c>
      <c r="U10" s="67">
        <f>RTD("cqg.rtd", ,"ContractData", Q10, $U$1,,"T")</f>
        <v>1.2</v>
      </c>
      <c r="V10" s="61" t="str">
        <f>L2</f>
        <v>KCES9H8</v>
      </c>
      <c r="W10" s="67" t="e">
        <f>IF(RTD("cqg.rtd", ,"ContractData", V10, $W$1,,"T")="",NA(),RTD("cqg.rtd", ,"ContractData", V10, $W$1,,"T"))</f>
        <v>#N/A</v>
      </c>
      <c r="X10" s="67">
        <f>RTD("cqg.rtd", ,"ContractData", V10, $X$1,,"T")</f>
        <v>-0.05</v>
      </c>
      <c r="Y10" s="67">
        <f>RTD("cqg.rtd", ,"ContractData",V10,$Y$1,,"T")</f>
        <v>-22.05</v>
      </c>
      <c r="Z10" s="67">
        <f>RTD("cqg.rtd", ,"ContractData", V10,$Z$1,,"T")</f>
        <v>-21.6</v>
      </c>
      <c r="AA10" s="67">
        <f t="shared" si="13"/>
        <v>-21.825000000000003</v>
      </c>
      <c r="AB10" s="67">
        <f t="shared" si="17"/>
        <v>149.25</v>
      </c>
      <c r="AC10" s="67">
        <f t="shared" si="16"/>
        <v>149.25</v>
      </c>
      <c r="AD10" s="67" t="e">
        <f t="shared" si="14"/>
        <v>#N/A</v>
      </c>
      <c r="AE10" s="68">
        <f t="shared" si="15"/>
        <v>-21.825000000000003</v>
      </c>
      <c r="AF10" s="60" t="str">
        <f>RIGHT(RTD("cqg.rtd", ,"ContractData", V10,"LongDescription",,"T"),14)</f>
        <v>Mar 18, Dec 19</v>
      </c>
      <c r="AH10" s="68">
        <f xml:space="preserve"> RTD("cqg.rtd",,"StudyData",V10, "FG",, "Close","D","","all",,,,"T")</f>
        <v>-22</v>
      </c>
      <c r="AI10" s="60">
        <f>IF(AJ19=2, RTD("cqg.rtd",,"StudyData",V10, "FG",, "Close","D","","all",,,,"T")-RTD("cqg.rtd",,"StudyData",V10, "FG",, "Close","D","-2","all",,,,"T"),X10)</f>
        <v>-0.05</v>
      </c>
    </row>
    <row r="11" spans="1:36" x14ac:dyDescent="0.2">
      <c r="A11" s="10" t="str">
        <f t="shared" si="2"/>
        <v>KCEZ9</v>
      </c>
      <c r="B11" s="10" t="str">
        <f>RTD("cqg.rtd", ,"ContractData",A11, "ContractMonth")</f>
        <v>DEC</v>
      </c>
      <c r="C11" s="65" t="str">
        <f t="shared" si="3"/>
        <v>Z</v>
      </c>
      <c r="D11" s="60" t="str">
        <f t="shared" si="0"/>
        <v>KCES1Z9</v>
      </c>
      <c r="E11" s="60" t="str">
        <f t="shared" si="4"/>
        <v>KCES2Z9</v>
      </c>
      <c r="F11" s="60" t="str">
        <f t="shared" si="5"/>
        <v>KCES3Z9</v>
      </c>
      <c r="G11" s="60" t="str">
        <f t="shared" si="6"/>
        <v>KCES4Z9</v>
      </c>
      <c r="P11" s="61"/>
      <c r="Q11" s="66" t="str">
        <f>RTD("cqg.rtd", ,"ContractData", $Q$1&amp;"?"&amp;R44, "Symbol")</f>
        <v>KCEZ9</v>
      </c>
      <c r="R11" s="64">
        <f>IF(RTD("cqg.rtd",,"ContractData",Q11,$R$1,,"T")="",RTD("cqg.rtd",,"ContractData",Q11,"Y_Settlement",,"T"),RTD("cqg.rtd",,"ContractData",Q11,$R$1,,"T"))</f>
        <v>150.20000000000002</v>
      </c>
      <c r="S11" s="64">
        <f>RTD("cqg.rtd", ,"ContractData", Q11,$S$1,,"T")</f>
        <v>151.45000000000002</v>
      </c>
      <c r="T11" s="64">
        <f>RTD("cqg.rtd", ,"ContractData", Q11,$T$1,,"T")</f>
        <v>151.9</v>
      </c>
      <c r="U11" s="67">
        <f>RTD("cqg.rtd", ,"ContractData", Q11, $U$1,,"T")</f>
        <v>1.25</v>
      </c>
      <c r="V11" s="61" t="str">
        <f>M2</f>
        <v>KCES10H8</v>
      </c>
      <c r="W11" s="67" t="e">
        <f>IF(RTD("cqg.rtd", ,"ContractData", V11, $W$1,,"T")="",NA(),RTD("cqg.rtd", ,"ContractData", V11, $W$1,,"T"))</f>
        <v>#N/A</v>
      </c>
      <c r="X11" s="67">
        <f>RTD("cqg.rtd", ,"ContractData", V11, $X$1,,"T")</f>
        <v>0.55000000000000004</v>
      </c>
      <c r="Y11" s="67">
        <f>RTD("cqg.rtd", ,"ContractData",V11,$Y$1,,"T")</f>
        <v>-25.400000000000002</v>
      </c>
      <c r="Z11" s="67">
        <f>RTD("cqg.rtd", ,"ContractData", V11,$Z$1,,"T")</f>
        <v>-24.150000000000002</v>
      </c>
      <c r="AA11" s="67">
        <f t="shared" si="13"/>
        <v>-24.775000000000002</v>
      </c>
      <c r="AB11" s="67">
        <f>IF(OR(S11="",T11=""),R11,(IF(OR(R11="",R11&lt;S11,R11&gt;T11),(S11+T11)/2,R11)))</f>
        <v>151.67500000000001</v>
      </c>
      <c r="AC11" s="67">
        <f t="shared" si="16"/>
        <v>151.67500000000001</v>
      </c>
      <c r="AD11" s="67" t="e">
        <f t="shared" si="14"/>
        <v>#N/A</v>
      </c>
      <c r="AE11" s="68">
        <f t="shared" si="15"/>
        <v>-24.775000000000002</v>
      </c>
      <c r="AF11" s="60" t="str">
        <f>RIGHT(RTD("cqg.rtd", ,"ContractData", V11,"LongDescription",,"T"),14)</f>
        <v>Mar 18, Mar 20</v>
      </c>
      <c r="AH11" s="68">
        <f xml:space="preserve"> RTD("cqg.rtd",,"StudyData",V11, "FG",, "Close","D","","all",,,,"T")</f>
        <v>-24.7</v>
      </c>
      <c r="AI11" s="60">
        <f>IF(AJ20=2, RTD("cqg.rtd",,"StudyData",V11, "FG",, "Close","D","","all",,,,"T")-RTD("cqg.rtd",,"StudyData",V11, "FG",, "Close","D","-2","all",,,,"T"),X11)</f>
        <v>0.55000000000000004</v>
      </c>
      <c r="AJ11" s="60">
        <f>IF(AND(AJ2&gt;AJ4,AJ2&lt;AJ5),1,2)</f>
        <v>1</v>
      </c>
    </row>
    <row r="12" spans="1:36" x14ac:dyDescent="0.2">
      <c r="A12" s="10" t="str">
        <f t="shared" si="2"/>
        <v>KCEH0</v>
      </c>
      <c r="B12" s="10" t="str">
        <f>RTD("cqg.rtd", ,"ContractData",A12, "ContractMonth")</f>
        <v>MAR</v>
      </c>
      <c r="C12" s="65" t="str">
        <f t="shared" si="3"/>
        <v>H</v>
      </c>
      <c r="D12" s="60" t="str">
        <f t="shared" si="0"/>
        <v>KCES1H0</v>
      </c>
      <c r="E12" s="60" t="str">
        <f t="shared" si="4"/>
        <v>KCES2H0</v>
      </c>
      <c r="F12" s="60" t="str">
        <f t="shared" si="5"/>
        <v>KCES3H0</v>
      </c>
      <c r="P12" s="61"/>
      <c r="Q12" s="66" t="str">
        <f>RTD("cqg.rtd", ,"ContractData", $Q$1&amp;"?"&amp;R45, "Symbol")</f>
        <v>KCEH0</v>
      </c>
      <c r="R12" s="64">
        <f>IF(RTD("cqg.rtd",,"ContractData",Q12,$R$1,,"T")="",RTD("cqg.rtd",,"ContractData",Q12,"Y_Settlement",,"T"),RTD("cqg.rtd",,"ContractData",Q12,$R$1,,"T"))</f>
        <v>152.9</v>
      </c>
      <c r="S12" s="64">
        <f>RTD("cqg.rtd", ,"ContractData", Q12,$S$1,,"T")</f>
        <v>148.5</v>
      </c>
      <c r="T12" s="64">
        <f>RTD("cqg.rtd", ,"ContractData", Q12,$T$1,,"T")</f>
        <v>157.6</v>
      </c>
      <c r="U12" s="67">
        <f>RTD("cqg.rtd", ,"ContractData", Q12, $U$1,,"T")</f>
        <v>4.7</v>
      </c>
      <c r="V12" s="61"/>
      <c r="W12" s="67"/>
      <c r="X12" s="67"/>
      <c r="Y12" s="67"/>
      <c r="Z12" s="67"/>
      <c r="AA12" s="67">
        <f t="shared" ref="AA12:AA13" si="18">IFERROR((Y12+Z12)/2,NA())</f>
        <v>0</v>
      </c>
      <c r="AB12" s="67">
        <f t="shared" ref="AB12:AB13" si="19">IF(OR(S12="",T12=""),R12,(IF(OR(R12="",R12&lt;S12,R12&gt;T12),(S12+T12)/2,R12)))</f>
        <v>152.9</v>
      </c>
      <c r="AC12" s="67">
        <f t="shared" ref="AC12:AC13" si="20">IF(OR(R12="",R12&lt;S12,R12&gt;T12),(S12+T12)/2,R12)</f>
        <v>152.9</v>
      </c>
      <c r="AD12" s="67"/>
      <c r="AE12" s="68"/>
      <c r="AH12" s="68"/>
    </row>
    <row r="13" spans="1:36" x14ac:dyDescent="0.2">
      <c r="A13" s="10" t="str">
        <f t="shared" ref="A13" si="21">Q13</f>
        <v>KCEK0</v>
      </c>
      <c r="B13" s="10" t="str">
        <f>RTD("cqg.rtd", ,"ContractData",A13, "ContractMonth")</f>
        <v>MAY</v>
      </c>
      <c r="C13" s="65" t="str">
        <f t="shared" si="3"/>
        <v>K</v>
      </c>
      <c r="D13" s="60" t="str">
        <f t="shared" si="0"/>
        <v>KCES1K0</v>
      </c>
      <c r="E13" s="60" t="str">
        <f t="shared" si="4"/>
        <v>KCES2K0</v>
      </c>
      <c r="F13" s="60" t="str">
        <f t="shared" si="5"/>
        <v>KCES3K0</v>
      </c>
      <c r="P13" s="61"/>
      <c r="Q13" s="66" t="str">
        <f>RTD("cqg.rtd", ,"ContractData", $Q$1&amp;"?"&amp;R46, "Symbol")</f>
        <v>KCEK0</v>
      </c>
      <c r="R13" s="64">
        <f>IF(RTD("cqg.rtd",,"ContractData",Q13,$R$1,,"T")="",RTD("cqg.rtd",,"ContractData",Q13,"Y_Settlement",,"T"),RTD("cqg.rtd",,"ContractData",Q13,$R$1,,"T"))</f>
        <v>154.55000000000001</v>
      </c>
      <c r="S13" s="64">
        <f>RTD("cqg.rtd", ,"ContractData", Q13,$S$1,,"T")</f>
        <v>149.95000000000002</v>
      </c>
      <c r="T13" s="64">
        <f>RTD("cqg.rtd", ,"ContractData", Q13,$T$1,,"T")</f>
        <v>159.45000000000002</v>
      </c>
      <c r="U13" s="67">
        <f>RTD("cqg.rtd", ,"ContractData", Q13, $U$1,,"T")</f>
        <v>4.9000000000000004</v>
      </c>
      <c r="V13" s="61"/>
      <c r="W13" s="67"/>
      <c r="X13" s="67"/>
      <c r="Y13" s="67"/>
      <c r="Z13" s="67"/>
      <c r="AA13" s="67">
        <f t="shared" si="18"/>
        <v>0</v>
      </c>
      <c r="AB13" s="67">
        <f t="shared" si="19"/>
        <v>154.55000000000001</v>
      </c>
      <c r="AC13" s="67">
        <f t="shared" si="20"/>
        <v>154.55000000000001</v>
      </c>
      <c r="AD13" s="67"/>
      <c r="AE13" s="68"/>
      <c r="AH13" s="68"/>
    </row>
    <row r="14" spans="1:36" x14ac:dyDescent="0.2">
      <c r="D14" s="60">
        <f>RTD("cqg.rtd", ,"ContractData",D2, "Bate")</f>
        <v>16</v>
      </c>
      <c r="E14" s="60">
        <f>RTD("cqg.rtd", ,"ContractData",E2, "Bate")</f>
        <v>0</v>
      </c>
      <c r="F14" s="60">
        <f>RTD("cqg.rtd", ,"ContractData",F2, "Bate")</f>
        <v>64</v>
      </c>
      <c r="G14" s="60">
        <f>RTD("cqg.rtd", ,"ContractData",G2, "Bate")</f>
        <v>128</v>
      </c>
      <c r="H14" s="60">
        <f>RTD("cqg.rtd", ,"ContractData",H2, "Bate")</f>
        <v>64</v>
      </c>
      <c r="I14" s="60">
        <f>RTD("cqg.rtd", ,"ContractData",I2, "Bate")</f>
        <v>64</v>
      </c>
      <c r="J14" s="60">
        <f>RTD("cqg.rtd", ,"ContractData",J2, "Bate")</f>
        <v>128</v>
      </c>
      <c r="K14" s="60">
        <f>RTD("cqg.rtd", ,"ContractData",K2, "Bate")</f>
        <v>128</v>
      </c>
      <c r="L14" s="60">
        <f>RTD("cqg.rtd", ,"ContractData",L2, "Bate")</f>
        <v>64</v>
      </c>
      <c r="M14" s="60">
        <f>RTD("cqg.rtd", ,"ContractData",M2, "Bate")</f>
        <v>128</v>
      </c>
      <c r="P14" s="61"/>
      <c r="Q14" s="61">
        <f>RTD("cqg.rtd", ,"ContractData",Q2, "Bate")</f>
        <v>128</v>
      </c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  <row r="15" spans="1:36" x14ac:dyDescent="0.2">
      <c r="D15" s="60">
        <f>RTD("cqg.rtd", ,"ContractData",D3, "Bate")</f>
        <v>128</v>
      </c>
      <c r="E15" s="60">
        <f>RTD("cqg.rtd", ,"ContractData",E3, "Bate")</f>
        <v>128</v>
      </c>
      <c r="F15" s="60">
        <f>RTD("cqg.rtd", ,"ContractData",F3, "Bate")</f>
        <v>128</v>
      </c>
      <c r="G15" s="60">
        <f>RTD("cqg.rtd", ,"ContractData",G3, "Bate")</f>
        <v>128</v>
      </c>
      <c r="H15" s="60">
        <f>RTD("cqg.rtd", ,"ContractData",H3, "Bate")</f>
        <v>128</v>
      </c>
      <c r="I15" s="60">
        <f>RTD("cqg.rtd", ,"ContractData",I3, "Bate")</f>
        <v>128</v>
      </c>
      <c r="J15" s="60">
        <f>RTD("cqg.rtd", ,"ContractData",J3, "Bate")</f>
        <v>128</v>
      </c>
      <c r="K15" s="60">
        <f>RTD("cqg.rtd", ,"ContractData",K3, "Bate")</f>
        <v>128</v>
      </c>
      <c r="L15" s="60">
        <f>RTD("cqg.rtd", ,"ContractData",L3, "Bate")</f>
        <v>128</v>
      </c>
      <c r="M15" s="60">
        <f>RTD("cqg.rtd", ,"ContractData",M3, "Bate")</f>
        <v>64</v>
      </c>
      <c r="P15" s="61"/>
      <c r="Q15" s="61">
        <f>RTD("cqg.rtd", ,"ContractData",Q3, "Bate")</f>
        <v>64</v>
      </c>
      <c r="R15" s="61"/>
      <c r="S15" s="61"/>
      <c r="T15" s="61"/>
      <c r="U15" s="61"/>
    </row>
    <row r="16" spans="1:36" x14ac:dyDescent="0.2">
      <c r="D16" s="60">
        <f>RTD("cqg.rtd", ,"ContractData",D4, "Bate")</f>
        <v>128</v>
      </c>
      <c r="E16" s="60">
        <f>RTD("cqg.rtd", ,"ContractData",E4, "Bate")</f>
        <v>0</v>
      </c>
      <c r="F16" s="60">
        <f>RTD("cqg.rtd", ,"ContractData",F4, "Bate")</f>
        <v>128</v>
      </c>
      <c r="G16" s="60">
        <f>RTD("cqg.rtd", ,"ContractData",G4, "Bate")</f>
        <v>128</v>
      </c>
      <c r="H16" s="60">
        <f>RTD("cqg.rtd", ,"ContractData",H4, "Bate")</f>
        <v>128</v>
      </c>
      <c r="I16" s="60">
        <f>RTD("cqg.rtd", ,"ContractData",I4, "Bate")</f>
        <v>128</v>
      </c>
      <c r="J16" s="60">
        <f>RTD("cqg.rtd", ,"ContractData",J4, "Bate")</f>
        <v>128</v>
      </c>
      <c r="K16" s="60">
        <f>RTD("cqg.rtd", ,"ContractData",K4, "Bate")</f>
        <v>128</v>
      </c>
      <c r="L16" s="60">
        <f>RTD("cqg.rtd", ,"ContractData",L4, "Bate")</f>
        <v>128</v>
      </c>
      <c r="M16" s="60">
        <f>RTD("cqg.rtd", ,"ContractData",M4, "Bate")</f>
        <v>128</v>
      </c>
      <c r="Q16" s="60">
        <f>RTD("cqg.rtd", ,"ContractData",Q4, "Bate")</f>
        <v>64</v>
      </c>
    </row>
    <row r="17" spans="4:29" x14ac:dyDescent="0.2">
      <c r="D17" s="60">
        <f>RTD("cqg.rtd", ,"ContractData",D5, "Bate")</f>
        <v>64</v>
      </c>
      <c r="E17" s="60">
        <f>RTD("cqg.rtd", ,"ContractData",E5, "Bate")</f>
        <v>128</v>
      </c>
      <c r="F17" s="60">
        <f>RTD("cqg.rtd", ,"ContractData",F5, "Bate")</f>
        <v>128</v>
      </c>
      <c r="G17" s="60">
        <f>RTD("cqg.rtd", ,"ContractData",G5, "Bate")</f>
        <v>128</v>
      </c>
      <c r="H17" s="60">
        <f>RTD("cqg.rtd", ,"ContractData",H5, "Bate")</f>
        <v>128</v>
      </c>
      <c r="I17" s="60">
        <f>RTD("cqg.rtd", ,"ContractData",I5, "Bate")</f>
        <v>128</v>
      </c>
      <c r="J17" s="60">
        <f>RTD("cqg.rtd", ,"ContractData",J5, "Bate")</f>
        <v>128</v>
      </c>
      <c r="K17" s="60">
        <f>RTD("cqg.rtd", ,"ContractData",K5, "Bate")</f>
        <v>128</v>
      </c>
      <c r="L17" s="60">
        <f>RTD("cqg.rtd", ,"ContractData",L5, "Bate")</f>
        <v>128</v>
      </c>
      <c r="M17" s="60">
        <f>RTD("cqg.rtd", ,"ContractData",M5, "Bate")</f>
        <v>128</v>
      </c>
      <c r="Q17" s="60">
        <f>RTD("cqg.rtd", ,"ContractData",Q5, "Bate")</f>
        <v>64</v>
      </c>
      <c r="AB17" s="68"/>
      <c r="AC17" s="68"/>
    </row>
    <row r="18" spans="4:29" x14ac:dyDescent="0.2">
      <c r="D18" s="60">
        <f>RTD("cqg.rtd", ,"ContractData",D6, "Bate")</f>
        <v>128</v>
      </c>
      <c r="E18" s="60">
        <f>RTD("cqg.rtd", ,"ContractData",E6, "Bate")</f>
        <v>128</v>
      </c>
      <c r="F18" s="60">
        <f>RTD("cqg.rtd", ,"ContractData",F6, "Bate")</f>
        <v>128</v>
      </c>
      <c r="G18" s="60">
        <f>RTD("cqg.rtd", ,"ContractData",G6, "Bate")</f>
        <v>128</v>
      </c>
      <c r="H18" s="60">
        <f>RTD("cqg.rtd", ,"ContractData",H6, "Bate")</f>
        <v>128</v>
      </c>
      <c r="I18" s="60">
        <f>RTD("cqg.rtd", ,"ContractData",I6, "Bate")</f>
        <v>128</v>
      </c>
      <c r="J18" s="60">
        <f>RTD("cqg.rtd", ,"ContractData",J6, "Bate")</f>
        <v>128</v>
      </c>
      <c r="K18" s="60">
        <f>RTD("cqg.rtd", ,"ContractData",K6, "Bate")</f>
        <v>128</v>
      </c>
      <c r="L18" s="60">
        <f>RTD("cqg.rtd", ,"ContractData",L6, "Bate")</f>
        <v>128</v>
      </c>
      <c r="Q18" s="60">
        <f>RTD("cqg.rtd", ,"ContractData",Q6, "Bate")</f>
        <v>64</v>
      </c>
      <c r="AB18" s="68"/>
      <c r="AC18" s="68"/>
    </row>
    <row r="19" spans="4:29" x14ac:dyDescent="0.2">
      <c r="D19" s="60">
        <f>RTD("cqg.rtd", ,"ContractData",D7, "Bate")</f>
        <v>128</v>
      </c>
      <c r="E19" s="60">
        <f>RTD("cqg.rtd", ,"ContractData",E7, "Bate")</f>
        <v>128</v>
      </c>
      <c r="F19" s="60">
        <f>RTD("cqg.rtd", ,"ContractData",F7, "Bate")</f>
        <v>128</v>
      </c>
      <c r="G19" s="60">
        <f>RTD("cqg.rtd", ,"ContractData",G7, "Bate")</f>
        <v>128</v>
      </c>
      <c r="H19" s="60">
        <f>RTD("cqg.rtd", ,"ContractData",H7, "Bate")</f>
        <v>128</v>
      </c>
      <c r="I19" s="60">
        <f>RTD("cqg.rtd", ,"ContractData",I7, "Bate")</f>
        <v>128</v>
      </c>
      <c r="J19" s="60">
        <f>RTD("cqg.rtd", ,"ContractData",J7, "Bate")</f>
        <v>128</v>
      </c>
      <c r="K19" s="60">
        <f>RTD("cqg.rtd", ,"ContractData",K7, "Bate")</f>
        <v>128</v>
      </c>
      <c r="Q19" s="60">
        <f>RTD("cqg.rtd", ,"ContractData",Q7, "Bate")</f>
        <v>64</v>
      </c>
      <c r="V19" s="60" t="s">
        <v>21</v>
      </c>
      <c r="AB19" s="68"/>
      <c r="AC19" s="68"/>
    </row>
    <row r="20" spans="4:29" x14ac:dyDescent="0.2">
      <c r="D20" s="60">
        <f>RTD("cqg.rtd", ,"ContractData",D8, "Bate")</f>
        <v>128</v>
      </c>
      <c r="E20" s="60">
        <f>RTD("cqg.rtd", ,"ContractData",E8, "Bate")</f>
        <v>128</v>
      </c>
      <c r="F20" s="60">
        <f>RTD("cqg.rtd", ,"ContractData",F8, "Bate")</f>
        <v>128</v>
      </c>
      <c r="G20" s="60">
        <f>RTD("cqg.rtd", ,"ContractData",G8, "Bate")</f>
        <v>128</v>
      </c>
      <c r="H20" s="60">
        <f>RTD("cqg.rtd", ,"ContractData",H8, "Bate")</f>
        <v>128</v>
      </c>
      <c r="I20" s="60">
        <f>RTD("cqg.rtd", ,"ContractData",I8, "Bate")</f>
        <v>128</v>
      </c>
      <c r="J20" s="60">
        <f>RTD("cqg.rtd", ,"ContractData",J8, "Bate")</f>
        <v>128</v>
      </c>
      <c r="Q20" s="60">
        <f>RTD("cqg.rtd", ,"ContractData",Q8, "Bate")</f>
        <v>64</v>
      </c>
      <c r="U20" s="71" t="s">
        <v>15</v>
      </c>
      <c r="V20" s="60">
        <f xml:space="preserve"> RTD("cqg.rtd",,"StudyData",Q2, "VolOI",, "Vol",,"","all",,,,"T")</f>
        <v>28334</v>
      </c>
      <c r="AB20" s="68"/>
      <c r="AC20" s="68"/>
    </row>
    <row r="21" spans="4:29" x14ac:dyDescent="0.2">
      <c r="D21" s="60">
        <f>RTD("cqg.rtd", ,"ContractData",D9, "Bate")</f>
        <v>128</v>
      </c>
      <c r="E21" s="60">
        <f>RTD("cqg.rtd", ,"ContractData",E9, "Bate")</f>
        <v>128</v>
      </c>
      <c r="F21" s="60">
        <f>RTD("cqg.rtd", ,"ContractData",F9, "Bate")</f>
        <v>128</v>
      </c>
      <c r="G21" s="60">
        <f>RTD("cqg.rtd", ,"ContractData",G9, "Bate")</f>
        <v>128</v>
      </c>
      <c r="H21" s="60">
        <f>RTD("cqg.rtd", ,"ContractData",H9, "Bate")</f>
        <v>128</v>
      </c>
      <c r="I21" s="60">
        <f>RTD("cqg.rtd", ,"ContractData",I9, "Bate")</f>
        <v>128</v>
      </c>
      <c r="Q21" s="60">
        <f>RTD("cqg.rtd", ,"ContractData",Q9, "Bate")</f>
        <v>64</v>
      </c>
      <c r="U21" s="60">
        <v>-1</v>
      </c>
      <c r="V21" s="60">
        <f xml:space="preserve"> RTD("cqg.rtd",,"StudyData",Q2, "VolOI",, "Vol",,"-1","all",,,,"T")</f>
        <v>19329</v>
      </c>
      <c r="AB21" s="68"/>
      <c r="AC21" s="68"/>
    </row>
    <row r="22" spans="4:29" x14ac:dyDescent="0.2">
      <c r="D22" s="60">
        <f>RTD("cqg.rtd", ,"ContractData",D10, "Bate")</f>
        <v>128</v>
      </c>
      <c r="E22" s="60">
        <f>RTD("cqg.rtd", ,"ContractData",E10, "Bate")</f>
        <v>128</v>
      </c>
      <c r="F22" s="60">
        <f>RTD("cqg.rtd", ,"ContractData",F10, "Bate")</f>
        <v>128</v>
      </c>
      <c r="G22" s="60">
        <f>RTD("cqg.rtd", ,"ContractData",G10, "Bate")</f>
        <v>128</v>
      </c>
      <c r="H22" s="60">
        <f>RTD("cqg.rtd", ,"ContractData",H10, "Bate")</f>
        <v>128</v>
      </c>
      <c r="Q22" s="60">
        <f>RTD("cqg.rtd", ,"ContractData",Q10, "Bate")</f>
        <v>64</v>
      </c>
      <c r="U22" s="60">
        <v>-2</v>
      </c>
      <c r="V22" s="60">
        <f xml:space="preserve"> RTD("cqg.rtd",,"StudyData",Q2, "VolOI",, "Vol",,"-2","all",,,,"T")</f>
        <v>24749</v>
      </c>
      <c r="AB22" s="68"/>
      <c r="AC22" s="68"/>
    </row>
    <row r="23" spans="4:29" x14ac:dyDescent="0.2">
      <c r="D23" s="60">
        <f>RTD("cqg.rtd", ,"ContractData",D11, "Bate")</f>
        <v>128</v>
      </c>
      <c r="E23" s="60">
        <f>RTD("cqg.rtd", ,"ContractData",E11, "Bate")</f>
        <v>128</v>
      </c>
      <c r="F23" s="60">
        <f>RTD("cqg.rtd", ,"ContractData",F11, "Bate")</f>
        <v>128</v>
      </c>
      <c r="G23" s="60">
        <f>RTD("cqg.rtd", ,"ContractData",G11, "Bate")</f>
        <v>128</v>
      </c>
      <c r="Q23" s="60">
        <f>RTD("cqg.rtd", ,"ContractData",Q11, "Bate")</f>
        <v>64</v>
      </c>
      <c r="U23" s="60">
        <v>-3</v>
      </c>
      <c r="V23" s="60">
        <f xml:space="preserve"> RTD("cqg.rtd",,"StudyData",Q2, "VolOI",, "Vol",,"-3","all",,,,"T")</f>
        <v>18099</v>
      </c>
      <c r="AB23" s="68"/>
      <c r="AC23" s="68"/>
    </row>
    <row r="24" spans="4:29" x14ac:dyDescent="0.2">
      <c r="D24" s="60">
        <f>RTD("cqg.rtd", ,"ContractData",D12, "Bate")</f>
        <v>128</v>
      </c>
      <c r="E24" s="60">
        <f>RTD("cqg.rtd", ,"ContractData",E12, "Bate")</f>
        <v>128</v>
      </c>
      <c r="F24" s="60">
        <f>RTD("cqg.rtd", ,"ContractData",F12, "Bate")</f>
        <v>128</v>
      </c>
      <c r="Q24" s="60">
        <f>RTD("cqg.rtd", ,"ContractData",Q12, "Bate")</f>
        <v>128</v>
      </c>
      <c r="U24" s="60">
        <v>-4</v>
      </c>
      <c r="V24" s="60">
        <f xml:space="preserve"> RTD("cqg.rtd",,"StudyData",Q2, "VolOI",, "Vol",,"-4","all",,,,"T")</f>
        <v>29158</v>
      </c>
      <c r="AB24" s="68"/>
      <c r="AC24" s="68"/>
    </row>
    <row r="25" spans="4:29" x14ac:dyDescent="0.2">
      <c r="D25" s="60">
        <f>RTD("cqg.rtd", ,"ContractData",D13, "Bate")</f>
        <v>128</v>
      </c>
      <c r="E25" s="60">
        <f>RTD("cqg.rtd", ,"ContractData",E13, "Bate")</f>
        <v>128</v>
      </c>
      <c r="F25" s="60">
        <f>RTD("cqg.rtd", ,"ContractData",F13, "Bate")</f>
        <v>0</v>
      </c>
      <c r="Q25" s="60">
        <f>RTD("cqg.rtd", ,"ContractData",Q13, "Bate")</f>
        <v>128</v>
      </c>
      <c r="U25" s="60">
        <v>-5</v>
      </c>
      <c r="V25" s="60">
        <f xml:space="preserve"> RTD("cqg.rtd",,"StudyData",Q2, "VolOI",, "Vol",,"-5","all",,,,"T")</f>
        <v>60331</v>
      </c>
    </row>
    <row r="32" spans="4:29" ht="15" x14ac:dyDescent="0.2">
      <c r="V32" s="72" t="str">
        <f>RTD("cqg.rtd",,"StudyData", "EP", "OI", "OIType=commodityoi", "OI","ADC","0","ALL",,,"TRUE","T")</f>
        <v/>
      </c>
    </row>
    <row r="34" spans="15:19" x14ac:dyDescent="0.2">
      <c r="R34" s="60" t="s">
        <v>16</v>
      </c>
    </row>
    <row r="35" spans="15:19" x14ac:dyDescent="0.2">
      <c r="O35" s="60" t="str">
        <f>RIGHT(RTD("cqg.rtd", ,"ContractData",Calculations!Q2, "LongDescription"),6)</f>
        <v>Mar 18</v>
      </c>
      <c r="R35" s="60">
        <f>IF(RTD("cqg.rtd", ,"ContractData",Q1&amp;"?", "ContractMonth")=RTD("cqg.rtd", ,"ContractData",Q1&amp;"?1", "ContractMonth"),1,2)</f>
        <v>2</v>
      </c>
      <c r="S35" s="60" t="str">
        <f>RTD("cqg.rtd",,"ContractData",Q1&amp;"?1?", "Symbol")</f>
        <v>KCEH8</v>
      </c>
    </row>
    <row r="36" spans="15:19" x14ac:dyDescent="0.2">
      <c r="O36" s="60" t="str">
        <f>RIGHT(RTD("cqg.rtd", ,"ContractData",Calculations!Q3, "LongDescription"),6)</f>
        <v>May 18</v>
      </c>
      <c r="R36" s="60">
        <f>R35+1</f>
        <v>3</v>
      </c>
      <c r="S36" s="60" t="str">
        <f>RTD("cqg.rtd",,"ContractData",Q1&amp;"?2", "Symbol")</f>
        <v>KCEH8</v>
      </c>
    </row>
    <row r="37" spans="15:19" x14ac:dyDescent="0.2">
      <c r="O37" s="60" t="str">
        <f>RIGHT(RTD("cqg.rtd", ,"ContractData",Calculations!Q4, "LongDescription"),6)</f>
        <v>Jul 18</v>
      </c>
      <c r="R37" s="60">
        <f t="shared" ref="R37:R46" si="22">R36+1</f>
        <v>4</v>
      </c>
    </row>
    <row r="38" spans="15:19" x14ac:dyDescent="0.2">
      <c r="O38" s="60" t="str">
        <f>RIGHT(RTD("cqg.rtd", ,"ContractData",Calculations!Q5, "LongDescription"),6)</f>
        <v>Sep 18</v>
      </c>
      <c r="R38" s="60">
        <f t="shared" si="22"/>
        <v>5</v>
      </c>
    </row>
    <row r="39" spans="15:19" x14ac:dyDescent="0.2">
      <c r="O39" s="60" t="str">
        <f>RIGHT(RTD("cqg.rtd", ,"ContractData",Calculations!Q6, "LongDescription"),6)</f>
        <v>Dec 18</v>
      </c>
      <c r="R39" s="60">
        <f t="shared" si="22"/>
        <v>6</v>
      </c>
    </row>
    <row r="40" spans="15:19" x14ac:dyDescent="0.2">
      <c r="O40" s="60" t="str">
        <f>RIGHT(RTD("cqg.rtd", ,"ContractData",Calculations!Q7, "LongDescription"),6)</f>
        <v>Mar 19</v>
      </c>
      <c r="R40" s="60">
        <f t="shared" si="22"/>
        <v>7</v>
      </c>
    </row>
    <row r="41" spans="15:19" x14ac:dyDescent="0.2">
      <c r="O41" s="60" t="str">
        <f>RIGHT(RTD("cqg.rtd", ,"ContractData",Calculations!Q8, "LongDescription"),6)</f>
        <v>May 19</v>
      </c>
      <c r="R41" s="60">
        <f t="shared" si="22"/>
        <v>8</v>
      </c>
    </row>
    <row r="42" spans="15:19" x14ac:dyDescent="0.2">
      <c r="O42" s="60" t="str">
        <f>RIGHT(RTD("cqg.rtd", ,"ContractData",Calculations!Q9, "LongDescription"),6)</f>
        <v>Jul 19</v>
      </c>
      <c r="R42" s="60">
        <f t="shared" si="22"/>
        <v>9</v>
      </c>
    </row>
    <row r="43" spans="15:19" x14ac:dyDescent="0.2">
      <c r="O43" s="60" t="str">
        <f>RIGHT(RTD("cqg.rtd", ,"ContractData",Calculations!Q10, "LongDescription"),6)</f>
        <v>Sep 19</v>
      </c>
      <c r="R43" s="60">
        <f t="shared" si="22"/>
        <v>10</v>
      </c>
    </row>
    <row r="44" spans="15:19" x14ac:dyDescent="0.2">
      <c r="O44" s="60" t="str">
        <f>RIGHT(RTD("cqg.rtd", ,"ContractData",Calculations!Q11, "LongDescription"),6)</f>
        <v>Dec 19</v>
      </c>
      <c r="R44" s="60">
        <f t="shared" si="22"/>
        <v>11</v>
      </c>
    </row>
    <row r="45" spans="15:19" x14ac:dyDescent="0.2">
      <c r="O45" s="60" t="str">
        <f>RIGHT(RTD("cqg.rtd", ,"ContractData",Calculations!Q12, "LongDescription"),6)</f>
        <v>Mar 20</v>
      </c>
      <c r="R45" s="60">
        <f t="shared" si="22"/>
        <v>12</v>
      </c>
    </row>
    <row r="46" spans="15:19" x14ac:dyDescent="0.2">
      <c r="O46" s="60" t="str">
        <f>RIGHT(RTD("cqg.rtd", ,"ContractData",Calculations!Q13, "LongDescription"),6)</f>
        <v>May 20</v>
      </c>
      <c r="R46" s="60">
        <f t="shared" si="22"/>
        <v>13</v>
      </c>
    </row>
  </sheetData>
  <sheetProtection algorithmName="SHA-512" hashValue="dpms0lWJh8Xd3ifwh82C5Y3S4j0jbwx9QyZTtYBjRdbbmWoRenw6m10Fjv+ltinpPwnIZB2FA1j8ntwLczf3Lg==" saltValue="z94adNwBQ+gJtJSqqMfOv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8"/>
  <sheetViews>
    <sheetView showGridLines="0" zoomScaleNormal="100" workbookViewId="0">
      <selection activeCell="B39" sqref="B39"/>
    </sheetView>
  </sheetViews>
  <sheetFormatPr defaultColWidth="9" defaultRowHeight="12.75" x14ac:dyDescent="0.2"/>
  <cols>
    <col min="1" max="1" width="0.875" style="73" customWidth="1"/>
    <col min="2" max="2" width="13.625" style="88" customWidth="1"/>
    <col min="3" max="3" width="10.75" style="88" hidden="1" customWidth="1"/>
    <col min="4" max="14" width="13.625" style="88" customWidth="1"/>
    <col min="15" max="15" width="13.625" style="73" customWidth="1"/>
    <col min="16" max="16384" width="9" style="73"/>
  </cols>
  <sheetData>
    <row r="1" spans="1:23" ht="3" customHeight="1" x14ac:dyDescent="0.2"/>
    <row r="2" spans="1:23" ht="3" customHeight="1" x14ac:dyDescent="0.2"/>
    <row r="3" spans="1:23" ht="3" customHeight="1" x14ac:dyDescent="0.2"/>
    <row r="4" spans="1:23" ht="20.100000000000001" customHeight="1" x14ac:dyDescent="0.2">
      <c r="B4" s="139"/>
      <c r="C4" s="140"/>
      <c r="D4" s="140"/>
      <c r="E4" s="140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141"/>
      <c r="T4" s="141"/>
      <c r="U4" s="141"/>
    </row>
    <row r="5" spans="1:23" ht="20.100000000000001" customHeight="1" x14ac:dyDescent="0.2">
      <c r="A5" s="73">
        <f>Calculations!AJ11</f>
        <v>1</v>
      </c>
      <c r="B5" s="140"/>
      <c r="C5" s="140"/>
      <c r="D5" s="140"/>
      <c r="E5" s="140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141"/>
      <c r="T5" s="141"/>
      <c r="U5" s="141"/>
    </row>
    <row r="6" spans="1:23" ht="14.1" customHeight="1" x14ac:dyDescent="0.2">
      <c r="B6" s="80"/>
      <c r="C6" s="8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23" ht="15" customHeight="1" x14ac:dyDescent="0.2">
      <c r="B7" s="80" t="str">
        <f>KCE!B7</f>
        <v>KCEH8</v>
      </c>
      <c r="C7" s="80"/>
      <c r="D7" s="80" t="str">
        <f>KCE!D7</f>
        <v>KCEK8</v>
      </c>
      <c r="E7" s="80" t="str">
        <f>KCE!E7</f>
        <v>KCEN8</v>
      </c>
      <c r="F7" s="80" t="str">
        <f>KCE!F7</f>
        <v>KCEU8</v>
      </c>
      <c r="G7" s="80" t="str">
        <f>KCE!G7</f>
        <v>KCEZ8</v>
      </c>
      <c r="H7" s="80" t="str">
        <f>KCE!H7</f>
        <v>KCEH9</v>
      </c>
      <c r="I7" s="80" t="str">
        <f>KCE!I7</f>
        <v>KCEK9</v>
      </c>
      <c r="J7" s="80" t="str">
        <f>KCE!J7</f>
        <v>KCEN9</v>
      </c>
      <c r="K7" s="80" t="str">
        <f>KCE!K7</f>
        <v>KCEU9</v>
      </c>
      <c r="L7" s="80" t="str">
        <f>KCE!L7</f>
        <v>KCEZ9</v>
      </c>
      <c r="M7" s="80" t="str">
        <f>KCE!M7</f>
        <v>KCEH0</v>
      </c>
      <c r="N7" s="80" t="str">
        <f>KCE!N7</f>
        <v>KCEK0</v>
      </c>
      <c r="O7" s="75"/>
    </row>
    <row r="8" spans="1:23" ht="14.1" customHeight="1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6"/>
    </row>
    <row r="9" spans="1:23" ht="14.1" customHeight="1" x14ac:dyDescent="0.2">
      <c r="B9" s="90" t="b">
        <f>IF($A$5=2,IF(RTD("cqg.rtd",,"ContractData",B7,"Settlement",,"T")-RTD("cqg.rtd",,"ContractData",B7,"Y_Settlement",,"T")&gt;0,1,IF(RTD("cqg.rtd",,"ContractData",B7,"Settlement",,"T")=RTD("cqg.rtd",,"ContractData",B7,"Y_Settlement",,"T"),2,0)))</f>
        <v>0</v>
      </c>
      <c r="C9" s="77"/>
      <c r="D9" s="90" t="b">
        <f>IF($A$5=2,IF(RTD("cqg.rtd",,"ContractData",D7,"Settlement",,"T")-RTD("cqg.rtd",,"ContractData",D7,"Y_Settlement",,"T")&gt;0,1,IF(RTD("cqg.rtd",,"ContractData",D7,"Settlement",,"T")=RTD("cqg.rtd",,"ContractData",D7,"Y_Settlement",,"T"),2,0)))</f>
        <v>0</v>
      </c>
      <c r="E9" s="90" t="b">
        <f>IF($A$5=2,IF(RTD("cqg.rtd",,"ContractData",E7,"Settlement",,"T")-RTD("cqg.rtd",,"ContractData",E7,"Y_Settlement",,"T")&gt;0,1,IF(RTD("cqg.rtd",,"ContractData",E7,"Settlement",,"T")=RTD("cqg.rtd",,"ContractData",E7,"Y_Settlement",,"T"),2,0)))</f>
        <v>0</v>
      </c>
      <c r="F9" s="90" t="b">
        <f>IF($A$5=2,IF(RTD("cqg.rtd",,"ContractData",F7,"Settlement",,"T")-RTD("cqg.rtd",,"ContractData",F7,"Y_Settlement",,"T")&gt;0,1,IF(RTD("cqg.rtd",,"ContractData",F7,"Settlement",,"T")=RTD("cqg.rtd",,"ContractData",F7,"Y_Settlement",,"T"),2,0)))</f>
        <v>0</v>
      </c>
      <c r="G9" s="90" t="b">
        <f>IF($A$5=2,IF(RTD("cqg.rtd",,"ContractData",G7,"Settlement",,"T")-RTD("cqg.rtd",,"ContractData",G7,"Y_Settlement",,"T")&gt;0,1,IF(RTD("cqg.rtd",,"ContractData",G7,"Settlement",,"T")=RTD("cqg.rtd",,"ContractData",G7,"Y_Settlement",,"T"),2,0)))</f>
        <v>0</v>
      </c>
      <c r="H9" s="90" t="b">
        <f>IF($A$5=2,IF(RTD("cqg.rtd",,"ContractData",H7,"Settlement",,"T")-RTD("cqg.rtd",,"ContractData",H7,"Y_Settlement",,"T")&gt;0,1,IF(RTD("cqg.rtd",,"ContractData",H7,"Settlement",,"T")=RTD("cqg.rtd",,"ContractData",H7,"Y_Settlement",,"T"),2,0)))</f>
        <v>0</v>
      </c>
      <c r="I9" s="90" t="b">
        <f>IF($A$5=2,IF(RTD("cqg.rtd",,"ContractData",I7,"Settlement",,"T")-RTD("cqg.rtd",,"ContractData",I7,"Y_Settlement",,"T")&gt;0,1,IF(RTD("cqg.rtd",,"ContractData",I7,"Settlement",,"T")=RTD("cqg.rtd",,"ContractData",I7,"Y_Settlement",,"T"),2,0)))</f>
        <v>0</v>
      </c>
      <c r="J9" s="90" t="b">
        <f>IF($A$5=2,IF(RTD("cqg.rtd",,"ContractData",J7,"Settlement",,"T")-RTD("cqg.rtd",,"ContractData",J7,"Y_Settlement",,"T")&gt;0,1,IF(RTD("cqg.rtd",,"ContractData",J7,"Settlement",,"T")=RTD("cqg.rtd",,"ContractData",J7,"Y_Settlement",,"T"),2,0)))</f>
        <v>0</v>
      </c>
      <c r="K9" s="90" t="b">
        <f>IF($A$5=2,IF(RTD("cqg.rtd",,"ContractData",K7,"Settlement",,"T")-RTD("cqg.rtd",,"ContractData",K7,"Y_Settlement",,"T")&gt;0,1,IF(RTD("cqg.rtd",,"ContractData",K7,"Settlement",,"T")=RTD("cqg.rtd",,"ContractData",K7,"Y_Settlement",,"T"),2,0)))</f>
        <v>0</v>
      </c>
      <c r="L9" s="90" t="b">
        <f>IF($A$5=2,IF(RTD("cqg.rtd",,"ContractData",L7,"Settlement",,"T")-RTD("cqg.rtd",,"ContractData",L7,"Y_Settlement",,"T")&gt;0,1,IF(RTD("cqg.rtd",,"ContractData",L7,"Settlement",,"T")=RTD("cqg.rtd",,"ContractData",L7,"Y_Settlement",,"T"),2,0)))</f>
        <v>0</v>
      </c>
      <c r="M9" s="90" t="b">
        <f>IF($A$5=2,IF(RTD("cqg.rtd",,"ContractData",M7,"Settlement",,"T")-RTD("cqg.rtd",,"ContractData",M7,"Y_Settlement",,"T")&gt;0,1,IF(RTD("cqg.rtd",,"ContractData",M7,"Settlement",,"T")=RTD("cqg.rtd",,"ContractData",M7,"Y_Settlement",,"T"),2,0)))</f>
        <v>0</v>
      </c>
      <c r="N9" s="90" t="b">
        <f>IF($A$5=2,IF(RTD("cqg.rtd",,"ContractData",N7,"Settlement",,"T")-RTD("cqg.rtd",,"ContractData",N7,"Y_Settlement",,"T")&gt;0,1,IF(RTD("cqg.rtd",,"ContractData",N7,"Settlement",,"T")=RTD("cqg.rtd",,"ContractData",N7,"Y_Settlement",,"T"),2,0)))</f>
        <v>0</v>
      </c>
      <c r="O9" s="76"/>
    </row>
    <row r="10" spans="1:23" ht="14.1" customHeight="1" x14ac:dyDescent="0.2">
      <c r="B10" s="91"/>
      <c r="C10" s="77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76"/>
    </row>
    <row r="11" spans="1:23" ht="14.1" customHeight="1" x14ac:dyDescent="0.2">
      <c r="B11" s="80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76"/>
    </row>
    <row r="12" spans="1:23" ht="15" customHeight="1" x14ac:dyDescent="0.2">
      <c r="B12" s="80" t="str">
        <f>KCE!B12</f>
        <v>KCEH8</v>
      </c>
      <c r="C12" s="80"/>
      <c r="D12" s="80" t="str">
        <f>KCE!D12</f>
        <v>KCES1H8</v>
      </c>
      <c r="E12" s="80" t="str">
        <f>KCE!E12</f>
        <v>KCES2H8</v>
      </c>
      <c r="F12" s="80" t="str">
        <f>KCE!F12</f>
        <v>KCES3H8</v>
      </c>
      <c r="G12" s="80" t="str">
        <f>KCE!G12</f>
        <v>KCES4H8</v>
      </c>
      <c r="H12" s="80" t="str">
        <f>KCE!H12</f>
        <v>KCES5H8</v>
      </c>
      <c r="I12" s="80" t="str">
        <f>KCE!I12</f>
        <v>KCES6H8</v>
      </c>
      <c r="J12" s="80" t="str">
        <f>KCE!J12</f>
        <v>KCES7H8</v>
      </c>
      <c r="K12" s="80" t="str">
        <f>KCE!K12</f>
        <v>KCES8H8</v>
      </c>
      <c r="L12" s="80" t="str">
        <f>KCE!L12</f>
        <v>KCES9H8</v>
      </c>
      <c r="M12" s="80" t="str">
        <f>KCE!M12</f>
        <v>KCES10H8</v>
      </c>
      <c r="N12" s="80"/>
      <c r="O12" s="75"/>
    </row>
    <row r="13" spans="1:23" ht="14.1" customHeight="1" x14ac:dyDescent="0.2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6"/>
      <c r="W13" s="73" t="s">
        <v>17</v>
      </c>
    </row>
    <row r="14" spans="1:23" ht="14.1" customHeight="1" x14ac:dyDescent="0.2">
      <c r="B14" s="90" t="b">
        <f>IF($A$5=2,IF(RTD("cqg.rtd",,"ContractData",B12,"Settlement",,"T")-RTD("cqg.rtd",,"ContractData",B12,"Y_Settlement",,"T")&gt;0,1,IF(RTD("cqg.rtd",,"ContractData",B12,"Settlement",,"T")=RTD("cqg.rtd",,"ContractData",B12,"Y_Settlement",,"T"),2,0)))</f>
        <v>0</v>
      </c>
      <c r="C14" s="77"/>
      <c r="D14" s="90" t="b">
        <f>IF($A$5=2,IF(RTD("cqg.rtd",,"ContractData",D12,"Settlement",,"T")-RTD("cqg.rtd",,"ContractData",D12,"Y_Settlement",,"T")&gt;0,1,IF(RTD("cqg.rtd",,"ContractData",D12,"Settlement",,"T")=RTD("cqg.rtd",,"ContractData",D12,"Y_Settlement",,"T"),2,0)))</f>
        <v>0</v>
      </c>
      <c r="E14" s="90" t="b">
        <f>IF($A$5=2,IF(RTD("cqg.rtd",,"ContractData",E12,"Settlement",,"T")-RTD("cqg.rtd",,"ContractData",E12,"Y_Settlement",,"T")&gt;0,1,IF(RTD("cqg.rtd",,"ContractData",E12,"Settlement",,"T")=RTD("cqg.rtd",,"ContractData",E12,"Y_Settlement",,"T"),2,0)))</f>
        <v>0</v>
      </c>
      <c r="F14" s="90" t="b">
        <f>IF($A$5=2,IF(RTD("cqg.rtd",,"ContractData",F12,"Settlement",,"T")-RTD("cqg.rtd",,"ContractData",F12,"Y_Settlement",,"T")&gt;0,1,IF(RTD("cqg.rtd",,"ContractData",F12,"Settlement",,"T")=RTD("cqg.rtd",,"ContractData",F12,"Y_Settlement",,"T"),2,0)))</f>
        <v>0</v>
      </c>
      <c r="G14" s="90" t="b">
        <f>IF($A$5=2,IF(RTD("cqg.rtd",,"ContractData",G12,"Settlement",,"T")-RTD("cqg.rtd",,"ContractData",G12,"Y_Settlement",,"T")&gt;0,1,IF(RTD("cqg.rtd",,"ContractData",G12,"Settlement",,"T")=RTD("cqg.rtd",,"ContractData",G12,"Y_Settlement",,"T"),2,0)))</f>
        <v>0</v>
      </c>
      <c r="H14" s="90" t="b">
        <f>IF($A$5=2,IF(RTD("cqg.rtd",,"ContractData",H12,"Settlement",,"T")-RTD("cqg.rtd",,"ContractData",H12,"Y_Settlement",,"T")&gt;0,1,IF(RTD("cqg.rtd",,"ContractData",H12,"Settlement",,"T")=RTD("cqg.rtd",,"ContractData",H12,"Y_Settlement",,"T"),2,0)))</f>
        <v>0</v>
      </c>
      <c r="I14" s="90" t="b">
        <f>IF($A$5=2,IF(RTD("cqg.rtd",,"ContractData",I12,"Settlement",,"T")-RTD("cqg.rtd",,"ContractData",I12,"Y_Settlement",,"T")&gt;0,1,IF(RTD("cqg.rtd",,"ContractData",I12,"Settlement",,"T")=RTD("cqg.rtd",,"ContractData",I12,"Y_Settlement",,"T"),2,0)))</f>
        <v>0</v>
      </c>
      <c r="J14" s="90" t="b">
        <f>IF($A$5=2,IF(RTD("cqg.rtd",,"ContractData",J12,"Settlement",,"T")-RTD("cqg.rtd",,"ContractData",J12,"Y_Settlement",,"T")&gt;0,1,IF(RTD("cqg.rtd",,"ContractData",J12,"Settlement",,"T")=RTD("cqg.rtd",,"ContractData",J12,"Y_Settlement",,"T"),2,0)))</f>
        <v>0</v>
      </c>
      <c r="K14" s="90" t="b">
        <f>IF($A$5=2,IF(RTD("cqg.rtd",,"ContractData",K12,"Settlement",,"T")-RTD("cqg.rtd",,"ContractData",K12,"Y_Settlement",,"T")&gt;0,1,IF(RTD("cqg.rtd",,"ContractData",K12,"Settlement",,"T")=RTD("cqg.rtd",,"ContractData",K12,"Y_Settlement",,"T"),2,0)))</f>
        <v>0</v>
      </c>
      <c r="L14" s="90" t="b">
        <f>IF($A$5=2,IF(RTD("cqg.rtd",,"ContractData",L12,"Settlement",,"T")-RTD("cqg.rtd",,"ContractData",L12,"Y_Settlement",,"T")&gt;0,1,IF(RTD("cqg.rtd",,"ContractData",L12,"Settlement",,"T")=RTD("cqg.rtd",,"ContractData",L12,"Y_Settlement",,"T"),2,0)))</f>
        <v>0</v>
      </c>
      <c r="M14" s="90" t="b">
        <f>IF($A$5=2,IF(RTD("cqg.rtd",,"ContractData",M12,"Settlement",,"T")-RTD("cqg.rtd",,"ContractData",M12,"Y_Settlement",,"T")&gt;0,1,IF(RTD("cqg.rtd",,"ContractData",M12,"Settlement",,"T")=RTD("cqg.rtd",,"ContractData",M12,"Y_Settlement",,"T"),2,0)))</f>
        <v>0</v>
      </c>
      <c r="N14" s="77"/>
      <c r="O14" s="76"/>
    </row>
    <row r="15" spans="1:23" ht="14.1" customHeight="1" x14ac:dyDescent="0.2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76"/>
    </row>
    <row r="16" spans="1:23" ht="14.1" customHeight="1" x14ac:dyDescent="0.2">
      <c r="B16" s="77"/>
      <c r="C16" s="77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76"/>
    </row>
    <row r="17" spans="2:15" ht="15" customHeight="1" x14ac:dyDescent="0.2">
      <c r="B17" s="77"/>
      <c r="C17" s="92"/>
      <c r="D17" s="80" t="str">
        <f>KCE!D17</f>
        <v>KCEK8</v>
      </c>
      <c r="E17" s="80" t="str">
        <f>KCE!E17</f>
        <v>KCES1K8</v>
      </c>
      <c r="F17" s="80" t="str">
        <f>KCE!F17</f>
        <v>KCES2K8</v>
      </c>
      <c r="G17" s="80" t="str">
        <f>KCE!G17</f>
        <v>KCES3K8</v>
      </c>
      <c r="H17" s="80" t="str">
        <f>KCE!H17</f>
        <v>KCES4K8</v>
      </c>
      <c r="I17" s="80" t="str">
        <f>KCE!I17</f>
        <v>KCES5K8</v>
      </c>
      <c r="J17" s="80" t="str">
        <f>KCE!J17</f>
        <v>KCES6K8</v>
      </c>
      <c r="K17" s="80" t="str">
        <f>KCE!K17</f>
        <v>KCES7K8</v>
      </c>
      <c r="L17" s="80" t="str">
        <f>KCE!L17</f>
        <v>KCES8K8</v>
      </c>
      <c r="M17" s="80" t="str">
        <f>KCE!M17</f>
        <v>KCES9K8</v>
      </c>
      <c r="N17" s="80" t="str">
        <f>KCE!N17</f>
        <v>KCES10K8</v>
      </c>
      <c r="O17" s="75"/>
    </row>
    <row r="18" spans="2:15" ht="14.1" customHeight="1" x14ac:dyDescent="0.2">
      <c r="B18" s="79" t="s">
        <v>20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6"/>
    </row>
    <row r="19" spans="2:15" ht="14.1" customHeight="1" x14ac:dyDescent="0.2">
      <c r="B19" s="142">
        <f>RTD("cqg.rtd", ,"SystemInfo", "Linetime")</f>
        <v>43067.508148148154</v>
      </c>
      <c r="C19" s="77"/>
      <c r="D19" s="90" t="b">
        <f>IF($A$5=2,IF(RTD("cqg.rtd",,"ContractData",D17,"Settlement",,"T")-RTD("cqg.rtd",,"ContractData",D17,"Y_Settlement",,"T")&gt;0,1,IF(RTD("cqg.rtd",,"ContractData",D17,"Settlement",,"T")=RTD("cqg.rtd",,"ContractData",D17,"Y_Settlement",,"T"),2,0)))</f>
        <v>0</v>
      </c>
      <c r="E19" s="90" t="b">
        <f>IF($A$5=2,IF(RTD("cqg.rtd",,"ContractData",E17,"Settlement",,"T")-RTD("cqg.rtd",,"ContractData",E17,"Y_Settlement",,"T")&gt;0,1,IF(RTD("cqg.rtd",,"ContractData",E17,"Settlement",,"T")=RTD("cqg.rtd",,"ContractData",E17,"Y_Settlement",,"T"),2,0)))</f>
        <v>0</v>
      </c>
      <c r="F19" s="90" t="b">
        <f>IF($A$5=2,IF(RTD("cqg.rtd",,"ContractData",F17,"Settlement",,"T")-RTD("cqg.rtd",,"ContractData",F17,"Y_Settlement",,"T")&gt;0,1,IF(RTD("cqg.rtd",,"ContractData",F17,"Settlement",,"T")=RTD("cqg.rtd",,"ContractData",F17,"Y_Settlement",,"T"),2,0)))</f>
        <v>0</v>
      </c>
      <c r="G19" s="90" t="b">
        <f>IF($A$5=2,IF(RTD("cqg.rtd",,"ContractData",G17,"Settlement",,"T")-RTD("cqg.rtd",,"ContractData",G17,"Y_Settlement",,"T")&gt;0,1,IF(RTD("cqg.rtd",,"ContractData",G17,"Settlement",,"T")=RTD("cqg.rtd",,"ContractData",G17,"Y_Settlement",,"T"),2,0)))</f>
        <v>0</v>
      </c>
      <c r="H19" s="90" t="b">
        <f>IF($A$5=2,IF(RTD("cqg.rtd",,"ContractData",H17,"Settlement",,"T")-RTD("cqg.rtd",,"ContractData",H17,"Y_Settlement",,"T")&gt;0,1,IF(RTD("cqg.rtd",,"ContractData",H17,"Settlement",,"T")=RTD("cqg.rtd",,"ContractData",H17,"Y_Settlement",,"T"),2,0)))</f>
        <v>0</v>
      </c>
      <c r="I19" s="90" t="b">
        <f>IF($A$5=2,IF(RTD("cqg.rtd",,"ContractData",I17,"Settlement",,"T")-RTD("cqg.rtd",,"ContractData",I17,"Y_Settlement",,"T")&gt;0,1,IF(RTD("cqg.rtd",,"ContractData",I17,"Settlement",,"T")=RTD("cqg.rtd",,"ContractData",I17,"Y_Settlement",,"T"),2,0)))</f>
        <v>0</v>
      </c>
      <c r="J19" s="90" t="b">
        <f>IF($A$5=2,IF(RTD("cqg.rtd",,"ContractData",J17,"Settlement",,"T")-RTD("cqg.rtd",,"ContractData",J17,"Y_Settlement",,"T")&gt;0,1,IF(RTD("cqg.rtd",,"ContractData",J17,"Settlement",,"T")=RTD("cqg.rtd",,"ContractData",J17,"Y_Settlement",,"T"),2,0)))</f>
        <v>0</v>
      </c>
      <c r="K19" s="90" t="b">
        <f>IF($A$5=2,IF(RTD("cqg.rtd",,"ContractData",K17,"Settlement",,"T")-RTD("cqg.rtd",,"ContractData",K17,"Y_Settlement",,"T")&gt;0,1,IF(RTD("cqg.rtd",,"ContractData",K17,"Settlement",,"T")=RTD("cqg.rtd",,"ContractData",K17,"Y_Settlement",,"T"),2,0)))</f>
        <v>0</v>
      </c>
      <c r="L19" s="90" t="b">
        <f>IF($A$5=2,IF(RTD("cqg.rtd",,"ContractData",L17,"Settlement",,"T")-RTD("cqg.rtd",,"ContractData",L17,"Y_Settlement",,"T")&gt;0,1,IF(RTD("cqg.rtd",,"ContractData",L17,"Settlement",,"T")=RTD("cqg.rtd",,"ContractData",L17,"Y_Settlement",,"T"),2,0)))</f>
        <v>0</v>
      </c>
      <c r="M19" s="90" t="b">
        <f>IF($A$5=2,IF(RTD("cqg.rtd",,"ContractData",M17,"Settlement",,"T")-RTD("cqg.rtd",,"ContractData",M17,"Y_Settlement",,"T")&gt;0,1,IF(RTD("cqg.rtd",,"ContractData",M17,"Settlement",,"T")=RTD("cqg.rtd",,"ContractData",M17,"Y_Settlement",,"T"),2,0)))</f>
        <v>0</v>
      </c>
      <c r="N19" s="90" t="b">
        <f>IF($A$5=2,IF(RTD("cqg.rtd",,"ContractData",N17,"Settlement",,"T")-RTD("cqg.rtd",,"ContractData",N17,"Y_Settlement",,"T")&gt;0,1,IF(RTD("cqg.rtd",,"ContractData",N17,"Settlement",,"T")=RTD("cqg.rtd",,"ContractData",N17,"Y_Settlement",,"T"),2,0)))</f>
        <v>0</v>
      </c>
      <c r="O19" s="76"/>
    </row>
    <row r="20" spans="2:15" ht="14.1" customHeight="1" x14ac:dyDescent="0.2">
      <c r="B20" s="142"/>
      <c r="C20" s="77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76"/>
    </row>
    <row r="21" spans="2:15" ht="14.1" customHeight="1" x14ac:dyDescent="0.2">
      <c r="B21" s="77"/>
      <c r="C21" s="77"/>
      <c r="D21" s="77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76"/>
    </row>
    <row r="22" spans="2:15" ht="15" customHeight="1" x14ac:dyDescent="0.2">
      <c r="B22" s="77"/>
      <c r="C22" s="92"/>
      <c r="D22" s="77"/>
      <c r="E22" s="80" t="str">
        <f>KCE!E22</f>
        <v>KCEN8</v>
      </c>
      <c r="F22" s="80" t="str">
        <f>KCE!F22</f>
        <v>KCES1N8</v>
      </c>
      <c r="G22" s="80" t="str">
        <f>KCE!G22</f>
        <v>KCES2N8</v>
      </c>
      <c r="H22" s="80" t="str">
        <f>KCE!H22</f>
        <v>KCES3N8</v>
      </c>
      <c r="I22" s="80" t="str">
        <f>KCE!I22</f>
        <v>KCES4N8</v>
      </c>
      <c r="J22" s="80" t="str">
        <f>KCE!J22</f>
        <v>KCES5N8</v>
      </c>
      <c r="K22" s="80" t="str">
        <f>KCE!K22</f>
        <v>KCES6N8</v>
      </c>
      <c r="L22" s="80" t="str">
        <f>KCE!L22</f>
        <v>KCES7N8</v>
      </c>
      <c r="M22" s="80" t="str">
        <f>KCE!M22</f>
        <v>KCES8N8</v>
      </c>
      <c r="N22" s="80" t="str">
        <f>KCE!N22</f>
        <v>KCES9N8</v>
      </c>
      <c r="O22" s="75"/>
    </row>
    <row r="23" spans="2:15" ht="14.1" customHeight="1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6"/>
    </row>
    <row r="24" spans="2:15" ht="14.1" customHeight="1" x14ac:dyDescent="0.2">
      <c r="B24" s="79" t="s">
        <v>4</v>
      </c>
      <c r="C24" s="77"/>
      <c r="D24" s="79"/>
      <c r="E24" s="90" t="b">
        <f>IF($A$5=2,IF(RTD("cqg.rtd",,"ContractData",E22,"Settlement",,"T")-RTD("cqg.rtd",,"ContractData",E22,"Y_Settlement",,"T")&gt;0,1,IF(RTD("cqg.rtd",,"ContractData",E22,"Settlement",,"T")=RTD("cqg.rtd",,"ContractData",E22,"Y_Settlement",,"T"),2,0)))</f>
        <v>0</v>
      </c>
      <c r="F24" s="90" t="b">
        <f>IF($A$5=2,IF(RTD("cqg.rtd",,"ContractData",F22,"Settlement",,"T")-RTD("cqg.rtd",,"ContractData",F22,"Y_Settlement",,"T")&gt;0,1,IF(RTD("cqg.rtd",,"ContractData",F22,"Settlement",,"T")=RTD("cqg.rtd",,"ContractData",F22,"Y_Settlement",,"T"),2,0)))</f>
        <v>0</v>
      </c>
      <c r="G24" s="90" t="b">
        <f>IF($A$5=2,IF(RTD("cqg.rtd",,"ContractData",G22,"Settlement",,"T")-RTD("cqg.rtd",,"ContractData",G22,"Y_Settlement",,"T")&gt;0,1,IF(RTD("cqg.rtd",,"ContractData",G22,"Settlement",,"T")=RTD("cqg.rtd",,"ContractData",G22,"Y_Settlement",,"T"),2,0)))</f>
        <v>0</v>
      </c>
      <c r="H24" s="90" t="b">
        <f>IF($A$5=2,IF(RTD("cqg.rtd",,"ContractData",H22,"Settlement",,"T")-RTD("cqg.rtd",,"ContractData",H22,"Y_Settlement",,"T")&gt;0,1,IF(RTD("cqg.rtd",,"ContractData",H22,"Settlement",,"T")=RTD("cqg.rtd",,"ContractData",H22,"Y_Settlement",,"T"),2,0)))</f>
        <v>0</v>
      </c>
      <c r="I24" s="90" t="b">
        <f>IF($A$5=2,IF(RTD("cqg.rtd",,"ContractData",I22,"Settlement",,"T")-RTD("cqg.rtd",,"ContractData",I22,"Y_Settlement",,"T")&gt;0,1,IF(RTD("cqg.rtd",,"ContractData",I22,"Settlement",,"T")=RTD("cqg.rtd",,"ContractData",I22,"Y_Settlement",,"T"),2,0)))</f>
        <v>0</v>
      </c>
      <c r="J24" s="90" t="b">
        <f>IF($A$5=2,IF(RTD("cqg.rtd",,"ContractData",J22,"Settlement",,"T")-RTD("cqg.rtd",,"ContractData",J22,"Y_Settlement",,"T")&gt;0,1,IF(RTD("cqg.rtd",,"ContractData",J22,"Settlement",,"T")=RTD("cqg.rtd",,"ContractData",J22,"Y_Settlement",,"T"),2,0)))</f>
        <v>0</v>
      </c>
      <c r="K24" s="90" t="b">
        <f>IF($A$5=2,IF(RTD("cqg.rtd",,"ContractData",K22,"Settlement",,"T")-RTD("cqg.rtd",,"ContractData",K22,"Y_Settlement",,"T")&gt;0,1,IF(RTD("cqg.rtd",,"ContractData",K22,"Settlement",,"T")=RTD("cqg.rtd",,"ContractData",K22,"Y_Settlement",,"T"),2,0)))</f>
        <v>0</v>
      </c>
      <c r="L24" s="90" t="b">
        <f>IF($A$5=2,IF(RTD("cqg.rtd",,"ContractData",L22,"Settlement",,"T")-RTD("cqg.rtd",,"ContractData",L22,"Y_Settlement",,"T")&gt;0,1,IF(RTD("cqg.rtd",,"ContractData",L22,"Settlement",,"T")=RTD("cqg.rtd",,"ContractData",L22,"Y_Settlement",,"T"),2,0)))</f>
        <v>0</v>
      </c>
      <c r="M24" s="90" t="b">
        <f>IF($A$5=2,IF(RTD("cqg.rtd",,"ContractData",M22,"Settlement",,"T")-RTD("cqg.rtd",,"ContractData",M22,"Y_Settlement",,"T")&gt;0,1,IF(RTD("cqg.rtd",,"ContractData",M22,"Settlement",,"T")=RTD("cqg.rtd",,"ContractData",M22,"Y_Settlement",,"T"),2,0)))</f>
        <v>0</v>
      </c>
      <c r="N24" s="90" t="b">
        <f>IF($A$5=2,IF(RTD("cqg.rtd",,"ContractData",N22,"Settlement",,"T")-RTD("cqg.rtd",,"ContractData",N22,"Y_Settlement",,"T")&gt;0,1,IF(RTD("cqg.rtd",,"ContractData",N22,"Settlement",,"T")=RTD("cqg.rtd",,"ContractData",N22,"Y_Settlement",,"T"),2,0)))</f>
        <v>0</v>
      </c>
      <c r="O24" s="76"/>
    </row>
    <row r="25" spans="2:15" ht="14.1" customHeight="1" x14ac:dyDescent="0.2">
      <c r="B25" s="93" t="s">
        <v>22</v>
      </c>
      <c r="C25" s="77"/>
      <c r="D25" s="78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76"/>
    </row>
    <row r="26" spans="2:15" ht="14.1" customHeight="1" x14ac:dyDescent="0.2">
      <c r="B26" s="78"/>
      <c r="C26" s="77"/>
      <c r="D26" s="78"/>
      <c r="E26" s="77"/>
      <c r="F26" s="80"/>
      <c r="G26" s="80"/>
      <c r="H26" s="80"/>
      <c r="I26" s="80"/>
      <c r="J26" s="80"/>
      <c r="K26" s="80"/>
      <c r="L26" s="80"/>
      <c r="M26" s="80"/>
      <c r="N26" s="80"/>
      <c r="O26" s="76"/>
    </row>
    <row r="27" spans="2:15" ht="15" customHeight="1" x14ac:dyDescent="0.2">
      <c r="B27" s="79"/>
      <c r="C27" s="79"/>
      <c r="D27" s="79"/>
      <c r="E27" s="79"/>
      <c r="F27" s="80" t="str">
        <f>KCE!F27</f>
        <v>KCEU8</v>
      </c>
      <c r="G27" s="80" t="str">
        <f>KCE!G27</f>
        <v>KCES1U8</v>
      </c>
      <c r="H27" s="80" t="str">
        <f>KCE!H27</f>
        <v>KCES2U8</v>
      </c>
      <c r="I27" s="80" t="str">
        <f>KCE!I27</f>
        <v>KCES3U8</v>
      </c>
      <c r="J27" s="80" t="str">
        <f>KCE!J27</f>
        <v>KCES4U8</v>
      </c>
      <c r="K27" s="80" t="str">
        <f>KCE!K27</f>
        <v>KCES5U8</v>
      </c>
      <c r="L27" s="80" t="str">
        <f>KCE!L27</f>
        <v>KCES6U8</v>
      </c>
      <c r="M27" s="80" t="str">
        <f>KCE!M27</f>
        <v>KCES7U8</v>
      </c>
      <c r="N27" s="80" t="str">
        <f>KCE!N27</f>
        <v>KCES8U8</v>
      </c>
      <c r="O27" s="75"/>
    </row>
    <row r="28" spans="2:15" ht="14.1" customHeight="1" x14ac:dyDescent="0.2">
      <c r="B28" s="92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6"/>
    </row>
    <row r="29" spans="2:15" ht="14.1" customHeight="1" x14ac:dyDescent="0.2">
      <c r="B29" s="77"/>
      <c r="C29" s="77"/>
      <c r="D29" s="77"/>
      <c r="E29" s="77"/>
      <c r="F29" s="90" t="b">
        <f>IF($A$5=2,IF(RTD("cqg.rtd",,"ContractData",F27,"Settlement",,"T")-RTD("cqg.rtd",,"ContractData",F27,"Y_Settlement",,"T")&gt;0,1,IF(RTD("cqg.rtd",,"ContractData",F27,"Settlement",,"T")=RTD("cqg.rtd",,"ContractData",F27,"Y_Settlement",,"T"),2,0)))</f>
        <v>0</v>
      </c>
      <c r="G29" s="90" t="b">
        <f>IF($A$5=2,IF(RTD("cqg.rtd",,"ContractData",G27,"Settlement",,"T")-RTD("cqg.rtd",,"ContractData",G27,"Y_Settlement",,"T")&gt;0,1,IF(RTD("cqg.rtd",,"ContractData",G27,"Settlement",,"T")=RTD("cqg.rtd",,"ContractData",G27,"Y_Settlement",,"T"),2,0)))</f>
        <v>0</v>
      </c>
      <c r="H29" s="90" t="b">
        <f>IF($A$5=2,IF(RTD("cqg.rtd",,"ContractData",H27,"Settlement",,"T")-RTD("cqg.rtd",,"ContractData",H27,"Y_Settlement",,"T")&gt;0,1,IF(RTD("cqg.rtd",,"ContractData",H27,"Settlement",,"T")=RTD("cqg.rtd",,"ContractData",H27,"Y_Settlement",,"T"),2,0)))</f>
        <v>0</v>
      </c>
      <c r="I29" s="90" t="b">
        <f>IF($A$5=2,IF(RTD("cqg.rtd",,"ContractData",I27,"Settlement",,"T")-RTD("cqg.rtd",,"ContractData",I27,"Y_Settlement",,"T")&gt;0,1,IF(RTD("cqg.rtd",,"ContractData",I27,"Settlement",,"T")=RTD("cqg.rtd",,"ContractData",I27,"Y_Settlement",,"T"),2,0)))</f>
        <v>0</v>
      </c>
      <c r="J29" s="90" t="b">
        <f>IF($A$5=2,IF(RTD("cqg.rtd",,"ContractData",J27,"Settlement",,"T")-RTD("cqg.rtd",,"ContractData",J27,"Y_Settlement",,"T")&gt;0,1,IF(RTD("cqg.rtd",,"ContractData",J27,"Settlement",,"T")=RTD("cqg.rtd",,"ContractData",J27,"Y_Settlement",,"T"),2,0)))</f>
        <v>0</v>
      </c>
      <c r="K29" s="90" t="b">
        <f>IF($A$5=2,IF(RTD("cqg.rtd",,"ContractData",K27,"Settlement",,"T")-RTD("cqg.rtd",,"ContractData",K27,"Y_Settlement",,"T")&gt;0,1,IF(RTD("cqg.rtd",,"ContractData",K27,"Settlement",,"T")=RTD("cqg.rtd",,"ContractData",K27,"Y_Settlement",,"T"),2,0)))</f>
        <v>0</v>
      </c>
      <c r="L29" s="90" t="b">
        <f>IF($A$5=2,IF(RTD("cqg.rtd",,"ContractData",L27,"Settlement",,"T")-RTD("cqg.rtd",,"ContractData",L27,"Y_Settlement",,"T")&gt;0,1,IF(RTD("cqg.rtd",,"ContractData",L27,"Settlement",,"T")=RTD("cqg.rtd",,"ContractData",L27,"Y_Settlement",,"T"),2,0)))</f>
        <v>0</v>
      </c>
      <c r="M29" s="90" t="b">
        <f>IF($A$5=2,IF(RTD("cqg.rtd",,"ContractData",M27,"Settlement",,"T")-RTD("cqg.rtd",,"ContractData",M27,"Y_Settlement",,"T")&gt;0,1,IF(RTD("cqg.rtd",,"ContractData",M27,"Settlement",,"T")=RTD("cqg.rtd",,"ContractData",M27,"Y_Settlement",,"T"),2,0)))</f>
        <v>0</v>
      </c>
      <c r="N29" s="90" t="b">
        <f>IF($A$5=2,IF(RTD("cqg.rtd",,"ContractData",N27,"Settlement",,"T")-RTD("cqg.rtd",,"ContractData",N27,"Y_Settlement",,"T")&gt;0,1,IF(RTD("cqg.rtd",,"ContractData",N27,"Settlement",,"T")=RTD("cqg.rtd",,"ContractData",N27,"Y_Settlement",,"T"),2,0)))</f>
        <v>0</v>
      </c>
      <c r="O29" s="76"/>
    </row>
    <row r="30" spans="2:15" ht="14.1" customHeight="1" x14ac:dyDescent="0.2">
      <c r="B30" s="92"/>
      <c r="C30" s="77"/>
      <c r="D30" s="77"/>
      <c r="E30" s="77"/>
      <c r="F30" s="91"/>
      <c r="G30" s="91"/>
      <c r="H30" s="91"/>
      <c r="I30" s="91"/>
      <c r="J30" s="91"/>
      <c r="K30" s="91"/>
      <c r="L30" s="91"/>
      <c r="M30" s="91"/>
      <c r="N30" s="91"/>
      <c r="O30" s="76"/>
    </row>
    <row r="31" spans="2:15" ht="14.1" customHeight="1" x14ac:dyDescent="0.2">
      <c r="B31" s="92"/>
      <c r="C31" s="77"/>
      <c r="D31" s="77"/>
      <c r="E31" s="77"/>
      <c r="F31" s="77"/>
      <c r="G31" s="80"/>
      <c r="H31" s="80"/>
      <c r="I31" s="80"/>
      <c r="J31" s="80"/>
      <c r="K31" s="80"/>
      <c r="L31" s="80"/>
      <c r="M31" s="80"/>
      <c r="N31" s="80"/>
      <c r="O31" s="76"/>
    </row>
    <row r="32" spans="2:15" ht="15" customHeight="1" x14ac:dyDescent="0.2">
      <c r="B32" s="77"/>
      <c r="C32" s="92"/>
      <c r="D32" s="92"/>
      <c r="E32" s="92"/>
      <c r="F32" s="92"/>
      <c r="G32" s="80" t="str">
        <f>KCE!G32</f>
        <v>KCEZ8</v>
      </c>
      <c r="H32" s="80" t="str">
        <f>KCE!H32</f>
        <v>KCES1Z8</v>
      </c>
      <c r="I32" s="80" t="str">
        <f>KCE!I32</f>
        <v>KCES2Z8</v>
      </c>
      <c r="J32" s="80" t="str">
        <f>KCE!J32</f>
        <v>KCES3Z8</v>
      </c>
      <c r="K32" s="80" t="str">
        <f>KCE!K32</f>
        <v>KCES4Z8</v>
      </c>
      <c r="L32" s="80" t="str">
        <f>KCE!L32</f>
        <v>KCES5Z8</v>
      </c>
      <c r="M32" s="80" t="str">
        <f>KCE!M32</f>
        <v>KCES6Z8</v>
      </c>
      <c r="N32" s="80" t="str">
        <f>KCE!N32</f>
        <v>KCES7Z8</v>
      </c>
      <c r="O32" s="75"/>
    </row>
    <row r="33" spans="2:15" ht="14.1" customHeight="1" x14ac:dyDescent="0.2">
      <c r="B33" s="92"/>
      <c r="C33" s="77"/>
      <c r="D33" s="77"/>
      <c r="E33" s="77"/>
      <c r="F33" s="92"/>
      <c r="G33" s="77"/>
      <c r="H33" s="77"/>
      <c r="I33" s="77"/>
      <c r="J33" s="77"/>
      <c r="K33" s="77"/>
      <c r="L33" s="77"/>
      <c r="M33" s="77"/>
      <c r="N33" s="77"/>
      <c r="O33" s="76"/>
    </row>
    <row r="34" spans="2:15" ht="14.1" customHeight="1" x14ac:dyDescent="0.2">
      <c r="B34" s="92"/>
      <c r="C34" s="77"/>
      <c r="D34" s="77"/>
      <c r="E34" s="77"/>
      <c r="F34" s="92"/>
      <c r="G34" s="90" t="b">
        <f>IF($A$5=2,IF(RTD("cqg.rtd",,"ContractData",G32,"Settlement",,"T")-RTD("cqg.rtd",,"ContractData",G32,"Y_Settlement",,"T")&gt;0,1,IF(RTD("cqg.rtd",,"ContractData",G32,"Settlement",,"T")=RTD("cqg.rtd",,"ContractData",G32,"Y_Settlement",,"T"),2,0)))</f>
        <v>0</v>
      </c>
      <c r="H34" s="90" t="b">
        <f>IF($A$5=2,IF(RTD("cqg.rtd",,"ContractData",H32,"Settlement",,"T")-RTD("cqg.rtd",,"ContractData",H32,"Y_Settlement",,"T")&gt;0,1,IF(RTD("cqg.rtd",,"ContractData",H32,"Settlement",,"T")=RTD("cqg.rtd",,"ContractData",H32,"Y_Settlement",,"T"),2,0)))</f>
        <v>0</v>
      </c>
      <c r="I34" s="90" t="b">
        <f>IF($A$5=2,IF(RTD("cqg.rtd",,"ContractData",I32,"Settlement",,"T")-RTD("cqg.rtd",,"ContractData",I32,"Y_Settlement",,"T")&gt;0,1,IF(RTD("cqg.rtd",,"ContractData",I32,"Settlement",,"T")=RTD("cqg.rtd",,"ContractData",I32,"Y_Settlement",,"T"),2,0)))</f>
        <v>0</v>
      </c>
      <c r="J34" s="90" t="b">
        <f>IF($A$5=2,IF(RTD("cqg.rtd",,"ContractData",J32,"Settlement",,"T")-RTD("cqg.rtd",,"ContractData",J32,"Y_Settlement",,"T")&gt;0,1,IF(RTD("cqg.rtd",,"ContractData",J32,"Settlement",,"T")=RTD("cqg.rtd",,"ContractData",J32,"Y_Settlement",,"T"),2,0)))</f>
        <v>0</v>
      </c>
      <c r="K34" s="90" t="b">
        <f>IF($A$5=2,IF(RTD("cqg.rtd",,"ContractData",K32,"Settlement",,"T")-RTD("cqg.rtd",,"ContractData",K32,"Y_Settlement",,"T")&gt;0,1,IF(RTD("cqg.rtd",,"ContractData",K32,"Settlement",,"T")=RTD("cqg.rtd",,"ContractData",K32,"Y_Settlement",,"T"),2,0)))</f>
        <v>0</v>
      </c>
      <c r="L34" s="90" t="b">
        <f>IF($A$5=2,IF(RTD("cqg.rtd",,"ContractData",L32,"Settlement",,"T")-RTD("cqg.rtd",,"ContractData",L32,"Y_Settlement",,"T")&gt;0,1,IF(RTD("cqg.rtd",,"ContractData",L32,"Settlement",,"T")=RTD("cqg.rtd",,"ContractData",L32,"Y_Settlement",,"T"),2,0)))</f>
        <v>0</v>
      </c>
      <c r="M34" s="90" t="b">
        <f>IF($A$5=2,IF(RTD("cqg.rtd",,"ContractData",M32,"Settlement",,"T")-RTD("cqg.rtd",,"ContractData",M32,"Y_Settlement",,"T")&gt;0,1,IF(RTD("cqg.rtd",,"ContractData",M32,"Settlement",,"T")=RTD("cqg.rtd",,"ContractData",M32,"Y_Settlement",,"T"),2,0)))</f>
        <v>0</v>
      </c>
      <c r="N34" s="90" t="b">
        <f>IF($A$5=2,IF(RTD("cqg.rtd",,"ContractData",N32,"Settlement",,"T")-RTD("cqg.rtd",,"ContractData",N32,"Y_Settlement",,"T")&gt;0,1,IF(RTD("cqg.rtd",,"ContractData",N32,"Settlement",,"T")=RTD("cqg.rtd",,"ContractData",N32,"Y_Settlement",,"T"),2,0)))</f>
        <v>0</v>
      </c>
      <c r="O34" s="76"/>
    </row>
    <row r="35" spans="2:15" ht="14.1" customHeight="1" x14ac:dyDescent="0.2">
      <c r="B35" s="79"/>
      <c r="C35" s="79"/>
      <c r="D35" s="79"/>
      <c r="E35" s="79"/>
      <c r="F35" s="92"/>
      <c r="G35" s="91"/>
      <c r="H35" s="91"/>
      <c r="I35" s="91"/>
      <c r="J35" s="91"/>
      <c r="K35" s="91"/>
      <c r="L35" s="91"/>
      <c r="M35" s="91"/>
      <c r="N35" s="91"/>
      <c r="O35" s="76"/>
    </row>
    <row r="36" spans="2:15" ht="14.1" customHeight="1" x14ac:dyDescent="0.2">
      <c r="B36" s="143"/>
      <c r="C36" s="143"/>
      <c r="D36" s="143"/>
      <c r="E36" s="143"/>
      <c r="F36" s="143"/>
      <c r="G36" s="77"/>
      <c r="H36" s="80"/>
      <c r="I36" s="80"/>
      <c r="J36" s="80"/>
      <c r="K36" s="80"/>
      <c r="L36" s="80"/>
      <c r="M36" s="80"/>
      <c r="N36" s="80"/>
      <c r="O36" s="76"/>
    </row>
    <row r="37" spans="2:15" ht="15" customHeight="1" x14ac:dyDescent="0.2">
      <c r="B37" s="143"/>
      <c r="C37" s="143"/>
      <c r="D37" s="143"/>
      <c r="E37" s="143"/>
      <c r="F37" s="143"/>
      <c r="G37" s="92"/>
      <c r="H37" s="80" t="str">
        <f>KCE!H37</f>
        <v>KCEH9</v>
      </c>
      <c r="I37" s="80" t="str">
        <f>KCE!I37</f>
        <v>KCES1H9</v>
      </c>
      <c r="J37" s="80" t="str">
        <f>KCE!J37</f>
        <v>KCES2H9</v>
      </c>
      <c r="K37" s="80" t="str">
        <f>KCE!K37</f>
        <v>KCES3H9</v>
      </c>
      <c r="L37" s="80" t="str">
        <f>KCE!L37</f>
        <v>KCES4H9</v>
      </c>
      <c r="M37" s="80" t="str">
        <f>KCE!M37</f>
        <v>KCES5H9</v>
      </c>
      <c r="N37" s="80" t="str">
        <f>KCE!N37</f>
        <v>KCES6H9</v>
      </c>
      <c r="O37" s="75"/>
    </row>
    <row r="38" spans="2:15" ht="14.1" customHeight="1" x14ac:dyDescent="0.2">
      <c r="B38" s="79"/>
      <c r="C38" s="80"/>
      <c r="D38" s="80"/>
      <c r="E38" s="80"/>
      <c r="F38" s="80"/>
      <c r="G38" s="77"/>
      <c r="H38" s="77"/>
      <c r="I38" s="77"/>
      <c r="J38" s="77"/>
      <c r="K38" s="77"/>
      <c r="L38" s="77"/>
      <c r="M38" s="77"/>
      <c r="N38" s="77"/>
      <c r="O38" s="76"/>
    </row>
    <row r="39" spans="2:15" ht="14.1" customHeight="1" x14ac:dyDescent="0.2">
      <c r="B39" s="81"/>
      <c r="C39" s="82"/>
      <c r="D39" s="82"/>
      <c r="E39" s="82"/>
      <c r="F39" s="83"/>
      <c r="G39" s="77"/>
      <c r="H39" s="90" t="b">
        <f>IF($A$5=2,IF(RTD("cqg.rtd",,"ContractData",H37,"Settlement",,"T")-RTD("cqg.rtd",,"ContractData",H37,"Y_Settlement",,"T")&gt;0,1,IF(RTD("cqg.rtd",,"ContractData",H37,"Settlement",,"T")=RTD("cqg.rtd",,"ContractData",H37,"Y_Settlement",,"T"),2,0)))</f>
        <v>0</v>
      </c>
      <c r="I39" s="90" t="b">
        <f>IF($A$5=2,IF(RTD("cqg.rtd",,"ContractData",I37,"Settlement",,"T")-RTD("cqg.rtd",,"ContractData",I37,"Y_Settlement",,"T")&gt;0,1,IF(RTD("cqg.rtd",,"ContractData",I37,"Settlement",,"T")=RTD("cqg.rtd",,"ContractData",I37,"Y_Settlement",,"T"),2,0)))</f>
        <v>0</v>
      </c>
      <c r="J39" s="90" t="b">
        <f>IF($A$5=2,IF(RTD("cqg.rtd",,"ContractData",J37,"Settlement",,"T")-RTD("cqg.rtd",,"ContractData",J37,"Y_Settlement",,"T")&gt;0,1,IF(RTD("cqg.rtd",,"ContractData",J37,"Settlement",,"T")=RTD("cqg.rtd",,"ContractData",J37,"Y_Settlement",,"T"),2,0)))</f>
        <v>0</v>
      </c>
      <c r="K39" s="90" t="b">
        <f>IF($A$5=2,IF(RTD("cqg.rtd",,"ContractData",K37,"Settlement",,"T")-RTD("cqg.rtd",,"ContractData",K37,"Y_Settlement",,"T")&gt;0,1,IF(RTD("cqg.rtd",,"ContractData",K37,"Settlement",,"T")=RTD("cqg.rtd",,"ContractData",K37,"Y_Settlement",,"T"),2,0)))</f>
        <v>0</v>
      </c>
      <c r="L39" s="90" t="b">
        <f>IF($A$5=2,IF(RTD("cqg.rtd",,"ContractData",L37,"Settlement",,"T")-RTD("cqg.rtd",,"ContractData",L37,"Y_Settlement",,"T")&gt;0,1,IF(RTD("cqg.rtd",,"ContractData",L37,"Settlement",,"T")=RTD("cqg.rtd",,"ContractData",L37,"Y_Settlement",,"T"),2,0)))</f>
        <v>0</v>
      </c>
      <c r="M39" s="90" t="b">
        <f>IF($A$5=2,IF(RTD("cqg.rtd",,"ContractData",M37,"Settlement",,"T")-RTD("cqg.rtd",,"ContractData",M37,"Y_Settlement",,"T")&gt;0,1,IF(RTD("cqg.rtd",,"ContractData",M37,"Settlement",,"T")=RTD("cqg.rtd",,"ContractData",M37,"Y_Settlement",,"T"),2,0)))</f>
        <v>0</v>
      </c>
      <c r="N39" s="90" t="b">
        <f>IF($A$5=2,IF(RTD("cqg.rtd",,"ContractData",N37,"Settlement",,"T")-RTD("cqg.rtd",,"ContractData",N37,"Y_Settlement",,"T")&gt;0,1,IF(RTD("cqg.rtd",,"ContractData",N37,"Settlement",,"T")=RTD("cqg.rtd",,"ContractData",N37,"Y_Settlement",,"T"),2,0)))</f>
        <v>0</v>
      </c>
      <c r="O39" s="76"/>
    </row>
    <row r="40" spans="2:15" ht="14.1" customHeight="1" x14ac:dyDescent="0.2">
      <c r="B40" s="81"/>
      <c r="C40" s="81"/>
      <c r="D40" s="82"/>
      <c r="E40" s="82"/>
      <c r="F40" s="83"/>
      <c r="G40" s="77"/>
      <c r="H40" s="91"/>
      <c r="I40" s="91"/>
      <c r="J40" s="91"/>
      <c r="K40" s="91"/>
      <c r="L40" s="91"/>
      <c r="M40" s="91"/>
      <c r="N40" s="91"/>
      <c r="O40" s="76"/>
    </row>
    <row r="41" spans="2:15" ht="14.1" customHeight="1" x14ac:dyDescent="0.2">
      <c r="B41" s="82"/>
      <c r="C41" s="81"/>
      <c r="D41" s="82"/>
      <c r="E41" s="82"/>
      <c r="F41" s="83"/>
      <c r="G41" s="77"/>
      <c r="H41" s="77"/>
      <c r="I41" s="80"/>
      <c r="J41" s="80"/>
      <c r="K41" s="80"/>
      <c r="L41" s="80"/>
      <c r="M41" s="80"/>
      <c r="N41" s="80"/>
      <c r="O41" s="76"/>
    </row>
    <row r="42" spans="2:15" ht="15" customHeight="1" x14ac:dyDescent="0.2">
      <c r="B42" s="82"/>
      <c r="C42" s="82"/>
      <c r="D42" s="82"/>
      <c r="E42" s="82"/>
      <c r="F42" s="83"/>
      <c r="G42" s="77"/>
      <c r="H42" s="92"/>
      <c r="I42" s="80" t="str">
        <f>KCE!I42</f>
        <v>KCEK9</v>
      </c>
      <c r="J42" s="80" t="str">
        <f>KCE!J42</f>
        <v>KCES1K9</v>
      </c>
      <c r="K42" s="80" t="str">
        <f>KCE!K42</f>
        <v>KCES2K9</v>
      </c>
      <c r="L42" s="80" t="str">
        <f>KCE!L42</f>
        <v>KCES3K9</v>
      </c>
      <c r="M42" s="80" t="str">
        <f>KCE!M42</f>
        <v>KCES4K9</v>
      </c>
      <c r="N42" s="80" t="str">
        <f>KCE!N42</f>
        <v>KCES5K9</v>
      </c>
    </row>
    <row r="43" spans="2:15" ht="14.1" customHeight="1" x14ac:dyDescent="0.2">
      <c r="B43" s="81"/>
      <c r="C43" s="82"/>
      <c r="D43" s="82"/>
      <c r="E43" s="82"/>
      <c r="F43" s="83"/>
      <c r="G43" s="92"/>
      <c r="H43" s="92"/>
      <c r="I43" s="77"/>
      <c r="J43" s="77"/>
      <c r="K43" s="77"/>
      <c r="L43" s="77"/>
      <c r="M43" s="77"/>
      <c r="N43" s="77"/>
    </row>
    <row r="44" spans="2:15" ht="14.1" customHeight="1" x14ac:dyDescent="0.2">
      <c r="B44" s="144"/>
      <c r="C44" s="144"/>
      <c r="D44" s="144"/>
      <c r="E44" s="144"/>
      <c r="F44" s="144"/>
      <c r="G44" s="144"/>
      <c r="H44" s="144"/>
      <c r="I44" s="90" t="b">
        <f>IF($A$5=2,IF(RTD("cqg.rtd",,"ContractData",I42,"Settlement",,"T")-RTD("cqg.rtd",,"ContractData",I42,"Y_Settlement",,"T")&gt;0,1,IF(RTD("cqg.rtd",,"ContractData",I42,"Settlement",,"T")=RTD("cqg.rtd",,"ContractData",I42,"Y_Settlement",,"T"),2,0)))</f>
        <v>0</v>
      </c>
      <c r="J44" s="90" t="b">
        <f>IF($A$5=2,IF(RTD("cqg.rtd",,"ContractData",J42,"Settlement",,"T")-RTD("cqg.rtd",,"ContractData",J42,"Y_Settlement",,"T")&gt;0,1,IF(RTD("cqg.rtd",,"ContractData",J42,"Settlement",,"T")=RTD("cqg.rtd",,"ContractData",J42,"Y_Settlement",,"T"),2,0)))</f>
        <v>0</v>
      </c>
      <c r="K44" s="90" t="b">
        <f>IF($A$5=2,IF(RTD("cqg.rtd",,"ContractData",K42,"Settlement",,"T")-RTD("cqg.rtd",,"ContractData",K42,"Y_Settlement",,"T")&gt;0,1,IF(RTD("cqg.rtd",,"ContractData",K42,"Settlement",,"T")=RTD("cqg.rtd",,"ContractData",K42,"Y_Settlement",,"T"),2,0)))</f>
        <v>0</v>
      </c>
      <c r="L44" s="90" t="b">
        <f>IF($A$5=2,IF(RTD("cqg.rtd",,"ContractData",L42,"Settlement",,"T")-RTD("cqg.rtd",,"ContractData",L42,"Y_Settlement",,"T")&gt;0,1,IF(RTD("cqg.rtd",,"ContractData",L42,"Settlement",,"T")=RTD("cqg.rtd",,"ContractData",L42,"Y_Settlement",,"T"),2,0)))</f>
        <v>0</v>
      </c>
      <c r="M44" s="90" t="b">
        <f>IF($A$5=2,IF(RTD("cqg.rtd",,"ContractData",M42,"Settlement",,"T")-RTD("cqg.rtd",,"ContractData",M42,"Y_Settlement",,"T")&gt;0,1,IF(RTD("cqg.rtd",,"ContractData",M42,"Settlement",,"T")=RTD("cqg.rtd",,"ContractData",M42,"Y_Settlement",,"T"),2,0)))</f>
        <v>0</v>
      </c>
      <c r="N44" s="90" t="b">
        <f>IF($A$5=2,IF(RTD("cqg.rtd",,"ContractData",N42,"Settlement",,"T")-RTD("cqg.rtd",,"ContractData",N42,"Y_Settlement",,"T")&gt;0,1,IF(RTD("cqg.rtd",,"ContractData",N42,"Settlement",,"T")=RTD("cqg.rtd",,"ContractData",N42,"Y_Settlement",,"T"),2,0)))</f>
        <v>0</v>
      </c>
    </row>
    <row r="45" spans="2:15" ht="14.1" customHeight="1" x14ac:dyDescent="0.2">
      <c r="B45" s="144"/>
      <c r="C45" s="144"/>
      <c r="D45" s="144"/>
      <c r="E45" s="144"/>
      <c r="F45" s="144"/>
      <c r="G45" s="144"/>
      <c r="H45" s="144"/>
      <c r="I45" s="91"/>
      <c r="J45" s="91"/>
      <c r="K45" s="91"/>
      <c r="L45" s="91"/>
      <c r="M45" s="91"/>
      <c r="N45" s="91"/>
    </row>
    <row r="46" spans="2:15" ht="14.1" customHeight="1" x14ac:dyDescent="0.2">
      <c r="B46" s="144"/>
      <c r="C46" s="84"/>
      <c r="D46" s="145"/>
      <c r="E46" s="146"/>
      <c r="F46" s="147"/>
      <c r="G46" s="147"/>
      <c r="H46" s="147"/>
      <c r="I46" s="77"/>
      <c r="J46" s="80"/>
      <c r="K46" s="80"/>
      <c r="L46" s="80"/>
      <c r="M46" s="80"/>
      <c r="N46" s="80"/>
    </row>
    <row r="47" spans="2:15" ht="15" customHeight="1" x14ac:dyDescent="0.2">
      <c r="B47" s="144"/>
      <c r="C47" s="84"/>
      <c r="D47" s="145"/>
      <c r="E47" s="146"/>
      <c r="F47" s="147"/>
      <c r="G47" s="147"/>
      <c r="H47" s="147"/>
      <c r="I47" s="92"/>
      <c r="J47" s="80" t="str">
        <f>KCE!J47</f>
        <v>KCEN9</v>
      </c>
      <c r="K47" s="80" t="str">
        <f>KCE!K47</f>
        <v>KCES1N9</v>
      </c>
      <c r="L47" s="80" t="str">
        <f>KCE!L47</f>
        <v>KCES2N9</v>
      </c>
      <c r="M47" s="80" t="str">
        <f>KCE!M47</f>
        <v>KCES3N9</v>
      </c>
      <c r="N47" s="80" t="str">
        <f>KCE!N47</f>
        <v>KCES4N9</v>
      </c>
    </row>
    <row r="48" spans="2:15" ht="14.1" customHeight="1" x14ac:dyDescent="0.2">
      <c r="B48" s="144"/>
      <c r="C48" s="84"/>
      <c r="D48" s="145"/>
      <c r="E48" s="146"/>
      <c r="F48" s="147"/>
      <c r="G48" s="147"/>
      <c r="H48" s="147"/>
      <c r="I48" s="92"/>
      <c r="J48" s="77"/>
      <c r="K48" s="77"/>
      <c r="L48" s="77"/>
      <c r="M48" s="77"/>
      <c r="N48" s="77"/>
    </row>
    <row r="49" spans="2:14" ht="14.1" customHeight="1" x14ac:dyDescent="0.2">
      <c r="B49" s="144"/>
      <c r="C49" s="84"/>
      <c r="D49" s="145"/>
      <c r="E49" s="146"/>
      <c r="F49" s="152"/>
      <c r="G49" s="152"/>
      <c r="H49" s="153"/>
      <c r="I49" s="92"/>
      <c r="J49" s="90" t="b">
        <f>IF($A$5=2,IF(RTD("cqg.rtd",,"ContractData",J47,"Settlement",,"T")-RTD("cqg.rtd",,"ContractData",J47,"Y_Settlement",,"T")&gt;0,1,IF(RTD("cqg.rtd",,"ContractData",J47,"Settlement",,"T")=RTD("cqg.rtd",,"ContractData",J47,"Y_Settlement",,"T"),2,0)))</f>
        <v>0</v>
      </c>
      <c r="K49" s="90" t="b">
        <f>IF($A$5=2,IF(RTD("cqg.rtd",,"ContractData",K47,"Settlement",,"T")-RTD("cqg.rtd",,"ContractData",K47,"Y_Settlement",,"T")&gt;0,1,IF(RTD("cqg.rtd",,"ContractData",K47,"Settlement",,"T")=RTD("cqg.rtd",,"ContractData",K47,"Y_Settlement",,"T"),2,0)))</f>
        <v>0</v>
      </c>
      <c r="L49" s="90" t="b">
        <f>IF($A$5=2,IF(RTD("cqg.rtd",,"ContractData",L47,"Settlement",,"T")-RTD("cqg.rtd",,"ContractData",L47,"Y_Settlement",,"T")&gt;0,1,IF(RTD("cqg.rtd",,"ContractData",L47,"Settlement",,"T")=RTD("cqg.rtd",,"ContractData",L47,"Y_Settlement",,"T"),2,0)))</f>
        <v>0</v>
      </c>
      <c r="M49" s="90" t="b">
        <f>IF($A$5=2,IF(RTD("cqg.rtd",,"ContractData",M47,"Settlement",,"T")-RTD("cqg.rtd",,"ContractData",M47,"Y_Settlement",,"T")&gt;0,1,IF(RTD("cqg.rtd",,"ContractData",M47,"Settlement",,"T")=RTD("cqg.rtd",,"ContractData",M47,"Y_Settlement",,"T"),2,0)))</f>
        <v>0</v>
      </c>
      <c r="N49" s="90" t="b">
        <f>IF($A$5=2,IF(RTD("cqg.rtd",,"ContractData",N47,"Settlement",,"T")-RTD("cqg.rtd",,"ContractData",N47,"Y_Settlement",,"T")&gt;0,1,IF(RTD("cqg.rtd",,"ContractData",N47,"Settlement",,"T")=RTD("cqg.rtd",,"ContractData",N47,"Y_Settlement",,"T"),2,0)))</f>
        <v>0</v>
      </c>
    </row>
    <row r="50" spans="2:14" ht="14.1" customHeight="1" x14ac:dyDescent="0.2">
      <c r="B50" s="144"/>
      <c r="C50" s="84"/>
      <c r="D50" s="145"/>
      <c r="E50" s="146"/>
      <c r="F50" s="152"/>
      <c r="G50" s="152"/>
      <c r="H50" s="153"/>
      <c r="I50" s="92"/>
      <c r="J50" s="91"/>
      <c r="K50" s="91"/>
      <c r="L50" s="91"/>
      <c r="M50" s="91"/>
      <c r="N50" s="91"/>
    </row>
    <row r="51" spans="2:14" ht="14.1" customHeight="1" x14ac:dyDescent="0.2">
      <c r="B51" s="79"/>
      <c r="C51" s="80"/>
      <c r="D51" s="80"/>
      <c r="E51" s="80"/>
      <c r="F51" s="80"/>
      <c r="G51" s="80"/>
      <c r="H51" s="80"/>
      <c r="I51" s="92"/>
      <c r="J51" s="77"/>
      <c r="K51" s="80"/>
      <c r="L51" s="80"/>
      <c r="M51" s="80"/>
      <c r="N51" s="80"/>
    </row>
    <row r="52" spans="2:14" ht="15" customHeight="1" x14ac:dyDescent="0.2">
      <c r="B52" s="79"/>
      <c r="C52" s="80"/>
      <c r="D52" s="80"/>
      <c r="E52" s="80"/>
      <c r="F52" s="80"/>
      <c r="G52" s="80"/>
      <c r="H52" s="80"/>
      <c r="I52" s="92"/>
      <c r="J52" s="92"/>
      <c r="K52" s="80" t="str">
        <f>KCE!K52</f>
        <v>KCEU9</v>
      </c>
      <c r="L52" s="80" t="str">
        <f>KCE!L52</f>
        <v>KCES1U9</v>
      </c>
      <c r="M52" s="80" t="str">
        <f>KCE!M52</f>
        <v>KCES2U9</v>
      </c>
      <c r="N52" s="80" t="str">
        <f>KCE!N52</f>
        <v>KCES3U9</v>
      </c>
    </row>
    <row r="53" spans="2:14" ht="14.1" customHeight="1" x14ac:dyDescent="0.2">
      <c r="B53" s="80"/>
      <c r="C53" s="79"/>
      <c r="D53" s="79"/>
      <c r="E53" s="79"/>
      <c r="F53" s="79"/>
      <c r="G53" s="79"/>
      <c r="H53" s="79"/>
      <c r="I53" s="92"/>
      <c r="J53" s="92"/>
      <c r="K53" s="77"/>
      <c r="L53" s="77"/>
      <c r="M53" s="77"/>
      <c r="N53" s="77"/>
    </row>
    <row r="54" spans="2:14" ht="14.1" customHeight="1" x14ac:dyDescent="0.2">
      <c r="B54" s="80"/>
      <c r="C54" s="79"/>
      <c r="D54" s="79"/>
      <c r="E54" s="79"/>
      <c r="F54" s="79"/>
      <c r="G54" s="79"/>
      <c r="H54" s="79"/>
      <c r="I54" s="92"/>
      <c r="J54" s="92"/>
      <c r="K54" s="90" t="b">
        <f>IF($A$5=2,IF(RTD("cqg.rtd",,"ContractData",K52,"Settlement",,"T")-RTD("cqg.rtd",,"ContractData",K52,"Y_Settlement",,"T")&gt;0,1,IF(RTD("cqg.rtd",,"ContractData",K52,"Settlement",,"T")=RTD("cqg.rtd",,"ContractData",K52,"Y_Settlement",,"T"),2,0)))</f>
        <v>0</v>
      </c>
      <c r="L54" s="90" t="b">
        <f>IF($A$5=2,IF(RTD("cqg.rtd",,"ContractData",L52,"Settlement",,"T")-RTD("cqg.rtd",,"ContractData",L52,"Y_Settlement",,"T")&gt;0,1,IF(RTD("cqg.rtd",,"ContractData",L52,"Settlement",,"T")=RTD("cqg.rtd",,"ContractData",L52,"Y_Settlement",,"T"),2,0)))</f>
        <v>0</v>
      </c>
      <c r="M54" s="90" t="b">
        <f>IF($A$5=2,IF(RTD("cqg.rtd",,"ContractData",M52,"Settlement",,"T")-RTD("cqg.rtd",,"ContractData",M52,"Y_Settlement",,"T")&gt;0,1,IF(RTD("cqg.rtd",,"ContractData",M52,"Settlement",,"T")=RTD("cqg.rtd",,"ContractData",M52,"Y_Settlement",,"T"),2,0)))</f>
        <v>0</v>
      </c>
      <c r="N54" s="90" t="b">
        <f>IF($A$5=2,IF(RTD("cqg.rtd",,"ContractData",N52,"Settlement",,"T")-RTD("cqg.rtd",,"ContractData",N52,"Y_Settlement",,"T")&gt;0,1,IF(RTD("cqg.rtd",,"ContractData",N52,"Settlement",,"T")=RTD("cqg.rtd",,"ContractData",N52,"Y_Settlement",,"T"),2,0)))</f>
        <v>0</v>
      </c>
    </row>
    <row r="55" spans="2:14" ht="14.1" customHeight="1" x14ac:dyDescent="0.2">
      <c r="B55" s="80"/>
      <c r="C55" s="79"/>
      <c r="D55" s="79"/>
      <c r="E55" s="79"/>
      <c r="F55" s="79"/>
      <c r="G55" s="79"/>
      <c r="H55" s="79"/>
      <c r="I55" s="92"/>
      <c r="J55" s="92"/>
      <c r="K55" s="91"/>
      <c r="L55" s="91"/>
      <c r="M55" s="91"/>
      <c r="N55" s="91"/>
    </row>
    <row r="56" spans="2:14" ht="14.1" customHeight="1" x14ac:dyDescent="0.2">
      <c r="B56" s="79"/>
      <c r="C56" s="79"/>
      <c r="D56" s="79"/>
      <c r="E56" s="79"/>
      <c r="F56" s="79"/>
      <c r="G56" s="79"/>
      <c r="H56" s="79"/>
      <c r="I56" s="92"/>
      <c r="J56" s="92"/>
      <c r="K56" s="77"/>
      <c r="L56" s="80"/>
      <c r="M56" s="80"/>
      <c r="N56" s="80"/>
    </row>
    <row r="57" spans="2:14" ht="15" customHeight="1" x14ac:dyDescent="0.2">
      <c r="B57" s="79"/>
      <c r="C57" s="80"/>
      <c r="D57" s="79"/>
      <c r="E57" s="79"/>
      <c r="F57" s="79"/>
      <c r="G57" s="79"/>
      <c r="H57" s="79"/>
      <c r="I57" s="92"/>
      <c r="J57" s="92"/>
      <c r="K57" s="92"/>
      <c r="L57" s="80" t="str">
        <f>KCE!L57</f>
        <v>KCEZ9</v>
      </c>
      <c r="M57" s="80" t="str">
        <f>KCE!M57</f>
        <v>KCES1Z9</v>
      </c>
      <c r="N57" s="80" t="str">
        <f>KCE!N57</f>
        <v>KCES2Z9</v>
      </c>
    </row>
    <row r="58" spans="2:14" ht="14.1" customHeight="1" x14ac:dyDescent="0.2">
      <c r="B58" s="80"/>
      <c r="C58" s="79"/>
      <c r="D58" s="79"/>
      <c r="E58" s="79"/>
      <c r="F58" s="79"/>
      <c r="G58" s="79"/>
      <c r="H58" s="79"/>
      <c r="I58" s="92"/>
      <c r="J58" s="92"/>
      <c r="K58" s="92"/>
      <c r="L58" s="77"/>
      <c r="M58" s="77"/>
      <c r="N58" s="77"/>
    </row>
    <row r="59" spans="2:14" ht="14.1" customHeight="1" x14ac:dyDescent="0.2">
      <c r="B59" s="80"/>
      <c r="C59" s="79"/>
      <c r="D59" s="79"/>
      <c r="E59" s="79"/>
      <c r="F59" s="79"/>
      <c r="G59" s="79"/>
      <c r="H59" s="79"/>
      <c r="I59" s="92"/>
      <c r="J59" s="92"/>
      <c r="K59" s="92"/>
      <c r="L59" s="90" t="b">
        <f>IF($A$5=2,IF(RTD("cqg.rtd",,"ContractData",L57,"Settlement",,"T")-RTD("cqg.rtd",,"ContractData",L57,"Y_Settlement",,"T")&gt;0,1,IF(RTD("cqg.rtd",,"ContractData",L57,"Settlement",,"T")=RTD("cqg.rtd",,"ContractData",L57,"Y_Settlement",,"T"),2,0)))</f>
        <v>0</v>
      </c>
      <c r="M59" s="90" t="b">
        <f>IF($A$5=2,IF(RTD("cqg.rtd",,"ContractData",M57,"Settlement",,"T")-RTD("cqg.rtd",,"ContractData",M57,"Y_Settlement",,"T")&gt;0,1,IF(RTD("cqg.rtd",,"ContractData",M57,"Settlement",,"T")=RTD("cqg.rtd",,"ContractData",M57,"Y_Settlement",,"T"),2,0)))</f>
        <v>0</v>
      </c>
      <c r="N59" s="90" t="b">
        <f>IF($A$5=2,IF(RTD("cqg.rtd",,"ContractData",N57,"Settlement",,"T")-RTD("cqg.rtd",,"ContractData",N57,"Y_Settlement",,"T")&gt;0,1,IF(RTD("cqg.rtd",,"ContractData",N57,"Settlement",,"T")=RTD("cqg.rtd",,"ContractData",N57,"Y_Settlement",,"T"),2,0)))</f>
        <v>0</v>
      </c>
    </row>
    <row r="60" spans="2:14" ht="14.1" customHeight="1" x14ac:dyDescent="0.2">
      <c r="B60" s="79"/>
      <c r="C60" s="79"/>
      <c r="D60" s="79"/>
      <c r="E60" s="79"/>
      <c r="F60" s="79"/>
      <c r="G60" s="79"/>
      <c r="H60" s="79"/>
      <c r="I60" s="92"/>
      <c r="J60" s="92"/>
      <c r="K60" s="92"/>
      <c r="L60" s="91"/>
      <c r="M60" s="91"/>
      <c r="N60" s="91"/>
    </row>
    <row r="61" spans="2:14" ht="14.1" customHeight="1" x14ac:dyDescent="0.2">
      <c r="B61" s="80"/>
      <c r="C61" s="80"/>
      <c r="D61" s="79"/>
      <c r="E61" s="79"/>
      <c r="F61" s="79"/>
      <c r="G61" s="79"/>
      <c r="H61" s="79"/>
      <c r="I61" s="92"/>
      <c r="J61" s="92"/>
      <c r="K61" s="92"/>
      <c r="L61" s="77"/>
      <c r="M61" s="80"/>
      <c r="N61" s="80"/>
    </row>
    <row r="62" spans="2:14" ht="15" customHeight="1" x14ac:dyDescent="0.2">
      <c r="B62" s="80"/>
      <c r="C62" s="80"/>
      <c r="D62" s="79"/>
      <c r="E62" s="79"/>
      <c r="F62" s="79"/>
      <c r="G62" s="79"/>
      <c r="H62" s="79"/>
      <c r="I62" s="92"/>
      <c r="J62" s="92"/>
      <c r="K62" s="92"/>
      <c r="L62" s="92"/>
      <c r="M62" s="80" t="str">
        <f>KCE!M62</f>
        <v>KCEH0</v>
      </c>
      <c r="N62" s="80" t="str">
        <f>KCE!N62</f>
        <v>KCES1H0</v>
      </c>
    </row>
    <row r="63" spans="2:14" ht="14.1" customHeight="1" x14ac:dyDescent="0.2">
      <c r="B63" s="80"/>
      <c r="C63" s="79"/>
      <c r="D63" s="79"/>
      <c r="E63" s="79"/>
      <c r="F63" s="79"/>
      <c r="G63" s="79"/>
      <c r="H63" s="79"/>
      <c r="I63" s="92"/>
      <c r="J63" s="92"/>
      <c r="K63" s="92"/>
      <c r="L63" s="92"/>
      <c r="M63" s="77"/>
      <c r="N63" s="77"/>
    </row>
    <row r="64" spans="2:14" ht="14.1" customHeight="1" x14ac:dyDescent="0.2">
      <c r="B64" s="80"/>
      <c r="C64" s="79"/>
      <c r="D64" s="79"/>
      <c r="E64" s="79"/>
      <c r="F64" s="79"/>
      <c r="G64" s="79"/>
      <c r="H64" s="79"/>
      <c r="I64" s="92"/>
      <c r="J64" s="92"/>
      <c r="K64" s="92"/>
      <c r="L64" s="92"/>
      <c r="M64" s="90" t="b">
        <f>IF($A$5=2,IF(RTD("cqg.rtd",,"ContractData",M62,"Settlement",,"T")-RTD("cqg.rtd",,"ContractData",M62,"Y_Settlement",,"T")&gt;0,1,IF(RTD("cqg.rtd",,"ContractData",M62,"Settlement",,"T")=RTD("cqg.rtd",,"ContractData",M62,"Y_Settlement",,"T"),2,0)))</f>
        <v>0</v>
      </c>
      <c r="N64" s="90" t="b">
        <f>IF($A$5=2,IF(RTD("cqg.rtd",,"ContractData",N62,"Settlement",,"T")-RTD("cqg.rtd",,"ContractData",N62,"Y_Settlement",,"T")&gt;0,1,IF(RTD("cqg.rtd",,"ContractData",N62,"Settlement",,"T")=RTD("cqg.rtd",,"ContractData",N62,"Y_Settlement",,"T"),2,0)))</f>
        <v>0</v>
      </c>
    </row>
    <row r="65" spans="2:22" ht="14.1" customHeight="1" x14ac:dyDescent="0.2">
      <c r="B65" s="80"/>
      <c r="C65" s="79"/>
      <c r="D65" s="79"/>
      <c r="E65" s="79"/>
      <c r="F65" s="79"/>
      <c r="G65" s="79"/>
      <c r="H65" s="79"/>
      <c r="I65" s="92"/>
      <c r="J65" s="92"/>
      <c r="K65" s="92"/>
      <c r="L65" s="92"/>
      <c r="M65" s="91"/>
      <c r="N65" s="91"/>
    </row>
    <row r="66" spans="2:22" ht="14.1" customHeight="1" x14ac:dyDescent="0.2">
      <c r="B66" s="80"/>
      <c r="C66" s="79"/>
      <c r="D66" s="79"/>
      <c r="E66" s="79"/>
      <c r="F66" s="79"/>
      <c r="G66" s="79"/>
      <c r="H66" s="79"/>
      <c r="I66" s="94"/>
      <c r="J66" s="94"/>
      <c r="K66" s="94"/>
      <c r="L66" s="94"/>
      <c r="M66" s="94"/>
      <c r="N66" s="80"/>
      <c r="O66" s="80"/>
      <c r="U66" s="85">
        <f>B10</f>
        <v>0</v>
      </c>
      <c r="V66" s="73">
        <f>B6</f>
        <v>0</v>
      </c>
    </row>
    <row r="67" spans="2:22" ht="15" customHeight="1" x14ac:dyDescent="0.2">
      <c r="B67" s="148"/>
      <c r="C67" s="148"/>
      <c r="D67" s="148"/>
      <c r="E67" s="151"/>
      <c r="F67" s="151"/>
      <c r="G67" s="151"/>
      <c r="H67" s="151"/>
      <c r="I67" s="94"/>
      <c r="J67" s="94"/>
      <c r="K67" s="94"/>
      <c r="L67" s="94"/>
      <c r="M67" s="94"/>
      <c r="N67" s="80" t="str">
        <f>KCE!N67</f>
        <v>KCEK0</v>
      </c>
      <c r="O67" s="80" t="str">
        <f>KCE!O67</f>
        <v>KCES1K0</v>
      </c>
    </row>
    <row r="68" spans="2:22" ht="14.1" customHeight="1" x14ac:dyDescent="0.2">
      <c r="B68" s="148"/>
      <c r="C68" s="148"/>
      <c r="D68" s="148"/>
      <c r="E68" s="86"/>
      <c r="F68" s="149"/>
      <c r="G68" s="149"/>
      <c r="H68" s="87"/>
      <c r="I68" s="94"/>
      <c r="J68" s="94"/>
      <c r="K68" s="94"/>
      <c r="L68" s="94"/>
      <c r="M68" s="94"/>
      <c r="N68" s="77"/>
      <c r="O68" s="77"/>
      <c r="U68" s="85">
        <f>D10</f>
        <v>0</v>
      </c>
      <c r="V68" s="73">
        <f>D6</f>
        <v>0</v>
      </c>
    </row>
    <row r="69" spans="2:22" ht="14.1" customHeight="1" x14ac:dyDescent="0.2">
      <c r="B69" s="150"/>
      <c r="C69" s="150"/>
      <c r="D69" s="150"/>
      <c r="E69" s="151"/>
      <c r="F69" s="151"/>
      <c r="G69" s="151"/>
      <c r="H69" s="151"/>
      <c r="I69" s="94"/>
      <c r="J69" s="94"/>
      <c r="K69" s="94"/>
      <c r="L69" s="94"/>
      <c r="M69" s="94"/>
      <c r="N69" s="90" t="b">
        <f>IF($A$5=2,IF(RTD("cqg.rtd",,"ContractData",N67,"Settlement",,"T")-RTD("cqg.rtd",,"ContractData",N67,"Y_Settlement",,"T")&gt;0,1,IF(RTD("cqg.rtd",,"ContractData",N67,"Settlement",,"T")=RTD("cqg.rtd",,"ContractData",N67,"Y_Settlement",,"T"),2,0)))</f>
        <v>0</v>
      </c>
      <c r="O69" s="90" t="b">
        <f>IF($A$5=2,IF(RTD("cqg.rtd",,"ContractData",O67,"Settlement",,"T")-RTD("cqg.rtd",,"ContractData",O67,"Y_Settlement",,"T")&gt;0,1,IF(RTD("cqg.rtd",,"ContractData",O67,"Settlement",,"T")=RTD("cqg.rtd",,"ContractData",O67,"Y_Settlement",,"T"),2,0)))</f>
        <v>0</v>
      </c>
      <c r="U69" s="85">
        <f>E10</f>
        <v>0</v>
      </c>
      <c r="V69" s="73">
        <f>E6</f>
        <v>0</v>
      </c>
    </row>
    <row r="70" spans="2:22" ht="14.1" customHeight="1" x14ac:dyDescent="0.2">
      <c r="I70" s="94"/>
      <c r="J70" s="94"/>
      <c r="K70" s="94"/>
      <c r="L70" s="94"/>
      <c r="M70" s="94"/>
      <c r="N70" s="91"/>
      <c r="O70" s="91"/>
      <c r="U70" s="85">
        <f>F10</f>
        <v>0</v>
      </c>
      <c r="V70" s="73">
        <f>F6</f>
        <v>0</v>
      </c>
    </row>
    <row r="71" spans="2:22" x14ac:dyDescent="0.2">
      <c r="U71" s="85">
        <f>G10</f>
        <v>0</v>
      </c>
      <c r="V71" s="73">
        <f>G6</f>
        <v>0</v>
      </c>
    </row>
    <row r="72" spans="2:22" x14ac:dyDescent="0.2">
      <c r="U72" s="85">
        <f>H10</f>
        <v>0</v>
      </c>
      <c r="V72" s="73">
        <f>H6</f>
        <v>0</v>
      </c>
    </row>
    <row r="73" spans="2:22" x14ac:dyDescent="0.2">
      <c r="U73" s="85">
        <f>I10</f>
        <v>0</v>
      </c>
      <c r="V73" s="73">
        <f>I6</f>
        <v>0</v>
      </c>
    </row>
    <row r="74" spans="2:22" x14ac:dyDescent="0.2">
      <c r="U74" s="85">
        <f>J10</f>
        <v>0</v>
      </c>
      <c r="V74" s="73">
        <f>J6</f>
        <v>0</v>
      </c>
    </row>
    <row r="75" spans="2:22" x14ac:dyDescent="0.2">
      <c r="U75" s="85">
        <f>K10</f>
        <v>0</v>
      </c>
      <c r="V75" s="73">
        <f>K6</f>
        <v>0</v>
      </c>
    </row>
    <row r="76" spans="2:22" x14ac:dyDescent="0.2">
      <c r="U76" s="85">
        <f>L10</f>
        <v>0</v>
      </c>
      <c r="V76" s="73">
        <f>L6</f>
        <v>0</v>
      </c>
    </row>
    <row r="77" spans="2:22" x14ac:dyDescent="0.2">
      <c r="U77" s="85">
        <f>M10</f>
        <v>0</v>
      </c>
      <c r="V77" s="73">
        <f>M6</f>
        <v>0</v>
      </c>
    </row>
    <row r="78" spans="2:22" x14ac:dyDescent="0.2">
      <c r="U78" s="85">
        <f>N10</f>
        <v>0</v>
      </c>
      <c r="V78" s="73">
        <f>N6</f>
        <v>0</v>
      </c>
    </row>
  </sheetData>
  <sheetProtection algorithmName="SHA-512" hashValue="B11U/nnPMSVD0vwJxv+v+fLOoeiVUcjtmDGLGnXuNdsgL/xZ3sAEdPLDlpYeIi28QbtIjnjOjCu8D45DWX/FGA==" saltValue="07d3w4RXsIIVeKc4qnSjNg==" spinCount="100000" sheet="1" objects="1" scenarios="1" selectLockedCells="1"/>
  <mergeCells count="21">
    <mergeCell ref="B68:D68"/>
    <mergeCell ref="F68:G68"/>
    <mergeCell ref="B69:D69"/>
    <mergeCell ref="E69:H69"/>
    <mergeCell ref="B49:B50"/>
    <mergeCell ref="D49:D50"/>
    <mergeCell ref="E49:E50"/>
    <mergeCell ref="F49:G50"/>
    <mergeCell ref="H49:H50"/>
    <mergeCell ref="B67:D67"/>
    <mergeCell ref="E67:H67"/>
    <mergeCell ref="B44:H45"/>
    <mergeCell ref="B46:B48"/>
    <mergeCell ref="D46:D48"/>
    <mergeCell ref="E46:E48"/>
    <mergeCell ref="F46:H48"/>
    <mergeCell ref="B4:E5"/>
    <mergeCell ref="S4:U5"/>
    <mergeCell ref="B19:B20"/>
    <mergeCell ref="B36:F36"/>
    <mergeCell ref="B37:F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KCE</vt:lpstr>
      <vt:lpstr>Calculations</vt:lpstr>
      <vt:lpstr>KCE (2)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2017-11-28T18:11:46Z</dcterms:modified>
</cp:coreProperties>
</file>