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Stan\"/>
    </mc:Choice>
  </mc:AlternateContent>
  <bookViews>
    <workbookView showVerticalScroll="0" xWindow="0" yWindow="0" windowWidth="28800" windowHeight="15000"/>
  </bookViews>
  <sheets>
    <sheet name="Main" sheetId="16" r:id="rId1"/>
    <sheet name="NGECalendars" sheetId="2" r:id="rId2"/>
    <sheet name="NGE Winter Summer Strps" sheetId="13" r:id="rId3"/>
    <sheet name="RollData" sheetId="15" state="hidden" r:id="rId4"/>
    <sheet name="ChartData" sheetId="14" state="hidden" r:id="rId5"/>
    <sheet name="NGE" sheetId="6" state="hidden" r:id="rId6"/>
    <sheet name="NGE2" sheetId="7" state="hidden" r:id="rId7"/>
    <sheet name="NGE3" sheetId="8" state="hidden" r:id="rId8"/>
    <sheet name="NGE4" sheetId="9" state="hidden" r:id="rId9"/>
    <sheet name="NGE5" sheetId="10" state="hidden" r:id="rId10"/>
    <sheet name="NGE6" sheetId="11" state="hidden" r:id="rId11"/>
  </sheets>
  <calcPr calcId="152511"/>
</workbook>
</file>

<file path=xl/calcChain.xml><?xml version="1.0" encoding="utf-8"?>
<calcChain xmlns="http://schemas.openxmlformats.org/spreadsheetml/2006/main">
  <c r="D8" i="16" l="1"/>
  <c r="T8" i="16"/>
  <c r="N8" i="16"/>
  <c r="S8" i="16"/>
  <c r="J8" i="16"/>
  <c r="B8" i="16"/>
  <c r="K8" i="16"/>
  <c r="M8" i="16"/>
  <c r="Y2" i="16"/>
  <c r="AB5" i="16"/>
  <c r="U8" i="16" l="1"/>
  <c r="B9" i="16"/>
  <c r="W8" i="16"/>
  <c r="V8" i="16"/>
  <c r="S9" i="16"/>
  <c r="J9" i="16"/>
  <c r="N9" i="16"/>
  <c r="T9" i="16"/>
  <c r="K9" i="16"/>
  <c r="M9" i="16"/>
  <c r="Z8" i="16"/>
  <c r="Y8" i="16"/>
  <c r="G8" i="16"/>
  <c r="P8" i="16"/>
  <c r="AB8" i="16"/>
  <c r="E8" i="16"/>
  <c r="R8" i="16"/>
  <c r="F8" i="16"/>
  <c r="AA8" i="16"/>
  <c r="Q8" i="16"/>
  <c r="X8" i="16" l="1"/>
  <c r="C9" i="16"/>
  <c r="D9" i="16" s="1"/>
  <c r="O8" i="16"/>
  <c r="U9" i="16"/>
  <c r="W9" i="16"/>
  <c r="V9" i="16"/>
  <c r="AB9" i="16"/>
  <c r="F9" i="16"/>
  <c r="B10" i="16"/>
  <c r="J10" i="16"/>
  <c r="T10" i="16"/>
  <c r="S10" i="16"/>
  <c r="N10" i="16"/>
  <c r="G9" i="16"/>
  <c r="Z9" i="16"/>
  <c r="Y9" i="16"/>
  <c r="P9" i="16"/>
  <c r="E9" i="16"/>
  <c r="K10" i="16"/>
  <c r="AA9" i="16"/>
  <c r="Q9" i="16"/>
  <c r="R9" i="16"/>
  <c r="M10" i="16"/>
  <c r="H8" i="16"/>
  <c r="X9" i="16" l="1"/>
  <c r="C10" i="16"/>
  <c r="D10" i="16" s="1"/>
  <c r="O9" i="16"/>
  <c r="U10" i="16"/>
  <c r="V10" i="16"/>
  <c r="W10" i="16"/>
  <c r="F10" i="16"/>
  <c r="AB10" i="16"/>
  <c r="H9" i="16"/>
  <c r="B11" i="16"/>
  <c r="J11" i="16"/>
  <c r="P10" i="16"/>
  <c r="N11" i="16"/>
  <c r="E10" i="16"/>
  <c r="T11" i="16"/>
  <c r="Z10" i="16"/>
  <c r="G10" i="16"/>
  <c r="S11" i="16"/>
  <c r="Y10" i="16"/>
  <c r="M11" i="16"/>
  <c r="K11" i="16"/>
  <c r="AA10" i="16"/>
  <c r="Q10" i="16"/>
  <c r="R10" i="16"/>
  <c r="X10" i="16" l="1"/>
  <c r="C11" i="16"/>
  <c r="D11" i="16" s="1"/>
  <c r="O10" i="16"/>
  <c r="U11" i="16"/>
  <c r="W11" i="16"/>
  <c r="V11" i="16"/>
  <c r="H10" i="16"/>
  <c r="B12" i="16"/>
  <c r="F11" i="16"/>
  <c r="AB11" i="16"/>
  <c r="N12" i="16"/>
  <c r="G11" i="16"/>
  <c r="T12" i="16"/>
  <c r="E11" i="16"/>
  <c r="Y11" i="16"/>
  <c r="P11" i="16"/>
  <c r="S12" i="16"/>
  <c r="Z11" i="16"/>
  <c r="J12" i="16"/>
  <c r="AA11" i="16"/>
  <c r="Q11" i="16"/>
  <c r="K12" i="16"/>
  <c r="M12" i="16"/>
  <c r="R11" i="16"/>
  <c r="X11" i="16" l="1"/>
  <c r="O11" i="16"/>
  <c r="C12" i="16"/>
  <c r="D12" i="16" s="1"/>
  <c r="U12" i="16"/>
  <c r="W12" i="16"/>
  <c r="V12" i="16"/>
  <c r="AB12" i="16"/>
  <c r="F12" i="16"/>
  <c r="B13" i="16"/>
  <c r="H11" i="16"/>
  <c r="T13" i="16"/>
  <c r="N13" i="16"/>
  <c r="J13" i="16"/>
  <c r="S13" i="16"/>
  <c r="P12" i="16"/>
  <c r="Z12" i="16"/>
  <c r="M13" i="16"/>
  <c r="Y12" i="16"/>
  <c r="K13" i="16"/>
  <c r="E12" i="16"/>
  <c r="G12" i="16"/>
  <c r="Q12" i="16"/>
  <c r="AA12" i="16"/>
  <c r="R12" i="16"/>
  <c r="X12" i="16" l="1"/>
  <c r="O12" i="16"/>
  <c r="C13" i="16"/>
  <c r="D13" i="16" s="1"/>
  <c r="U13" i="16"/>
  <c r="W13" i="16"/>
  <c r="V13" i="16"/>
  <c r="H12" i="16"/>
  <c r="F13" i="16"/>
  <c r="B14" i="16"/>
  <c r="AB13" i="16"/>
  <c r="T14" i="16"/>
  <c r="E13" i="16"/>
  <c r="Z13" i="16"/>
  <c r="N14" i="16"/>
  <c r="P13" i="16"/>
  <c r="S14" i="16"/>
  <c r="G13" i="16"/>
  <c r="J14" i="16"/>
  <c r="Y13" i="16"/>
  <c r="R13" i="16"/>
  <c r="AA13" i="16"/>
  <c r="K14" i="16"/>
  <c r="M14" i="16"/>
  <c r="Q13" i="16"/>
  <c r="X13" i="16" l="1"/>
  <c r="O13" i="16"/>
  <c r="C14" i="16"/>
  <c r="D14" i="16" s="1"/>
  <c r="U14" i="16"/>
  <c r="V14" i="16"/>
  <c r="W14" i="16"/>
  <c r="B15" i="16"/>
  <c r="AB14" i="16"/>
  <c r="F14" i="16"/>
  <c r="H13" i="16"/>
  <c r="G14" i="16"/>
  <c r="Z14" i="16"/>
  <c r="Y14" i="16"/>
  <c r="E14" i="16"/>
  <c r="P14" i="16"/>
  <c r="M15" i="16"/>
  <c r="S15" i="16"/>
  <c r="T15" i="16"/>
  <c r="N15" i="16"/>
  <c r="J15" i="16"/>
  <c r="K15" i="16"/>
  <c r="Q14" i="16"/>
  <c r="AA14" i="16"/>
  <c r="R14" i="16"/>
  <c r="X14" i="16" l="1"/>
  <c r="O14" i="16"/>
  <c r="C15" i="16"/>
  <c r="D15" i="16" s="1"/>
  <c r="U15" i="16"/>
  <c r="V15" i="16"/>
  <c r="W15" i="16"/>
  <c r="AB15" i="16"/>
  <c r="F15" i="16"/>
  <c r="B16" i="16"/>
  <c r="H14" i="16"/>
  <c r="N16" i="16"/>
  <c r="S16" i="16"/>
  <c r="J16" i="16"/>
  <c r="T16" i="16"/>
  <c r="Q15" i="16"/>
  <c r="M16" i="16"/>
  <c r="Z15" i="16"/>
  <c r="Y15" i="16"/>
  <c r="R15" i="16"/>
  <c r="E15" i="16"/>
  <c r="AA15" i="16"/>
  <c r="P15" i="16"/>
  <c r="K16" i="16"/>
  <c r="G15" i="16"/>
  <c r="X15" i="16" l="1"/>
  <c r="O15" i="16"/>
  <c r="C16" i="16"/>
  <c r="D16" i="16" s="1"/>
  <c r="U16" i="16"/>
  <c r="W16" i="16"/>
  <c r="V16" i="16"/>
  <c r="H15" i="16"/>
  <c r="F16" i="16"/>
  <c r="AB16" i="16"/>
  <c r="B17" i="16"/>
  <c r="G16" i="16"/>
  <c r="P16" i="16"/>
  <c r="Z16" i="16"/>
  <c r="Y16" i="16"/>
  <c r="E16" i="16"/>
  <c r="R16" i="16"/>
  <c r="AA16" i="16"/>
  <c r="Q16" i="16"/>
  <c r="S17" i="16"/>
  <c r="T17" i="16"/>
  <c r="N17" i="16"/>
  <c r="J17" i="16"/>
  <c r="K17" i="16"/>
  <c r="M17" i="16"/>
  <c r="X16" i="16" l="1"/>
  <c r="O16" i="16"/>
  <c r="C17" i="16"/>
  <c r="D17" i="16" s="1"/>
  <c r="U17" i="16"/>
  <c r="V17" i="16"/>
  <c r="W17" i="16"/>
  <c r="H16" i="16"/>
  <c r="AB17" i="16"/>
  <c r="F17" i="16"/>
  <c r="B18" i="16"/>
  <c r="N18" i="16"/>
  <c r="J18" i="16"/>
  <c r="T18" i="16"/>
  <c r="S18" i="16"/>
  <c r="M18" i="16"/>
  <c r="K18" i="16"/>
  <c r="E17" i="16"/>
  <c r="Z17" i="16"/>
  <c r="Y17" i="16"/>
  <c r="P17" i="16"/>
  <c r="G17" i="16"/>
  <c r="R17" i="16"/>
  <c r="Q17" i="16"/>
  <c r="AA17" i="16"/>
  <c r="X17" i="16" l="1"/>
  <c r="O17" i="16"/>
  <c r="C18" i="16"/>
  <c r="D18" i="16" s="1"/>
  <c r="U18" i="16"/>
  <c r="W18" i="16"/>
  <c r="V18" i="16"/>
  <c r="B19" i="16"/>
  <c r="H17" i="16"/>
  <c r="F18" i="16"/>
  <c r="AB18" i="16"/>
  <c r="J19" i="16"/>
  <c r="S19" i="16"/>
  <c r="T19" i="16"/>
  <c r="N19" i="16"/>
  <c r="K19" i="16"/>
  <c r="M19" i="16"/>
  <c r="P18" i="16"/>
  <c r="G18" i="16"/>
  <c r="Z18" i="16"/>
  <c r="E18" i="16"/>
  <c r="Y18" i="16"/>
  <c r="Q18" i="16"/>
  <c r="R18" i="16"/>
  <c r="AA18" i="16"/>
  <c r="X18" i="16" l="1"/>
  <c r="O18" i="16"/>
  <c r="C19" i="16"/>
  <c r="D19" i="16" s="1"/>
  <c r="U19" i="16"/>
  <c r="V19" i="16"/>
  <c r="W19" i="16"/>
  <c r="B20" i="16"/>
  <c r="F19" i="16"/>
  <c r="AB19" i="16"/>
  <c r="H18" i="16"/>
  <c r="N20" i="16"/>
  <c r="T20" i="16"/>
  <c r="J20" i="16"/>
  <c r="S20" i="16"/>
  <c r="K20" i="16"/>
  <c r="M20" i="16"/>
  <c r="E19" i="16"/>
  <c r="Z19" i="16"/>
  <c r="Y19" i="16"/>
  <c r="G19" i="16"/>
  <c r="P19" i="16"/>
  <c r="Q19" i="16"/>
  <c r="R19" i="16"/>
  <c r="AA19" i="16"/>
  <c r="X19" i="16" l="1"/>
  <c r="O19" i="16"/>
  <c r="C20" i="16"/>
  <c r="D20" i="16" s="1"/>
  <c r="U20" i="16"/>
  <c r="V20" i="16"/>
  <c r="W20" i="16"/>
  <c r="F20" i="16"/>
  <c r="B21" i="16"/>
  <c r="AB20" i="16"/>
  <c r="H19" i="16"/>
  <c r="T21" i="16"/>
  <c r="G20" i="16"/>
  <c r="N21" i="16"/>
  <c r="Z20" i="16"/>
  <c r="J21" i="16"/>
  <c r="E20" i="16"/>
  <c r="Y20" i="16"/>
  <c r="S21" i="16"/>
  <c r="P20" i="16"/>
  <c r="K21" i="16"/>
  <c r="M21" i="16"/>
  <c r="R20" i="16"/>
  <c r="AA20" i="16"/>
  <c r="Q20" i="16"/>
  <c r="O20" i="16" l="1"/>
  <c r="X20" i="16"/>
  <c r="C21" i="16"/>
  <c r="D21" i="16" s="1"/>
  <c r="U21" i="16"/>
  <c r="W21" i="16"/>
  <c r="V21" i="16"/>
  <c r="AB21" i="16"/>
  <c r="F21" i="16"/>
  <c r="B22" i="16"/>
  <c r="H20" i="16"/>
  <c r="P21" i="16"/>
  <c r="Z21" i="16"/>
  <c r="E21" i="16"/>
  <c r="G21" i="16"/>
  <c r="Y21" i="16"/>
  <c r="R21" i="16"/>
  <c r="Q21" i="16"/>
  <c r="AA21" i="16"/>
  <c r="S22" i="16"/>
  <c r="T22" i="16"/>
  <c r="N22" i="16"/>
  <c r="J22" i="16"/>
  <c r="M22" i="16"/>
  <c r="K22" i="16"/>
  <c r="X21" i="16" l="1"/>
  <c r="O21" i="16"/>
  <c r="C22" i="16"/>
  <c r="D22" i="16" s="1"/>
  <c r="U22" i="16"/>
  <c r="V22" i="16"/>
  <c r="W22" i="16"/>
  <c r="B23" i="16"/>
  <c r="F22" i="16"/>
  <c r="AB22" i="16"/>
  <c r="H21" i="16"/>
  <c r="G22" i="16"/>
  <c r="Y22" i="16"/>
  <c r="T23" i="16"/>
  <c r="P22" i="16"/>
  <c r="S23" i="16"/>
  <c r="N23" i="16"/>
  <c r="J23" i="16"/>
  <c r="Z22" i="16"/>
  <c r="E22" i="16"/>
  <c r="K23" i="16"/>
  <c r="M23" i="16"/>
  <c r="AA22" i="16"/>
  <c r="Q22" i="16"/>
  <c r="R22" i="16"/>
  <c r="X22" i="16" l="1"/>
  <c r="O22" i="16"/>
  <c r="C23" i="16"/>
  <c r="D23" i="16" s="1"/>
  <c r="U23" i="16"/>
  <c r="V23" i="16"/>
  <c r="W23" i="16"/>
  <c r="H22" i="16"/>
  <c r="F23" i="16"/>
  <c r="B24" i="16"/>
  <c r="AB23" i="16"/>
  <c r="J24" i="16"/>
  <c r="N24" i="16"/>
  <c r="T24" i="16"/>
  <c r="S24" i="16"/>
  <c r="K24" i="16"/>
  <c r="M24" i="16"/>
  <c r="E23" i="16"/>
  <c r="Y23" i="16"/>
  <c r="G23" i="16"/>
  <c r="P23" i="16"/>
  <c r="Z23" i="16"/>
  <c r="AA23" i="16"/>
  <c r="R23" i="16"/>
  <c r="Q23" i="16"/>
  <c r="X23" i="16" l="1"/>
  <c r="O23" i="16"/>
  <c r="C24" i="16"/>
  <c r="D24" i="16" s="1"/>
  <c r="U24" i="16"/>
  <c r="H23" i="16"/>
  <c r="W24" i="16"/>
  <c r="V24" i="16"/>
  <c r="AB24" i="16"/>
  <c r="F24" i="16"/>
  <c r="B25" i="16"/>
  <c r="Y24" i="16"/>
  <c r="G24" i="16"/>
  <c r="Z24" i="16"/>
  <c r="P24" i="16"/>
  <c r="E24" i="16"/>
  <c r="Q24" i="16"/>
  <c r="R24" i="16"/>
  <c r="AA24" i="16"/>
  <c r="T25" i="16"/>
  <c r="S25" i="16"/>
  <c r="J25" i="16"/>
  <c r="N25" i="16"/>
  <c r="K25" i="16"/>
  <c r="M25" i="16"/>
  <c r="X24" i="16" l="1"/>
  <c r="C25" i="16"/>
  <c r="D25" i="16" s="1"/>
  <c r="O24" i="16"/>
  <c r="U25" i="16"/>
  <c r="H24" i="16"/>
  <c r="V25" i="16"/>
  <c r="W25" i="16"/>
  <c r="AB25" i="16"/>
  <c r="F25" i="16"/>
  <c r="B26" i="16"/>
  <c r="S26" i="16"/>
  <c r="P25" i="16"/>
  <c r="N26" i="16"/>
  <c r="Y25" i="16"/>
  <c r="J26" i="16"/>
  <c r="G25" i="16"/>
  <c r="T26" i="16"/>
  <c r="E25" i="16"/>
  <c r="Z25" i="16"/>
  <c r="M26" i="16"/>
  <c r="K26" i="16"/>
  <c r="AA25" i="16"/>
  <c r="Q25" i="16"/>
  <c r="R25" i="16"/>
  <c r="X25" i="16" l="1"/>
  <c r="C26" i="16"/>
  <c r="D26" i="16" s="1"/>
  <c r="O25" i="16"/>
  <c r="U26" i="16"/>
  <c r="H25" i="16"/>
  <c r="W26" i="16"/>
  <c r="V26" i="16"/>
  <c r="B27" i="16"/>
  <c r="F26" i="16"/>
  <c r="AB26" i="16"/>
  <c r="P26" i="16"/>
  <c r="N27" i="16"/>
  <c r="T27" i="16"/>
  <c r="Z26" i="16"/>
  <c r="S27" i="16"/>
  <c r="J27" i="16"/>
  <c r="Y26" i="16"/>
  <c r="G26" i="16"/>
  <c r="E26" i="16"/>
  <c r="Q26" i="16"/>
  <c r="AA26" i="16"/>
  <c r="R26" i="16"/>
  <c r="K27" i="16"/>
  <c r="M27" i="16"/>
  <c r="O26" i="16" l="1"/>
  <c r="X26" i="16"/>
  <c r="C27" i="16"/>
  <c r="D27" i="16" s="1"/>
  <c r="U27" i="16"/>
  <c r="H26" i="16"/>
  <c r="W27" i="16"/>
  <c r="V27" i="16"/>
  <c r="AB27" i="16"/>
  <c r="B28" i="16"/>
  <c r="F27" i="16"/>
  <c r="T28" i="16"/>
  <c r="E27" i="16"/>
  <c r="P27" i="16"/>
  <c r="Z27" i="16"/>
  <c r="G27" i="16"/>
  <c r="J28" i="16"/>
  <c r="Y27" i="16"/>
  <c r="S28" i="16"/>
  <c r="N28" i="16"/>
  <c r="M28" i="16"/>
  <c r="AA27" i="16"/>
  <c r="Q27" i="16"/>
  <c r="R27" i="16"/>
  <c r="K28" i="16"/>
  <c r="X27" i="16" l="1"/>
  <c r="C28" i="16"/>
  <c r="D28" i="16" s="1"/>
  <c r="O27" i="16"/>
  <c r="U28" i="16"/>
  <c r="H27" i="16"/>
  <c r="V28" i="16"/>
  <c r="W28" i="16"/>
  <c r="AB28" i="16"/>
  <c r="B29" i="16"/>
  <c r="F28" i="16"/>
  <c r="E28" i="16"/>
  <c r="Y28" i="16"/>
  <c r="P28" i="16"/>
  <c r="Z28" i="16"/>
  <c r="G28" i="16"/>
  <c r="J29" i="16"/>
  <c r="R28" i="16"/>
  <c r="N29" i="16"/>
  <c r="Q28" i="16"/>
  <c r="T29" i="16"/>
  <c r="AA28" i="16"/>
  <c r="S29" i="16"/>
  <c r="K29" i="16"/>
  <c r="M29" i="16"/>
  <c r="O28" i="16" l="1"/>
  <c r="X28" i="16"/>
  <c r="C29" i="16"/>
  <c r="D29" i="16" s="1"/>
  <c r="U29" i="16"/>
  <c r="H28" i="16"/>
  <c r="W29" i="16"/>
  <c r="V29" i="16"/>
  <c r="AB29" i="16"/>
  <c r="F29" i="16"/>
  <c r="B30" i="16"/>
  <c r="J30" i="16"/>
  <c r="E29" i="16"/>
  <c r="T30" i="16"/>
  <c r="N30" i="16"/>
  <c r="P29" i="16"/>
  <c r="Y29" i="16"/>
  <c r="G29" i="16"/>
  <c r="S30" i="16"/>
  <c r="Z29" i="16"/>
  <c r="K30" i="16"/>
  <c r="Q29" i="16"/>
  <c r="AA29" i="16"/>
  <c r="M30" i="16"/>
  <c r="R29" i="16"/>
  <c r="X29" i="16" l="1"/>
  <c r="C30" i="16"/>
  <c r="D30" i="16" s="1"/>
  <c r="O29" i="16"/>
  <c r="U30" i="16"/>
  <c r="H29" i="16"/>
  <c r="V30" i="16"/>
  <c r="W30" i="16"/>
  <c r="B31" i="16"/>
  <c r="AB30" i="16"/>
  <c r="F30" i="16"/>
  <c r="Y30" i="16"/>
  <c r="Z30" i="16"/>
  <c r="G30" i="16"/>
  <c r="P30" i="16"/>
  <c r="E30" i="16"/>
  <c r="T31" i="16"/>
  <c r="N31" i="16"/>
  <c r="J31" i="16"/>
  <c r="S31" i="16"/>
  <c r="R30" i="16"/>
  <c r="AA30" i="16"/>
  <c r="Q30" i="16"/>
  <c r="M31" i="16"/>
  <c r="K31" i="16"/>
  <c r="X30" i="16" l="1"/>
  <c r="C31" i="16"/>
  <c r="D31" i="16" s="1"/>
  <c r="O30" i="16"/>
  <c r="U31" i="16"/>
  <c r="H30" i="16"/>
  <c r="V31" i="16"/>
  <c r="W31" i="16"/>
  <c r="V32" i="16"/>
  <c r="W32" i="16"/>
  <c r="B33" i="16"/>
  <c r="AB31" i="16"/>
  <c r="F31" i="16"/>
  <c r="AB32" i="16"/>
  <c r="B32" i="16"/>
  <c r="N33" i="16"/>
  <c r="T33" i="16"/>
  <c r="S33" i="16"/>
  <c r="J33" i="16"/>
  <c r="K33" i="16"/>
  <c r="M33" i="16"/>
  <c r="G31" i="16"/>
  <c r="Y31" i="16"/>
  <c r="E31" i="16"/>
  <c r="P31" i="16"/>
  <c r="Z31" i="16"/>
  <c r="R31" i="16"/>
  <c r="Q31" i="16"/>
  <c r="AA31" i="16"/>
  <c r="Y32" i="16"/>
  <c r="T32" i="16"/>
  <c r="N32" i="16"/>
  <c r="J32" i="16"/>
  <c r="Z32" i="16"/>
  <c r="S32" i="16"/>
  <c r="K32" i="16"/>
  <c r="M32" i="16"/>
  <c r="AA32" i="16"/>
  <c r="X32" i="16" l="1"/>
  <c r="X31" i="16"/>
  <c r="C32" i="16"/>
  <c r="D32" i="16" s="1"/>
  <c r="O31" i="16"/>
  <c r="U32" i="16"/>
  <c r="U33" i="16"/>
  <c r="H31" i="16"/>
  <c r="V33" i="16"/>
  <c r="W33" i="16"/>
  <c r="B34" i="16"/>
  <c r="F33" i="16"/>
  <c r="AB33" i="16"/>
  <c r="F32" i="16"/>
  <c r="P33" i="16"/>
  <c r="E33" i="16"/>
  <c r="G33" i="16"/>
  <c r="Y33" i="16"/>
  <c r="Z33" i="16"/>
  <c r="R33" i="16"/>
  <c r="AA33" i="16"/>
  <c r="Q33" i="16"/>
  <c r="T34" i="16"/>
  <c r="S34" i="16"/>
  <c r="N34" i="16"/>
  <c r="J34" i="16"/>
  <c r="K34" i="16"/>
  <c r="M34" i="16"/>
  <c r="P32" i="16"/>
  <c r="G32" i="16"/>
  <c r="E32" i="16"/>
  <c r="R32" i="16"/>
  <c r="Q32" i="16"/>
  <c r="C33" i="16" l="1"/>
  <c r="D33" i="16" s="1"/>
  <c r="O33" i="16"/>
  <c r="X33" i="16"/>
  <c r="O32" i="16"/>
  <c r="H32" i="16"/>
  <c r="U34" i="16"/>
  <c r="P1" i="15"/>
  <c r="H33" i="16"/>
  <c r="V86" i="16"/>
  <c r="W86" i="16"/>
  <c r="W81" i="16"/>
  <c r="V81" i="16"/>
  <c r="W98" i="16"/>
  <c r="V98" i="16"/>
  <c r="W68" i="16"/>
  <c r="V64" i="16"/>
  <c r="V69" i="16"/>
  <c r="V75" i="16"/>
  <c r="W75" i="16"/>
  <c r="W64" i="16"/>
  <c r="V68" i="16"/>
  <c r="W69" i="16"/>
  <c r="V97" i="16"/>
  <c r="W82" i="16"/>
  <c r="W87" i="16"/>
  <c r="V93" i="16"/>
  <c r="W97" i="16"/>
  <c r="W83" i="16"/>
  <c r="V103" i="16"/>
  <c r="W94" i="16"/>
  <c r="V95" i="16"/>
  <c r="V94" i="16"/>
  <c r="V87" i="16"/>
  <c r="W103" i="16"/>
  <c r="W95" i="16"/>
  <c r="V82" i="16"/>
  <c r="W93" i="16"/>
  <c r="V83" i="16"/>
  <c r="V89" i="16"/>
  <c r="W89" i="16"/>
  <c r="V90" i="16"/>
  <c r="W90" i="16"/>
  <c r="V72" i="16"/>
  <c r="W79" i="16"/>
  <c r="V79" i="16"/>
  <c r="W72" i="16"/>
  <c r="V61" i="16"/>
  <c r="W61" i="16"/>
  <c r="V57" i="16"/>
  <c r="W57" i="16"/>
  <c r="W80" i="16"/>
  <c r="V80" i="16"/>
  <c r="V41" i="16"/>
  <c r="V71" i="16"/>
  <c r="W58" i="16"/>
  <c r="W42" i="16"/>
  <c r="V56" i="16"/>
  <c r="V58" i="16"/>
  <c r="W41" i="16"/>
  <c r="W56" i="16"/>
  <c r="W36" i="16"/>
  <c r="W71" i="16"/>
  <c r="W77" i="16"/>
  <c r="V70" i="16"/>
  <c r="V77" i="16"/>
  <c r="W70" i="16"/>
  <c r="V36" i="16"/>
  <c r="V42" i="16"/>
  <c r="V43" i="16"/>
  <c r="W43" i="16"/>
  <c r="W54" i="16"/>
  <c r="V35" i="16"/>
  <c r="W44" i="16"/>
  <c r="V54" i="16"/>
  <c r="W52" i="16"/>
  <c r="V52" i="16"/>
  <c r="V44" i="16"/>
  <c r="W35" i="16"/>
  <c r="V49" i="16"/>
  <c r="W49" i="16"/>
  <c r="W152" i="16"/>
  <c r="V152" i="16"/>
  <c r="W34" i="16"/>
  <c r="V153" i="16"/>
  <c r="V34" i="16"/>
  <c r="W153" i="16"/>
  <c r="V150" i="16"/>
  <c r="W150" i="16"/>
  <c r="W149" i="16"/>
  <c r="W151" i="16"/>
  <c r="V149" i="16"/>
  <c r="V151" i="16"/>
  <c r="V146" i="16"/>
  <c r="W146" i="16"/>
  <c r="V139" i="16"/>
  <c r="W140" i="16"/>
  <c r="W141" i="16"/>
  <c r="V129" i="16"/>
  <c r="W138" i="16"/>
  <c r="W129" i="16"/>
  <c r="W145" i="16"/>
  <c r="V145" i="16"/>
  <c r="V127" i="16"/>
  <c r="W139" i="16"/>
  <c r="W127" i="16"/>
  <c r="V140" i="16"/>
  <c r="V141" i="16"/>
  <c r="V138" i="16"/>
  <c r="W134" i="16"/>
  <c r="W135" i="16"/>
  <c r="V125" i="16"/>
  <c r="V134" i="16"/>
  <c r="V133" i="16"/>
  <c r="W133" i="16"/>
  <c r="V135" i="16"/>
  <c r="V136" i="16"/>
  <c r="W136" i="16"/>
  <c r="W125" i="16"/>
  <c r="W122" i="16"/>
  <c r="V122" i="16"/>
  <c r="V105" i="16"/>
  <c r="W105" i="16"/>
  <c r="V104" i="16"/>
  <c r="V84" i="16"/>
  <c r="B91" i="16"/>
  <c r="AB96" i="16"/>
  <c r="B101" i="16"/>
  <c r="AB91" i="16"/>
  <c r="B86" i="16"/>
  <c r="AB101" i="16"/>
  <c r="W104" i="16"/>
  <c r="W84" i="16"/>
  <c r="B96" i="16"/>
  <c r="AB86" i="16"/>
  <c r="B103" i="16"/>
  <c r="B83" i="16"/>
  <c r="AB87" i="16"/>
  <c r="B87" i="16"/>
  <c r="B97" i="16"/>
  <c r="AB83" i="16"/>
  <c r="AB99" i="16"/>
  <c r="B82" i="16"/>
  <c r="B95" i="16"/>
  <c r="AB97" i="16"/>
  <c r="AB94" i="16"/>
  <c r="AB82" i="16"/>
  <c r="AB85" i="16"/>
  <c r="AB103" i="16"/>
  <c r="B99" i="16"/>
  <c r="AB95" i="16"/>
  <c r="B94" i="16"/>
  <c r="B85" i="16"/>
  <c r="AB81" i="16"/>
  <c r="AB100" i="16"/>
  <c r="B93" i="16"/>
  <c r="AB102" i="16"/>
  <c r="AB88" i="16"/>
  <c r="AB89" i="16"/>
  <c r="W106" i="16"/>
  <c r="B81" i="16"/>
  <c r="AB92" i="16"/>
  <c r="B98" i="16"/>
  <c r="B89" i="16"/>
  <c r="AB93" i="16"/>
  <c r="B92" i="16"/>
  <c r="B90" i="16"/>
  <c r="V106" i="16"/>
  <c r="B100" i="16"/>
  <c r="B102" i="16"/>
  <c r="AB90" i="16"/>
  <c r="B88" i="16"/>
  <c r="AB98" i="16"/>
  <c r="V63" i="16"/>
  <c r="V99" i="16"/>
  <c r="V92" i="16"/>
  <c r="W99" i="16"/>
  <c r="W100" i="16"/>
  <c r="V88" i="16"/>
  <c r="W85" i="16"/>
  <c r="W102" i="16"/>
  <c r="W65" i="16"/>
  <c r="V65" i="16"/>
  <c r="V74" i="16"/>
  <c r="W88" i="16"/>
  <c r="W91" i="16"/>
  <c r="W96" i="16"/>
  <c r="V102" i="16"/>
  <c r="V100" i="16"/>
  <c r="V91" i="16"/>
  <c r="W63" i="16"/>
  <c r="W74" i="16"/>
  <c r="V96" i="16"/>
  <c r="W101" i="16"/>
  <c r="V101" i="16"/>
  <c r="W92" i="16"/>
  <c r="V85" i="16"/>
  <c r="V67" i="16"/>
  <c r="V66" i="16"/>
  <c r="W66" i="16"/>
  <c r="AB75" i="16"/>
  <c r="B66" i="16"/>
  <c r="B68" i="16"/>
  <c r="AB66" i="16"/>
  <c r="W67" i="16"/>
  <c r="B75" i="16"/>
  <c r="AB67" i="16"/>
  <c r="AB63" i="16"/>
  <c r="AB69" i="16"/>
  <c r="B63" i="16"/>
  <c r="AB68" i="16"/>
  <c r="B65" i="16"/>
  <c r="B67" i="16"/>
  <c r="B69" i="16"/>
  <c r="B64" i="16"/>
  <c r="AB65" i="16"/>
  <c r="AB64" i="16"/>
  <c r="V45" i="16"/>
  <c r="W78" i="16"/>
  <c r="W60" i="16"/>
  <c r="W76" i="16"/>
  <c r="W59" i="16"/>
  <c r="W62" i="16"/>
  <c r="V73" i="16"/>
  <c r="V60" i="16"/>
  <c r="W45" i="16"/>
  <c r="V62" i="16"/>
  <c r="V59" i="16"/>
  <c r="W73" i="16"/>
  <c r="V78" i="16"/>
  <c r="V76" i="16"/>
  <c r="B72" i="16"/>
  <c r="AB60" i="16"/>
  <c r="AB73" i="16"/>
  <c r="AB72" i="16"/>
  <c r="AB61" i="16"/>
  <c r="B80" i="16"/>
  <c r="AB59" i="16"/>
  <c r="AB62" i="16"/>
  <c r="AB80" i="16"/>
  <c r="B57" i="16"/>
  <c r="B73" i="16"/>
  <c r="AB57" i="16"/>
  <c r="B59" i="16"/>
  <c r="B60" i="16"/>
  <c r="B61" i="16"/>
  <c r="B62" i="16"/>
  <c r="B70" i="16"/>
  <c r="AB71" i="16"/>
  <c r="B74" i="16"/>
  <c r="B78" i="16"/>
  <c r="AB70" i="16"/>
  <c r="B77" i="16"/>
  <c r="AB79" i="16"/>
  <c r="AB58" i="16"/>
  <c r="AB78" i="16"/>
  <c r="B58" i="16"/>
  <c r="AB74" i="16"/>
  <c r="B71" i="16"/>
  <c r="AB77" i="16"/>
  <c r="B76" i="16"/>
  <c r="B79" i="16"/>
  <c r="AB76" i="16"/>
  <c r="AB36" i="16"/>
  <c r="B36" i="16"/>
  <c r="AB56" i="16"/>
  <c r="AB43" i="16"/>
  <c r="B43" i="16"/>
  <c r="B42" i="16"/>
  <c r="B41" i="16"/>
  <c r="V40" i="16"/>
  <c r="W40" i="16"/>
  <c r="B56" i="16"/>
  <c r="AB53" i="16"/>
  <c r="AB39" i="16"/>
  <c r="AB41" i="16"/>
  <c r="B39" i="16"/>
  <c r="AB42" i="16"/>
  <c r="AB38" i="16"/>
  <c r="B38" i="16"/>
  <c r="B53" i="16"/>
  <c r="B55" i="16"/>
  <c r="B52" i="16"/>
  <c r="AB55" i="16"/>
  <c r="AB44" i="16"/>
  <c r="AB45" i="16"/>
  <c r="B44" i="16"/>
  <c r="B54" i="16"/>
  <c r="B40" i="16"/>
  <c r="B45" i="16"/>
  <c r="AB35" i="16"/>
  <c r="AB37" i="16"/>
  <c r="AB52" i="16"/>
  <c r="AB54" i="16"/>
  <c r="B37" i="16"/>
  <c r="B35" i="16"/>
  <c r="AB40" i="16"/>
  <c r="W38" i="16"/>
  <c r="W37" i="16"/>
  <c r="V38" i="16"/>
  <c r="V37" i="16"/>
  <c r="W39" i="16"/>
  <c r="V39" i="16"/>
  <c r="V55" i="16"/>
  <c r="W55" i="16"/>
  <c r="W53" i="16"/>
  <c r="V53" i="16"/>
  <c r="V48" i="16"/>
  <c r="W46" i="16"/>
  <c r="W51" i="16"/>
  <c r="V51" i="16"/>
  <c r="W50" i="16"/>
  <c r="V46" i="16"/>
  <c r="V50" i="16"/>
  <c r="W48" i="16"/>
  <c r="AB50" i="16"/>
  <c r="B50" i="16"/>
  <c r="B49" i="16"/>
  <c r="B46" i="16"/>
  <c r="B51" i="16"/>
  <c r="AB51" i="16"/>
  <c r="AB49" i="16"/>
  <c r="B47" i="16"/>
  <c r="AB47" i="16"/>
  <c r="AB46" i="16"/>
  <c r="B48" i="16"/>
  <c r="AB48" i="16"/>
  <c r="V47" i="16"/>
  <c r="W47" i="16"/>
  <c r="AB150" i="16"/>
  <c r="B153" i="16"/>
  <c r="B146" i="16"/>
  <c r="B150" i="16"/>
  <c r="AB153" i="16"/>
  <c r="AB146" i="16"/>
  <c r="B152" i="16"/>
  <c r="AB152" i="16"/>
  <c r="AB149" i="16"/>
  <c r="B149" i="16"/>
  <c r="AB147" i="16"/>
  <c r="B151" i="16"/>
  <c r="B147" i="16"/>
  <c r="AB151" i="16"/>
  <c r="B148" i="16"/>
  <c r="AB148" i="16"/>
  <c r="W148" i="16"/>
  <c r="V148" i="16"/>
  <c r="W147" i="16"/>
  <c r="V147" i="16"/>
  <c r="F34" i="16"/>
  <c r="AB34" i="16"/>
  <c r="B141" i="16"/>
  <c r="AB141" i="16"/>
  <c r="B138" i="16"/>
  <c r="B127" i="16"/>
  <c r="AB127" i="16"/>
  <c r="AB140" i="16"/>
  <c r="AB129" i="16"/>
  <c r="B140" i="16"/>
  <c r="AB138" i="16"/>
  <c r="B129" i="16"/>
  <c r="AB128" i="16"/>
  <c r="B128" i="16"/>
  <c r="B144" i="16"/>
  <c r="B137" i="16"/>
  <c r="AB144" i="16"/>
  <c r="AB137" i="16"/>
  <c r="AB142" i="16"/>
  <c r="B142" i="16"/>
  <c r="B143" i="16"/>
  <c r="AB139" i="16"/>
  <c r="B145" i="16"/>
  <c r="B139" i="16"/>
  <c r="AB143" i="16"/>
  <c r="AB145" i="16"/>
  <c r="V143" i="16"/>
  <c r="W144" i="16"/>
  <c r="V142" i="16"/>
  <c r="V144" i="16"/>
  <c r="W128" i="16"/>
  <c r="W143" i="16"/>
  <c r="W142" i="16"/>
  <c r="V137" i="16"/>
  <c r="W137" i="16"/>
  <c r="V128" i="16"/>
  <c r="AB133" i="16"/>
  <c r="AB132" i="16"/>
  <c r="AB135" i="16"/>
  <c r="B130" i="16"/>
  <c r="B133" i="16"/>
  <c r="B135" i="16"/>
  <c r="AB130" i="16"/>
  <c r="B132" i="16"/>
  <c r="AB134" i="16"/>
  <c r="AB136" i="16"/>
  <c r="B131" i="16"/>
  <c r="B134" i="16"/>
  <c r="AB131" i="16"/>
  <c r="B136" i="16"/>
  <c r="W131" i="16"/>
  <c r="V131" i="16"/>
  <c r="W132" i="16"/>
  <c r="V132" i="16"/>
  <c r="V130" i="16"/>
  <c r="W130" i="16"/>
  <c r="AB124" i="16"/>
  <c r="B124" i="16"/>
  <c r="B125" i="16"/>
  <c r="AB125" i="16"/>
  <c r="B126" i="16"/>
  <c r="AB126" i="16"/>
  <c r="W124" i="16"/>
  <c r="V124" i="16"/>
  <c r="V126" i="16"/>
  <c r="W126" i="16"/>
  <c r="AB121" i="16"/>
  <c r="B121" i="16"/>
  <c r="W113" i="16"/>
  <c r="B120" i="16"/>
  <c r="B119" i="16"/>
  <c r="AB122" i="16"/>
  <c r="V113" i="16"/>
  <c r="B122" i="16"/>
  <c r="AB119" i="16"/>
  <c r="B123" i="16"/>
  <c r="AB123" i="16"/>
  <c r="W111" i="16"/>
  <c r="V111" i="16"/>
  <c r="AB120" i="16"/>
  <c r="W118" i="16"/>
  <c r="V109" i="16"/>
  <c r="W109" i="16"/>
  <c r="V115" i="16"/>
  <c r="W115" i="16"/>
  <c r="V118" i="16"/>
  <c r="W117" i="16"/>
  <c r="V117" i="16"/>
  <c r="V107" i="16"/>
  <c r="W107" i="16"/>
  <c r="V116" i="16"/>
  <c r="V112" i="16"/>
  <c r="W112" i="16"/>
  <c r="W114" i="16"/>
  <c r="V114" i="16"/>
  <c r="W116" i="16"/>
  <c r="W120" i="16"/>
  <c r="W119" i="16"/>
  <c r="V110" i="16"/>
  <c r="W110" i="16"/>
  <c r="V108" i="16"/>
  <c r="W121" i="16"/>
  <c r="W123" i="16"/>
  <c r="W108" i="16"/>
  <c r="V123" i="16"/>
  <c r="V119" i="16"/>
  <c r="V120" i="16"/>
  <c r="V121" i="16"/>
  <c r="B105" i="16"/>
  <c r="AB105" i="16"/>
  <c r="AB104" i="16"/>
  <c r="B104" i="16"/>
  <c r="Z100" i="16"/>
  <c r="Y99" i="16"/>
  <c r="J100" i="16"/>
  <c r="Z103" i="16"/>
  <c r="J99" i="16"/>
  <c r="T100" i="16"/>
  <c r="N99" i="16"/>
  <c r="T102" i="16"/>
  <c r="N90" i="16"/>
  <c r="J90" i="16"/>
  <c r="S82" i="16"/>
  <c r="N100" i="16"/>
  <c r="N102" i="16"/>
  <c r="J102" i="16"/>
  <c r="N103" i="16"/>
  <c r="S90" i="16"/>
  <c r="Y90" i="16"/>
  <c r="S101" i="16"/>
  <c r="Z101" i="16"/>
  <c r="Y101" i="16"/>
  <c r="Z99" i="16"/>
  <c r="Y103" i="16"/>
  <c r="T103" i="16"/>
  <c r="J101" i="16"/>
  <c r="J103" i="16"/>
  <c r="T82" i="16"/>
  <c r="N82" i="16"/>
  <c r="T90" i="16"/>
  <c r="N101" i="16"/>
  <c r="S100" i="16"/>
  <c r="Y102" i="16"/>
  <c r="Y100" i="16"/>
  <c r="T101" i="16"/>
  <c r="S102" i="16"/>
  <c r="Y82" i="16"/>
  <c r="J82" i="16"/>
  <c r="Z90" i="16"/>
  <c r="Z102" i="16"/>
  <c r="T99" i="16"/>
  <c r="S103" i="16"/>
  <c r="S99" i="16"/>
  <c r="Z82" i="16"/>
  <c r="T93" i="16"/>
  <c r="Y95" i="16"/>
  <c r="Z93" i="16"/>
  <c r="S93" i="16"/>
  <c r="J93" i="16"/>
  <c r="B84" i="16"/>
  <c r="Y93" i="16"/>
  <c r="S95" i="16"/>
  <c r="J95" i="16"/>
  <c r="N95" i="16"/>
  <c r="B106" i="16"/>
  <c r="AB84" i="16"/>
  <c r="T95" i="16"/>
  <c r="Z95" i="16"/>
  <c r="AB106" i="16"/>
  <c r="N93" i="16"/>
  <c r="K102" i="16"/>
  <c r="AA101" i="16"/>
  <c r="M101" i="16"/>
  <c r="V154" i="16"/>
  <c r="M102" i="16"/>
  <c r="K101" i="16"/>
  <c r="W154" i="16"/>
  <c r="AA102" i="16"/>
  <c r="AA99" i="16"/>
  <c r="K99" i="16"/>
  <c r="M99" i="16"/>
  <c r="S92" i="16"/>
  <c r="N94" i="16"/>
  <c r="T94" i="16"/>
  <c r="J96" i="16"/>
  <c r="N85" i="16"/>
  <c r="Z85" i="16"/>
  <c r="M100" i="16"/>
  <c r="S94" i="16"/>
  <c r="J92" i="16"/>
  <c r="T96" i="16"/>
  <c r="T88" i="16"/>
  <c r="Y92" i="16"/>
  <c r="T92" i="16"/>
  <c r="N92" i="16"/>
  <c r="Z88" i="16"/>
  <c r="S88" i="16"/>
  <c r="S85" i="16"/>
  <c r="J85" i="16"/>
  <c r="K103" i="16"/>
  <c r="AA103" i="16"/>
  <c r="K82" i="16"/>
  <c r="Y94" i="16"/>
  <c r="Y96" i="16"/>
  <c r="K100" i="16"/>
  <c r="N96" i="16"/>
  <c r="S96" i="16"/>
  <c r="Z92" i="16"/>
  <c r="J94" i="16"/>
  <c r="N88" i="16"/>
  <c r="Y85" i="16"/>
  <c r="J88" i="16"/>
  <c r="Y88" i="16"/>
  <c r="M103" i="16"/>
  <c r="AA100" i="16"/>
  <c r="AA82" i="16"/>
  <c r="Z96" i="16"/>
  <c r="Z94" i="16"/>
  <c r="T85" i="16"/>
  <c r="M82" i="16"/>
  <c r="M90" i="16"/>
  <c r="K90" i="16"/>
  <c r="AA90" i="16"/>
  <c r="Y91" i="16"/>
  <c r="S91" i="16"/>
  <c r="Z87" i="16"/>
  <c r="N86" i="16"/>
  <c r="J86" i="16"/>
  <c r="S87" i="16"/>
  <c r="T87" i="16"/>
  <c r="N97" i="16"/>
  <c r="N91" i="16"/>
  <c r="J91" i="16"/>
  <c r="Y86" i="16"/>
  <c r="Z86" i="16"/>
  <c r="Y87" i="16"/>
  <c r="K95" i="16"/>
  <c r="Z91" i="16"/>
  <c r="T91" i="16"/>
  <c r="S86" i="16"/>
  <c r="J87" i="16"/>
  <c r="M95" i="16"/>
  <c r="T97" i="16"/>
  <c r="J97" i="16"/>
  <c r="Y97" i="16"/>
  <c r="Z97" i="16"/>
  <c r="T86" i="16"/>
  <c r="AA95" i="16"/>
  <c r="S97" i="16"/>
  <c r="N87" i="16"/>
  <c r="M93" i="16"/>
  <c r="AA93" i="16"/>
  <c r="K93" i="16"/>
  <c r="Z98" i="16"/>
  <c r="Y98" i="16"/>
  <c r="S98" i="16"/>
  <c r="J98" i="16"/>
  <c r="N98" i="16"/>
  <c r="T98" i="16"/>
  <c r="M96" i="16"/>
  <c r="AA92" i="16"/>
  <c r="M92" i="16"/>
  <c r="M85" i="16"/>
  <c r="AA96" i="16"/>
  <c r="M88" i="16"/>
  <c r="M94" i="16"/>
  <c r="K92" i="16"/>
  <c r="AA94" i="16"/>
  <c r="K88" i="16"/>
  <c r="K96" i="16"/>
  <c r="K85" i="16"/>
  <c r="AA88" i="16"/>
  <c r="K94" i="16"/>
  <c r="AA85" i="16"/>
  <c r="M91" i="16"/>
  <c r="AA91" i="16"/>
  <c r="M86" i="16"/>
  <c r="K86" i="16"/>
  <c r="AA86" i="16"/>
  <c r="K87" i="16"/>
  <c r="M87" i="16"/>
  <c r="K91" i="16"/>
  <c r="AA87" i="16"/>
  <c r="K97" i="16"/>
  <c r="M97" i="16"/>
  <c r="AA97" i="16"/>
  <c r="AA98" i="16"/>
  <c r="K98" i="16"/>
  <c r="M98" i="16"/>
  <c r="T81" i="16"/>
  <c r="Y83" i="16"/>
  <c r="S89" i="16"/>
  <c r="Y89" i="16"/>
  <c r="N81" i="16"/>
  <c r="S83" i="16"/>
  <c r="J81" i="16"/>
  <c r="S81" i="16"/>
  <c r="Z81" i="16"/>
  <c r="Z89" i="16"/>
  <c r="N89" i="16"/>
  <c r="J89" i="16"/>
  <c r="Y81" i="16"/>
  <c r="T89" i="16"/>
  <c r="N83" i="16"/>
  <c r="J83" i="16"/>
  <c r="Z83" i="16"/>
  <c r="T83" i="16"/>
  <c r="Z66" i="16"/>
  <c r="T65" i="16"/>
  <c r="S63" i="16"/>
  <c r="T63" i="16"/>
  <c r="M83" i="16"/>
  <c r="K83" i="16"/>
  <c r="Y63" i="16"/>
  <c r="T66" i="16"/>
  <c r="S66" i="16"/>
  <c r="M81" i="16"/>
  <c r="S65" i="16"/>
  <c r="N65" i="16"/>
  <c r="N66" i="16"/>
  <c r="AA81" i="16"/>
  <c r="J65" i="16"/>
  <c r="Y66" i="16"/>
  <c r="Z65" i="16"/>
  <c r="J63" i="16"/>
  <c r="N63" i="16"/>
  <c r="Z63" i="16"/>
  <c r="AA83" i="16"/>
  <c r="K81" i="16"/>
  <c r="Y65" i="16"/>
  <c r="J66" i="16"/>
  <c r="M89" i="16"/>
  <c r="K89" i="16"/>
  <c r="AA89" i="16"/>
  <c r="T69" i="16"/>
  <c r="Z69" i="16"/>
  <c r="Y69" i="16"/>
  <c r="N69" i="16"/>
  <c r="N67" i="16"/>
  <c r="J67" i="16"/>
  <c r="Z64" i="16"/>
  <c r="Y64" i="16"/>
  <c r="T67" i="16"/>
  <c r="J64" i="16"/>
  <c r="J69" i="16"/>
  <c r="S67" i="16"/>
  <c r="S64" i="16"/>
  <c r="N64" i="16"/>
  <c r="Y67" i="16"/>
  <c r="Z67" i="16"/>
  <c r="S69" i="16"/>
  <c r="T64" i="16"/>
  <c r="N75" i="16"/>
  <c r="S75" i="16"/>
  <c r="S68" i="16"/>
  <c r="Z75" i="16"/>
  <c r="N68" i="16"/>
  <c r="Z68" i="16"/>
  <c r="Y75" i="16"/>
  <c r="J75" i="16"/>
  <c r="J68" i="16"/>
  <c r="T68" i="16"/>
  <c r="T75" i="16"/>
  <c r="Y68" i="16"/>
  <c r="M65" i="16"/>
  <c r="AA65" i="16"/>
  <c r="AA63" i="16"/>
  <c r="K65" i="16"/>
  <c r="M63" i="16"/>
  <c r="K63" i="16"/>
  <c r="AA66" i="16"/>
  <c r="M66" i="16"/>
  <c r="K66" i="16"/>
  <c r="M69" i="16"/>
  <c r="K67" i="16"/>
  <c r="K64" i="16"/>
  <c r="M67" i="16"/>
  <c r="AA67" i="16"/>
  <c r="M64" i="16"/>
  <c r="AA69" i="16"/>
  <c r="K69" i="16"/>
  <c r="AA64" i="16"/>
  <c r="K75" i="16"/>
  <c r="AA75" i="16"/>
  <c r="M75" i="16"/>
  <c r="Z80" i="16"/>
  <c r="J80" i="16"/>
  <c r="N78" i="16"/>
  <c r="J78" i="16"/>
  <c r="T80" i="16"/>
  <c r="N73" i="16"/>
  <c r="S79" i="16"/>
  <c r="Y79" i="16"/>
  <c r="Z73" i="16"/>
  <c r="S73" i="16"/>
  <c r="Y73" i="16"/>
  <c r="Y76" i="16"/>
  <c r="N79" i="16"/>
  <c r="S60" i="16"/>
  <c r="N60" i="16"/>
  <c r="Z78" i="16"/>
  <c r="J76" i="16"/>
  <c r="S76" i="16"/>
  <c r="Y62" i="16"/>
  <c r="T62" i="16"/>
  <c r="T78" i="16"/>
  <c r="Y80" i="16"/>
  <c r="S74" i="16"/>
  <c r="T76" i="16"/>
  <c r="N74" i="16"/>
  <c r="J79" i="16"/>
  <c r="J74" i="16"/>
  <c r="Z60" i="16"/>
  <c r="Y60" i="16"/>
  <c r="N61" i="16"/>
  <c r="S62" i="16"/>
  <c r="Y61" i="16"/>
  <c r="S61" i="16"/>
  <c r="N62" i="16"/>
  <c r="J61" i="16"/>
  <c r="N80" i="16"/>
  <c r="S78" i="16"/>
  <c r="T73" i="16"/>
  <c r="J60" i="16"/>
  <c r="Z74" i="16"/>
  <c r="Z79" i="16"/>
  <c r="T79" i="16"/>
  <c r="Y74" i="16"/>
  <c r="J73" i="16"/>
  <c r="Z76" i="16"/>
  <c r="N76" i="16"/>
  <c r="T60" i="16"/>
  <c r="T61" i="16"/>
  <c r="J62" i="16"/>
  <c r="Z62" i="16"/>
  <c r="Y78" i="16"/>
  <c r="S80" i="16"/>
  <c r="T74" i="16"/>
  <c r="Z61" i="16"/>
  <c r="M68" i="16"/>
  <c r="AA68" i="16"/>
  <c r="K68" i="16"/>
  <c r="Y71" i="16"/>
  <c r="K60" i="16"/>
  <c r="J72" i="16"/>
  <c r="Y72" i="16"/>
  <c r="Z71" i="16"/>
  <c r="T72" i="16"/>
  <c r="Z72" i="16"/>
  <c r="N72" i="16"/>
  <c r="T71" i="16"/>
  <c r="AA60" i="16"/>
  <c r="S72" i="16"/>
  <c r="S71" i="16"/>
  <c r="N71" i="16"/>
  <c r="J71" i="16"/>
  <c r="M60" i="16"/>
  <c r="M78" i="16"/>
  <c r="M74" i="16"/>
  <c r="K62" i="16"/>
  <c r="M61" i="16"/>
  <c r="AA79" i="16"/>
  <c r="AA76" i="16"/>
  <c r="AA78" i="16"/>
  <c r="K78" i="16"/>
  <c r="K79" i="16"/>
  <c r="K73" i="16"/>
  <c r="AA74" i="16"/>
  <c r="M73" i="16"/>
  <c r="AA61" i="16"/>
  <c r="M76" i="16"/>
  <c r="M79" i="16"/>
  <c r="K74" i="16"/>
  <c r="K76" i="16"/>
  <c r="M62" i="16"/>
  <c r="AA62" i="16"/>
  <c r="AA73" i="16"/>
  <c r="K61" i="16"/>
  <c r="M80" i="16"/>
  <c r="K80" i="16"/>
  <c r="AA80" i="16"/>
  <c r="M71" i="16"/>
  <c r="AA72" i="16"/>
  <c r="AA71" i="16"/>
  <c r="K71" i="16"/>
  <c r="M72" i="16"/>
  <c r="K72" i="16"/>
  <c r="Y70" i="16"/>
  <c r="T70" i="16"/>
  <c r="N70" i="16"/>
  <c r="S70" i="16"/>
  <c r="Z70" i="16"/>
  <c r="J70" i="16"/>
  <c r="N59" i="16"/>
  <c r="Z59" i="16"/>
  <c r="T77" i="16"/>
  <c r="N77" i="16"/>
  <c r="Y77" i="16"/>
  <c r="Y59" i="16"/>
  <c r="J77" i="16"/>
  <c r="Z77" i="16"/>
  <c r="S59" i="16"/>
  <c r="J59" i="16"/>
  <c r="S77" i="16"/>
  <c r="T59" i="16"/>
  <c r="AA77" i="16"/>
  <c r="M77" i="16"/>
  <c r="M70" i="16"/>
  <c r="K77" i="16"/>
  <c r="K70" i="16"/>
  <c r="AA70" i="16"/>
  <c r="J57" i="16"/>
  <c r="S58" i="16"/>
  <c r="Z58" i="16"/>
  <c r="Z57" i="16"/>
  <c r="J45" i="16"/>
  <c r="Y45" i="16"/>
  <c r="Y58" i="16"/>
  <c r="N57" i="16"/>
  <c r="Z45" i="16"/>
  <c r="N58" i="16"/>
  <c r="Y57" i="16"/>
  <c r="J58" i="16"/>
  <c r="S57" i="16"/>
  <c r="T58" i="16"/>
  <c r="N45" i="16"/>
  <c r="S45" i="16"/>
  <c r="T57" i="16"/>
  <c r="T45" i="16"/>
  <c r="M59" i="16"/>
  <c r="K59" i="16"/>
  <c r="AA59" i="16"/>
  <c r="M58" i="16"/>
  <c r="AA58" i="16"/>
  <c r="M57" i="16"/>
  <c r="K58" i="16"/>
  <c r="AA57" i="16"/>
  <c r="K57" i="16"/>
  <c r="AA45" i="16"/>
  <c r="K45" i="16"/>
  <c r="M45" i="16"/>
  <c r="N43" i="16"/>
  <c r="J43" i="16"/>
  <c r="S43" i="16"/>
  <c r="Z43" i="16"/>
  <c r="Y43" i="16"/>
  <c r="T43" i="16"/>
  <c r="J55" i="16"/>
  <c r="J38" i="16"/>
  <c r="J52" i="16"/>
  <c r="Y53" i="16"/>
  <c r="Y40" i="16"/>
  <c r="T40" i="16"/>
  <c r="J40" i="16"/>
  <c r="T41" i="16"/>
  <c r="J41" i="16"/>
  <c r="N44" i="16"/>
  <c r="T37" i="16"/>
  <c r="J39" i="16"/>
  <c r="Z38" i="16"/>
  <c r="S56" i="16"/>
  <c r="N55" i="16"/>
  <c r="Y56" i="16"/>
  <c r="J56" i="16"/>
  <c r="S52" i="16"/>
  <c r="T52" i="16"/>
  <c r="Z52" i="16"/>
  <c r="J53" i="16"/>
  <c r="Y41" i="16"/>
  <c r="S42" i="16"/>
  <c r="Z40" i="16"/>
  <c r="S40" i="16"/>
  <c r="Y44" i="16"/>
  <c r="T44" i="16"/>
  <c r="S38" i="16"/>
  <c r="Z39" i="16"/>
  <c r="T38" i="16"/>
  <c r="J37" i="16"/>
  <c r="Y55" i="16"/>
  <c r="S53" i="16"/>
  <c r="N52" i="16"/>
  <c r="Y42" i="16"/>
  <c r="T42" i="16"/>
  <c r="Z44" i="16"/>
  <c r="S37" i="16"/>
  <c r="Y38" i="16"/>
  <c r="N38" i="16"/>
  <c r="N56" i="16"/>
  <c r="S55" i="16"/>
  <c r="T55" i="16"/>
  <c r="Z55" i="16"/>
  <c r="Z56" i="16"/>
  <c r="T53" i="16"/>
  <c r="N53" i="16"/>
  <c r="N40" i="16"/>
  <c r="N41" i="16"/>
  <c r="Z42" i="16"/>
  <c r="N42" i="16"/>
  <c r="S41" i="16"/>
  <c r="S44" i="16"/>
  <c r="J44" i="16"/>
  <c r="Z37" i="16"/>
  <c r="Y37" i="16"/>
  <c r="T39" i="16"/>
  <c r="N37" i="16"/>
  <c r="T56" i="16"/>
  <c r="Y52" i="16"/>
  <c r="Z53" i="16"/>
  <c r="Z41" i="16"/>
  <c r="J42" i="16"/>
  <c r="Y39" i="16"/>
  <c r="N39" i="16"/>
  <c r="S39" i="16"/>
  <c r="M43" i="16"/>
  <c r="K44" i="16"/>
  <c r="AA43" i="16"/>
  <c r="M44" i="16"/>
  <c r="K43" i="16"/>
  <c r="AA44" i="16"/>
  <c r="J54" i="16"/>
  <c r="K56" i="16"/>
  <c r="K53" i="16"/>
  <c r="AA52" i="16"/>
  <c r="N35" i="16"/>
  <c r="T35" i="16"/>
  <c r="S36" i="16"/>
  <c r="J36" i="16"/>
  <c r="AA40" i="16"/>
  <c r="M39" i="16"/>
  <c r="AA37" i="16"/>
  <c r="Y54" i="16"/>
  <c r="M56" i="16"/>
  <c r="AA53" i="16"/>
  <c r="K52" i="16"/>
  <c r="K42" i="16"/>
  <c r="Z36" i="16"/>
  <c r="Y35" i="16"/>
  <c r="S35" i="16"/>
  <c r="J35" i="16"/>
  <c r="K40" i="16"/>
  <c r="M38" i="16"/>
  <c r="M37" i="16"/>
  <c r="N54" i="16"/>
  <c r="Z54" i="16"/>
  <c r="AA56" i="16"/>
  <c r="M55" i="16"/>
  <c r="M53" i="16"/>
  <c r="M42" i="16"/>
  <c r="Y36" i="16"/>
  <c r="K41" i="16"/>
  <c r="M41" i="16"/>
  <c r="AA41" i="16"/>
  <c r="K39" i="16"/>
  <c r="AA38" i="16"/>
  <c r="K37" i="16"/>
  <c r="T54" i="16"/>
  <c r="S54" i="16"/>
  <c r="K55" i="16"/>
  <c r="AA55" i="16"/>
  <c r="M52" i="16"/>
  <c r="AA42" i="16"/>
  <c r="N36" i="16"/>
  <c r="T36" i="16"/>
  <c r="Z35" i="16"/>
  <c r="M40" i="16"/>
  <c r="AA39" i="16"/>
  <c r="K38" i="16"/>
  <c r="K54" i="16"/>
  <c r="K35" i="16"/>
  <c r="AA54" i="16"/>
  <c r="AA35" i="16"/>
  <c r="M54" i="16"/>
  <c r="M35" i="16"/>
  <c r="K36" i="16"/>
  <c r="M36" i="16"/>
  <c r="AA36" i="16"/>
  <c r="S48" i="16"/>
  <c r="S46" i="16"/>
  <c r="N46" i="16"/>
  <c r="Y48" i="16"/>
  <c r="T48" i="16"/>
  <c r="Y46" i="16"/>
  <c r="T46" i="16"/>
  <c r="J48" i="16"/>
  <c r="N48" i="16"/>
  <c r="Z48" i="16"/>
  <c r="J46" i="16"/>
  <c r="Z46" i="16"/>
  <c r="T50" i="16"/>
  <c r="N50" i="16"/>
  <c r="Z50" i="16"/>
  <c r="Y51" i="16"/>
  <c r="J50" i="16"/>
  <c r="S49" i="16"/>
  <c r="M46" i="16"/>
  <c r="T51" i="16"/>
  <c r="J51" i="16"/>
  <c r="N49" i="16"/>
  <c r="Y47" i="16"/>
  <c r="S47" i="16"/>
  <c r="M48" i="16"/>
  <c r="Z51" i="16"/>
  <c r="S51" i="16"/>
  <c r="Y49" i="16"/>
  <c r="N47" i="16"/>
  <c r="K48" i="16"/>
  <c r="Y50" i="16"/>
  <c r="N51" i="16"/>
  <c r="J49" i="16"/>
  <c r="Z49" i="16"/>
  <c r="T47" i="16"/>
  <c r="J47" i="16"/>
  <c r="AA48" i="16"/>
  <c r="K46" i="16"/>
  <c r="S50" i="16"/>
  <c r="T49" i="16"/>
  <c r="Z47" i="16"/>
  <c r="AA46" i="16"/>
  <c r="AA50" i="16"/>
  <c r="M50" i="16"/>
  <c r="K51" i="16"/>
  <c r="M49" i="16"/>
  <c r="AA47" i="16"/>
  <c r="K49" i="16"/>
  <c r="M47" i="16"/>
  <c r="AA51" i="16"/>
  <c r="K50" i="16"/>
  <c r="AA49" i="16"/>
  <c r="K47" i="16"/>
  <c r="M51" i="16"/>
  <c r="J151" i="16"/>
  <c r="T152" i="16"/>
  <c r="Z152" i="16"/>
  <c r="S146" i="16"/>
  <c r="Y146" i="16"/>
  <c r="Y152" i="16"/>
  <c r="N151" i="16"/>
  <c r="Y151" i="16"/>
  <c r="J146" i="16"/>
  <c r="Z151" i="16"/>
  <c r="N152" i="16"/>
  <c r="S152" i="16"/>
  <c r="T146" i="16"/>
  <c r="N146" i="16"/>
  <c r="S151" i="16"/>
  <c r="J152" i="16"/>
  <c r="T151" i="16"/>
  <c r="Z146" i="16"/>
  <c r="J153" i="16"/>
  <c r="T147" i="16"/>
  <c r="Z148" i="16"/>
  <c r="Y148" i="16"/>
  <c r="Z153" i="16"/>
  <c r="Y147" i="16"/>
  <c r="Z147" i="16"/>
  <c r="J147" i="16"/>
  <c r="J148" i="16"/>
  <c r="S153" i="16"/>
  <c r="Y153" i="16"/>
  <c r="T153" i="16"/>
  <c r="S148" i="16"/>
  <c r="T148" i="16"/>
  <c r="N153" i="16"/>
  <c r="S147" i="16"/>
  <c r="N148" i="16"/>
  <c r="N147" i="16"/>
  <c r="M151" i="16"/>
  <c r="K152" i="16"/>
  <c r="AA148" i="16"/>
  <c r="AA147" i="16"/>
  <c r="AA152" i="16"/>
  <c r="K153" i="16"/>
  <c r="M152" i="16"/>
  <c r="K147" i="16"/>
  <c r="K148" i="16"/>
  <c r="AA151" i="16"/>
  <c r="M153" i="16"/>
  <c r="M148" i="16"/>
  <c r="K146" i="16"/>
  <c r="M147" i="16"/>
  <c r="AA153" i="16"/>
  <c r="K151" i="16"/>
  <c r="M146" i="16"/>
  <c r="AA146" i="16"/>
  <c r="Z149" i="16"/>
  <c r="J149" i="16"/>
  <c r="S150" i="16"/>
  <c r="Z150" i="16"/>
  <c r="Y150" i="16"/>
  <c r="N150" i="16"/>
  <c r="T149" i="16"/>
  <c r="S149" i="16"/>
  <c r="T150" i="16"/>
  <c r="Y149" i="16"/>
  <c r="N149" i="16"/>
  <c r="J150" i="16"/>
  <c r="AA149" i="16"/>
  <c r="M149" i="16"/>
  <c r="AA150" i="16"/>
  <c r="K150" i="16"/>
  <c r="M150" i="16"/>
  <c r="K149" i="16"/>
  <c r="Y34" i="16"/>
  <c r="Z34" i="16"/>
  <c r="P34" i="16"/>
  <c r="E34" i="16"/>
  <c r="G34" i="16"/>
  <c r="AA34" i="16"/>
  <c r="Q34" i="16"/>
  <c r="R34" i="16"/>
  <c r="Z144" i="16"/>
  <c r="N143" i="16"/>
  <c r="Z143" i="16"/>
  <c r="S141" i="16"/>
  <c r="J137" i="16"/>
  <c r="Z138" i="16"/>
  <c r="J138" i="16"/>
  <c r="N127" i="16"/>
  <c r="Y127" i="16"/>
  <c r="S143" i="16"/>
  <c r="S144" i="16"/>
  <c r="Y143" i="16"/>
  <c r="N141" i="16"/>
  <c r="S138" i="16"/>
  <c r="Y138" i="16"/>
  <c r="Y137" i="16"/>
  <c r="J127" i="16"/>
  <c r="S127" i="16"/>
  <c r="T143" i="16"/>
  <c r="N144" i="16"/>
  <c r="T144" i="16"/>
  <c r="T141" i="16"/>
  <c r="Z141" i="16"/>
  <c r="N137" i="16"/>
  <c r="S137" i="16"/>
  <c r="Z137" i="16"/>
  <c r="T127" i="16"/>
  <c r="J143" i="16"/>
  <c r="Y144" i="16"/>
  <c r="J144" i="16"/>
  <c r="Y141" i="16"/>
  <c r="J141" i="16"/>
  <c r="N138" i="16"/>
  <c r="T137" i="16"/>
  <c r="T138" i="16"/>
  <c r="Z127" i="16"/>
  <c r="T145" i="16"/>
  <c r="S142" i="16"/>
  <c r="Y128" i="16"/>
  <c r="T128" i="16"/>
  <c r="S145" i="16"/>
  <c r="Z145" i="16"/>
  <c r="N142" i="16"/>
  <c r="Z142" i="16"/>
  <c r="J128" i="16"/>
  <c r="Z128" i="16"/>
  <c r="N145" i="16"/>
  <c r="Y145" i="16"/>
  <c r="J145" i="16"/>
  <c r="T142" i="16"/>
  <c r="J142" i="16"/>
  <c r="S128" i="16"/>
  <c r="Y142" i="16"/>
  <c r="N128" i="16"/>
  <c r="Z139" i="16"/>
  <c r="J140" i="16"/>
  <c r="S129" i="16"/>
  <c r="Y129" i="16"/>
  <c r="S140" i="16"/>
  <c r="S139" i="16"/>
  <c r="T140" i="16"/>
  <c r="N140" i="16"/>
  <c r="N139" i="16"/>
  <c r="Z140" i="16"/>
  <c r="Z129" i="16"/>
  <c r="J139" i="16"/>
  <c r="Y140" i="16"/>
  <c r="T139" i="16"/>
  <c r="N129" i="16"/>
  <c r="Y139" i="16"/>
  <c r="J129" i="16"/>
  <c r="T129" i="16"/>
  <c r="AA144" i="16"/>
  <c r="M144" i="16"/>
  <c r="K143" i="16"/>
  <c r="AA141" i="16"/>
  <c r="M139" i="16"/>
  <c r="AA137" i="16"/>
  <c r="K138" i="16"/>
  <c r="K128" i="16"/>
  <c r="M127" i="16"/>
  <c r="AA138" i="16"/>
  <c r="AA128" i="16"/>
  <c r="M143" i="16"/>
  <c r="M137" i="16"/>
  <c r="K137" i="16"/>
  <c r="M128" i="16"/>
  <c r="AA127" i="16"/>
  <c r="M141" i="16"/>
  <c r="K144" i="16"/>
  <c r="AA143" i="16"/>
  <c r="K141" i="16"/>
  <c r="AA139" i="16"/>
  <c r="K139" i="16"/>
  <c r="M138" i="16"/>
  <c r="K127" i="16"/>
  <c r="AA145" i="16"/>
  <c r="T132" i="16"/>
  <c r="AA142" i="16"/>
  <c r="N132" i="16"/>
  <c r="N131" i="16"/>
  <c r="S131" i="16"/>
  <c r="K140" i="16"/>
  <c r="Z130" i="16"/>
  <c r="J130" i="16"/>
  <c r="AA140" i="16"/>
  <c r="K145" i="16"/>
  <c r="J132" i="16"/>
  <c r="Z132" i="16"/>
  <c r="S132" i="16"/>
  <c r="Y132" i="16"/>
  <c r="Z131" i="16"/>
  <c r="Y130" i="16"/>
  <c r="S130" i="16"/>
  <c r="N130" i="16"/>
  <c r="T131" i="16"/>
  <c r="M145" i="16"/>
  <c r="J131" i="16"/>
  <c r="K142" i="16"/>
  <c r="M142" i="16"/>
  <c r="T130" i="16"/>
  <c r="M140" i="16"/>
  <c r="Y131" i="16"/>
  <c r="M129" i="16"/>
  <c r="AA129" i="16"/>
  <c r="K129" i="16"/>
  <c r="S134" i="16"/>
  <c r="Z134" i="16"/>
  <c r="Y134" i="16"/>
  <c r="N134" i="16"/>
  <c r="J134" i="16"/>
  <c r="T134" i="16"/>
  <c r="J136" i="16"/>
  <c r="M130" i="16"/>
  <c r="K131" i="16"/>
  <c r="T133" i="16"/>
  <c r="S133" i="16"/>
  <c r="J133" i="16"/>
  <c r="K132" i="16"/>
  <c r="AA131" i="16"/>
  <c r="S136" i="16"/>
  <c r="T136" i="16"/>
  <c r="Y136" i="16"/>
  <c r="N136" i="16"/>
  <c r="Z133" i="16"/>
  <c r="N133" i="16"/>
  <c r="M132" i="16"/>
  <c r="Y133" i="16"/>
  <c r="AA132" i="16"/>
  <c r="M131" i="16"/>
  <c r="K130" i="16"/>
  <c r="Z136" i="16"/>
  <c r="AA130" i="16"/>
  <c r="K134" i="16"/>
  <c r="M134" i="16"/>
  <c r="AA134" i="16"/>
  <c r="M136" i="16"/>
  <c r="M133" i="16"/>
  <c r="K136" i="16"/>
  <c r="K133" i="16"/>
  <c r="AA136" i="16"/>
  <c r="AA133" i="16"/>
  <c r="Y135" i="16"/>
  <c r="N135" i="16"/>
  <c r="S135" i="16"/>
  <c r="T135" i="16"/>
  <c r="J135" i="16"/>
  <c r="Z135" i="16"/>
  <c r="M135" i="16"/>
  <c r="K135" i="16"/>
  <c r="AA135" i="16"/>
  <c r="N126" i="16"/>
  <c r="S126" i="16"/>
  <c r="Z126" i="16"/>
  <c r="J126" i="16"/>
  <c r="T126" i="16"/>
  <c r="Y126" i="16"/>
  <c r="N125" i="16"/>
  <c r="J125" i="16"/>
  <c r="J124" i="16"/>
  <c r="S125" i="16"/>
  <c r="N124" i="16"/>
  <c r="T125" i="16"/>
  <c r="Y125" i="16"/>
  <c r="Z125" i="16"/>
  <c r="S124" i="16"/>
  <c r="Z124" i="16"/>
  <c r="Y124" i="16"/>
  <c r="T124" i="16"/>
  <c r="M126" i="16"/>
  <c r="K124" i="16"/>
  <c r="K126" i="16"/>
  <c r="M124" i="16"/>
  <c r="AA126" i="16"/>
  <c r="AA124" i="16"/>
  <c r="AA125" i="16"/>
  <c r="M125" i="16"/>
  <c r="K125" i="16"/>
  <c r="AB109" i="16"/>
  <c r="AB118" i="16"/>
  <c r="B109" i="16"/>
  <c r="AB111" i="16"/>
  <c r="B113" i="16"/>
  <c r="AB113" i="16"/>
  <c r="B118" i="16"/>
  <c r="B111" i="16"/>
  <c r="B115" i="16"/>
  <c r="AB115" i="16"/>
  <c r="AB116" i="16"/>
  <c r="AB112" i="16"/>
  <c r="AB107" i="16"/>
  <c r="B112" i="16"/>
  <c r="AB110" i="16"/>
  <c r="B107" i="16"/>
  <c r="B116" i="16"/>
  <c r="AB114" i="16"/>
  <c r="B114" i="16"/>
  <c r="B110" i="16"/>
  <c r="AB117" i="16"/>
  <c r="Z123" i="16"/>
  <c r="Y119" i="16"/>
  <c r="N120" i="16"/>
  <c r="N119" i="16"/>
  <c r="S122" i="16"/>
  <c r="J122" i="16"/>
  <c r="T119" i="16"/>
  <c r="Z120" i="16"/>
  <c r="B117" i="16"/>
  <c r="Y123" i="16"/>
  <c r="S123" i="16"/>
  <c r="N121" i="16"/>
  <c r="Z121" i="16"/>
  <c r="N122" i="16"/>
  <c r="Y122" i="16"/>
  <c r="T121" i="16"/>
  <c r="J119" i="16"/>
  <c r="J120" i="16"/>
  <c r="Z122" i="16"/>
  <c r="S120" i="16"/>
  <c r="J121" i="16"/>
  <c r="J123" i="16"/>
  <c r="N123" i="16"/>
  <c r="S121" i="16"/>
  <c r="Z119" i="16"/>
  <c r="Y120" i="16"/>
  <c r="S119" i="16"/>
  <c r="T123" i="16"/>
  <c r="Y121" i="16"/>
  <c r="T122" i="16"/>
  <c r="T120" i="16"/>
  <c r="AB108" i="16"/>
  <c r="B108" i="16"/>
  <c r="AA123" i="16"/>
  <c r="M120" i="16"/>
  <c r="M119" i="16"/>
  <c r="K119" i="16"/>
  <c r="AA120" i="16"/>
  <c r="AA121" i="16"/>
  <c r="K123" i="16"/>
  <c r="K121" i="16"/>
  <c r="K120" i="16"/>
  <c r="M123" i="16"/>
  <c r="AA119" i="16"/>
  <c r="M121" i="16"/>
  <c r="K122" i="16"/>
  <c r="AA122" i="16"/>
  <c r="M122" i="16"/>
  <c r="S1" i="15"/>
  <c r="N106" i="16"/>
  <c r="T106" i="16"/>
  <c r="J104" i="16"/>
  <c r="N104" i="16"/>
  <c r="T104" i="16"/>
  <c r="Y84" i="16"/>
  <c r="N84" i="16"/>
  <c r="Z106" i="16"/>
  <c r="T105" i="16"/>
  <c r="Z104" i="16"/>
  <c r="Y104" i="16"/>
  <c r="Z84" i="16"/>
  <c r="J106" i="16"/>
  <c r="J105" i="16"/>
  <c r="Z105" i="16"/>
  <c r="S104" i="16"/>
  <c r="S84" i="16"/>
  <c r="J84" i="16"/>
  <c r="Y106" i="16"/>
  <c r="S106" i="16"/>
  <c r="N105" i="16"/>
  <c r="Y105" i="16"/>
  <c r="S105" i="16"/>
  <c r="T84" i="16"/>
  <c r="M106" i="16"/>
  <c r="K105" i="16"/>
  <c r="AA84" i="16"/>
  <c r="M105" i="16"/>
  <c r="K104" i="16"/>
  <c r="K106" i="16"/>
  <c r="AA106" i="16"/>
  <c r="K84" i="16"/>
  <c r="AA104" i="16"/>
  <c r="M104" i="16"/>
  <c r="AA105" i="16"/>
  <c r="M84" i="16"/>
  <c r="B154" i="16"/>
  <c r="S117" i="16"/>
  <c r="Z118" i="16"/>
  <c r="T117" i="16"/>
  <c r="N118" i="16"/>
  <c r="T118" i="16"/>
  <c r="J118" i="16"/>
  <c r="Z117" i="16"/>
  <c r="Y117" i="16"/>
  <c r="S118" i="16"/>
  <c r="N117" i="16"/>
  <c r="J117" i="16"/>
  <c r="Y118" i="16"/>
  <c r="Z115" i="16"/>
  <c r="Y115" i="16"/>
  <c r="Z116" i="16"/>
  <c r="N114" i="16"/>
  <c r="S115" i="16"/>
  <c r="Z114" i="16"/>
  <c r="S113" i="16"/>
  <c r="T114" i="16"/>
  <c r="J114" i="16"/>
  <c r="T116" i="16"/>
  <c r="J115" i="16"/>
  <c r="Y114" i="16"/>
  <c r="S114" i="16"/>
  <c r="J116" i="16"/>
  <c r="T115" i="16"/>
  <c r="Y116" i="16"/>
  <c r="Y113" i="16"/>
  <c r="J113" i="16"/>
  <c r="S116" i="16"/>
  <c r="N116" i="16"/>
  <c r="N115" i="16"/>
  <c r="T113" i="16"/>
  <c r="Z113" i="16"/>
  <c r="N113" i="16"/>
  <c r="J110" i="16"/>
  <c r="T112" i="16"/>
  <c r="S112" i="16"/>
  <c r="S110" i="16"/>
  <c r="N111" i="16"/>
  <c r="Y111" i="16"/>
  <c r="T110" i="16"/>
  <c r="Y110" i="16"/>
  <c r="N110" i="16"/>
  <c r="J111" i="16"/>
  <c r="J112" i="16"/>
  <c r="Z110" i="16"/>
  <c r="N112" i="16"/>
  <c r="T111" i="16"/>
  <c r="S111" i="16"/>
  <c r="Z111" i="16"/>
  <c r="Z112" i="16"/>
  <c r="Y112" i="16"/>
  <c r="M117" i="16"/>
  <c r="AA118" i="16"/>
  <c r="M118" i="16"/>
  <c r="K117" i="16"/>
  <c r="K118" i="16"/>
  <c r="AA117" i="16"/>
  <c r="T109" i="16"/>
  <c r="Z109" i="16"/>
  <c r="K115" i="16"/>
  <c r="S107" i="16"/>
  <c r="M116" i="16"/>
  <c r="J108" i="16"/>
  <c r="T107" i="16"/>
  <c r="T108" i="16"/>
  <c r="J109" i="16"/>
  <c r="N109" i="16"/>
  <c r="N108" i="16"/>
  <c r="AA116" i="16"/>
  <c r="S108" i="16"/>
  <c r="N107" i="16"/>
  <c r="M115" i="16"/>
  <c r="Y109" i="16"/>
  <c r="Z107" i="16"/>
  <c r="S109" i="16"/>
  <c r="J107" i="16"/>
  <c r="AA115" i="16"/>
  <c r="Y108" i="16"/>
  <c r="K116" i="16"/>
  <c r="Z108" i="16"/>
  <c r="Y107" i="16"/>
  <c r="K114" i="16"/>
  <c r="K113" i="16"/>
  <c r="AA114" i="16"/>
  <c r="AA113" i="16"/>
  <c r="M113" i="16"/>
  <c r="M114" i="16"/>
  <c r="M111" i="16"/>
  <c r="AA112" i="16"/>
  <c r="K112" i="16"/>
  <c r="AA111" i="16"/>
  <c r="M112" i="16"/>
  <c r="K111" i="16"/>
  <c r="AA110" i="16"/>
  <c r="M110" i="16"/>
  <c r="K109" i="16"/>
  <c r="M109" i="16"/>
  <c r="AA109" i="16"/>
  <c r="K110" i="16"/>
  <c r="M108" i="16"/>
  <c r="AA108" i="16"/>
  <c r="K108" i="16"/>
  <c r="M107" i="16"/>
  <c r="AA107" i="16"/>
  <c r="K107" i="16"/>
  <c r="C34" i="16" l="1"/>
  <c r="D34" i="16" s="1"/>
  <c r="X153" i="16"/>
  <c r="X138" i="16"/>
  <c r="X106" i="16"/>
  <c r="X147" i="16"/>
  <c r="X122" i="16"/>
  <c r="X85" i="16"/>
  <c r="X79" i="16"/>
  <c r="X72" i="16"/>
  <c r="X152" i="16"/>
  <c r="X151" i="16"/>
  <c r="X146" i="16"/>
  <c r="X132" i="16"/>
  <c r="X121" i="16"/>
  <c r="X105" i="16"/>
  <c r="X81" i="16"/>
  <c r="X75" i="16"/>
  <c r="X149" i="16"/>
  <c r="X143" i="16"/>
  <c r="X124" i="16"/>
  <c r="X119" i="16"/>
  <c r="X98" i="16"/>
  <c r="X97" i="16"/>
  <c r="X96" i="16"/>
  <c r="X95" i="16"/>
  <c r="X94" i="16"/>
  <c r="X93" i="16"/>
  <c r="X92" i="16"/>
  <c r="X91" i="16"/>
  <c r="X90" i="16"/>
  <c r="X89" i="16"/>
  <c r="X88" i="16"/>
  <c r="X87" i="16"/>
  <c r="X86" i="16"/>
  <c r="X83" i="16"/>
  <c r="X77" i="16"/>
  <c r="X73" i="16"/>
  <c r="X35" i="16"/>
  <c r="X150" i="16"/>
  <c r="X145" i="16"/>
  <c r="X131" i="16"/>
  <c r="X120" i="16"/>
  <c r="X104" i="16"/>
  <c r="X103" i="16"/>
  <c r="X102" i="16"/>
  <c r="X101" i="16"/>
  <c r="X100" i="16"/>
  <c r="X99" i="16"/>
  <c r="X84" i="16"/>
  <c r="X82" i="16"/>
  <c r="X80" i="16"/>
  <c r="X78" i="16"/>
  <c r="X76" i="16"/>
  <c r="X74" i="16"/>
  <c r="X46" i="16"/>
  <c r="X45" i="16"/>
  <c r="X44" i="16"/>
  <c r="X43" i="16"/>
  <c r="X42" i="16"/>
  <c r="X41" i="16"/>
  <c r="X40" i="16"/>
  <c r="X39" i="16"/>
  <c r="X38" i="16"/>
  <c r="X37" i="16"/>
  <c r="X71" i="16"/>
  <c r="X70" i="16"/>
  <c r="X69" i="16"/>
  <c r="X68" i="16"/>
  <c r="X67" i="16"/>
  <c r="X66" i="16"/>
  <c r="X65" i="16"/>
  <c r="X64" i="16"/>
  <c r="X63" i="16"/>
  <c r="X62" i="16"/>
  <c r="X61" i="16"/>
  <c r="X60" i="16"/>
  <c r="X59" i="16"/>
  <c r="X58" i="16"/>
  <c r="X57" i="16"/>
  <c r="X56" i="16"/>
  <c r="X55" i="16"/>
  <c r="X54" i="16"/>
  <c r="X53" i="16"/>
  <c r="X52" i="16"/>
  <c r="X51" i="16"/>
  <c r="X50" i="16"/>
  <c r="X49" i="16"/>
  <c r="X48" i="16"/>
  <c r="X47" i="16"/>
  <c r="X117" i="16"/>
  <c r="X113" i="16"/>
  <c r="X107" i="16"/>
  <c r="X109" i="16"/>
  <c r="X115" i="16"/>
  <c r="X112" i="16"/>
  <c r="X36" i="16"/>
  <c r="X34" i="16"/>
  <c r="X108" i="16"/>
  <c r="O34" i="16"/>
  <c r="X148" i="16"/>
  <c r="X144" i="16"/>
  <c r="X142" i="16"/>
  <c r="X141" i="16"/>
  <c r="X140" i="16"/>
  <c r="X139" i="16"/>
  <c r="X137" i="16"/>
  <c r="X135" i="16"/>
  <c r="X136" i="16"/>
  <c r="X134" i="16"/>
  <c r="X130" i="16"/>
  <c r="X129" i="16"/>
  <c r="X133" i="16"/>
  <c r="X128" i="16"/>
  <c r="X127" i="16"/>
  <c r="X126" i="16"/>
  <c r="X125" i="16"/>
  <c r="X123" i="16"/>
  <c r="X118" i="16"/>
  <c r="X114" i="16"/>
  <c r="X110" i="16"/>
  <c r="X116" i="16"/>
  <c r="X111" i="16"/>
  <c r="U101" i="16"/>
  <c r="U91" i="16"/>
  <c r="U82" i="16"/>
  <c r="U75" i="16"/>
  <c r="U100" i="16"/>
  <c r="U90" i="16"/>
  <c r="U81" i="16"/>
  <c r="U74" i="16"/>
  <c r="X154" i="16"/>
  <c r="U102" i="16"/>
  <c r="U92" i="16"/>
  <c r="U93" i="16"/>
  <c r="U88" i="16"/>
  <c r="U103" i="16"/>
  <c r="U80" i="16"/>
  <c r="U95" i="16"/>
  <c r="U77" i="16"/>
  <c r="U99" i="16"/>
  <c r="U85" i="16"/>
  <c r="U73" i="16"/>
  <c r="U96" i="16"/>
  <c r="U84" i="16"/>
  <c r="U97" i="16"/>
  <c r="U76" i="16"/>
  <c r="U94" i="16"/>
  <c r="U78" i="16"/>
  <c r="U79" i="16"/>
  <c r="U87" i="16"/>
  <c r="U83" i="16"/>
  <c r="U86" i="16"/>
  <c r="U89" i="16"/>
  <c r="U72" i="16"/>
  <c r="U70" i="16"/>
  <c r="U71" i="16"/>
  <c r="U68" i="16"/>
  <c r="U69" i="16"/>
  <c r="U67" i="16"/>
  <c r="U65" i="16"/>
  <c r="U66" i="16"/>
  <c r="U63" i="16"/>
  <c r="U64" i="16"/>
  <c r="U62" i="16"/>
  <c r="U43" i="16"/>
  <c r="U59" i="16"/>
  <c r="U41" i="16"/>
  <c r="U61" i="16"/>
  <c r="U58" i="16"/>
  <c r="U54" i="16"/>
  <c r="U55" i="16"/>
  <c r="U39" i="16"/>
  <c r="U52" i="16"/>
  <c r="U56" i="16"/>
  <c r="U40" i="16"/>
  <c r="U57" i="16"/>
  <c r="U44" i="16"/>
  <c r="U38" i="16"/>
  <c r="U37" i="16"/>
  <c r="U53" i="16"/>
  <c r="U42" i="16"/>
  <c r="U60" i="16"/>
  <c r="U45" i="16"/>
  <c r="U50" i="16"/>
  <c r="U47" i="16"/>
  <c r="U51" i="16"/>
  <c r="U48" i="16"/>
  <c r="U49" i="16"/>
  <c r="U151" i="16"/>
  <c r="U153" i="16"/>
  <c r="U152" i="16"/>
  <c r="U36" i="16"/>
  <c r="U35" i="16"/>
  <c r="U143" i="16"/>
  <c r="U149" i="16"/>
  <c r="U144" i="16"/>
  <c r="U142" i="16"/>
  <c r="U148" i="16"/>
  <c r="U140" i="16"/>
  <c r="U137" i="16"/>
  <c r="U147" i="16"/>
  <c r="U145" i="16"/>
  <c r="U141" i="16"/>
  <c r="U139" i="16"/>
  <c r="U146" i="16"/>
  <c r="U138" i="16"/>
  <c r="U133" i="16"/>
  <c r="U130" i="16"/>
  <c r="U128" i="16"/>
  <c r="U126" i="16"/>
  <c r="U124" i="16"/>
  <c r="U150" i="16"/>
  <c r="U134" i="16"/>
  <c r="U135" i="16"/>
  <c r="U131" i="16"/>
  <c r="U129" i="16"/>
  <c r="U127" i="16"/>
  <c r="U125" i="16"/>
  <c r="U136" i="16"/>
  <c r="U132" i="16"/>
  <c r="U123" i="16"/>
  <c r="U121" i="16"/>
  <c r="U119" i="16"/>
  <c r="U122" i="16"/>
  <c r="U120" i="16"/>
  <c r="U106" i="16"/>
  <c r="U105" i="16"/>
  <c r="U104" i="16"/>
  <c r="U98" i="16"/>
  <c r="U46" i="16"/>
  <c r="E154" i="16"/>
  <c r="J154" i="16"/>
  <c r="S154" i="16"/>
  <c r="AB154" i="16"/>
  <c r="F154" i="16"/>
  <c r="O154" i="16" s="1"/>
  <c r="K154" i="16"/>
  <c r="P154" i="16"/>
  <c r="T154" i="16"/>
  <c r="Y154" i="16"/>
  <c r="G154" i="16"/>
  <c r="H154" i="16"/>
  <c r="N154" i="16"/>
  <c r="R154" i="16"/>
  <c r="AA154" i="16"/>
  <c r="M154" i="16"/>
  <c r="Q154" i="16"/>
  <c r="Z154" i="16"/>
  <c r="U118" i="16"/>
  <c r="U117" i="16"/>
  <c r="U116" i="16"/>
  <c r="U115" i="16"/>
  <c r="U113" i="16"/>
  <c r="U114" i="16"/>
  <c r="U112" i="16"/>
  <c r="U110" i="16"/>
  <c r="U111" i="16"/>
  <c r="U109" i="16"/>
  <c r="U108" i="16"/>
  <c r="U107" i="16"/>
  <c r="Q1" i="15"/>
  <c r="P2" i="15"/>
  <c r="H34" i="16"/>
  <c r="F96" i="16"/>
  <c r="F86" i="16"/>
  <c r="F91" i="16"/>
  <c r="F101" i="16"/>
  <c r="F85" i="16"/>
  <c r="F103" i="16"/>
  <c r="F83" i="16"/>
  <c r="F95" i="16"/>
  <c r="F94" i="16"/>
  <c r="F97" i="16"/>
  <c r="F82" i="16"/>
  <c r="F99" i="16"/>
  <c r="F93" i="16"/>
  <c r="F90" i="16"/>
  <c r="F81" i="16"/>
  <c r="F89" i="16"/>
  <c r="F100" i="16"/>
  <c r="F92" i="16"/>
  <c r="F88" i="16"/>
  <c r="F98" i="16"/>
  <c r="F102" i="16"/>
  <c r="F87" i="16"/>
  <c r="F64" i="16"/>
  <c r="F63" i="16"/>
  <c r="F68" i="16"/>
  <c r="F65" i="16"/>
  <c r="F66" i="16"/>
  <c r="F69" i="16"/>
  <c r="F75" i="16"/>
  <c r="F67" i="16"/>
  <c r="F62" i="16"/>
  <c r="F73" i="16"/>
  <c r="F60" i="16"/>
  <c r="F59" i="16"/>
  <c r="F57" i="16"/>
  <c r="F80" i="16"/>
  <c r="F61" i="16"/>
  <c r="F72" i="16"/>
  <c r="F58" i="16"/>
  <c r="F79" i="16"/>
  <c r="F71" i="16"/>
  <c r="F76" i="16"/>
  <c r="F77" i="16"/>
  <c r="F74" i="16"/>
  <c r="F70" i="16"/>
  <c r="F78" i="16"/>
  <c r="F38" i="16"/>
  <c r="F39" i="16"/>
  <c r="F53" i="16"/>
  <c r="F41" i="16"/>
  <c r="F56" i="16"/>
  <c r="F36" i="16"/>
  <c r="F43" i="16"/>
  <c r="F42" i="16"/>
  <c r="F45" i="16"/>
  <c r="F54" i="16"/>
  <c r="F40" i="16"/>
  <c r="F55" i="16"/>
  <c r="F35" i="16"/>
  <c r="F44" i="16"/>
  <c r="F52" i="16"/>
  <c r="F37" i="16"/>
  <c r="F51" i="16"/>
  <c r="F49" i="16"/>
  <c r="F48" i="16"/>
  <c r="F47" i="16"/>
  <c r="F50" i="16"/>
  <c r="F46" i="16"/>
  <c r="F150" i="16"/>
  <c r="F152" i="16"/>
  <c r="F153" i="16"/>
  <c r="F146" i="16"/>
  <c r="F149" i="16"/>
  <c r="F151" i="16"/>
  <c r="F147" i="16"/>
  <c r="F148" i="16"/>
  <c r="F138" i="16"/>
  <c r="F129" i="16"/>
  <c r="F127" i="16"/>
  <c r="F140" i="16"/>
  <c r="F141" i="16"/>
  <c r="F128" i="16"/>
  <c r="F142" i="16"/>
  <c r="F137" i="16"/>
  <c r="F144" i="16"/>
  <c r="F143" i="16"/>
  <c r="F145" i="16"/>
  <c r="F139" i="16"/>
  <c r="F133" i="16"/>
  <c r="F130" i="16"/>
  <c r="F135" i="16"/>
  <c r="F132" i="16"/>
  <c r="F134" i="16"/>
  <c r="F136" i="16"/>
  <c r="F131" i="16"/>
  <c r="F124" i="16"/>
  <c r="F125" i="16"/>
  <c r="F126" i="16"/>
  <c r="F121" i="16"/>
  <c r="F122" i="16"/>
  <c r="F123" i="16"/>
  <c r="F119" i="16"/>
  <c r="F120" i="16"/>
  <c r="F105" i="16"/>
  <c r="F104" i="16"/>
  <c r="P100" i="16"/>
  <c r="P99" i="16"/>
  <c r="E102" i="16"/>
  <c r="P103" i="16"/>
  <c r="E82" i="16"/>
  <c r="E103" i="16"/>
  <c r="P90" i="16"/>
  <c r="P101" i="16"/>
  <c r="G102" i="16"/>
  <c r="G103" i="16"/>
  <c r="G90" i="16"/>
  <c r="E101" i="16"/>
  <c r="G99" i="16"/>
  <c r="E100" i="16"/>
  <c r="G101" i="16"/>
  <c r="G82" i="16"/>
  <c r="E99" i="16"/>
  <c r="P102" i="16"/>
  <c r="P82" i="16"/>
  <c r="G100" i="16"/>
  <c r="E90" i="16"/>
  <c r="F84" i="16"/>
  <c r="P95" i="16"/>
  <c r="E95" i="16"/>
  <c r="F106" i="16"/>
  <c r="G95" i="16"/>
  <c r="P93" i="16"/>
  <c r="E93" i="16"/>
  <c r="G93" i="16"/>
  <c r="R102" i="16"/>
  <c r="Q101" i="16"/>
  <c r="Q102" i="16"/>
  <c r="Q99" i="16"/>
  <c r="R99" i="16"/>
  <c r="R101" i="16"/>
  <c r="P92" i="16"/>
  <c r="E96" i="16"/>
  <c r="E92" i="16"/>
  <c r="P85" i="16"/>
  <c r="R82" i="16"/>
  <c r="E94" i="16"/>
  <c r="G94" i="16"/>
  <c r="G85" i="16"/>
  <c r="G88" i="16"/>
  <c r="E88" i="16"/>
  <c r="Q100" i="16"/>
  <c r="Q82" i="16"/>
  <c r="P94" i="16"/>
  <c r="G96" i="16"/>
  <c r="P96" i="16"/>
  <c r="P88" i="16"/>
  <c r="Q103" i="16"/>
  <c r="R100" i="16"/>
  <c r="G92" i="16"/>
  <c r="E85" i="16"/>
  <c r="R103" i="16"/>
  <c r="R90" i="16"/>
  <c r="Q90" i="16"/>
  <c r="P97" i="16"/>
  <c r="G97" i="16"/>
  <c r="P87" i="16"/>
  <c r="P86" i="16"/>
  <c r="E87" i="16"/>
  <c r="E91" i="16"/>
  <c r="P91" i="16"/>
  <c r="G87" i="16"/>
  <c r="E86" i="16"/>
  <c r="Q95" i="16"/>
  <c r="G91" i="16"/>
  <c r="R95" i="16"/>
  <c r="E97" i="16"/>
  <c r="G86" i="16"/>
  <c r="R93" i="16"/>
  <c r="Q93" i="16"/>
  <c r="E98" i="16"/>
  <c r="G98" i="16"/>
  <c r="P98" i="16"/>
  <c r="R96" i="16"/>
  <c r="Q92" i="16"/>
  <c r="R85" i="16"/>
  <c r="Q96" i="16"/>
  <c r="Q94" i="16"/>
  <c r="R94" i="16"/>
  <c r="R92" i="16"/>
  <c r="Q88" i="16"/>
  <c r="Q85" i="16"/>
  <c r="R88" i="16"/>
  <c r="R87" i="16"/>
  <c r="R86" i="16"/>
  <c r="Q87" i="16"/>
  <c r="Q91" i="16"/>
  <c r="Q86" i="16"/>
  <c r="R91" i="16"/>
  <c r="R97" i="16"/>
  <c r="Q97" i="16"/>
  <c r="R98" i="16"/>
  <c r="Q98" i="16"/>
  <c r="G89" i="16"/>
  <c r="G81" i="16"/>
  <c r="E89" i="16"/>
  <c r="P89" i="16"/>
  <c r="G83" i="16"/>
  <c r="P81" i="16"/>
  <c r="P83" i="16"/>
  <c r="E81" i="16"/>
  <c r="E83" i="16"/>
  <c r="E66" i="16"/>
  <c r="G65" i="16"/>
  <c r="G63" i="16"/>
  <c r="E63" i="16"/>
  <c r="P63" i="16"/>
  <c r="R81" i="16"/>
  <c r="Q81" i="16"/>
  <c r="G66" i="16"/>
  <c r="E65" i="16"/>
  <c r="P65" i="16"/>
  <c r="R83" i="16"/>
  <c r="P66" i="16"/>
  <c r="Q83" i="16"/>
  <c r="R89" i="16"/>
  <c r="Q89" i="16"/>
  <c r="G67" i="16"/>
  <c r="G64" i="16"/>
  <c r="E67" i="16"/>
  <c r="E64" i="16"/>
  <c r="P64" i="16"/>
  <c r="G69" i="16"/>
  <c r="E69" i="16"/>
  <c r="P69" i="16"/>
  <c r="P67" i="16"/>
  <c r="G68" i="16"/>
  <c r="E68" i="16"/>
  <c r="G75" i="16"/>
  <c r="P75" i="16"/>
  <c r="E75" i="16"/>
  <c r="P68" i="16"/>
  <c r="Q65" i="16"/>
  <c r="R65" i="16"/>
  <c r="R63" i="16"/>
  <c r="Q63" i="16"/>
  <c r="Q66" i="16"/>
  <c r="R66" i="16"/>
  <c r="Q67" i="16"/>
  <c r="R64" i="16"/>
  <c r="R69" i="16"/>
  <c r="Q64" i="16"/>
  <c r="Q69" i="16"/>
  <c r="R67" i="16"/>
  <c r="Q75" i="16"/>
  <c r="R75" i="16"/>
  <c r="G80" i="16"/>
  <c r="P80" i="16"/>
  <c r="E78" i="16"/>
  <c r="E76" i="16"/>
  <c r="G74" i="16"/>
  <c r="P61" i="16"/>
  <c r="G60" i="16"/>
  <c r="P73" i="16"/>
  <c r="P79" i="16"/>
  <c r="G61" i="16"/>
  <c r="E62" i="16"/>
  <c r="P78" i="16"/>
  <c r="E80" i="16"/>
  <c r="E74" i="16"/>
  <c r="G73" i="16"/>
  <c r="E79" i="16"/>
  <c r="G76" i="16"/>
  <c r="E60" i="16"/>
  <c r="G62" i="16"/>
  <c r="G78" i="16"/>
  <c r="G79" i="16"/>
  <c r="P60" i="16"/>
  <c r="P62" i="16"/>
  <c r="E73" i="16"/>
  <c r="P76" i="16"/>
  <c r="P74" i="16"/>
  <c r="E61" i="16"/>
  <c r="Q68" i="16"/>
  <c r="R68" i="16"/>
  <c r="P72" i="16"/>
  <c r="G71" i="16"/>
  <c r="Q60" i="16"/>
  <c r="E72" i="16"/>
  <c r="P71" i="16"/>
  <c r="R60" i="16"/>
  <c r="G72" i="16"/>
  <c r="E71" i="16"/>
  <c r="Q78" i="16"/>
  <c r="Q73" i="16"/>
  <c r="Q74" i="16"/>
  <c r="Q62" i="16"/>
  <c r="Q76" i="16"/>
  <c r="R74" i="16"/>
  <c r="R62" i="16"/>
  <c r="Q61" i="16"/>
  <c r="R79" i="16"/>
  <c r="Q79" i="16"/>
  <c r="R73" i="16"/>
  <c r="R61" i="16"/>
  <c r="R78" i="16"/>
  <c r="R76" i="16"/>
  <c r="Q80" i="16"/>
  <c r="R80" i="16"/>
  <c r="R72" i="16"/>
  <c r="Q71" i="16"/>
  <c r="Q72" i="16"/>
  <c r="R71" i="16"/>
  <c r="E70" i="16"/>
  <c r="G70" i="16"/>
  <c r="P70" i="16"/>
  <c r="G77" i="16"/>
  <c r="P77" i="16"/>
  <c r="E59" i="16"/>
  <c r="G59" i="16"/>
  <c r="E77" i="16"/>
  <c r="P59" i="16"/>
  <c r="R77" i="16"/>
  <c r="Q77" i="16"/>
  <c r="Q70" i="16"/>
  <c r="R70" i="16"/>
  <c r="E57" i="16"/>
  <c r="P45" i="16"/>
  <c r="G58" i="16"/>
  <c r="P58" i="16"/>
  <c r="G57" i="16"/>
  <c r="E58" i="16"/>
  <c r="P57" i="16"/>
  <c r="E45" i="16"/>
  <c r="G45" i="16"/>
  <c r="Q59" i="16"/>
  <c r="R59" i="16"/>
  <c r="Q58" i="16"/>
  <c r="Q57" i="16"/>
  <c r="R57" i="16"/>
  <c r="R58" i="16"/>
  <c r="Q45" i="16"/>
  <c r="R45" i="16"/>
  <c r="G43" i="16"/>
  <c r="E43" i="16"/>
  <c r="P43" i="16"/>
  <c r="P56" i="16"/>
  <c r="P53" i="16"/>
  <c r="G52" i="16"/>
  <c r="P40" i="16"/>
  <c r="G40" i="16"/>
  <c r="E44" i="16"/>
  <c r="E38" i="16"/>
  <c r="G37" i="16"/>
  <c r="E42" i="16"/>
  <c r="P44" i="16"/>
  <c r="E55" i="16"/>
  <c r="G55" i="16"/>
  <c r="P52" i="16"/>
  <c r="G53" i="16"/>
  <c r="E40" i="16"/>
  <c r="P41" i="16"/>
  <c r="E39" i="16"/>
  <c r="G38" i="16"/>
  <c r="P39" i="16"/>
  <c r="P55" i="16"/>
  <c r="G41" i="16"/>
  <c r="E37" i="16"/>
  <c r="G56" i="16"/>
  <c r="E56" i="16"/>
  <c r="E52" i="16"/>
  <c r="E53" i="16"/>
  <c r="E41" i="16"/>
  <c r="P42" i="16"/>
  <c r="G44" i="16"/>
  <c r="P37" i="16"/>
  <c r="P38" i="16"/>
  <c r="G42" i="16"/>
  <c r="G39" i="16"/>
  <c r="Q44" i="16"/>
  <c r="Q43" i="16"/>
  <c r="R44" i="16"/>
  <c r="R43" i="16"/>
  <c r="R55" i="16"/>
  <c r="R52" i="16"/>
  <c r="Q42" i="16"/>
  <c r="E36" i="16"/>
  <c r="P35" i="16"/>
  <c r="R39" i="16"/>
  <c r="R37" i="16"/>
  <c r="R53" i="16"/>
  <c r="R42" i="16"/>
  <c r="Q39" i="16"/>
  <c r="Q37" i="16"/>
  <c r="G54" i="16"/>
  <c r="E54" i="16"/>
  <c r="Q55" i="16"/>
  <c r="Q52" i="16"/>
  <c r="P36" i="16"/>
  <c r="R41" i="16"/>
  <c r="R40" i="16"/>
  <c r="Q38" i="16"/>
  <c r="R56" i="16"/>
  <c r="G35" i="16"/>
  <c r="P54" i="16"/>
  <c r="Q56" i="16"/>
  <c r="Q53" i="16"/>
  <c r="E35" i="16"/>
  <c r="Q41" i="16"/>
  <c r="Q40" i="16"/>
  <c r="R38" i="16"/>
  <c r="G36" i="16"/>
  <c r="Q35" i="16"/>
  <c r="R54" i="16"/>
  <c r="Q54" i="16"/>
  <c r="R35" i="16"/>
  <c r="Q36" i="16"/>
  <c r="R36" i="16"/>
  <c r="G48" i="16"/>
  <c r="P48" i="16"/>
  <c r="G46" i="16"/>
  <c r="E48" i="16"/>
  <c r="P46" i="16"/>
  <c r="E46" i="16"/>
  <c r="P50" i="16"/>
  <c r="E49" i="16"/>
  <c r="R48" i="16"/>
  <c r="R46" i="16"/>
  <c r="Q48" i="16"/>
  <c r="E50" i="16"/>
  <c r="E51" i="16"/>
  <c r="G51" i="16"/>
  <c r="G49" i="16"/>
  <c r="E47" i="16"/>
  <c r="P51" i="16"/>
  <c r="P49" i="16"/>
  <c r="G47" i="16"/>
  <c r="G50" i="16"/>
  <c r="P47" i="16"/>
  <c r="Q46" i="16"/>
  <c r="Q51" i="16"/>
  <c r="R49" i="16"/>
  <c r="R47" i="16"/>
  <c r="R50" i="16"/>
  <c r="R51" i="16"/>
  <c r="Q50" i="16"/>
  <c r="Q47" i="16"/>
  <c r="Q49" i="16"/>
  <c r="P151" i="16"/>
  <c r="E146" i="16"/>
  <c r="G151" i="16"/>
  <c r="E151" i="16"/>
  <c r="P152" i="16"/>
  <c r="P146" i="16"/>
  <c r="E152" i="16"/>
  <c r="G152" i="16"/>
  <c r="G146" i="16"/>
  <c r="G153" i="16"/>
  <c r="G148" i="16"/>
  <c r="P148" i="16"/>
  <c r="E147" i="16"/>
  <c r="E153" i="16"/>
  <c r="P153" i="16"/>
  <c r="P147" i="16"/>
  <c r="G147" i="16"/>
  <c r="E148" i="16"/>
  <c r="Q153" i="16"/>
  <c r="R148" i="16"/>
  <c r="Q148" i="16"/>
  <c r="Q147" i="16"/>
  <c r="Q152" i="16"/>
  <c r="Q146" i="16"/>
  <c r="R146" i="16"/>
  <c r="Q151" i="16"/>
  <c r="R152" i="16"/>
  <c r="R151" i="16"/>
  <c r="R147" i="16"/>
  <c r="R153" i="16"/>
  <c r="P150" i="16"/>
  <c r="E149" i="16"/>
  <c r="G150" i="16"/>
  <c r="P149" i="16"/>
  <c r="G149" i="16"/>
  <c r="E150" i="16"/>
  <c r="Q150" i="16"/>
  <c r="Q149" i="16"/>
  <c r="R149" i="16"/>
  <c r="R150" i="16"/>
  <c r="E143" i="16"/>
  <c r="G141" i="16"/>
  <c r="P137" i="16"/>
  <c r="E127" i="16"/>
  <c r="P144" i="16"/>
  <c r="G127" i="16"/>
  <c r="E144" i="16"/>
  <c r="G144" i="16"/>
  <c r="E141" i="16"/>
  <c r="E137" i="16"/>
  <c r="P127" i="16"/>
  <c r="E138" i="16"/>
  <c r="G143" i="16"/>
  <c r="P141" i="16"/>
  <c r="P138" i="16"/>
  <c r="G138" i="16"/>
  <c r="P143" i="16"/>
  <c r="G137" i="16"/>
  <c r="G145" i="16"/>
  <c r="G128" i="16"/>
  <c r="E128" i="16"/>
  <c r="P145" i="16"/>
  <c r="P142" i="16"/>
  <c r="G142" i="16"/>
  <c r="P128" i="16"/>
  <c r="E145" i="16"/>
  <c r="E142" i="16"/>
  <c r="P139" i="16"/>
  <c r="E129" i="16"/>
  <c r="P140" i="16"/>
  <c r="E139" i="16"/>
  <c r="G129" i="16"/>
  <c r="G139" i="16"/>
  <c r="P129" i="16"/>
  <c r="G140" i="16"/>
  <c r="E140" i="16"/>
  <c r="Q144" i="16"/>
  <c r="R141" i="16"/>
  <c r="Q137" i="16"/>
  <c r="Q127" i="16"/>
  <c r="R139" i="16"/>
  <c r="R143" i="16"/>
  <c r="Q139" i="16"/>
  <c r="R137" i="16"/>
  <c r="R128" i="16"/>
  <c r="Q141" i="16"/>
  <c r="Q128" i="16"/>
  <c r="R144" i="16"/>
  <c r="Q143" i="16"/>
  <c r="Q138" i="16"/>
  <c r="R127" i="16"/>
  <c r="R138" i="16"/>
  <c r="Q145" i="16"/>
  <c r="Q142" i="16"/>
  <c r="E131" i="16"/>
  <c r="P130" i="16"/>
  <c r="G131" i="16"/>
  <c r="R145" i="16"/>
  <c r="P132" i="16"/>
  <c r="E132" i="16"/>
  <c r="G132" i="16"/>
  <c r="Q140" i="16"/>
  <c r="P131" i="16"/>
  <c r="R140" i="16"/>
  <c r="G130" i="16"/>
  <c r="E130" i="16"/>
  <c r="R142" i="16"/>
  <c r="Q129" i="16"/>
  <c r="R129" i="16"/>
  <c r="P134" i="16"/>
  <c r="E134" i="16"/>
  <c r="G134" i="16"/>
  <c r="R131" i="16"/>
  <c r="P136" i="16"/>
  <c r="E136" i="16"/>
  <c r="P133" i="16"/>
  <c r="R132" i="16"/>
  <c r="Q131" i="16"/>
  <c r="G136" i="16"/>
  <c r="G133" i="16"/>
  <c r="E133" i="16"/>
  <c r="Q132" i="16"/>
  <c r="Q130" i="16"/>
  <c r="R130" i="16"/>
  <c r="Q134" i="16"/>
  <c r="R134" i="16"/>
  <c r="R133" i="16"/>
  <c r="R136" i="16"/>
  <c r="Q133" i="16"/>
  <c r="Q136" i="16"/>
  <c r="P135" i="16"/>
  <c r="E135" i="16"/>
  <c r="G135" i="16"/>
  <c r="R135" i="16"/>
  <c r="Q135" i="16"/>
  <c r="G126" i="16"/>
  <c r="E126" i="16"/>
  <c r="P126" i="16"/>
  <c r="P124" i="16"/>
  <c r="E124" i="16"/>
  <c r="G125" i="16"/>
  <c r="G124" i="16"/>
  <c r="P125" i="16"/>
  <c r="E125" i="16"/>
  <c r="R124" i="16"/>
  <c r="R126" i="16"/>
  <c r="Q126" i="16"/>
  <c r="Q124" i="16"/>
  <c r="Q125" i="16"/>
  <c r="R125" i="16"/>
  <c r="F111" i="16"/>
  <c r="F118" i="16"/>
  <c r="F113" i="16"/>
  <c r="F109" i="16"/>
  <c r="F115" i="16"/>
  <c r="F107" i="16"/>
  <c r="F116" i="16"/>
  <c r="F114" i="16"/>
  <c r="F112" i="16"/>
  <c r="F110" i="16"/>
  <c r="F117" i="16"/>
  <c r="P123" i="16"/>
  <c r="E121" i="16"/>
  <c r="G121" i="16"/>
  <c r="P119" i="16"/>
  <c r="G122" i="16"/>
  <c r="G119" i="16"/>
  <c r="P122" i="16"/>
  <c r="E119" i="16"/>
  <c r="G120" i="16"/>
  <c r="G123" i="16"/>
  <c r="E123" i="16"/>
  <c r="E122" i="16"/>
  <c r="P121" i="16"/>
  <c r="P120" i="16"/>
  <c r="E120" i="16"/>
  <c r="F108" i="16"/>
  <c r="Q121" i="16"/>
  <c r="R121" i="16"/>
  <c r="Q123" i="16"/>
  <c r="R123" i="16"/>
  <c r="R120" i="16"/>
  <c r="Q119" i="16"/>
  <c r="R119" i="16"/>
  <c r="Q120" i="16"/>
  <c r="Q122" i="16"/>
  <c r="R122" i="16"/>
  <c r="S2" i="15"/>
  <c r="E106" i="16"/>
  <c r="G104" i="16"/>
  <c r="P104" i="16"/>
  <c r="E105" i="16"/>
  <c r="P84" i="16"/>
  <c r="G106" i="16"/>
  <c r="E84" i="16"/>
  <c r="P106" i="16"/>
  <c r="P105" i="16"/>
  <c r="G105" i="16"/>
  <c r="G84" i="16"/>
  <c r="E104" i="16"/>
  <c r="R105" i="16"/>
  <c r="Q104" i="16"/>
  <c r="Q84" i="16"/>
  <c r="Q105" i="16"/>
  <c r="R104" i="16"/>
  <c r="R106" i="16"/>
  <c r="Q106" i="16"/>
  <c r="R84" i="16"/>
  <c r="G117" i="16"/>
  <c r="G118" i="16"/>
  <c r="P118" i="16"/>
  <c r="P117" i="16"/>
  <c r="E117" i="16"/>
  <c r="E118" i="16"/>
  <c r="P114" i="16"/>
  <c r="G116" i="16"/>
  <c r="G115" i="16"/>
  <c r="G114" i="16"/>
  <c r="P113" i="16"/>
  <c r="E114" i="16"/>
  <c r="P115" i="16"/>
  <c r="E116" i="16"/>
  <c r="E113" i="16"/>
  <c r="P116" i="16"/>
  <c r="E115" i="16"/>
  <c r="G113" i="16"/>
  <c r="G110" i="16"/>
  <c r="G112" i="16"/>
  <c r="P112" i="16"/>
  <c r="P110" i="16"/>
  <c r="E111" i="16"/>
  <c r="E110" i="16"/>
  <c r="P111" i="16"/>
  <c r="E112" i="16"/>
  <c r="G111" i="16"/>
  <c r="R118" i="16"/>
  <c r="R117" i="16"/>
  <c r="Q118" i="16"/>
  <c r="Q117" i="16"/>
  <c r="Q115" i="16"/>
  <c r="E107" i="16"/>
  <c r="P107" i="16"/>
  <c r="G108" i="16"/>
  <c r="G107" i="16"/>
  <c r="Q116" i="16"/>
  <c r="E108" i="16"/>
  <c r="R116" i="16"/>
  <c r="P108" i="16"/>
  <c r="E109" i="16"/>
  <c r="P109" i="16"/>
  <c r="R115" i="16"/>
  <c r="G109" i="16"/>
  <c r="R114" i="16"/>
  <c r="Q113" i="16"/>
  <c r="Q114" i="16"/>
  <c r="R113" i="16"/>
  <c r="Q112" i="16"/>
  <c r="Q111" i="16"/>
  <c r="R112" i="16"/>
  <c r="R111" i="16"/>
  <c r="Q110" i="16"/>
  <c r="Q109" i="16"/>
  <c r="R110" i="16"/>
  <c r="R109" i="16"/>
  <c r="R108" i="16"/>
  <c r="Q108" i="16"/>
  <c r="R107" i="16"/>
  <c r="Q107" i="16"/>
  <c r="H149" i="16" l="1"/>
  <c r="O149" i="16"/>
  <c r="C35" i="16"/>
  <c r="D35" i="16" s="1"/>
  <c r="H145" i="16"/>
  <c r="O145" i="16"/>
  <c r="O143" i="16"/>
  <c r="H143" i="16"/>
  <c r="H140" i="16"/>
  <c r="O140" i="16"/>
  <c r="H139" i="16"/>
  <c r="O139" i="16"/>
  <c r="H138" i="16"/>
  <c r="O138" i="16"/>
  <c r="O131" i="16"/>
  <c r="H131" i="16"/>
  <c r="O132" i="16"/>
  <c r="H132" i="16"/>
  <c r="O128" i="16"/>
  <c r="H128" i="16"/>
  <c r="O124" i="16"/>
  <c r="H124" i="16"/>
  <c r="H123" i="16"/>
  <c r="O123" i="16"/>
  <c r="O100" i="16"/>
  <c r="H100" i="16"/>
  <c r="O80" i="16"/>
  <c r="H80" i="16"/>
  <c r="O48" i="16"/>
  <c r="H48" i="16"/>
  <c r="O50" i="16"/>
  <c r="H50" i="16"/>
  <c r="O52" i="16"/>
  <c r="H52" i="16"/>
  <c r="O54" i="16"/>
  <c r="H54" i="16"/>
  <c r="O56" i="16"/>
  <c r="H56" i="16"/>
  <c r="O58" i="16"/>
  <c r="H58" i="16"/>
  <c r="O60" i="16"/>
  <c r="H60" i="16"/>
  <c r="O62" i="16"/>
  <c r="H62" i="16"/>
  <c r="O64" i="16"/>
  <c r="H64" i="16"/>
  <c r="O66" i="16"/>
  <c r="H66" i="16"/>
  <c r="O68" i="16"/>
  <c r="H68" i="16"/>
  <c r="O70" i="16"/>
  <c r="H70" i="16"/>
  <c r="O37" i="16"/>
  <c r="H37" i="16"/>
  <c r="O39" i="16"/>
  <c r="H39" i="16"/>
  <c r="O41" i="16"/>
  <c r="H41" i="16"/>
  <c r="O43" i="16"/>
  <c r="H43" i="16"/>
  <c r="O45" i="16"/>
  <c r="H45" i="16"/>
  <c r="O73" i="16"/>
  <c r="H73" i="16"/>
  <c r="O78" i="16"/>
  <c r="H78" i="16"/>
  <c r="O86" i="16"/>
  <c r="H86" i="16"/>
  <c r="O88" i="16"/>
  <c r="H88" i="16"/>
  <c r="O90" i="16"/>
  <c r="H90" i="16"/>
  <c r="O92" i="16"/>
  <c r="H92" i="16"/>
  <c r="O94" i="16"/>
  <c r="H94" i="16"/>
  <c r="O96" i="16"/>
  <c r="H96" i="16"/>
  <c r="O77" i="16"/>
  <c r="H77" i="16"/>
  <c r="O85" i="16"/>
  <c r="H85" i="16"/>
  <c r="O102" i="16"/>
  <c r="H102" i="16"/>
  <c r="O79" i="16"/>
  <c r="H79" i="16"/>
  <c r="H151" i="16"/>
  <c r="O151" i="16"/>
  <c r="O47" i="16"/>
  <c r="H47" i="16"/>
  <c r="O49" i="16"/>
  <c r="H49" i="16"/>
  <c r="O51" i="16"/>
  <c r="H51" i="16"/>
  <c r="O53" i="16"/>
  <c r="H53" i="16"/>
  <c r="O55" i="16"/>
  <c r="H55" i="16"/>
  <c r="O57" i="16"/>
  <c r="H57" i="16"/>
  <c r="O59" i="16"/>
  <c r="H59" i="16"/>
  <c r="O61" i="16"/>
  <c r="H61" i="16"/>
  <c r="O63" i="16"/>
  <c r="H63" i="16"/>
  <c r="O65" i="16"/>
  <c r="H65" i="16"/>
  <c r="O67" i="16"/>
  <c r="H67" i="16"/>
  <c r="O69" i="16"/>
  <c r="H69" i="16"/>
  <c r="O71" i="16"/>
  <c r="H71" i="16"/>
  <c r="O38" i="16"/>
  <c r="H38" i="16"/>
  <c r="O40" i="16"/>
  <c r="H40" i="16"/>
  <c r="O42" i="16"/>
  <c r="H42" i="16"/>
  <c r="O44" i="16"/>
  <c r="H44" i="16"/>
  <c r="O74" i="16"/>
  <c r="H74" i="16"/>
  <c r="O82" i="16"/>
  <c r="H82" i="16"/>
  <c r="O87" i="16"/>
  <c r="H87" i="16"/>
  <c r="O89" i="16"/>
  <c r="H89" i="16"/>
  <c r="O91" i="16"/>
  <c r="H91" i="16"/>
  <c r="O93" i="16"/>
  <c r="H93" i="16"/>
  <c r="O95" i="16"/>
  <c r="H95" i="16"/>
  <c r="O97" i="16"/>
  <c r="H97" i="16"/>
  <c r="O81" i="16"/>
  <c r="H81" i="16"/>
  <c r="O72" i="16"/>
  <c r="H72" i="16"/>
  <c r="O99" i="16"/>
  <c r="H99" i="16"/>
  <c r="O101" i="16"/>
  <c r="H101" i="16"/>
  <c r="O103" i="16"/>
  <c r="H103" i="16"/>
  <c r="O76" i="16"/>
  <c r="H76" i="16"/>
  <c r="O84" i="16"/>
  <c r="H84" i="16"/>
  <c r="O75" i="16"/>
  <c r="H75" i="16"/>
  <c r="O83" i="16"/>
  <c r="H83" i="16"/>
  <c r="H152" i="16"/>
  <c r="O152" i="16"/>
  <c r="H153" i="16"/>
  <c r="O153" i="16"/>
  <c r="O137" i="16"/>
  <c r="H137" i="16"/>
  <c r="H35" i="16"/>
  <c r="O35" i="16"/>
  <c r="H127" i="16"/>
  <c r="O127" i="16"/>
  <c r="O147" i="16"/>
  <c r="H147" i="16"/>
  <c r="H134" i="16"/>
  <c r="O134" i="16"/>
  <c r="O148" i="16"/>
  <c r="H148" i="16"/>
  <c r="O133" i="16"/>
  <c r="H133" i="16"/>
  <c r="H130" i="16"/>
  <c r="O130" i="16"/>
  <c r="H135" i="16"/>
  <c r="O135" i="16"/>
  <c r="H36" i="16"/>
  <c r="O36" i="16"/>
  <c r="O144" i="16"/>
  <c r="H144" i="16"/>
  <c r="H141" i="16"/>
  <c r="O141" i="16"/>
  <c r="H146" i="16"/>
  <c r="O146" i="16"/>
  <c r="H142" i="16"/>
  <c r="O142" i="16"/>
  <c r="O150" i="16"/>
  <c r="H150" i="16"/>
  <c r="H129" i="16"/>
  <c r="O129" i="16"/>
  <c r="H136" i="16"/>
  <c r="O136" i="16"/>
  <c r="H121" i="16"/>
  <c r="O121" i="16"/>
  <c r="H120" i="16"/>
  <c r="O120" i="16"/>
  <c r="H125" i="16"/>
  <c r="O125" i="16"/>
  <c r="H126" i="16"/>
  <c r="O126" i="16"/>
  <c r="H122" i="16"/>
  <c r="O122" i="16"/>
  <c r="O119" i="16"/>
  <c r="H119" i="16"/>
  <c r="H104" i="16"/>
  <c r="O104" i="16"/>
  <c r="H105" i="16"/>
  <c r="O105" i="16"/>
  <c r="H98" i="16"/>
  <c r="O98" i="16"/>
  <c r="H106" i="16"/>
  <c r="O106" i="16"/>
  <c r="H46" i="16"/>
  <c r="O46" i="16"/>
  <c r="O112" i="16"/>
  <c r="H112" i="16"/>
  <c r="O117" i="16"/>
  <c r="H117" i="16"/>
  <c r="H107" i="16"/>
  <c r="O107" i="16"/>
  <c r="H108" i="16"/>
  <c r="O108" i="16"/>
  <c r="H109" i="16"/>
  <c r="O109" i="16"/>
  <c r="H113" i="16"/>
  <c r="O113" i="16"/>
  <c r="H115" i="16"/>
  <c r="O115" i="16"/>
  <c r="O114" i="16"/>
  <c r="H114" i="16"/>
  <c r="O116" i="16"/>
  <c r="H116" i="16"/>
  <c r="O118" i="16"/>
  <c r="H118" i="16"/>
  <c r="H110" i="16"/>
  <c r="O110" i="16"/>
  <c r="H111" i="16"/>
  <c r="O111" i="16"/>
  <c r="U154" i="16"/>
  <c r="Q2" i="15"/>
  <c r="M3" i="15" s="1"/>
  <c r="N3" i="15" s="1"/>
  <c r="I3" i="15" s="1"/>
  <c r="A3" i="15"/>
  <c r="B3" i="15"/>
  <c r="C3" i="15"/>
  <c r="P3" i="15"/>
  <c r="S3" i="15"/>
  <c r="E3" i="15"/>
  <c r="C36" i="16" l="1"/>
  <c r="C37" i="16" s="1"/>
  <c r="D37" i="16" s="1"/>
  <c r="Q3" i="15"/>
  <c r="M4" i="15"/>
  <c r="N4" i="15" s="1"/>
  <c r="I4" i="15" s="1"/>
  <c r="P4" i="15"/>
  <c r="S4" i="15"/>
  <c r="E4" i="15"/>
  <c r="C38" i="16" l="1"/>
  <c r="D38" i="16" s="1"/>
  <c r="D36" i="16"/>
  <c r="Q4" i="15"/>
  <c r="M5" i="15"/>
  <c r="N5" i="15" s="1"/>
  <c r="I5" i="15" s="1"/>
  <c r="P5" i="15"/>
  <c r="S5" i="15"/>
  <c r="E5" i="15"/>
  <c r="C39" i="16" l="1"/>
  <c r="D39" i="16" s="1"/>
  <c r="Q5" i="15"/>
  <c r="M6" i="15"/>
  <c r="N6" i="15" s="1"/>
  <c r="I6" i="15" s="1"/>
  <c r="P6" i="15"/>
  <c r="S6" i="15"/>
  <c r="E6" i="15"/>
  <c r="C40" i="16" l="1"/>
  <c r="D40" i="16" s="1"/>
  <c r="Q6" i="15"/>
  <c r="M7" i="15"/>
  <c r="N7" i="15" s="1"/>
  <c r="I7" i="15" s="1"/>
  <c r="P7" i="15"/>
  <c r="S7" i="15"/>
  <c r="E7" i="15"/>
  <c r="C41" i="16" l="1"/>
  <c r="D41" i="16" s="1"/>
  <c r="Q7" i="15"/>
  <c r="E8" i="15"/>
  <c r="P8" i="15"/>
  <c r="S8" i="15"/>
  <c r="C42" i="16" l="1"/>
  <c r="D42" i="16" s="1"/>
  <c r="Q8" i="15"/>
  <c r="I9" i="15"/>
  <c r="P9" i="15"/>
  <c r="S9" i="15"/>
  <c r="C43" i="16" l="1"/>
  <c r="D43" i="16" s="1"/>
  <c r="Q9" i="15"/>
  <c r="I10" i="15"/>
  <c r="I11" i="15"/>
  <c r="P14" i="15"/>
  <c r="S14" i="15"/>
  <c r="C44" i="16" l="1"/>
  <c r="D44" i="16" s="1"/>
  <c r="Q14" i="15"/>
  <c r="P15" i="15"/>
  <c r="S15" i="15"/>
  <c r="C45" i="16" l="1"/>
  <c r="D45" i="16" s="1"/>
  <c r="Q15" i="15"/>
  <c r="M16" i="15" s="1"/>
  <c r="N16" i="15" s="1"/>
  <c r="I16" i="15" s="1"/>
  <c r="A16" i="15"/>
  <c r="B16" i="15"/>
  <c r="C16" i="15"/>
  <c r="P16" i="15"/>
  <c r="S16" i="15"/>
  <c r="E16" i="15"/>
  <c r="C46" i="16" l="1"/>
  <c r="C47" i="16" s="1"/>
  <c r="Q16" i="15"/>
  <c r="M17" i="15"/>
  <c r="N17" i="15" s="1"/>
  <c r="I17" i="15" s="1"/>
  <c r="P17" i="15"/>
  <c r="S17" i="15"/>
  <c r="E17" i="15"/>
  <c r="D46" i="16" l="1"/>
  <c r="D47" i="16"/>
  <c r="C48" i="16"/>
  <c r="Q17" i="15"/>
  <c r="M18" i="15"/>
  <c r="N18" i="15" s="1"/>
  <c r="I18" i="15" s="1"/>
  <c r="P18" i="15"/>
  <c r="S18" i="15"/>
  <c r="E18" i="15"/>
  <c r="D48" i="16" l="1"/>
  <c r="C49" i="16"/>
  <c r="Q18" i="15"/>
  <c r="M19" i="15"/>
  <c r="N19" i="15" s="1"/>
  <c r="I19" i="15" s="1"/>
  <c r="P19" i="15"/>
  <c r="S19" i="15"/>
  <c r="E19" i="15"/>
  <c r="D49" i="16" l="1"/>
  <c r="C50" i="16"/>
  <c r="Q19" i="15"/>
  <c r="M20" i="15"/>
  <c r="N20" i="15" s="1"/>
  <c r="I20" i="15" s="1"/>
  <c r="P20" i="15"/>
  <c r="S20" i="15"/>
  <c r="E20" i="15"/>
  <c r="D50" i="16" l="1"/>
  <c r="C51" i="16"/>
  <c r="Q20" i="15"/>
  <c r="M21" i="15"/>
  <c r="N21" i="15" s="1"/>
  <c r="I21" i="15" s="1"/>
  <c r="P21" i="15"/>
  <c r="S21" i="15"/>
  <c r="E21" i="15"/>
  <c r="D51" i="16" l="1"/>
  <c r="C52" i="16"/>
  <c r="Q21" i="15"/>
  <c r="M22" i="15"/>
  <c r="N22" i="15" s="1"/>
  <c r="I22" i="15" s="1"/>
  <c r="P22" i="15"/>
  <c r="S22" i="15"/>
  <c r="E22" i="15"/>
  <c r="D52" i="16" l="1"/>
  <c r="C53" i="16"/>
  <c r="Q22" i="15"/>
  <c r="E23" i="15"/>
  <c r="I24" i="15"/>
  <c r="I25" i="15"/>
  <c r="I26" i="15"/>
  <c r="A28" i="15"/>
  <c r="B28" i="15"/>
  <c r="C28" i="15"/>
  <c r="M28" i="15"/>
  <c r="N28" i="15" s="1"/>
  <c r="I28" i="15" s="1"/>
  <c r="M29" i="15"/>
  <c r="N29" i="15" s="1"/>
  <c r="I29" i="15" s="1"/>
  <c r="M30" i="15"/>
  <c r="N30" i="15" s="1"/>
  <c r="I30" i="15" s="1"/>
  <c r="M31" i="15"/>
  <c r="N31" i="15" s="1"/>
  <c r="I31" i="15" s="1"/>
  <c r="M32" i="15"/>
  <c r="N32" i="15" s="1"/>
  <c r="A38" i="15"/>
  <c r="B38" i="15"/>
  <c r="C38" i="15"/>
  <c r="E29" i="15"/>
  <c r="E30" i="15"/>
  <c r="E31" i="15"/>
  <c r="E28" i="15"/>
  <c r="D53" i="16" l="1"/>
  <c r="C54" i="16"/>
  <c r="I34" i="15"/>
  <c r="I35" i="15"/>
  <c r="I36" i="15"/>
  <c r="I32" i="15"/>
  <c r="M38" i="15"/>
  <c r="N38" i="15" s="1"/>
  <c r="I38" i="15" s="1"/>
  <c r="E32" i="15"/>
  <c r="E38" i="15"/>
  <c r="D54" i="16" l="1"/>
  <c r="C55" i="16"/>
  <c r="E33" i="15"/>
  <c r="M39" i="15"/>
  <c r="N39" i="15" s="1"/>
  <c r="I39" i="15" s="1"/>
  <c r="M40" i="15"/>
  <c r="N40" i="15" s="1"/>
  <c r="I40" i="15" s="1"/>
  <c r="M41" i="15"/>
  <c r="N41" i="15" s="1"/>
  <c r="I41" i="15" s="1"/>
  <c r="M42" i="15"/>
  <c r="N42" i="15" s="1"/>
  <c r="I42" i="15" s="1"/>
  <c r="M43" i="15"/>
  <c r="N43" i="15" s="1"/>
  <c r="I43" i="15" s="1"/>
  <c r="M44" i="15"/>
  <c r="N44" i="15" s="1"/>
  <c r="I44" i="15" s="1"/>
  <c r="I46" i="15"/>
  <c r="AI1" i="14"/>
  <c r="A3" i="14"/>
  <c r="N3" i="14"/>
  <c r="V3" i="14"/>
  <c r="AI3" i="14"/>
  <c r="A4" i="14"/>
  <c r="N4" i="14"/>
  <c r="V4" i="14"/>
  <c r="AI4" i="14"/>
  <c r="A5" i="14"/>
  <c r="N5" i="14"/>
  <c r="V5" i="14"/>
  <c r="AI5" i="14"/>
  <c r="A6" i="14"/>
  <c r="N6" i="14"/>
  <c r="V6" i="14"/>
  <c r="AI6" i="14"/>
  <c r="A7" i="14"/>
  <c r="N7" i="14"/>
  <c r="V7" i="14"/>
  <c r="AI7" i="14"/>
  <c r="A8" i="14"/>
  <c r="N8" i="14"/>
  <c r="V8" i="14"/>
  <c r="AI8" i="14"/>
  <c r="A9" i="14"/>
  <c r="N9" i="14"/>
  <c r="V9" i="14"/>
  <c r="AI9" i="14"/>
  <c r="A10" i="14"/>
  <c r="N10" i="14"/>
  <c r="V10" i="14"/>
  <c r="AI10" i="14"/>
  <c r="A11" i="14"/>
  <c r="N11" i="14"/>
  <c r="V11" i="14"/>
  <c r="AI11" i="14"/>
  <c r="A12" i="14"/>
  <c r="N12" i="14"/>
  <c r="V12" i="14"/>
  <c r="AI12" i="14"/>
  <c r="A13" i="14"/>
  <c r="N13" i="14"/>
  <c r="V13" i="14"/>
  <c r="AI13" i="14"/>
  <c r="A14" i="14"/>
  <c r="N14" i="14"/>
  <c r="V14" i="14"/>
  <c r="AI14" i="14"/>
  <c r="A15" i="14"/>
  <c r="N15" i="14"/>
  <c r="V15" i="14"/>
  <c r="AI15" i="14"/>
  <c r="A16" i="14"/>
  <c r="N16" i="14"/>
  <c r="V16" i="14"/>
  <c r="AI16" i="14"/>
  <c r="A17" i="14"/>
  <c r="N17" i="14"/>
  <c r="V17" i="14"/>
  <c r="AI17" i="14"/>
  <c r="A18" i="14"/>
  <c r="N18" i="14"/>
  <c r="V18" i="14"/>
  <c r="AI18" i="14"/>
  <c r="A19" i="14"/>
  <c r="N19" i="14"/>
  <c r="V19" i="14"/>
  <c r="AI19" i="14"/>
  <c r="A20" i="14"/>
  <c r="N20" i="14"/>
  <c r="V20" i="14"/>
  <c r="AI20" i="14"/>
  <c r="A21" i="14"/>
  <c r="N21" i="14"/>
  <c r="V21" i="14"/>
  <c r="AI21" i="14"/>
  <c r="A22" i="14"/>
  <c r="N22" i="14"/>
  <c r="V22" i="14"/>
  <c r="AI22" i="14"/>
  <c r="A23" i="14"/>
  <c r="N23" i="14"/>
  <c r="V23" i="14"/>
  <c r="AI23" i="14"/>
  <c r="A24" i="14"/>
  <c r="N24" i="14"/>
  <c r="V24" i="14"/>
  <c r="AI24" i="14"/>
  <c r="A25" i="14"/>
  <c r="N25" i="14"/>
  <c r="V25" i="14"/>
  <c r="AI25" i="14"/>
  <c r="A26" i="14"/>
  <c r="N26" i="14"/>
  <c r="V26" i="14"/>
  <c r="AI26" i="14"/>
  <c r="A27" i="14"/>
  <c r="N27" i="14"/>
  <c r="V27" i="14"/>
  <c r="AI27" i="14"/>
  <c r="A28" i="14"/>
  <c r="N28" i="14"/>
  <c r="V28" i="14"/>
  <c r="AI28" i="14"/>
  <c r="A29" i="14"/>
  <c r="N29" i="14"/>
  <c r="V29" i="14"/>
  <c r="AI29" i="14"/>
  <c r="A30" i="14"/>
  <c r="N30" i="14"/>
  <c r="V30" i="14"/>
  <c r="AI30" i="14"/>
  <c r="A31" i="14"/>
  <c r="N31" i="14"/>
  <c r="V31" i="14"/>
  <c r="AI31" i="14"/>
  <c r="A32" i="14"/>
  <c r="N32" i="14"/>
  <c r="V32" i="14"/>
  <c r="AI32" i="14"/>
  <c r="A33" i="14"/>
  <c r="N33" i="14"/>
  <c r="V33" i="14"/>
  <c r="AI33" i="14"/>
  <c r="A34" i="14"/>
  <c r="N34" i="14"/>
  <c r="V34" i="14"/>
  <c r="AI34" i="14"/>
  <c r="A35" i="14"/>
  <c r="N35" i="14"/>
  <c r="V35" i="14"/>
  <c r="AI35" i="14"/>
  <c r="A36" i="14"/>
  <c r="N36" i="14"/>
  <c r="V36" i="14"/>
  <c r="AI36" i="14"/>
  <c r="A37" i="14"/>
  <c r="N37" i="14"/>
  <c r="V37" i="14"/>
  <c r="AI37" i="14"/>
  <c r="A38" i="14"/>
  <c r="N38" i="14"/>
  <c r="V38" i="14"/>
  <c r="AI38" i="14"/>
  <c r="A39" i="14"/>
  <c r="N39" i="14"/>
  <c r="V39" i="14"/>
  <c r="AI39" i="14"/>
  <c r="A40" i="14"/>
  <c r="N40" i="14"/>
  <c r="V40" i="14"/>
  <c r="AI40" i="14"/>
  <c r="A41" i="14"/>
  <c r="N41" i="14"/>
  <c r="V41" i="14"/>
  <c r="AI41" i="14"/>
  <c r="A42" i="14"/>
  <c r="N42" i="14"/>
  <c r="V42" i="14"/>
  <c r="AI42" i="14"/>
  <c r="A43" i="14"/>
  <c r="N43" i="14"/>
  <c r="V43" i="14"/>
  <c r="AI43" i="14"/>
  <c r="A44" i="14"/>
  <c r="N44" i="14"/>
  <c r="V44" i="14"/>
  <c r="AI44" i="14"/>
  <c r="A45" i="14"/>
  <c r="N45" i="14"/>
  <c r="V45" i="14"/>
  <c r="AI45" i="14"/>
  <c r="A46" i="14"/>
  <c r="N46" i="14"/>
  <c r="V46" i="14"/>
  <c r="AI46" i="14"/>
  <c r="B2" i="13"/>
  <c r="U2" i="13"/>
  <c r="E43" i="15"/>
  <c r="E40" i="15"/>
  <c r="E44" i="15"/>
  <c r="E41" i="15"/>
  <c r="E39" i="15"/>
  <c r="E42" i="15"/>
  <c r="D55" i="16" l="1"/>
  <c r="C56" i="16"/>
  <c r="I48" i="15"/>
  <c r="I47" i="15"/>
  <c r="E45" i="15"/>
  <c r="M11" i="13"/>
  <c r="N24" i="13"/>
  <c r="M39" i="13"/>
  <c r="N52" i="13"/>
  <c r="D56" i="16" l="1"/>
  <c r="C57" i="16"/>
  <c r="A29" i="13"/>
  <c r="A28" i="13"/>
  <c r="A32" i="13"/>
  <c r="A27" i="13"/>
  <c r="A31" i="13"/>
  <c r="A30" i="13"/>
  <c r="A26" i="13"/>
  <c r="A45" i="13"/>
  <c r="G28" i="13"/>
  <c r="C27" i="13"/>
  <c r="F26" i="13"/>
  <c r="A41" i="13"/>
  <c r="D28" i="13"/>
  <c r="B30" i="13"/>
  <c r="C29" i="13"/>
  <c r="I30" i="13"/>
  <c r="L18" i="13"/>
  <c r="G27" i="13"/>
  <c r="B26" i="13"/>
  <c r="A16" i="13"/>
  <c r="P23" i="13"/>
  <c r="F32" i="13"/>
  <c r="A43" i="13"/>
  <c r="K18" i="13"/>
  <c r="I26" i="13"/>
  <c r="P18" i="13"/>
  <c r="F27" i="13"/>
  <c r="A14" i="13"/>
  <c r="D32" i="13"/>
  <c r="L23" i="13"/>
  <c r="A56" i="13"/>
  <c r="C28" i="13"/>
  <c r="A55" i="13"/>
  <c r="E30" i="13"/>
  <c r="G30" i="13"/>
  <c r="C30" i="13"/>
  <c r="A42" i="13"/>
  <c r="A44" i="13"/>
  <c r="C26" i="13"/>
  <c r="C32" i="13"/>
  <c r="H28" i="13"/>
  <c r="A15" i="13"/>
  <c r="M18" i="13"/>
  <c r="A60" i="13"/>
  <c r="E28" i="13"/>
  <c r="F28" i="13"/>
  <c r="H26" i="13"/>
  <c r="O18" i="13"/>
  <c r="H31" i="13"/>
  <c r="K23" i="13"/>
  <c r="H30" i="13"/>
  <c r="D26" i="13"/>
  <c r="O23" i="13"/>
  <c r="A13" i="13"/>
  <c r="G26" i="13"/>
  <c r="A59" i="13"/>
  <c r="E26" i="13"/>
  <c r="E27" i="13"/>
  <c r="H32" i="13"/>
  <c r="H27" i="13"/>
  <c r="B28" i="13"/>
  <c r="B27" i="13"/>
  <c r="M23" i="13"/>
  <c r="N23" i="13"/>
  <c r="I27" i="13"/>
  <c r="D27" i="13"/>
  <c r="D30" i="13"/>
  <c r="A58" i="13"/>
  <c r="Q18" i="13"/>
  <c r="B29" i="13"/>
  <c r="F30" i="13"/>
  <c r="A17" i="13"/>
  <c r="I28" i="13"/>
  <c r="A57" i="13"/>
  <c r="D57" i="16" l="1"/>
  <c r="C58" i="16"/>
  <c r="F16" i="15"/>
  <c r="F20" i="15"/>
  <c r="G20" i="15" s="1"/>
  <c r="F17" i="15"/>
  <c r="G17" i="15" s="1"/>
  <c r="F18" i="15"/>
  <c r="G18" i="15" s="1"/>
  <c r="F22" i="15"/>
  <c r="G22" i="15" s="1"/>
  <c r="W18" i="13"/>
  <c r="K19" i="13" s="1"/>
  <c r="AA18" i="13"/>
  <c r="O19" i="13" s="1"/>
  <c r="X18" i="13"/>
  <c r="L19" i="13" s="1"/>
  <c r="Y18" i="13"/>
  <c r="M19" i="13" s="1"/>
  <c r="AB18" i="13"/>
  <c r="P19" i="13" s="1"/>
  <c r="AC18" i="13"/>
  <c r="Q19" i="13" s="1"/>
  <c r="N39" i="13"/>
  <c r="B40" i="13"/>
  <c r="N11" i="13"/>
  <c r="B12" i="13"/>
  <c r="O24" i="13"/>
  <c r="B25" i="13"/>
  <c r="AC1" i="14"/>
  <c r="N1" i="14"/>
  <c r="H1" i="14"/>
  <c r="AC22" i="13"/>
  <c r="AB20" i="13"/>
  <c r="AC21" i="13"/>
  <c r="AB21" i="13"/>
  <c r="AC20" i="13"/>
  <c r="AB22" i="13"/>
  <c r="AA21" i="13"/>
  <c r="Y21" i="13"/>
  <c r="W22" i="13"/>
  <c r="AA20" i="13"/>
  <c r="Y20" i="13"/>
  <c r="X20" i="13"/>
  <c r="AA22" i="13"/>
  <c r="W21" i="13"/>
  <c r="X22" i="13"/>
  <c r="Y22" i="13"/>
  <c r="W20" i="13"/>
  <c r="X21" i="13"/>
  <c r="D58" i="16" l="1"/>
  <c r="C59" i="16"/>
  <c r="G16" i="15"/>
  <c r="F19" i="13"/>
  <c r="R19" i="13"/>
  <c r="F6" i="13"/>
  <c r="P6" i="13"/>
  <c r="O52" i="13"/>
  <c r="B53" i="13"/>
  <c r="F34" i="13"/>
  <c r="P34" i="13"/>
  <c r="O39" i="13"/>
  <c r="AP1" i="14"/>
  <c r="O11" i="13"/>
  <c r="D59" i="16" l="1"/>
  <c r="C60" i="16"/>
  <c r="F47" i="13"/>
  <c r="R47" i="13"/>
  <c r="P24" i="13"/>
  <c r="P52" i="13"/>
  <c r="D56" i="13"/>
  <c r="B32" i="13"/>
  <c r="M33" i="13"/>
  <c r="X19" i="14"/>
  <c r="Y33" i="14"/>
  <c r="G31" i="13"/>
  <c r="G41" i="13"/>
  <c r="G57" i="13"/>
  <c r="G59" i="13"/>
  <c r="O41" i="14"/>
  <c r="X10" i="14"/>
  <c r="M22" i="13"/>
  <c r="B44" i="13"/>
  <c r="K38" i="13"/>
  <c r="Y26" i="14"/>
  <c r="Y37" i="14"/>
  <c r="P31" i="14"/>
  <c r="D11" i="14"/>
  <c r="C34" i="14"/>
  <c r="W22" i="14"/>
  <c r="F31" i="14"/>
  <c r="X20" i="14"/>
  <c r="P2" i="14"/>
  <c r="O13" i="14"/>
  <c r="B31" i="13"/>
  <c r="X27" i="14"/>
  <c r="E24" i="14"/>
  <c r="AA14" i="14"/>
  <c r="C22" i="14"/>
  <c r="W13" i="14"/>
  <c r="P5" i="14"/>
  <c r="S5" i="14"/>
  <c r="O51" i="13"/>
  <c r="N51" i="13"/>
  <c r="C16" i="13"/>
  <c r="X3" i="14"/>
  <c r="Y17" i="14"/>
  <c r="I13" i="13"/>
  <c r="C42" i="13"/>
  <c r="C14" i="13"/>
  <c r="X31" i="14"/>
  <c r="Y45" i="14"/>
  <c r="P39" i="14"/>
  <c r="I16" i="13"/>
  <c r="K10" i="13"/>
  <c r="H56" i="13"/>
  <c r="Y10" i="14"/>
  <c r="Y21" i="14"/>
  <c r="C59" i="13"/>
  <c r="O37" i="14"/>
  <c r="B13" i="14"/>
  <c r="W6" i="14"/>
  <c r="E10" i="14"/>
  <c r="X4" i="14"/>
  <c r="P25" i="14"/>
  <c r="C6" i="13"/>
  <c r="K21" i="13"/>
  <c r="F21" i="14"/>
  <c r="B5" i="14"/>
  <c r="S43" i="14"/>
  <c r="C3" i="14"/>
  <c r="S38" i="14"/>
  <c r="O18" i="14"/>
  <c r="F29" i="13"/>
  <c r="E13" i="13"/>
  <c r="F42" i="13"/>
  <c r="P51" i="13"/>
  <c r="O45" i="14"/>
  <c r="X14" i="14"/>
  <c r="F17" i="13"/>
  <c r="G45" i="13"/>
  <c r="D41" i="13"/>
  <c r="W28" i="14"/>
  <c r="X42" i="14"/>
  <c r="O36" i="14"/>
  <c r="L5" i="13"/>
  <c r="I17" i="13"/>
  <c r="O38" i="13"/>
  <c r="X7" i="14"/>
  <c r="X18" i="14"/>
  <c r="C17" i="13"/>
  <c r="B43" i="14"/>
  <c r="B9" i="14"/>
  <c r="AA2" i="14"/>
  <c r="C7" i="14"/>
  <c r="O46" i="14"/>
  <c r="O22" i="14"/>
  <c r="R39" i="14"/>
  <c r="B58" i="13"/>
  <c r="B6" i="14"/>
  <c r="AA46" i="14"/>
  <c r="R40" i="14"/>
  <c r="W45" i="14"/>
  <c r="O27" i="14"/>
  <c r="S14" i="14"/>
  <c r="G13" i="13"/>
  <c r="B56" i="13"/>
  <c r="B59" i="13"/>
  <c r="X35" i="14"/>
  <c r="O29" i="14"/>
  <c r="P43" i="14"/>
  <c r="C15" i="13"/>
  <c r="O46" i="13"/>
  <c r="L33" i="13"/>
  <c r="W12" i="14"/>
  <c r="X26" i="14"/>
  <c r="I29" i="13"/>
  <c r="E55" i="13"/>
  <c r="B15" i="13"/>
  <c r="Y42" i="14"/>
  <c r="P36" i="14"/>
  <c r="X2" i="14"/>
  <c r="Q23" i="13"/>
  <c r="AA15" i="14"/>
  <c r="W38" i="14"/>
  <c r="S31" i="14"/>
  <c r="X36" i="14"/>
  <c r="P18" i="14"/>
  <c r="O34" i="14"/>
  <c r="Q14" i="14"/>
  <c r="B16" i="13"/>
  <c r="O32" i="14"/>
  <c r="AA30" i="14"/>
  <c r="E43" i="14"/>
  <c r="W29" i="14"/>
  <c r="O11" i="14"/>
  <c r="S21" i="14"/>
  <c r="B14" i="13"/>
  <c r="O20" i="13"/>
  <c r="E44" i="13"/>
  <c r="Y6" i="14"/>
  <c r="Z20" i="14"/>
  <c r="E58" i="13"/>
  <c r="E57" i="13"/>
  <c r="N10" i="13"/>
  <c r="Y34" i="14"/>
  <c r="P28" i="14"/>
  <c r="Q42" i="14"/>
  <c r="M5" i="13"/>
  <c r="H41" i="13"/>
  <c r="C57" i="13"/>
  <c r="Z13" i="14"/>
  <c r="Z24" i="14"/>
  <c r="M51" i="13"/>
  <c r="AA4" i="14"/>
  <c r="C17" i="14"/>
  <c r="X9" i="14"/>
  <c r="F14" i="14"/>
  <c r="Y7" i="14"/>
  <c r="R31" i="14"/>
  <c r="D34" i="13"/>
  <c r="M21" i="13"/>
  <c r="F38" i="14"/>
  <c r="C8" i="14"/>
  <c r="W2" i="14"/>
  <c r="D6" i="14"/>
  <c r="P45" i="14"/>
  <c r="P21" i="14"/>
  <c r="F31" i="13"/>
  <c r="C43" i="13"/>
  <c r="F16" i="13"/>
  <c r="Z41" i="14"/>
  <c r="Q35" i="14"/>
  <c r="Z4" i="14"/>
  <c r="Q20" i="13"/>
  <c r="L10" i="13"/>
  <c r="C55" i="13"/>
  <c r="Y18" i="14"/>
  <c r="Z32" i="14"/>
  <c r="D29" i="13"/>
  <c r="C13" i="13"/>
  <c r="D42" i="13"/>
  <c r="F14" i="13"/>
  <c r="R42" i="14"/>
  <c r="Z8" i="14"/>
  <c r="L51" i="13"/>
  <c r="Y41" i="14"/>
  <c r="Y44" i="14"/>
  <c r="P38" i="14"/>
  <c r="Z42" i="14"/>
  <c r="R24" i="14"/>
  <c r="S10" i="14"/>
  <c r="S20" i="14"/>
  <c r="F41" i="13"/>
  <c r="Z12" i="14"/>
  <c r="X37" i="14"/>
  <c r="O31" i="14"/>
  <c r="Y35" i="14"/>
  <c r="Q17" i="14"/>
  <c r="S30" i="14"/>
  <c r="C58" i="13"/>
  <c r="H42" i="13"/>
  <c r="H14" i="13"/>
  <c r="Y38" i="14"/>
  <c r="P32" i="14"/>
  <c r="Q46" i="14"/>
  <c r="F56" i="13"/>
  <c r="F59" i="13"/>
  <c r="B43" i="13"/>
  <c r="X15" i="14"/>
  <c r="Y29" i="14"/>
  <c r="G29" i="13"/>
  <c r="H60" i="13"/>
  <c r="I56" i="13"/>
  <c r="Z45" i="14"/>
  <c r="Q39" i="14"/>
  <c r="Y5" i="14"/>
  <c r="O33" i="13"/>
  <c r="Z28" i="14"/>
  <c r="X41" i="14"/>
  <c r="O35" i="14"/>
  <c r="Y39" i="14"/>
  <c r="Q21" i="14"/>
  <c r="Q4" i="14"/>
  <c r="D31" i="13"/>
  <c r="L46" i="13"/>
  <c r="H15" i="13"/>
  <c r="AA44" i="14"/>
  <c r="R38" i="14"/>
  <c r="AA7" i="14"/>
  <c r="G43" i="13"/>
  <c r="C44" i="13"/>
  <c r="E17" i="13"/>
  <c r="Z21" i="14"/>
  <c r="AA35" i="14"/>
  <c r="R29" i="14"/>
  <c r="F58" i="13"/>
  <c r="F43" i="13"/>
  <c r="H16" i="13"/>
  <c r="S45" i="14"/>
  <c r="AA11" i="14"/>
  <c r="P22" i="13"/>
  <c r="C9" i="14"/>
  <c r="E2" i="14"/>
  <c r="Q41" i="14"/>
  <c r="AA45" i="14"/>
  <c r="P29" i="14"/>
  <c r="R15" i="14"/>
  <c r="O24" i="14"/>
  <c r="I44" i="13"/>
  <c r="Y25" i="14"/>
  <c r="Y40" i="14"/>
  <c r="P34" i="14"/>
  <c r="Z38" i="14"/>
  <c r="R20" i="14"/>
  <c r="C21" i="13"/>
  <c r="I55" i="13"/>
  <c r="H44" i="13"/>
  <c r="B13" i="13"/>
  <c r="AA28" i="14"/>
  <c r="W43" i="14"/>
  <c r="S36" i="14"/>
  <c r="L22" i="13"/>
  <c r="I60" i="13"/>
  <c r="I15" i="13"/>
  <c r="Z5" i="14"/>
  <c r="AA19" i="14"/>
  <c r="B41" i="13"/>
  <c r="B57" i="13"/>
  <c r="L20" i="13"/>
  <c r="W36" i="14"/>
  <c r="S29" i="14"/>
  <c r="S40" i="14"/>
  <c r="D15" i="13"/>
  <c r="P35" i="14"/>
  <c r="Z31" i="14"/>
  <c r="E44" i="14"/>
  <c r="AA29" i="14"/>
  <c r="S11" i="14"/>
  <c r="R22" i="14"/>
  <c r="O8" i="14"/>
  <c r="C24" i="14"/>
  <c r="D37" i="14"/>
  <c r="Y24" i="14"/>
  <c r="B35" i="14"/>
  <c r="Z22" i="14"/>
  <c r="R4" i="14"/>
  <c r="Q15" i="14"/>
  <c r="M38" i="13"/>
  <c r="L21" i="13"/>
  <c r="Q46" i="13"/>
  <c r="Z25" i="14"/>
  <c r="AA39" i="14"/>
  <c r="R33" i="14"/>
  <c r="H59" i="13"/>
  <c r="F55" i="13"/>
  <c r="N33" i="13"/>
  <c r="Y2" i="14"/>
  <c r="Z16" i="14"/>
  <c r="F60" i="13"/>
  <c r="M46" i="13"/>
  <c r="P46" i="13"/>
  <c r="AA32" i="14"/>
  <c r="AA43" i="14"/>
  <c r="R37" i="14"/>
  <c r="D45" i="14"/>
  <c r="F42" i="14"/>
  <c r="Y28" i="14"/>
  <c r="D40" i="14"/>
  <c r="Z26" i="14"/>
  <c r="R8" i="14"/>
  <c r="Q19" i="14"/>
  <c r="S4" i="14"/>
  <c r="F7" i="14"/>
  <c r="C33" i="14"/>
  <c r="X21" i="14"/>
  <c r="F30" i="14"/>
  <c r="Y19" i="14"/>
  <c r="D19" i="13"/>
  <c r="P12" i="14"/>
  <c r="D16" i="13"/>
  <c r="D17" i="13"/>
  <c r="G15" i="13"/>
  <c r="Z9" i="14"/>
  <c r="AA23" i="14"/>
  <c r="C31" i="13"/>
  <c r="O21" i="13"/>
  <c r="K20" i="13"/>
  <c r="Z37" i="14"/>
  <c r="Q31" i="14"/>
  <c r="R45" i="14"/>
  <c r="B45" i="13"/>
  <c r="G32" i="13"/>
  <c r="E43" i="13"/>
  <c r="AA16" i="14"/>
  <c r="AA27" i="14"/>
  <c r="O10" i="13"/>
  <c r="Z17" i="14"/>
  <c r="D21" i="14"/>
  <c r="Y12" i="14"/>
  <c r="B19" i="14"/>
  <c r="Z10" i="14"/>
  <c r="D6" i="13"/>
  <c r="Q3" i="14"/>
  <c r="D58" i="13"/>
  <c r="S33" i="14"/>
  <c r="F11" i="14"/>
  <c r="X5" i="14"/>
  <c r="E9" i="14"/>
  <c r="Y3" i="14"/>
  <c r="Q24" i="14"/>
  <c r="Q51" i="13"/>
  <c r="F15" i="13"/>
  <c r="I58" i="13"/>
  <c r="W32" i="14"/>
  <c r="X46" i="14"/>
  <c r="O40" i="14"/>
  <c r="N38" i="13"/>
  <c r="E41" i="13"/>
  <c r="E56" i="13"/>
  <c r="AA8" i="14"/>
  <c r="W23" i="14"/>
  <c r="H58" i="13"/>
  <c r="H43" i="13"/>
  <c r="D44" i="13"/>
  <c r="X39" i="14"/>
  <c r="O33" i="14"/>
  <c r="O44" i="14"/>
  <c r="M20" i="13"/>
  <c r="W3" i="14"/>
  <c r="AA34" i="14"/>
  <c r="R28" i="14"/>
  <c r="W33" i="14"/>
  <c r="O15" i="14"/>
  <c r="S25" i="14"/>
  <c r="P11" i="14"/>
  <c r="C41" i="14"/>
  <c r="F41" i="14"/>
  <c r="Z27" i="14"/>
  <c r="D39" i="14"/>
  <c r="AA25" i="14"/>
  <c r="S7" i="14"/>
  <c r="R18" i="14"/>
  <c r="H45" i="13"/>
  <c r="C41" i="13"/>
  <c r="Q21" i="13"/>
  <c r="W16" i="14"/>
  <c r="X30" i="14"/>
  <c r="E29" i="13"/>
  <c r="K5" i="13"/>
  <c r="L38" i="13"/>
  <c r="W44" i="14"/>
  <c r="S37" i="14"/>
  <c r="W7" i="14"/>
  <c r="D57" i="13"/>
  <c r="N5" i="13"/>
  <c r="E60" i="13"/>
  <c r="X23" i="14"/>
  <c r="X34" i="14"/>
  <c r="O28" i="14"/>
  <c r="X43" i="14"/>
  <c r="B30" i="14"/>
  <c r="AA18" i="14"/>
  <c r="E27" i="14"/>
  <c r="W17" i="14"/>
  <c r="E40" i="13"/>
  <c r="S9" i="14"/>
  <c r="O22" i="13"/>
  <c r="Y14" i="14"/>
  <c r="D20" i="14"/>
  <c r="Z11" i="14"/>
  <c r="B18" i="14"/>
  <c r="AA9" i="14"/>
  <c r="P41" i="14"/>
  <c r="R2" i="14"/>
  <c r="F44" i="13"/>
  <c r="G60" i="13"/>
  <c r="C56" i="13"/>
  <c r="AA12" i="14"/>
  <c r="W27" i="14"/>
  <c r="H29" i="13"/>
  <c r="H17" i="13"/>
  <c r="E45" i="13"/>
  <c r="AA40" i="14"/>
  <c r="R34" i="14"/>
  <c r="AA3" i="14"/>
  <c r="I42" i="13"/>
  <c r="I59" i="13"/>
  <c r="B55" i="13"/>
  <c r="W20" i="14"/>
  <c r="W31" i="14"/>
  <c r="N18" i="13"/>
  <c r="Y30" i="14"/>
  <c r="F25" i="14"/>
  <c r="Z15" i="14"/>
  <c r="D23" i="14"/>
  <c r="AA13" i="14"/>
  <c r="R7" i="14"/>
  <c r="R6" i="14"/>
  <c r="E15" i="13"/>
  <c r="R46" i="14"/>
  <c r="C16" i="14"/>
  <c r="Y8" i="14"/>
  <c r="F13" i="14"/>
  <c r="Z6" i="14"/>
  <c r="Q28" i="14"/>
  <c r="E31" i="13"/>
  <c r="B17" i="13"/>
  <c r="C45" i="13"/>
  <c r="E32" i="13"/>
  <c r="S41" i="14"/>
  <c r="W11" i="14"/>
  <c r="D55" i="13"/>
  <c r="M10" i="13"/>
  <c r="H13" i="13"/>
  <c r="AA24" i="14"/>
  <c r="W39" i="14"/>
  <c r="S32" i="14"/>
  <c r="P20" i="13"/>
  <c r="G55" i="13"/>
  <c r="K22" i="13"/>
  <c r="W4" i="14"/>
  <c r="W15" i="14"/>
  <c r="I45" i="13"/>
  <c r="B26" i="14"/>
  <c r="F5" i="14"/>
  <c r="R44" i="14"/>
  <c r="B4" i="14"/>
  <c r="O42" i="14"/>
  <c r="S18" i="14"/>
  <c r="P27" i="14"/>
  <c r="D43" i="13"/>
  <c r="X38" i="14"/>
  <c r="Z43" i="14"/>
  <c r="Q37" i="14"/>
  <c r="AA41" i="14"/>
  <c r="S23" i="14"/>
  <c r="O10" i="14"/>
  <c r="R17" i="14"/>
  <c r="S27" i="14"/>
  <c r="F57" i="13"/>
  <c r="Z36" i="14"/>
  <c r="I14" i="13"/>
  <c r="D45" i="13"/>
  <c r="Q34" i="14"/>
  <c r="C36" i="14"/>
  <c r="D21" i="13"/>
  <c r="E26" i="14"/>
  <c r="C12" i="13"/>
  <c r="I41" i="13"/>
  <c r="R30" i="14"/>
  <c r="F10" i="14"/>
  <c r="Y4" i="14"/>
  <c r="F8" i="14"/>
  <c r="Z2" i="14"/>
  <c r="R23" i="14"/>
  <c r="D40" i="13"/>
  <c r="Q38" i="14"/>
  <c r="R12" i="14"/>
  <c r="R32" i="14"/>
  <c r="W42" i="14"/>
  <c r="S6" i="14"/>
  <c r="P37" i="14"/>
  <c r="P42" i="14"/>
  <c r="S24" i="14"/>
  <c r="Q2" i="14"/>
  <c r="K33" i="13"/>
  <c r="W24" i="14"/>
  <c r="E23" i="14"/>
  <c r="W14" i="14"/>
  <c r="C21" i="14"/>
  <c r="X12" i="14"/>
  <c r="S2" i="14"/>
  <c r="O5" i="14"/>
  <c r="Y46" i="14"/>
  <c r="AA17" i="14"/>
  <c r="W19" i="14"/>
  <c r="F43" i="14"/>
  <c r="Q9" i="14"/>
  <c r="W37" i="14"/>
  <c r="Z35" i="14"/>
  <c r="R26" i="14"/>
  <c r="O19" i="14"/>
  <c r="I57" i="13"/>
  <c r="X11" i="14"/>
  <c r="D19" i="14"/>
  <c r="AA10" i="14"/>
  <c r="B17" i="14"/>
  <c r="W9" i="14"/>
  <c r="O38" i="14"/>
  <c r="F21" i="13"/>
  <c r="P40" i="14"/>
  <c r="W5" i="14"/>
  <c r="E22" i="14"/>
  <c r="F26" i="14"/>
  <c r="Q12" i="14"/>
  <c r="Y11" i="14"/>
  <c r="AA22" i="14"/>
  <c r="S13" i="14"/>
  <c r="Q26" i="14"/>
  <c r="F13" i="13"/>
  <c r="F2" i="14"/>
  <c r="W46" i="14"/>
  <c r="S39" i="14"/>
  <c r="X44" i="14"/>
  <c r="P26" i="14"/>
  <c r="O14" i="14"/>
  <c r="Q22" i="14"/>
  <c r="X45" i="14"/>
  <c r="P13" i="14"/>
  <c r="D12" i="13"/>
  <c r="Z3" i="14"/>
  <c r="S42" i="14"/>
  <c r="G42" i="13"/>
  <c r="F15" i="14"/>
  <c r="R11" i="14"/>
  <c r="R19" i="14"/>
  <c r="C29" i="14"/>
  <c r="AM10" i="14"/>
  <c r="AM25" i="14"/>
  <c r="AM35" i="14"/>
  <c r="C28" i="14"/>
  <c r="E13" i="14"/>
  <c r="D38" i="14"/>
  <c r="AL2" i="14"/>
  <c r="AK25" i="14"/>
  <c r="D43" i="14"/>
  <c r="E20" i="14"/>
  <c r="C35" i="14"/>
  <c r="D53" i="13"/>
  <c r="AL24" i="14"/>
  <c r="AJ39" i="14"/>
  <c r="D33" i="14"/>
  <c r="AM14" i="14"/>
  <c r="AL42" i="14"/>
  <c r="AK38" i="14"/>
  <c r="AM23" i="14"/>
  <c r="D15" i="14"/>
  <c r="AN45" i="14"/>
  <c r="C31" i="14"/>
  <c r="AL22" i="14"/>
  <c r="AL32" i="14"/>
  <c r="B11" i="14"/>
  <c r="AL35" i="14"/>
  <c r="E25" i="14"/>
  <c r="AM24" i="14"/>
  <c r="AK9" i="14"/>
  <c r="C26" i="14"/>
  <c r="C5" i="14"/>
  <c r="D22" i="14"/>
  <c r="AK22" i="14"/>
  <c r="AL8" i="14"/>
  <c r="AK10" i="14"/>
  <c r="F35" i="14"/>
  <c r="AK24" i="14"/>
  <c r="AK39" i="14"/>
  <c r="AM28" i="14"/>
  <c r="AJ19" i="14"/>
  <c r="E14" i="14"/>
  <c r="AJ17" i="14"/>
  <c r="AN44" i="14"/>
  <c r="AL45" i="14"/>
  <c r="AK29" i="14"/>
  <c r="E46" i="14"/>
  <c r="AK32" i="14"/>
  <c r="H57" i="13"/>
  <c r="X32" i="14"/>
  <c r="D59" i="13"/>
  <c r="Q30" i="14"/>
  <c r="P44" i="14"/>
  <c r="G58" i="13"/>
  <c r="D28" i="14"/>
  <c r="Y23" i="14"/>
  <c r="W40" i="14"/>
  <c r="X16" i="14"/>
  <c r="P23" i="14"/>
  <c r="Q22" i="13"/>
  <c r="W35" i="14"/>
  <c r="AA42" i="14"/>
  <c r="R36" i="14"/>
  <c r="W41" i="14"/>
  <c r="O23" i="14"/>
  <c r="P9" i="14"/>
  <c r="P19" i="14"/>
  <c r="Y32" i="14"/>
  <c r="Q23" i="14"/>
  <c r="O17" i="14"/>
  <c r="S35" i="14"/>
  <c r="Q18" i="14"/>
  <c r="G14" i="13"/>
  <c r="Z46" i="14"/>
  <c r="C36" i="13"/>
  <c r="O2" i="14"/>
  <c r="N46" i="13"/>
  <c r="E34" i="14"/>
  <c r="D7" i="14"/>
  <c r="P46" i="14"/>
  <c r="E5" i="14"/>
  <c r="Q44" i="14"/>
  <c r="Q20" i="14"/>
  <c r="P33" i="14"/>
  <c r="B31" i="14"/>
  <c r="E12" i="13"/>
  <c r="F4" i="14"/>
  <c r="X29" i="14"/>
  <c r="P20" i="14"/>
  <c r="O30" i="14"/>
  <c r="Q29" i="14"/>
  <c r="O12" i="14"/>
  <c r="Q36" i="14"/>
  <c r="E16" i="13"/>
  <c r="D17" i="14"/>
  <c r="C4" i="14"/>
  <c r="O43" i="14"/>
  <c r="D2" i="14"/>
  <c r="R35" i="14"/>
  <c r="P17" i="14"/>
  <c r="R25" i="14"/>
  <c r="B14" i="14"/>
  <c r="O26" i="14"/>
  <c r="R43" i="14"/>
  <c r="Y16" i="14"/>
  <c r="Q7" i="14"/>
  <c r="D8" i="13"/>
  <c r="B33" i="14"/>
  <c r="C34" i="13"/>
  <c r="R13" i="14"/>
  <c r="B42" i="13"/>
  <c r="R41" i="14"/>
  <c r="X33" i="14"/>
  <c r="F46" i="14"/>
  <c r="Y31" i="14"/>
  <c r="Q13" i="14"/>
  <c r="P24" i="14"/>
  <c r="R9" i="14"/>
  <c r="O39" i="14"/>
  <c r="R21" i="14"/>
  <c r="B60" i="13"/>
  <c r="B8" i="14"/>
  <c r="O6" i="14"/>
  <c r="W8" i="14"/>
  <c r="X8" i="14"/>
  <c r="AA20" i="14"/>
  <c r="D32" i="14"/>
  <c r="F16" i="14"/>
  <c r="AL25" i="14"/>
  <c r="AN12" i="14"/>
  <c r="AN22" i="14"/>
  <c r="D12" i="14"/>
  <c r="AN25" i="14"/>
  <c r="AN40" i="14"/>
  <c r="AL33" i="14"/>
  <c r="AL12" i="14"/>
  <c r="F23" i="14"/>
  <c r="C23" i="14"/>
  <c r="AJ40" i="14"/>
  <c r="AJ31" i="14"/>
  <c r="AM11" i="14"/>
  <c r="E36" i="14"/>
  <c r="F32" i="14"/>
  <c r="E53" i="13"/>
  <c r="AM29" i="14"/>
  <c r="D47" i="13"/>
  <c r="F24" i="14"/>
  <c r="C2" i="14"/>
  <c r="AJ33" i="14"/>
  <c r="AN15" i="14"/>
  <c r="AM9" i="14"/>
  <c r="AM19" i="14"/>
  <c r="C44" i="14"/>
  <c r="AM22" i="14"/>
  <c r="AM37" i="14"/>
  <c r="C11" i="14"/>
  <c r="B44" i="14"/>
  <c r="E7" i="14"/>
  <c r="D10" i="14"/>
  <c r="AN36" i="14"/>
  <c r="AN46" i="14"/>
  <c r="D34" i="14"/>
  <c r="B39" i="14"/>
  <c r="D16" i="14"/>
  <c r="AL11" i="14"/>
  <c r="AL26" i="14"/>
  <c r="E17" i="14"/>
  <c r="F17" i="14"/>
  <c r="D42" i="14"/>
  <c r="AK4" i="14"/>
  <c r="AJ32" i="14"/>
  <c r="AN7" i="14"/>
  <c r="AL16" i="14"/>
  <c r="B27" i="14"/>
  <c r="AL19" i="14"/>
  <c r="S44" i="14"/>
  <c r="P14" i="14"/>
  <c r="H55" i="13"/>
  <c r="I32" i="13"/>
  <c r="Y13" i="14"/>
  <c r="Z29" i="14"/>
  <c r="E38" i="14"/>
  <c r="Q5" i="14"/>
  <c r="B29" i="14"/>
  <c r="D25" i="13"/>
  <c r="Q10" i="14"/>
  <c r="D14" i="13"/>
  <c r="S28" i="14"/>
  <c r="W30" i="14"/>
  <c r="E42" i="14"/>
  <c r="X28" i="14"/>
  <c r="P10" i="14"/>
  <c r="O21" i="14"/>
  <c r="Q6" i="14"/>
  <c r="F45" i="14"/>
  <c r="S8" i="14"/>
  <c r="G56" i="13"/>
  <c r="X40" i="14"/>
  <c r="E42" i="13"/>
  <c r="C13" i="14"/>
  <c r="Q32" i="14"/>
  <c r="E39" i="14"/>
  <c r="O20" i="14"/>
  <c r="G16" i="13"/>
  <c r="X22" i="14"/>
  <c r="Z39" i="14"/>
  <c r="Q33" i="14"/>
  <c r="AA37" i="14"/>
  <c r="S19" i="14"/>
  <c r="Q40" i="14"/>
  <c r="O16" i="14"/>
  <c r="Z19" i="14"/>
  <c r="R10" i="14"/>
  <c r="P15" i="14"/>
  <c r="D41" i="14"/>
  <c r="R5" i="14"/>
  <c r="O5" i="13"/>
  <c r="AA33" i="14"/>
  <c r="A54" i="13"/>
  <c r="S16" i="14"/>
  <c r="C60" i="13"/>
  <c r="Y9" i="14"/>
  <c r="Y36" i="14"/>
  <c r="P30" i="14"/>
  <c r="Z34" i="14"/>
  <c r="R16" i="14"/>
  <c r="R27" i="14"/>
  <c r="S12" i="14"/>
  <c r="AA6" i="14"/>
  <c r="F8" i="13"/>
  <c r="R3" i="14"/>
  <c r="D24" i="14"/>
  <c r="E25" i="13"/>
  <c r="E15" i="14"/>
  <c r="W21" i="14"/>
  <c r="C25" i="13"/>
  <c r="F36" i="13"/>
  <c r="E4" i="14"/>
  <c r="C32" i="14"/>
  <c r="Y20" i="14"/>
  <c r="F29" i="14"/>
  <c r="Z18" i="14"/>
  <c r="D36" i="13"/>
  <c r="Q11" i="14"/>
  <c r="D60" i="13"/>
  <c r="Y43" i="14"/>
  <c r="E59" i="13"/>
  <c r="Q27" i="14"/>
  <c r="S46" i="14"/>
  <c r="X13" i="14"/>
  <c r="C18" i="14"/>
  <c r="S34" i="14"/>
  <c r="C20" i="14"/>
  <c r="E16" i="14"/>
  <c r="AK36" i="14"/>
  <c r="F28" i="14"/>
  <c r="AK26" i="14"/>
  <c r="AJ10" i="14"/>
  <c r="D44" i="14"/>
  <c r="AJ13" i="14"/>
  <c r="AJ28" i="14"/>
  <c r="B24" i="14"/>
  <c r="AN23" i="14"/>
  <c r="E8" i="14"/>
  <c r="AK12" i="14"/>
  <c r="AK27" i="14"/>
  <c r="F20" i="14"/>
  <c r="AL21" i="14"/>
  <c r="B21" i="14"/>
  <c r="AK40" i="14"/>
  <c r="AL37" i="14"/>
  <c r="AN16" i="14"/>
  <c r="D30" i="14"/>
  <c r="AJ45" i="14"/>
  <c r="E31" i="14"/>
  <c r="AK20" i="14"/>
  <c r="B16" i="14"/>
  <c r="AL17" i="14"/>
  <c r="AN6" i="14"/>
  <c r="D27" i="14"/>
  <c r="AN9" i="14"/>
  <c r="AN24" i="14"/>
  <c r="AN34" i="14"/>
  <c r="AK14" i="14"/>
  <c r="F39" i="14"/>
  <c r="AJ9" i="14"/>
  <c r="AJ24" i="14"/>
  <c r="AJ34" i="14"/>
  <c r="AN11" i="14"/>
  <c r="E19" i="14"/>
  <c r="B20" i="14"/>
  <c r="AN27" i="14"/>
  <c r="AM13" i="14"/>
  <c r="AL36" i="14"/>
  <c r="B46" i="14"/>
  <c r="AM42" i="14"/>
  <c r="AN43" i="14"/>
  <c r="AK19" i="14"/>
  <c r="B40" i="14"/>
  <c r="AM3" i="14"/>
  <c r="C10" i="14"/>
  <c r="AM6" i="14"/>
  <c r="W34" i="14"/>
  <c r="O25" i="14"/>
  <c r="Y22" i="14"/>
  <c r="I43" i="13"/>
  <c r="G17" i="13"/>
  <c r="Z40" i="14"/>
  <c r="X25" i="14"/>
  <c r="P16" i="14"/>
  <c r="W18" i="14"/>
  <c r="O9" i="14"/>
  <c r="I31" i="13"/>
  <c r="AA36" i="14"/>
  <c r="F27" i="14"/>
  <c r="X17" i="14"/>
  <c r="D25" i="14"/>
  <c r="Y15" i="14"/>
  <c r="C8" i="13"/>
  <c r="P8" i="14"/>
  <c r="F45" i="13"/>
  <c r="Z30" i="14"/>
  <c r="E32" i="14"/>
  <c r="AA31" i="14"/>
  <c r="P22" i="14"/>
  <c r="C37" i="14"/>
  <c r="D3" i="14"/>
  <c r="Q16" i="14"/>
  <c r="X24" i="14"/>
  <c r="P7" i="14"/>
  <c r="B37" i="14"/>
  <c r="E40" i="14"/>
  <c r="AA26" i="14"/>
  <c r="C38" i="14"/>
  <c r="W25" i="14"/>
  <c r="O7" i="14"/>
  <c r="S17" i="14"/>
  <c r="P3" i="14"/>
  <c r="E28" i="14"/>
  <c r="Q8" i="14"/>
  <c r="P21" i="13"/>
  <c r="Y27" i="14"/>
  <c r="C30" i="14"/>
  <c r="X6" i="14"/>
  <c r="S15" i="14"/>
  <c r="AA38" i="14"/>
  <c r="O4" i="14"/>
  <c r="F19" i="14"/>
  <c r="D36" i="14"/>
  <c r="Z23" i="14"/>
  <c r="B34" i="14"/>
  <c r="AA21" i="14"/>
  <c r="S3" i="14"/>
  <c r="R14" i="14"/>
  <c r="E14" i="13"/>
  <c r="E11" i="14"/>
  <c r="D13" i="13"/>
  <c r="Z33" i="14"/>
  <c r="Z14" i="14"/>
  <c r="E6" i="14"/>
  <c r="D35" i="14"/>
  <c r="O3" i="14"/>
  <c r="Q45" i="14"/>
  <c r="G44" i="13"/>
  <c r="Q43" i="14"/>
  <c r="B15" i="14"/>
  <c r="Z7" i="14"/>
  <c r="E12" i="14"/>
  <c r="AA5" i="14"/>
  <c r="S26" i="14"/>
  <c r="C40" i="13"/>
  <c r="Z44" i="14"/>
  <c r="Q25" i="14"/>
  <c r="W26" i="14"/>
  <c r="F9" i="14"/>
  <c r="S22" i="14"/>
  <c r="P6" i="14"/>
  <c r="W10" i="14"/>
  <c r="C19" i="13"/>
  <c r="P4" i="14"/>
  <c r="B45" i="14"/>
  <c r="AL23" i="14"/>
  <c r="AL38" i="14"/>
  <c r="D14" i="14"/>
  <c r="AM36" i="14"/>
  <c r="B25" i="14"/>
  <c r="AM32" i="14"/>
  <c r="AK15" i="14"/>
  <c r="AJ38" i="14"/>
  <c r="AL29" i="14"/>
  <c r="C40" i="14"/>
  <c r="AK30" i="14"/>
  <c r="AL14" i="14"/>
  <c r="AK37" i="14"/>
  <c r="AL20" i="14"/>
  <c r="E3" i="14"/>
  <c r="AL27" i="14"/>
  <c r="F44" i="14"/>
  <c r="AJ4" i="14"/>
  <c r="AM39" i="14"/>
  <c r="F34" i="14"/>
  <c r="C12" i="14"/>
  <c r="AL7" i="14"/>
  <c r="AK35" i="14"/>
  <c r="AK45" i="14"/>
  <c r="E30" i="14"/>
  <c r="D8" i="14"/>
  <c r="AJ23" i="14"/>
  <c r="AJ12" i="14"/>
  <c r="AJ22" i="14"/>
  <c r="C53" i="13"/>
  <c r="B23" i="14"/>
  <c r="AM20" i="14"/>
  <c r="AK11" i="14"/>
  <c r="AK21" i="14"/>
  <c r="AJ14" i="14"/>
  <c r="D5" i="14"/>
  <c r="AJ37" i="14"/>
  <c r="B32" i="14"/>
  <c r="C49" i="13"/>
  <c r="AK17" i="14"/>
  <c r="D31" i="14"/>
  <c r="AN29" i="14"/>
  <c r="AM4" i="14"/>
  <c r="AL6" i="14"/>
  <c r="AJ42" i="14"/>
  <c r="AM12" i="14"/>
  <c r="AN8" i="14"/>
  <c r="AM31" i="14"/>
  <c r="AK6" i="14"/>
  <c r="F22" i="14"/>
  <c r="B12" i="14"/>
  <c r="AN20" i="14"/>
  <c r="D46" i="14"/>
  <c r="AK5" i="14"/>
  <c r="C15" i="14"/>
  <c r="F18" i="14"/>
  <c r="AJ21" i="14"/>
  <c r="C19" i="14"/>
  <c r="AN19" i="14"/>
  <c r="AJ27" i="14"/>
  <c r="C46" i="14"/>
  <c r="AN13" i="14"/>
  <c r="AM41" i="14"/>
  <c r="AN35" i="14"/>
  <c r="AK13" i="14"/>
  <c r="B10" i="14"/>
  <c r="AK16" i="14"/>
  <c r="AJ44" i="14"/>
  <c r="AJ43" i="14"/>
  <c r="AL28" i="14"/>
  <c r="B41" i="14"/>
  <c r="B36" i="14"/>
  <c r="AK43" i="14"/>
  <c r="AM40" i="14"/>
  <c r="AM27" i="14"/>
  <c r="AJ30" i="14"/>
  <c r="B38" i="14"/>
  <c r="AL43" i="14"/>
  <c r="AK46" i="14"/>
  <c r="AJ20" i="14"/>
  <c r="C43" i="14"/>
  <c r="D13" i="14"/>
  <c r="F12" i="14"/>
  <c r="E37" i="14"/>
  <c r="AN18" i="14"/>
  <c r="AM16" i="14"/>
  <c r="B7" i="14"/>
  <c r="AL9" i="14"/>
  <c r="AJ8" i="14"/>
  <c r="AM43" i="14"/>
  <c r="AL41" i="14"/>
  <c r="B22" i="14"/>
  <c r="B2" i="14"/>
  <c r="AK8" i="14"/>
  <c r="AJ36" i="14"/>
  <c r="AJ46" i="14"/>
  <c r="B3" i="14"/>
  <c r="E29" i="14"/>
  <c r="D49" i="13"/>
  <c r="AN28" i="14"/>
  <c r="C27" i="14"/>
  <c r="C47" i="13"/>
  <c r="B42" i="14"/>
  <c r="AL3" i="14"/>
  <c r="AK31" i="14"/>
  <c r="AL5" i="14"/>
  <c r="AM15" i="14"/>
  <c r="C25" i="14"/>
  <c r="AL15" i="14"/>
  <c r="AL30" i="14"/>
  <c r="AJ3" i="14"/>
  <c r="AN14" i="14"/>
  <c r="F49" i="13"/>
  <c r="E18" i="14"/>
  <c r="AM30" i="14"/>
  <c r="AJ7" i="14"/>
  <c r="AK7" i="14"/>
  <c r="AN42" i="14"/>
  <c r="C39" i="14"/>
  <c r="AL34" i="14"/>
  <c r="AJ15" i="14"/>
  <c r="AJ6" i="14"/>
  <c r="D9" i="14"/>
  <c r="AM18" i="14"/>
  <c r="AL46" i="14"/>
  <c r="B28" i="14"/>
  <c r="AN30" i="14"/>
  <c r="AN3" i="14"/>
  <c r="D4" i="14"/>
  <c r="AM46" i="14"/>
  <c r="F40" i="14"/>
  <c r="AK23" i="14"/>
  <c r="AK33" i="14"/>
  <c r="F33" i="14"/>
  <c r="AL39" i="14"/>
  <c r="AJ35" i="14"/>
  <c r="AJ16" i="14"/>
  <c r="AN38" i="14"/>
  <c r="C45" i="14"/>
  <c r="D26" i="14"/>
  <c r="AK42" i="14"/>
  <c r="AL18" i="14"/>
  <c r="F36" i="14"/>
  <c r="AN2" i="14"/>
  <c r="F6" i="14"/>
  <c r="AM2" i="14"/>
  <c r="AM17" i="14"/>
  <c r="E33" i="14"/>
  <c r="AJ2" i="14"/>
  <c r="AM8" i="14"/>
  <c r="F3" i="14"/>
  <c r="AN17" i="14"/>
  <c r="AM45" i="14"/>
  <c r="D18" i="14"/>
  <c r="E21" i="14"/>
  <c r="AM21" i="14"/>
  <c r="AL44" i="14"/>
  <c r="AM44" i="14"/>
  <c r="C42" i="14"/>
  <c r="AN5" i="14"/>
  <c r="AM33" i="14"/>
  <c r="AL13" i="14"/>
  <c r="AJ18" i="14"/>
  <c r="AM7" i="14"/>
  <c r="E35" i="14"/>
  <c r="AN33" i="14"/>
  <c r="AK18" i="14"/>
  <c r="AL10" i="14"/>
  <c r="AN10" i="14"/>
  <c r="C14" i="14"/>
  <c r="AM26" i="14"/>
  <c r="E41" i="14"/>
  <c r="AK3" i="14"/>
  <c r="AJ26" i="14"/>
  <c r="D29" i="14"/>
  <c r="AJ29" i="14"/>
  <c r="AK2" i="14"/>
  <c r="AM5" i="14"/>
  <c r="AK41" i="14"/>
  <c r="AK34" i="14"/>
  <c r="F37" i="14"/>
  <c r="AN39" i="14"/>
  <c r="AN4" i="14"/>
  <c r="AL40" i="14"/>
  <c r="AN31" i="14"/>
  <c r="C6" i="14"/>
  <c r="E45" i="14"/>
  <c r="AJ5" i="14"/>
  <c r="AN32" i="14"/>
  <c r="AJ11" i="14"/>
  <c r="AL4" i="14"/>
  <c r="AN26" i="14"/>
  <c r="AN37" i="14"/>
  <c r="AJ25" i="14"/>
  <c r="AK44" i="14"/>
  <c r="AJ41" i="14"/>
  <c r="AK28" i="14"/>
  <c r="AM34" i="14"/>
  <c r="AN21" i="14"/>
  <c r="AN41" i="14"/>
  <c r="AL31" i="14"/>
  <c r="AM38" i="14"/>
  <c r="F53" i="13" l="1"/>
  <c r="F32" i="15"/>
  <c r="G32" i="15" s="1"/>
  <c r="F40" i="13"/>
  <c r="F12" i="13"/>
  <c r="AA5" i="13"/>
  <c r="O6" i="13" s="1"/>
  <c r="Z46" i="13"/>
  <c r="N47" i="13" s="1"/>
  <c r="H8" i="13"/>
  <c r="G12" i="13" s="1"/>
  <c r="F3" i="15"/>
  <c r="G3" i="15" s="1"/>
  <c r="F25" i="13"/>
  <c r="H21" i="13"/>
  <c r="G25" i="13" s="1"/>
  <c r="W33" i="13"/>
  <c r="K34" i="13" s="1"/>
  <c r="F41" i="15"/>
  <c r="G41" i="15" s="1"/>
  <c r="Z18" i="13"/>
  <c r="N19" i="13" s="1"/>
  <c r="F31" i="15"/>
  <c r="G31" i="15" s="1"/>
  <c r="Z5" i="13"/>
  <c r="N6" i="13" s="1"/>
  <c r="W5" i="13"/>
  <c r="K6" i="13" s="1"/>
  <c r="F5" i="15"/>
  <c r="G5" i="15" s="1"/>
  <c r="AB46" i="13"/>
  <c r="P47" i="13" s="1"/>
  <c r="Y46" i="13"/>
  <c r="M47" i="13" s="1"/>
  <c r="F44" i="15"/>
  <c r="G44" i="15" s="1"/>
  <c r="Z33" i="13"/>
  <c r="N34" i="13" s="1"/>
  <c r="F39" i="15"/>
  <c r="G39" i="15" s="1"/>
  <c r="AC46" i="13"/>
  <c r="Q47" i="13" s="1"/>
  <c r="F30" i="15"/>
  <c r="G30" i="15" s="1"/>
  <c r="F42" i="15"/>
  <c r="G42" i="15" s="1"/>
  <c r="X46" i="13"/>
  <c r="L47" i="13" s="1"/>
  <c r="AA33" i="13"/>
  <c r="O34" i="13" s="1"/>
  <c r="F43" i="15"/>
  <c r="G43" i="15" s="1"/>
  <c r="F40" i="15"/>
  <c r="G40" i="15" s="1"/>
  <c r="H49" i="13"/>
  <c r="G53" i="13" s="1"/>
  <c r="F28" i="15"/>
  <c r="G28" i="15" s="1"/>
  <c r="F4" i="15"/>
  <c r="G4" i="15" s="1"/>
  <c r="F6" i="15"/>
  <c r="G6" i="15" s="1"/>
  <c r="F21" i="15"/>
  <c r="G21" i="15" s="1"/>
  <c r="Y5" i="13"/>
  <c r="M6" i="13" s="1"/>
  <c r="X33" i="13"/>
  <c r="L34" i="13" s="1"/>
  <c r="AA46" i="13"/>
  <c r="O47" i="13" s="1"/>
  <c r="H36" i="13"/>
  <c r="G40" i="13" s="1"/>
  <c r="X5" i="13"/>
  <c r="L6" i="13" s="1"/>
  <c r="F7" i="15"/>
  <c r="G7" i="15" s="1"/>
  <c r="F29" i="15"/>
  <c r="G29" i="15" s="1"/>
  <c r="F19" i="15"/>
  <c r="G19" i="15" s="1"/>
  <c r="Y33" i="13"/>
  <c r="M34" i="13" s="1"/>
  <c r="D60" i="16"/>
  <c r="C61" i="16"/>
  <c r="C16" i="11"/>
  <c r="B16" i="11"/>
  <c r="A16" i="11"/>
  <c r="A16" i="6"/>
  <c r="Z22" i="13"/>
  <c r="Z21" i="13"/>
  <c r="Z20" i="13"/>
  <c r="AA9" i="13"/>
  <c r="Z9" i="13"/>
  <c r="W7" i="13"/>
  <c r="X8" i="13"/>
  <c r="AA8" i="13"/>
  <c r="Z8" i="13"/>
  <c r="Y7" i="13"/>
  <c r="X7" i="13"/>
  <c r="AA7" i="13"/>
  <c r="W9" i="13"/>
  <c r="Y8" i="13"/>
  <c r="X9" i="13"/>
  <c r="Z7" i="13"/>
  <c r="W8" i="13"/>
  <c r="Y9" i="13"/>
  <c r="X37" i="13"/>
  <c r="Y37" i="13"/>
  <c r="W37" i="13"/>
  <c r="AB48" i="13"/>
  <c r="AB49" i="13"/>
  <c r="AB50" i="13" s="1"/>
  <c r="AC49" i="13"/>
  <c r="AC48" i="13"/>
  <c r="AC50" i="13" s="1"/>
  <c r="Z48" i="13"/>
  <c r="Y48" i="13"/>
  <c r="X48" i="13"/>
  <c r="Z49" i="13"/>
  <c r="Z50" i="13" s="1"/>
  <c r="AA49" i="13"/>
  <c r="Y49" i="13"/>
  <c r="Y50" i="13" s="1"/>
  <c r="X49" i="13"/>
  <c r="X50" i="13" s="1"/>
  <c r="AA48" i="13"/>
  <c r="AA50" i="13" s="1"/>
  <c r="Z36" i="13"/>
  <c r="X36" i="13"/>
  <c r="Z35" i="13"/>
  <c r="Z37" i="13" s="1"/>
  <c r="X35" i="13"/>
  <c r="AA36" i="13"/>
  <c r="AA35" i="13"/>
  <c r="AA37" i="13" s="1"/>
  <c r="Y35" i="13"/>
  <c r="Y36" i="13"/>
  <c r="W36" i="13"/>
  <c r="W35" i="13"/>
  <c r="A20" i="2"/>
  <c r="A21" i="2"/>
  <c r="S36" i="11"/>
  <c r="A14" i="2"/>
  <c r="A17" i="2"/>
  <c r="A24" i="2"/>
  <c r="A15" i="2"/>
  <c r="A18" i="2"/>
  <c r="A19" i="2"/>
  <c r="A16" i="2"/>
  <c r="A22" i="2"/>
  <c r="A23" i="2"/>
  <c r="S35" i="11"/>
  <c r="A13" i="2"/>
  <c r="R35" i="11"/>
  <c r="U10" i="11"/>
  <c r="U9" i="11"/>
  <c r="U8" i="11"/>
  <c r="U7" i="11"/>
  <c r="U6" i="11"/>
  <c r="U5" i="11"/>
  <c r="U3" i="11"/>
  <c r="U4" i="11"/>
  <c r="U13" i="11"/>
  <c r="U12" i="11"/>
  <c r="U11" i="11"/>
  <c r="U2" i="11"/>
  <c r="I54" i="13"/>
  <c r="G54" i="13"/>
  <c r="F54" i="13"/>
  <c r="O8" i="13"/>
  <c r="N49" i="13"/>
  <c r="K36" i="13"/>
  <c r="N20" i="13"/>
  <c r="K8" i="13"/>
  <c r="P48" i="13"/>
  <c r="M50" i="13"/>
  <c r="N36" i="13"/>
  <c r="L48" i="13"/>
  <c r="M8" i="13"/>
  <c r="N2" i="13"/>
  <c r="L36" i="13"/>
  <c r="O50" i="13"/>
  <c r="L9" i="13"/>
  <c r="C54" i="13"/>
  <c r="K51" i="13"/>
  <c r="D54" i="13"/>
  <c r="O7" i="13"/>
  <c r="N22" i="13"/>
  <c r="N9" i="13"/>
  <c r="P49" i="13"/>
  <c r="M49" i="13"/>
  <c r="N35" i="13"/>
  <c r="Q50" i="13"/>
  <c r="O36" i="13"/>
  <c r="M9" i="13"/>
  <c r="H54" i="13"/>
  <c r="B54" i="13"/>
  <c r="N48" i="13"/>
  <c r="K35" i="13"/>
  <c r="N21" i="13"/>
  <c r="N7" i="13"/>
  <c r="K9" i="13"/>
  <c r="M48" i="13"/>
  <c r="Q48" i="13"/>
  <c r="L49" i="13"/>
  <c r="O35" i="13"/>
  <c r="L37" i="13"/>
  <c r="O49" i="13"/>
  <c r="L8" i="13"/>
  <c r="M37" i="13"/>
  <c r="E54" i="13"/>
  <c r="K46" i="13"/>
  <c r="O9" i="13"/>
  <c r="N50" i="13"/>
  <c r="K37" i="13"/>
  <c r="N8" i="13"/>
  <c r="K7" i="13"/>
  <c r="P50" i="13"/>
  <c r="N37" i="13"/>
  <c r="Q49" i="13"/>
  <c r="L50" i="13"/>
  <c r="O37" i="13"/>
  <c r="M7" i="13"/>
  <c r="L35" i="13"/>
  <c r="O48" i="13"/>
  <c r="L7" i="13"/>
  <c r="M35" i="13"/>
  <c r="M36" i="13"/>
  <c r="F23" i="15" l="1"/>
  <c r="F8" i="15"/>
  <c r="F33" i="15"/>
  <c r="W46" i="13"/>
  <c r="K47" i="13" s="1"/>
  <c r="F38" i="15"/>
  <c r="F45" i="15" s="1"/>
  <c r="J16" i="11"/>
  <c r="D61" i="16"/>
  <c r="C62" i="16"/>
  <c r="R36" i="11"/>
  <c r="J17" i="11" s="1"/>
  <c r="I16" i="11"/>
  <c r="C16" i="10"/>
  <c r="B16" i="10"/>
  <c r="A16" i="10"/>
  <c r="C16" i="9"/>
  <c r="B16" i="9"/>
  <c r="A16" i="9"/>
  <c r="C16" i="8"/>
  <c r="B16" i="8"/>
  <c r="A16" i="8"/>
  <c r="W49" i="13"/>
  <c r="W48" i="13"/>
  <c r="W50" i="13" s="1"/>
  <c r="A111" i="2"/>
  <c r="A113" i="2"/>
  <c r="K16" i="11"/>
  <c r="A108" i="2"/>
  <c r="Q2" i="11"/>
  <c r="A112" i="2"/>
  <c r="E16" i="11"/>
  <c r="K49" i="13"/>
  <c r="K50" i="13"/>
  <c r="K48" i="13"/>
  <c r="G38" i="15" l="1"/>
  <c r="D62" i="16"/>
  <c r="C63" i="16"/>
  <c r="A2" i="11"/>
  <c r="P2" i="11"/>
  <c r="AH2" i="11" s="1"/>
  <c r="R37" i="11"/>
  <c r="J18" i="11" s="1"/>
  <c r="I17" i="11"/>
  <c r="C16" i="7"/>
  <c r="B16" i="7"/>
  <c r="A16" i="7"/>
  <c r="E17" i="11"/>
  <c r="T2" i="11"/>
  <c r="A114" i="2"/>
  <c r="Q3" i="11"/>
  <c r="R2" i="11"/>
  <c r="K17" i="11"/>
  <c r="S2" i="11"/>
  <c r="AJ2" i="11"/>
  <c r="B2" i="11"/>
  <c r="D63" i="16" l="1"/>
  <c r="C64" i="16"/>
  <c r="P3" i="11"/>
  <c r="AH3" i="11" s="1"/>
  <c r="A3" i="11"/>
  <c r="C2" i="11"/>
  <c r="D2" i="11" s="1"/>
  <c r="V2" i="11" s="1"/>
  <c r="AB2" i="11"/>
  <c r="AL2" i="11"/>
  <c r="AC2" i="11"/>
  <c r="AF2" i="11" s="1"/>
  <c r="G16" i="11" s="1"/>
  <c r="R38" i="11"/>
  <c r="J19" i="11" s="1"/>
  <c r="I18" i="11"/>
  <c r="D112" i="2"/>
  <c r="T3" i="11"/>
  <c r="B3" i="11"/>
  <c r="R3" i="11"/>
  <c r="AJ3" i="11"/>
  <c r="K18" i="11"/>
  <c r="K111" i="2"/>
  <c r="E18" i="11"/>
  <c r="C112" i="2"/>
  <c r="I112" i="2"/>
  <c r="H112" i="2"/>
  <c r="K112" i="2"/>
  <c r="B112" i="2"/>
  <c r="S3" i="11"/>
  <c r="G112" i="2"/>
  <c r="Q4" i="11"/>
  <c r="E112" i="2"/>
  <c r="K110" i="2"/>
  <c r="A115" i="2"/>
  <c r="F112" i="2"/>
  <c r="D64" i="16" l="1"/>
  <c r="C65" i="16"/>
  <c r="K109" i="2"/>
  <c r="AL3" i="11"/>
  <c r="C3" i="11"/>
  <c r="AC3" i="11"/>
  <c r="AF3" i="11" s="1"/>
  <c r="G17" i="11" s="1"/>
  <c r="A4" i="11"/>
  <c r="P4" i="11"/>
  <c r="AH4" i="11" s="1"/>
  <c r="AB3" i="11"/>
  <c r="I19" i="11"/>
  <c r="R39" i="11"/>
  <c r="J20" i="11" s="1"/>
  <c r="C16" i="6"/>
  <c r="B16" i="6"/>
  <c r="S36" i="9"/>
  <c r="S36" i="10"/>
  <c r="S36" i="7"/>
  <c r="S36" i="8"/>
  <c r="S35" i="9"/>
  <c r="S35" i="7"/>
  <c r="S35" i="8"/>
  <c r="S35" i="10"/>
  <c r="L111" i="2"/>
  <c r="X2" i="11"/>
  <c r="B113" i="2"/>
  <c r="Z2" i="11"/>
  <c r="AI2" i="11"/>
  <c r="E113" i="2"/>
  <c r="R35" i="9"/>
  <c r="H113" i="2"/>
  <c r="L110" i="2"/>
  <c r="L112" i="2"/>
  <c r="W2" i="11"/>
  <c r="F113" i="2"/>
  <c r="T4" i="11"/>
  <c r="I113" i="2"/>
  <c r="G113" i="2"/>
  <c r="C113" i="2"/>
  <c r="R35" i="8"/>
  <c r="K19" i="11"/>
  <c r="AJ4" i="11"/>
  <c r="A116" i="2"/>
  <c r="AK2" i="11"/>
  <c r="Q5" i="11"/>
  <c r="D113" i="2"/>
  <c r="B4" i="11"/>
  <c r="S4" i="11"/>
  <c r="R35" i="7"/>
  <c r="R4" i="11"/>
  <c r="R35" i="10"/>
  <c r="Y2" i="11"/>
  <c r="E19" i="11"/>
  <c r="U10" i="9"/>
  <c r="U10" i="7"/>
  <c r="U10" i="10"/>
  <c r="U10" i="8"/>
  <c r="U9" i="10"/>
  <c r="U9" i="9"/>
  <c r="U9" i="8"/>
  <c r="U9" i="7"/>
  <c r="U8" i="8"/>
  <c r="U8" i="7"/>
  <c r="U8" i="10"/>
  <c r="U8" i="9"/>
  <c r="U7" i="9"/>
  <c r="U7" i="7"/>
  <c r="U7" i="10"/>
  <c r="U7" i="8"/>
  <c r="U6" i="9"/>
  <c r="U6" i="8"/>
  <c r="U6" i="7"/>
  <c r="U6" i="10"/>
  <c r="U5" i="8"/>
  <c r="U5" i="9"/>
  <c r="U5" i="10"/>
  <c r="U5" i="7"/>
  <c r="U4" i="10"/>
  <c r="U3" i="7"/>
  <c r="U4" i="7"/>
  <c r="U4" i="9"/>
  <c r="U4" i="8"/>
  <c r="U3" i="10"/>
  <c r="U3" i="9"/>
  <c r="U3" i="8"/>
  <c r="U13" i="8"/>
  <c r="U13" i="9"/>
  <c r="U13" i="7"/>
  <c r="U13" i="10"/>
  <c r="U12" i="9"/>
  <c r="U12" i="8"/>
  <c r="U12" i="7"/>
  <c r="U3" i="2"/>
  <c r="U12" i="10"/>
  <c r="U11" i="9"/>
  <c r="U11" i="10"/>
  <c r="U11" i="8"/>
  <c r="U11" i="7"/>
  <c r="U2" i="7"/>
  <c r="U2" i="9"/>
  <c r="U2" i="8"/>
  <c r="U2" i="10"/>
  <c r="J16" i="8" l="1"/>
  <c r="J16" i="10"/>
  <c r="I16" i="7"/>
  <c r="J16" i="7"/>
  <c r="J16" i="9"/>
  <c r="D65" i="16"/>
  <c r="C66" i="16"/>
  <c r="L109" i="2"/>
  <c r="C4" i="11"/>
  <c r="AC4" i="11"/>
  <c r="AF4" i="11" s="1"/>
  <c r="G18" i="11" s="1"/>
  <c r="AD2" i="11"/>
  <c r="AG2" i="11" s="1"/>
  <c r="L16" i="11" s="1"/>
  <c r="AB4" i="11"/>
  <c r="P5" i="11"/>
  <c r="AH5" i="11" s="1"/>
  <c r="A5" i="11"/>
  <c r="AA2" i="11"/>
  <c r="AL4" i="11"/>
  <c r="D3" i="11"/>
  <c r="E2" i="11"/>
  <c r="V3" i="11" s="1"/>
  <c r="I20" i="11"/>
  <c r="R40" i="11"/>
  <c r="J21" i="11" s="1"/>
  <c r="I16" i="8"/>
  <c r="I16" i="9"/>
  <c r="I16" i="10"/>
  <c r="R36" i="8"/>
  <c r="J17" i="8" s="1"/>
  <c r="R36" i="9"/>
  <c r="J17" i="9" s="1"/>
  <c r="R36" i="7"/>
  <c r="J17" i="7" s="1"/>
  <c r="R36" i="10"/>
  <c r="J17" i="10" s="1"/>
  <c r="D24" i="2"/>
  <c r="G24" i="2"/>
  <c r="C24" i="2"/>
  <c r="I24" i="2"/>
  <c r="E24" i="2"/>
  <c r="F24" i="2"/>
  <c r="B24" i="2"/>
  <c r="H24" i="2"/>
  <c r="K20" i="11"/>
  <c r="K16" i="7"/>
  <c r="M110" i="2"/>
  <c r="E114" i="2"/>
  <c r="M111" i="2"/>
  <c r="E16" i="8"/>
  <c r="C114" i="2"/>
  <c r="E20" i="11"/>
  <c r="K16" i="10"/>
  <c r="Q2" i="8"/>
  <c r="A62" i="2"/>
  <c r="A78" i="2"/>
  <c r="B5" i="11"/>
  <c r="H114" i="2"/>
  <c r="K16" i="9"/>
  <c r="K16" i="8"/>
  <c r="Q2" i="9"/>
  <c r="E16" i="7"/>
  <c r="A77" i="2"/>
  <c r="B114" i="2"/>
  <c r="M112" i="2"/>
  <c r="AJ5" i="11"/>
  <c r="A61" i="2"/>
  <c r="A45" i="2"/>
  <c r="S5" i="11"/>
  <c r="F114" i="2"/>
  <c r="Q2" i="10"/>
  <c r="D114" i="2"/>
  <c r="Q6" i="11"/>
  <c r="I114" i="2"/>
  <c r="A46" i="2"/>
  <c r="R5" i="11"/>
  <c r="G114" i="2"/>
  <c r="T5" i="11"/>
  <c r="Q2" i="7"/>
  <c r="E17" i="10"/>
  <c r="A93" i="2"/>
  <c r="A94" i="2"/>
  <c r="E16" i="9"/>
  <c r="D66" i="16" l="1"/>
  <c r="C67" i="16"/>
  <c r="M109" i="2"/>
  <c r="P6" i="11"/>
  <c r="AH6" i="11" s="1"/>
  <c r="A6" i="11"/>
  <c r="C5" i="11"/>
  <c r="AB5" i="11"/>
  <c r="AC5" i="11"/>
  <c r="AF5" i="11" s="1"/>
  <c r="G19" i="11" s="1"/>
  <c r="AL5" i="11"/>
  <c r="R41" i="11"/>
  <c r="J22" i="11" s="1"/>
  <c r="I21" i="11"/>
  <c r="D4" i="11"/>
  <c r="F2" i="11"/>
  <c r="V4" i="11" s="1"/>
  <c r="R37" i="8"/>
  <c r="I17" i="8"/>
  <c r="R37" i="10"/>
  <c r="J18" i="10" s="1"/>
  <c r="I17" i="10"/>
  <c r="R37" i="7"/>
  <c r="J18" i="7" s="1"/>
  <c r="I17" i="7"/>
  <c r="R37" i="9"/>
  <c r="J18" i="9" s="1"/>
  <c r="I17" i="9"/>
  <c r="P2" i="9"/>
  <c r="AH2" i="9" s="1"/>
  <c r="A2" i="9"/>
  <c r="A2" i="10"/>
  <c r="P2" i="10"/>
  <c r="AH2" i="10" s="1"/>
  <c r="P2" i="7"/>
  <c r="AH2" i="7" s="1"/>
  <c r="A2" i="7"/>
  <c r="P2" i="8"/>
  <c r="AH2" i="8" s="1"/>
  <c r="A2" i="8"/>
  <c r="I77" i="2"/>
  <c r="C45" i="2"/>
  <c r="H93" i="2"/>
  <c r="Y3" i="11"/>
  <c r="E45" i="2"/>
  <c r="A117" i="2"/>
  <c r="H45" i="2"/>
  <c r="T2" i="8"/>
  <c r="G45" i="2"/>
  <c r="AJ2" i="7"/>
  <c r="B115" i="2"/>
  <c r="R2" i="10"/>
  <c r="AJ2" i="10"/>
  <c r="B6" i="11"/>
  <c r="G77" i="2"/>
  <c r="B93" i="2"/>
  <c r="K92" i="2"/>
  <c r="E93" i="2"/>
  <c r="D45" i="2"/>
  <c r="K60" i="2"/>
  <c r="AJ2" i="8"/>
  <c r="S2" i="7"/>
  <c r="G93" i="2"/>
  <c r="W3" i="11"/>
  <c r="S2" i="9"/>
  <c r="A95" i="2"/>
  <c r="K44" i="2"/>
  <c r="AI3" i="11"/>
  <c r="K45" i="2"/>
  <c r="E77" i="2"/>
  <c r="S2" i="8"/>
  <c r="K17" i="10"/>
  <c r="D93" i="2"/>
  <c r="B2" i="9"/>
  <c r="B2" i="10"/>
  <c r="I61" i="2"/>
  <c r="Q3" i="10"/>
  <c r="B45" i="2"/>
  <c r="B77" i="2"/>
  <c r="I115" i="2"/>
  <c r="K77" i="2"/>
  <c r="N111" i="2"/>
  <c r="H61" i="2"/>
  <c r="H115" i="2"/>
  <c r="K76" i="2"/>
  <c r="G61" i="2"/>
  <c r="E115" i="2"/>
  <c r="S2" i="10"/>
  <c r="B61" i="2"/>
  <c r="T2" i="7"/>
  <c r="K93" i="2"/>
  <c r="R2" i="8"/>
  <c r="R2" i="9"/>
  <c r="B2" i="8"/>
  <c r="Q7" i="11"/>
  <c r="K21" i="11"/>
  <c r="T6" i="11"/>
  <c r="K17" i="7"/>
  <c r="A79" i="2"/>
  <c r="K61" i="2"/>
  <c r="F115" i="2"/>
  <c r="R6" i="11"/>
  <c r="A118" i="2"/>
  <c r="N110" i="2"/>
  <c r="F61" i="2"/>
  <c r="Q3" i="7"/>
  <c r="Z3" i="11"/>
  <c r="C115" i="2"/>
  <c r="E21" i="11"/>
  <c r="I93" i="2"/>
  <c r="G115" i="2"/>
  <c r="F93" i="2"/>
  <c r="E17" i="9"/>
  <c r="Q3" i="9"/>
  <c r="T2" i="10"/>
  <c r="N112" i="2"/>
  <c r="C93" i="2"/>
  <c r="D61" i="2"/>
  <c r="K17" i="9"/>
  <c r="K43" i="2"/>
  <c r="K91" i="2"/>
  <c r="E61" i="2"/>
  <c r="Q4" i="7"/>
  <c r="D115" i="2"/>
  <c r="A47" i="2"/>
  <c r="C77" i="2"/>
  <c r="AJ6" i="11"/>
  <c r="C61" i="2"/>
  <c r="K59" i="2"/>
  <c r="H77" i="2"/>
  <c r="S6" i="11"/>
  <c r="AJ2" i="9"/>
  <c r="T2" i="9"/>
  <c r="AK3" i="11"/>
  <c r="I45" i="2"/>
  <c r="Q3" i="8"/>
  <c r="F45" i="2"/>
  <c r="D77" i="2"/>
  <c r="X3" i="11"/>
  <c r="R2" i="7"/>
  <c r="F77" i="2"/>
  <c r="K75" i="2"/>
  <c r="K17" i="8"/>
  <c r="E17" i="8"/>
  <c r="E17" i="7"/>
  <c r="B2" i="7"/>
  <c r="R38" i="8" l="1"/>
  <c r="J19" i="8" s="1"/>
  <c r="J18" i="8"/>
  <c r="C68" i="16"/>
  <c r="D67" i="16"/>
  <c r="P3" i="8"/>
  <c r="AH3" i="8" s="1"/>
  <c r="A3" i="8"/>
  <c r="N109" i="2"/>
  <c r="K90" i="2"/>
  <c r="AD3" i="11"/>
  <c r="AG3" i="11" s="1"/>
  <c r="L17" i="11" s="1"/>
  <c r="AL6" i="11"/>
  <c r="AA3" i="11"/>
  <c r="A7" i="11"/>
  <c r="P7" i="11"/>
  <c r="AH7" i="11" s="1"/>
  <c r="AC6" i="11"/>
  <c r="AF6" i="11" s="1"/>
  <c r="G20" i="11" s="1"/>
  <c r="AB6" i="11"/>
  <c r="C6" i="11"/>
  <c r="R42" i="11"/>
  <c r="J23" i="11" s="1"/>
  <c r="I22" i="11"/>
  <c r="D5" i="11"/>
  <c r="G2" i="11"/>
  <c r="V5" i="11" s="1"/>
  <c r="R38" i="10"/>
  <c r="C2" i="9"/>
  <c r="D2" i="9" s="1"/>
  <c r="V2" i="9" s="1"/>
  <c r="K74" i="2"/>
  <c r="K42" i="2"/>
  <c r="C2" i="8"/>
  <c r="D2" i="8" s="1"/>
  <c r="V2" i="8" s="1"/>
  <c r="C2" i="10"/>
  <c r="D2" i="10" s="1"/>
  <c r="V2" i="10" s="1"/>
  <c r="K58" i="2"/>
  <c r="C2" i="7"/>
  <c r="I19" i="8"/>
  <c r="I18" i="8"/>
  <c r="I18" i="9"/>
  <c r="I18" i="10"/>
  <c r="I18" i="7"/>
  <c r="R38" i="7"/>
  <c r="J19" i="7" s="1"/>
  <c r="R38" i="9"/>
  <c r="J19" i="9" s="1"/>
  <c r="P3" i="7"/>
  <c r="AH3" i="7" s="1"/>
  <c r="A3" i="7"/>
  <c r="P3" i="9"/>
  <c r="AH3" i="9" s="1"/>
  <c r="A3" i="9"/>
  <c r="P3" i="10"/>
  <c r="AH3" i="10" s="1"/>
  <c r="A3" i="10"/>
  <c r="AC2" i="8"/>
  <c r="AF2" i="8" s="1"/>
  <c r="G16" i="8" s="1"/>
  <c r="AB2" i="7"/>
  <c r="AC2" i="10"/>
  <c r="AF2" i="10" s="1"/>
  <c r="G16" i="10" s="1"/>
  <c r="AB2" i="10"/>
  <c r="AL2" i="8"/>
  <c r="AC2" i="7"/>
  <c r="AF2" i="7" s="1"/>
  <c r="G16" i="7" s="1"/>
  <c r="AB2" i="9"/>
  <c r="AC2" i="9"/>
  <c r="AF2" i="9" s="1"/>
  <c r="G16" i="9" s="1"/>
  <c r="AB2" i="8"/>
  <c r="AL2" i="10"/>
  <c r="AL2" i="7"/>
  <c r="AL2" i="9"/>
  <c r="A4" i="7"/>
  <c r="P4" i="7"/>
  <c r="AH4" i="7" s="1"/>
  <c r="Q4" i="10"/>
  <c r="O111" i="2"/>
  <c r="S7" i="11"/>
  <c r="F94" i="2"/>
  <c r="R3" i="9"/>
  <c r="K18" i="7"/>
  <c r="K18" i="9"/>
  <c r="O110" i="2"/>
  <c r="E46" i="2"/>
  <c r="Z4" i="11"/>
  <c r="L43" i="2"/>
  <c r="R3" i="8"/>
  <c r="H94" i="2"/>
  <c r="B3" i="7"/>
  <c r="L77" i="2"/>
  <c r="B46" i="2"/>
  <c r="S3" i="8"/>
  <c r="F46" i="2"/>
  <c r="I78" i="2"/>
  <c r="G94" i="2"/>
  <c r="E18" i="8"/>
  <c r="Q4" i="9"/>
  <c r="A63" i="2"/>
  <c r="E62" i="2"/>
  <c r="G46" i="2"/>
  <c r="AI4" i="11"/>
  <c r="AJ4" i="7"/>
  <c r="G62" i="2"/>
  <c r="H116" i="2"/>
  <c r="R4" i="7"/>
  <c r="L92" i="2"/>
  <c r="F116" i="2"/>
  <c r="S3" i="10"/>
  <c r="AJ3" i="9"/>
  <c r="B7" i="11"/>
  <c r="AJ3" i="8"/>
  <c r="G116" i="2"/>
  <c r="E18" i="7"/>
  <c r="AJ7" i="11"/>
  <c r="C46" i="2"/>
  <c r="E116" i="2"/>
  <c r="B3" i="10"/>
  <c r="R3" i="10"/>
  <c r="I94" i="2"/>
  <c r="A48" i="2"/>
  <c r="L59" i="2"/>
  <c r="T3" i="7"/>
  <c r="C78" i="2"/>
  <c r="L44" i="2"/>
  <c r="T4" i="7"/>
  <c r="L91" i="2"/>
  <c r="B3" i="8"/>
  <c r="I62" i="2"/>
  <c r="B62" i="2"/>
  <c r="L61" i="2"/>
  <c r="X4" i="11"/>
  <c r="Y4" i="11"/>
  <c r="H78" i="2"/>
  <c r="D94" i="2"/>
  <c r="B4" i="7"/>
  <c r="T3" i="9"/>
  <c r="E22" i="11"/>
  <c r="E94" i="2"/>
  <c r="L75" i="2"/>
  <c r="C94" i="2"/>
  <c r="Z2" i="10"/>
  <c r="B78" i="2"/>
  <c r="AJ3" i="10"/>
  <c r="L76" i="2"/>
  <c r="AK4" i="11"/>
  <c r="S4" i="7"/>
  <c r="G78" i="2"/>
  <c r="K19" i="8"/>
  <c r="L60" i="2"/>
  <c r="L93" i="2"/>
  <c r="H46" i="2"/>
  <c r="X2" i="8"/>
  <c r="D46" i="2"/>
  <c r="Q8" i="11"/>
  <c r="H62" i="2"/>
  <c r="F78" i="2"/>
  <c r="K18" i="10"/>
  <c r="E19" i="8"/>
  <c r="B94" i="2"/>
  <c r="E78" i="2"/>
  <c r="S3" i="7"/>
  <c r="F62" i="2"/>
  <c r="A119" i="2"/>
  <c r="W4" i="11"/>
  <c r="I46" i="2"/>
  <c r="I116" i="2"/>
  <c r="Q4" i="8"/>
  <c r="K22" i="11"/>
  <c r="T3" i="8"/>
  <c r="D78" i="2"/>
  <c r="AJ3" i="7"/>
  <c r="S3" i="9"/>
  <c r="L45" i="2"/>
  <c r="D62" i="2"/>
  <c r="E18" i="9"/>
  <c r="C62" i="2"/>
  <c r="T3" i="10"/>
  <c r="B3" i="9"/>
  <c r="A64" i="2"/>
  <c r="R3" i="7"/>
  <c r="O112" i="2"/>
  <c r="Q5" i="8"/>
  <c r="R7" i="11"/>
  <c r="C116" i="2"/>
  <c r="T7" i="11"/>
  <c r="B116" i="2"/>
  <c r="D116" i="2"/>
  <c r="A80" i="2"/>
  <c r="R39" i="8" l="1"/>
  <c r="J20" i="8" s="1"/>
  <c r="R39" i="10"/>
  <c r="J20" i="10" s="1"/>
  <c r="J19" i="10"/>
  <c r="D68" i="16"/>
  <c r="C69" i="16"/>
  <c r="I19" i="10"/>
  <c r="O109" i="2"/>
  <c r="AC3" i="8"/>
  <c r="AF3" i="8" s="1"/>
  <c r="G17" i="8" s="1"/>
  <c r="C3" i="8"/>
  <c r="E2" i="8" s="1"/>
  <c r="V3" i="8" s="1"/>
  <c r="AL3" i="8"/>
  <c r="AB3" i="8"/>
  <c r="AL7" i="11"/>
  <c r="AA4" i="11"/>
  <c r="A8" i="11"/>
  <c r="P8" i="11"/>
  <c r="AH8" i="11" s="1"/>
  <c r="C7" i="11"/>
  <c r="AD4" i="11"/>
  <c r="AG4" i="11" s="1"/>
  <c r="L18" i="11" s="1"/>
  <c r="AC7" i="11"/>
  <c r="AF7" i="11" s="1"/>
  <c r="G21" i="11" s="1"/>
  <c r="AB7" i="11"/>
  <c r="D6" i="11"/>
  <c r="H2" i="11"/>
  <c r="V6" i="11" s="1"/>
  <c r="R43" i="11"/>
  <c r="J24" i="11" s="1"/>
  <c r="I23" i="11"/>
  <c r="D2" i="7"/>
  <c r="V2" i="7" s="1"/>
  <c r="P4" i="10"/>
  <c r="AH4" i="10" s="1"/>
  <c r="A4" i="10"/>
  <c r="C4" i="7"/>
  <c r="A4" i="9"/>
  <c r="P4" i="9"/>
  <c r="AH4" i="9" s="1"/>
  <c r="L42" i="2"/>
  <c r="C3" i="9"/>
  <c r="E2" i="9" s="1"/>
  <c r="V3" i="9" s="1"/>
  <c r="C3" i="7"/>
  <c r="D3" i="7" s="1"/>
  <c r="C3" i="10"/>
  <c r="D3" i="10" s="1"/>
  <c r="L58" i="2"/>
  <c r="L74" i="2"/>
  <c r="P4" i="8"/>
  <c r="AH4" i="8" s="1"/>
  <c r="A4" i="8"/>
  <c r="L90" i="2"/>
  <c r="I19" i="9"/>
  <c r="I20" i="8"/>
  <c r="I19" i="7"/>
  <c r="R39" i="7"/>
  <c r="J20" i="7" s="1"/>
  <c r="I20" i="10"/>
  <c r="R39" i="9"/>
  <c r="J20" i="9" s="1"/>
  <c r="AB3" i="7"/>
  <c r="AL3" i="7"/>
  <c r="AC3" i="7"/>
  <c r="AF3" i="7" s="1"/>
  <c r="G17" i="7" s="1"/>
  <c r="AB3" i="9"/>
  <c r="AL3" i="9"/>
  <c r="AC3" i="9"/>
  <c r="AF3" i="9" s="1"/>
  <c r="G17" i="9" s="1"/>
  <c r="AL3" i="10"/>
  <c r="AB3" i="10"/>
  <c r="AC3" i="10"/>
  <c r="AF3" i="10" s="1"/>
  <c r="G17" i="10" s="1"/>
  <c r="R40" i="10"/>
  <c r="J21" i="10" s="1"/>
  <c r="A5" i="8"/>
  <c r="P5" i="8"/>
  <c r="AH5" i="8" s="1"/>
  <c r="D3" i="8"/>
  <c r="AC4" i="7"/>
  <c r="AF4" i="7" s="1"/>
  <c r="G18" i="7" s="1"/>
  <c r="AB4" i="7"/>
  <c r="AL4" i="7"/>
  <c r="A65" i="2"/>
  <c r="Q9" i="11"/>
  <c r="M76" i="2"/>
  <c r="W2" i="10"/>
  <c r="B4" i="10"/>
  <c r="F95" i="2"/>
  <c r="E47" i="2"/>
  <c r="M45" i="2"/>
  <c r="M44" i="2"/>
  <c r="N60" i="2"/>
  <c r="I64" i="2"/>
  <c r="I79" i="2"/>
  <c r="AK2" i="10"/>
  <c r="AK2" i="7"/>
  <c r="H63" i="2"/>
  <c r="C95" i="2"/>
  <c r="C79" i="2"/>
  <c r="A97" i="2"/>
  <c r="F79" i="2"/>
  <c r="AK2" i="9"/>
  <c r="Q5" i="9"/>
  <c r="H64" i="2"/>
  <c r="B8" i="11"/>
  <c r="S5" i="8"/>
  <c r="R4" i="9"/>
  <c r="B117" i="2"/>
  <c r="M77" i="2"/>
  <c r="G64" i="2"/>
  <c r="T4" i="9"/>
  <c r="X2" i="9"/>
  <c r="I47" i="2"/>
  <c r="E79" i="2"/>
  <c r="S4" i="10"/>
  <c r="Z2" i="7"/>
  <c r="E19" i="7"/>
  <c r="Z5" i="11"/>
  <c r="M59" i="2"/>
  <c r="K18" i="8"/>
  <c r="N61" i="2"/>
  <c r="B4" i="8"/>
  <c r="I117" i="2"/>
  <c r="R4" i="8"/>
  <c r="D47" i="2"/>
  <c r="AJ4" i="10"/>
  <c r="Y2" i="9"/>
  <c r="G117" i="2"/>
  <c r="R4" i="10"/>
  <c r="I95" i="2"/>
  <c r="T4" i="10"/>
  <c r="X2" i="10"/>
  <c r="P111" i="2"/>
  <c r="AK5" i="11"/>
  <c r="K23" i="11"/>
  <c r="T8" i="11"/>
  <c r="AI5" i="11"/>
  <c r="B79" i="2"/>
  <c r="W5" i="11"/>
  <c r="P112" i="2"/>
  <c r="M43" i="2"/>
  <c r="AJ5" i="8"/>
  <c r="S8" i="11"/>
  <c r="A81" i="2"/>
  <c r="S4" i="8"/>
  <c r="K19" i="9"/>
  <c r="Y2" i="8"/>
  <c r="Z2" i="8"/>
  <c r="H95" i="2"/>
  <c r="C117" i="2"/>
  <c r="T4" i="8"/>
  <c r="K20" i="8"/>
  <c r="AI2" i="10"/>
  <c r="H47" i="2"/>
  <c r="E95" i="2"/>
  <c r="G79" i="2"/>
  <c r="W2" i="8"/>
  <c r="D79" i="2"/>
  <c r="AK2" i="8"/>
  <c r="K20" i="10"/>
  <c r="Q5" i="10"/>
  <c r="T5" i="8"/>
  <c r="Q5" i="7"/>
  <c r="H79" i="2"/>
  <c r="B95" i="2"/>
  <c r="M75" i="2"/>
  <c r="H117" i="2"/>
  <c r="AJ4" i="9"/>
  <c r="R5" i="8"/>
  <c r="M60" i="2"/>
  <c r="B47" i="2"/>
  <c r="K19" i="7"/>
  <c r="E64" i="2"/>
  <c r="C47" i="2"/>
  <c r="D63" i="2"/>
  <c r="I63" i="2"/>
  <c r="G63" i="2"/>
  <c r="S4" i="9"/>
  <c r="A98" i="2"/>
  <c r="F47" i="2"/>
  <c r="C64" i="2"/>
  <c r="E23" i="11"/>
  <c r="M93" i="2"/>
  <c r="F117" i="2"/>
  <c r="D64" i="2"/>
  <c r="E18" i="10"/>
  <c r="AJ4" i="8"/>
  <c r="B63" i="2"/>
  <c r="W2" i="9"/>
  <c r="AI2" i="9"/>
  <c r="P110" i="2"/>
  <c r="D95" i="2"/>
  <c r="Q6" i="7"/>
  <c r="Z2" i="9"/>
  <c r="X5" i="11"/>
  <c r="B4" i="9"/>
  <c r="F63" i="2"/>
  <c r="AI2" i="8"/>
  <c r="F64" i="2"/>
  <c r="R8" i="11"/>
  <c r="E117" i="2"/>
  <c r="C63" i="2"/>
  <c r="G95" i="2"/>
  <c r="A49" i="2"/>
  <c r="Q6" i="10"/>
  <c r="N59" i="2"/>
  <c r="E63" i="2"/>
  <c r="E20" i="8"/>
  <c r="D117" i="2"/>
  <c r="Y5" i="11"/>
  <c r="B64" i="2"/>
  <c r="Y2" i="10"/>
  <c r="M61" i="2"/>
  <c r="M91" i="2"/>
  <c r="G47" i="2"/>
  <c r="AJ8" i="11"/>
  <c r="A120" i="2"/>
  <c r="M92" i="2"/>
  <c r="Q6" i="8"/>
  <c r="B5" i="8"/>
  <c r="A96" i="2"/>
  <c r="E19" i="9"/>
  <c r="R40" i="8" l="1"/>
  <c r="J21" i="8" s="1"/>
  <c r="A5" i="9"/>
  <c r="P5" i="9"/>
  <c r="AH5" i="9" s="1"/>
  <c r="A5" i="7"/>
  <c r="P5" i="7"/>
  <c r="AH5" i="7" s="1"/>
  <c r="D69" i="16"/>
  <c r="C70" i="16"/>
  <c r="P5" i="10"/>
  <c r="AH5" i="10" s="1"/>
  <c r="A5" i="10"/>
  <c r="P109" i="2"/>
  <c r="AA5" i="11"/>
  <c r="A9" i="11"/>
  <c r="P9" i="11"/>
  <c r="AH9" i="11" s="1"/>
  <c r="AD5" i="11"/>
  <c r="AG5" i="11" s="1"/>
  <c r="L19" i="11" s="1"/>
  <c r="AL8" i="11"/>
  <c r="C8" i="11"/>
  <c r="AB8" i="11"/>
  <c r="AC8" i="11"/>
  <c r="AF8" i="11" s="1"/>
  <c r="G22" i="11" s="1"/>
  <c r="R44" i="11"/>
  <c r="J25" i="11" s="1"/>
  <c r="I24" i="11"/>
  <c r="D7" i="11"/>
  <c r="I2" i="11"/>
  <c r="V7" i="11" s="1"/>
  <c r="R40" i="9"/>
  <c r="C4" i="10"/>
  <c r="D4" i="10" s="1"/>
  <c r="AL4" i="10"/>
  <c r="AC4" i="10"/>
  <c r="AF4" i="10" s="1"/>
  <c r="G18" i="10" s="1"/>
  <c r="AB4" i="10"/>
  <c r="R40" i="7"/>
  <c r="J21" i="7" s="1"/>
  <c r="M58" i="2"/>
  <c r="AB4" i="8"/>
  <c r="M74" i="2"/>
  <c r="C4" i="8"/>
  <c r="D4" i="8" s="1"/>
  <c r="AL4" i="8"/>
  <c r="N58" i="2"/>
  <c r="M90" i="2"/>
  <c r="C4" i="9"/>
  <c r="D4" i="9" s="1"/>
  <c r="C5" i="8"/>
  <c r="AC4" i="8"/>
  <c r="AF4" i="8" s="1"/>
  <c r="G18" i="8" s="1"/>
  <c r="AB4" i="9"/>
  <c r="M42" i="2"/>
  <c r="AL4" i="9"/>
  <c r="AC4" i="9"/>
  <c r="AF4" i="9" s="1"/>
  <c r="G18" i="9" s="1"/>
  <c r="I21" i="10"/>
  <c r="I21" i="8"/>
  <c r="I20" i="9"/>
  <c r="I20" i="7"/>
  <c r="E2" i="7"/>
  <c r="V3" i="7" s="1"/>
  <c r="AA2" i="10"/>
  <c r="AD2" i="10"/>
  <c r="AG2" i="10" s="1"/>
  <c r="L16" i="10" s="1"/>
  <c r="AD2" i="9"/>
  <c r="AG2" i="9" s="1"/>
  <c r="L16" i="9" s="1"/>
  <c r="AA2" i="9"/>
  <c r="D3" i="9"/>
  <c r="E2" i="10"/>
  <c r="V3" i="10" s="1"/>
  <c r="AD2" i="8"/>
  <c r="AG2" i="8" s="1"/>
  <c r="L16" i="8" s="1"/>
  <c r="AA2" i="8"/>
  <c r="P6" i="10"/>
  <c r="AH6" i="10" s="1"/>
  <c r="A6" i="10"/>
  <c r="R41" i="10"/>
  <c r="J22" i="10" s="1"/>
  <c r="AL5" i="8"/>
  <c r="AC5" i="8"/>
  <c r="AF5" i="8" s="1"/>
  <c r="G19" i="8" s="1"/>
  <c r="P6" i="8"/>
  <c r="AH6" i="8" s="1"/>
  <c r="A6" i="8"/>
  <c r="AB5" i="8"/>
  <c r="R41" i="8"/>
  <c r="J22" i="8" s="1"/>
  <c r="P6" i="7"/>
  <c r="AH6" i="7" s="1"/>
  <c r="A6" i="7"/>
  <c r="D4" i="7"/>
  <c r="F2" i="7"/>
  <c r="V4" i="7" s="1"/>
  <c r="K19" i="10"/>
  <c r="C118" i="2"/>
  <c r="I48" i="2"/>
  <c r="W3" i="8"/>
  <c r="T5" i="10"/>
  <c r="AI6" i="11"/>
  <c r="H96" i="2"/>
  <c r="D118" i="2"/>
  <c r="N77" i="2"/>
  <c r="X6" i="11"/>
  <c r="C48" i="2"/>
  <c r="D80" i="2"/>
  <c r="X2" i="7"/>
  <c r="AK3" i="9"/>
  <c r="S6" i="8"/>
  <c r="O61" i="2"/>
  <c r="B48" i="2"/>
  <c r="F48" i="2"/>
  <c r="H97" i="2"/>
  <c r="W3" i="10"/>
  <c r="D65" i="2"/>
  <c r="C97" i="2"/>
  <c r="H48" i="2"/>
  <c r="Z3" i="8"/>
  <c r="Q111" i="2"/>
  <c r="T5" i="7"/>
  <c r="O92" i="2"/>
  <c r="R5" i="9"/>
  <c r="Q110" i="2"/>
  <c r="N92" i="2"/>
  <c r="F96" i="2"/>
  <c r="Y3" i="8"/>
  <c r="D97" i="2"/>
  <c r="H118" i="2"/>
  <c r="A50" i="2"/>
  <c r="K24" i="11"/>
  <c r="B65" i="2"/>
  <c r="E19" i="10"/>
  <c r="T6" i="8"/>
  <c r="AJ6" i="7"/>
  <c r="B5" i="9"/>
  <c r="R5" i="7"/>
  <c r="A66" i="2"/>
  <c r="D48" i="2"/>
  <c r="W3" i="9"/>
  <c r="E20" i="10"/>
  <c r="F65" i="2"/>
  <c r="F118" i="2"/>
  <c r="G97" i="2"/>
  <c r="Y6" i="11"/>
  <c r="G48" i="2"/>
  <c r="X3" i="10"/>
  <c r="A121" i="2"/>
  <c r="W2" i="7"/>
  <c r="I80" i="2"/>
  <c r="AJ6" i="8"/>
  <c r="N45" i="2"/>
  <c r="T6" i="7"/>
  <c r="E118" i="2"/>
  <c r="T5" i="9"/>
  <c r="Z3" i="9"/>
  <c r="AI2" i="7"/>
  <c r="K20" i="9"/>
  <c r="W6" i="11"/>
  <c r="S5" i="7"/>
  <c r="X3" i="8"/>
  <c r="Y2" i="7"/>
  <c r="G96" i="2"/>
  <c r="G65" i="2"/>
  <c r="AJ9" i="11"/>
  <c r="S6" i="10"/>
  <c r="I118" i="2"/>
  <c r="AJ6" i="10"/>
  <c r="T9" i="11"/>
  <c r="AI3" i="8"/>
  <c r="N43" i="2"/>
  <c r="G118" i="2"/>
  <c r="C96" i="2"/>
  <c r="A67" i="2"/>
  <c r="S5" i="9"/>
  <c r="B6" i="7"/>
  <c r="Q7" i="8"/>
  <c r="AK3" i="8"/>
  <c r="X3" i="9"/>
  <c r="R6" i="7"/>
  <c r="D96" i="2"/>
  <c r="K21" i="10"/>
  <c r="C65" i="2"/>
  <c r="R5" i="10"/>
  <c r="E96" i="2"/>
  <c r="O91" i="2"/>
  <c r="E24" i="11"/>
  <c r="Q7" i="10"/>
  <c r="C80" i="2"/>
  <c r="E48" i="2"/>
  <c r="N75" i="2"/>
  <c r="H65" i="2"/>
  <c r="S5" i="10"/>
  <c r="AK6" i="11"/>
  <c r="R6" i="8"/>
  <c r="R6" i="10"/>
  <c r="AJ5" i="10"/>
  <c r="B96" i="2"/>
  <c r="K20" i="7"/>
  <c r="Q10" i="11"/>
  <c r="N44" i="2"/>
  <c r="G80" i="2"/>
  <c r="E80" i="2"/>
  <c r="F80" i="2"/>
  <c r="AJ5" i="9"/>
  <c r="N91" i="2"/>
  <c r="O59" i="2"/>
  <c r="F97" i="2"/>
  <c r="S9" i="11"/>
  <c r="K21" i="8"/>
  <c r="T6" i="10"/>
  <c r="Q112" i="2"/>
  <c r="E20" i="9"/>
  <c r="E97" i="2"/>
  <c r="B118" i="2"/>
  <c r="N93" i="2"/>
  <c r="B5" i="10"/>
  <c r="B6" i="10"/>
  <c r="B5" i="7"/>
  <c r="I65" i="2"/>
  <c r="Y3" i="9"/>
  <c r="B9" i="11"/>
  <c r="E21" i="8"/>
  <c r="H80" i="2"/>
  <c r="S6" i="7"/>
  <c r="E65" i="2"/>
  <c r="AI3" i="9"/>
  <c r="O93" i="2"/>
  <c r="Q6" i="9"/>
  <c r="N76" i="2"/>
  <c r="AI4" i="7"/>
  <c r="B97" i="2"/>
  <c r="I96" i="2"/>
  <c r="B80" i="2"/>
  <c r="R9" i="11"/>
  <c r="AJ5" i="7"/>
  <c r="Z6" i="11"/>
  <c r="O60" i="2"/>
  <c r="I97" i="2"/>
  <c r="W3" i="7"/>
  <c r="A99" i="2"/>
  <c r="E20" i="7"/>
  <c r="B6" i="8"/>
  <c r="AL5" i="7" l="1"/>
  <c r="C5" i="9"/>
  <c r="D5" i="9" s="1"/>
  <c r="AB5" i="7"/>
  <c r="AC5" i="7"/>
  <c r="AF5" i="7" s="1"/>
  <c r="G19" i="7" s="1"/>
  <c r="AC5" i="9"/>
  <c r="AF5" i="9" s="1"/>
  <c r="G19" i="9" s="1"/>
  <c r="C5" i="7"/>
  <c r="D5" i="7" s="1"/>
  <c r="AB5" i="9"/>
  <c r="AL5" i="9"/>
  <c r="R41" i="9"/>
  <c r="J22" i="9" s="1"/>
  <c r="J21" i="9"/>
  <c r="D70" i="16"/>
  <c r="C71" i="16"/>
  <c r="AL5" i="10"/>
  <c r="AC5" i="10"/>
  <c r="AF5" i="10" s="1"/>
  <c r="G19" i="10" s="1"/>
  <c r="C5" i="10"/>
  <c r="G2" i="10" s="1"/>
  <c r="V5" i="10" s="1"/>
  <c r="AB5" i="10"/>
  <c r="F2" i="8"/>
  <c r="V4" i="8" s="1"/>
  <c r="I21" i="9"/>
  <c r="Q109" i="2"/>
  <c r="F2" i="10"/>
  <c r="V4" i="10" s="1"/>
  <c r="AD6" i="11"/>
  <c r="AG6" i="11" s="1"/>
  <c r="L20" i="11" s="1"/>
  <c r="AC9" i="11"/>
  <c r="AF9" i="11" s="1"/>
  <c r="G23" i="11" s="1"/>
  <c r="AL9" i="11"/>
  <c r="AA6" i="11"/>
  <c r="C9" i="11"/>
  <c r="A10" i="11"/>
  <c r="P10" i="11"/>
  <c r="AH10" i="11" s="1"/>
  <c r="AB9" i="11"/>
  <c r="J2" i="11"/>
  <c r="V8" i="11" s="1"/>
  <c r="D8" i="11"/>
  <c r="R45" i="11"/>
  <c r="J26" i="11" s="1"/>
  <c r="I25" i="11"/>
  <c r="AD2" i="7"/>
  <c r="AG2" i="7" s="1"/>
  <c r="L16" i="7" s="1"/>
  <c r="AA2" i="7"/>
  <c r="N90" i="2"/>
  <c r="I21" i="7"/>
  <c r="R41" i="7"/>
  <c r="F2" i="9"/>
  <c r="V4" i="9" s="1"/>
  <c r="P6" i="9"/>
  <c r="AH6" i="9" s="1"/>
  <c r="A6" i="9"/>
  <c r="C6" i="8"/>
  <c r="N74" i="2"/>
  <c r="C6" i="10"/>
  <c r="O58" i="2"/>
  <c r="O90" i="2"/>
  <c r="C6" i="7"/>
  <c r="H2" i="7" s="1"/>
  <c r="N42" i="2"/>
  <c r="I22" i="8"/>
  <c r="I22" i="9"/>
  <c r="I22" i="10"/>
  <c r="AL6" i="10"/>
  <c r="AB6" i="10"/>
  <c r="P7" i="10"/>
  <c r="AH7" i="10" s="1"/>
  <c r="A7" i="10"/>
  <c r="AC6" i="10"/>
  <c r="AF6" i="10" s="1"/>
  <c r="G20" i="10" s="1"/>
  <c r="R42" i="10"/>
  <c r="J23" i="10" s="1"/>
  <c r="AD3" i="9"/>
  <c r="AG3" i="9" s="1"/>
  <c r="L17" i="9" s="1"/>
  <c r="AA3" i="9"/>
  <c r="AB6" i="8"/>
  <c r="AA3" i="8"/>
  <c r="AL6" i="8"/>
  <c r="P7" i="8"/>
  <c r="AH7" i="8" s="1"/>
  <c r="A7" i="8"/>
  <c r="AC6" i="8"/>
  <c r="AF6" i="8" s="1"/>
  <c r="G20" i="8" s="1"/>
  <c r="AD3" i="8"/>
  <c r="AG3" i="8" s="1"/>
  <c r="L17" i="8" s="1"/>
  <c r="R42" i="8"/>
  <c r="J23" i="8" s="1"/>
  <c r="G2" i="8"/>
  <c r="V5" i="8" s="1"/>
  <c r="D5" i="8"/>
  <c r="AC6" i="7"/>
  <c r="AF6" i="7" s="1"/>
  <c r="G20" i="7" s="1"/>
  <c r="AB6" i="7"/>
  <c r="AL6" i="7"/>
  <c r="G2" i="7"/>
  <c r="V5" i="7" s="1"/>
  <c r="R10" i="11"/>
  <c r="T10" i="11"/>
  <c r="B119" i="2"/>
  <c r="Y3" i="7"/>
  <c r="B49" i="2"/>
  <c r="E119" i="2"/>
  <c r="X7" i="11"/>
  <c r="B7" i="8"/>
  <c r="Y4" i="7"/>
  <c r="P61" i="2"/>
  <c r="W7" i="11"/>
  <c r="S7" i="8"/>
  <c r="D81" i="2"/>
  <c r="E49" i="2"/>
  <c r="R111" i="2"/>
  <c r="B6" i="9"/>
  <c r="O45" i="2"/>
  <c r="AJ7" i="8"/>
  <c r="AI7" i="11"/>
  <c r="K22" i="9"/>
  <c r="Z4" i="10"/>
  <c r="W4" i="7"/>
  <c r="B10" i="11"/>
  <c r="A100" i="2"/>
  <c r="AK3" i="7"/>
  <c r="Z3" i="10"/>
  <c r="W4" i="8"/>
  <c r="Z4" i="7"/>
  <c r="B66" i="2"/>
  <c r="Y3" i="10"/>
  <c r="Y4" i="9"/>
  <c r="E21" i="7"/>
  <c r="R6" i="9"/>
  <c r="I119" i="2"/>
  <c r="AI3" i="10"/>
  <c r="F81" i="2"/>
  <c r="Q11" i="11"/>
  <c r="Z7" i="11"/>
  <c r="AI5" i="7"/>
  <c r="A68" i="2"/>
  <c r="H81" i="2"/>
  <c r="G98" i="2"/>
  <c r="Q8" i="8"/>
  <c r="I81" i="2"/>
  <c r="O77" i="2"/>
  <c r="K21" i="9"/>
  <c r="S7" i="10"/>
  <c r="F119" i="2"/>
  <c r="Q7" i="9"/>
  <c r="AK4" i="7"/>
  <c r="P92" i="2"/>
  <c r="H49" i="2"/>
  <c r="F49" i="2"/>
  <c r="X4" i="7"/>
  <c r="A83" i="2"/>
  <c r="P91" i="2"/>
  <c r="C66" i="2"/>
  <c r="O43" i="2"/>
  <c r="H98" i="2"/>
  <c r="H119" i="2"/>
  <c r="AK4" i="8"/>
  <c r="R112" i="2"/>
  <c r="AI3" i="7"/>
  <c r="B81" i="2"/>
  <c r="H66" i="2"/>
  <c r="D98" i="2"/>
  <c r="A82" i="2"/>
  <c r="I98" i="2"/>
  <c r="E81" i="2"/>
  <c r="D66" i="2"/>
  <c r="O75" i="2"/>
  <c r="AJ7" i="10"/>
  <c r="Z4" i="8"/>
  <c r="S10" i="11"/>
  <c r="P60" i="2"/>
  <c r="F98" i="2"/>
  <c r="B7" i="10"/>
  <c r="Y7" i="11"/>
  <c r="K22" i="8"/>
  <c r="C81" i="2"/>
  <c r="G66" i="2"/>
  <c r="R7" i="8"/>
  <c r="AK7" i="11"/>
  <c r="I66" i="2"/>
  <c r="E66" i="2"/>
  <c r="B98" i="2"/>
  <c r="S6" i="9"/>
  <c r="K21" i="7"/>
  <c r="C119" i="2"/>
  <c r="C98" i="2"/>
  <c r="F66" i="2"/>
  <c r="P59" i="2"/>
  <c r="E22" i="9"/>
  <c r="K25" i="11"/>
  <c r="G119" i="2"/>
  <c r="O44" i="2"/>
  <c r="X3" i="7"/>
  <c r="AJ6" i="9"/>
  <c r="D49" i="2"/>
  <c r="E21" i="10"/>
  <c r="T6" i="9"/>
  <c r="E98" i="2"/>
  <c r="AK3" i="10"/>
  <c r="C49" i="2"/>
  <c r="K22" i="10"/>
  <c r="T7" i="10"/>
  <c r="G81" i="2"/>
  <c r="I49" i="2"/>
  <c r="Q8" i="9"/>
  <c r="A122" i="2"/>
  <c r="O76" i="2"/>
  <c r="E25" i="11"/>
  <c r="E21" i="9"/>
  <c r="R110" i="2"/>
  <c r="R7" i="10"/>
  <c r="Q8" i="10"/>
  <c r="P93" i="2"/>
  <c r="Q7" i="7"/>
  <c r="Z3" i="7"/>
  <c r="D119" i="2"/>
  <c r="W4" i="10"/>
  <c r="T7" i="8"/>
  <c r="AJ10" i="11"/>
  <c r="G49" i="2"/>
  <c r="AI4" i="10"/>
  <c r="E22" i="8"/>
  <c r="R42" i="9" l="1"/>
  <c r="J23" i="9" s="1"/>
  <c r="G2" i="9"/>
  <c r="V5" i="9" s="1"/>
  <c r="I22" i="7"/>
  <c r="J22" i="7"/>
  <c r="D71" i="16"/>
  <c r="C72" i="16"/>
  <c r="A7" i="9"/>
  <c r="P7" i="9"/>
  <c r="AH7" i="9" s="1"/>
  <c r="R42" i="7"/>
  <c r="R43" i="7" s="1"/>
  <c r="J24" i="7" s="1"/>
  <c r="D5" i="10"/>
  <c r="AD3" i="10"/>
  <c r="AG3" i="10" s="1"/>
  <c r="L17" i="10" s="1"/>
  <c r="AA3" i="10"/>
  <c r="R109" i="2"/>
  <c r="AL10" i="11"/>
  <c r="AA7" i="11"/>
  <c r="AC10" i="11"/>
  <c r="AF10" i="11" s="1"/>
  <c r="G24" i="11" s="1"/>
  <c r="C10" i="11"/>
  <c r="AD7" i="11"/>
  <c r="AG7" i="11" s="1"/>
  <c r="L21" i="11" s="1"/>
  <c r="AB10" i="11"/>
  <c r="A11" i="11"/>
  <c r="P11" i="11"/>
  <c r="AH11" i="11" s="1"/>
  <c r="R46" i="11"/>
  <c r="J27" i="11" s="1"/>
  <c r="I26" i="11"/>
  <c r="D9" i="11"/>
  <c r="K2" i="11"/>
  <c r="V9" i="11" s="1"/>
  <c r="A7" i="7"/>
  <c r="P7" i="7"/>
  <c r="AH7" i="7" s="1"/>
  <c r="AB6" i="9"/>
  <c r="AL6" i="9"/>
  <c r="C6" i="9"/>
  <c r="H2" i="9" s="1"/>
  <c r="V6" i="9" s="1"/>
  <c r="AC6" i="9"/>
  <c r="AF6" i="9" s="1"/>
  <c r="G20" i="9" s="1"/>
  <c r="C7" i="10"/>
  <c r="P90" i="2"/>
  <c r="P58" i="2"/>
  <c r="O42" i="2"/>
  <c r="C7" i="8"/>
  <c r="O74" i="2"/>
  <c r="AA3" i="7"/>
  <c r="AD3" i="7"/>
  <c r="AG3" i="7" s="1"/>
  <c r="L17" i="7" s="1"/>
  <c r="I23" i="8"/>
  <c r="I23" i="9"/>
  <c r="I23" i="10"/>
  <c r="AB7" i="10"/>
  <c r="AL7" i="10"/>
  <c r="A8" i="10"/>
  <c r="P8" i="10"/>
  <c r="AH8" i="10" s="1"/>
  <c r="AC7" i="10"/>
  <c r="AF7" i="10" s="1"/>
  <c r="G21" i="10" s="1"/>
  <c r="R43" i="10"/>
  <c r="J24" i="10" s="1"/>
  <c r="H2" i="10"/>
  <c r="V6" i="10" s="1"/>
  <c r="D6" i="10"/>
  <c r="A8" i="9"/>
  <c r="P8" i="9"/>
  <c r="AH8" i="9" s="1"/>
  <c r="R43" i="9"/>
  <c r="J24" i="9" s="1"/>
  <c r="AB7" i="8"/>
  <c r="AL7" i="8"/>
  <c r="P8" i="8"/>
  <c r="AH8" i="8" s="1"/>
  <c r="A8" i="8"/>
  <c r="AC7" i="8"/>
  <c r="AF7" i="8" s="1"/>
  <c r="G21" i="8" s="1"/>
  <c r="R43" i="8"/>
  <c r="J24" i="8" s="1"/>
  <c r="H2" i="8"/>
  <c r="V6" i="8" s="1"/>
  <c r="D6" i="8"/>
  <c r="AA4" i="7"/>
  <c r="AD4" i="7"/>
  <c r="AG4" i="7" s="1"/>
  <c r="L18" i="7" s="1"/>
  <c r="V6" i="7"/>
  <c r="D6" i="7"/>
  <c r="E99" i="2"/>
  <c r="Q61" i="2"/>
  <c r="B50" i="2"/>
  <c r="P45" i="2"/>
  <c r="I50" i="2"/>
  <c r="AK4" i="10"/>
  <c r="F120" i="2"/>
  <c r="F99" i="2"/>
  <c r="S7" i="7"/>
  <c r="AI4" i="9"/>
  <c r="Z5" i="10"/>
  <c r="R8" i="8"/>
  <c r="Q76" i="2"/>
  <c r="H83" i="2"/>
  <c r="Q9" i="10"/>
  <c r="D67" i="2"/>
  <c r="Y4" i="8"/>
  <c r="F83" i="2"/>
  <c r="AK5" i="8"/>
  <c r="S110" i="2"/>
  <c r="T7" i="7"/>
  <c r="AJ7" i="9"/>
  <c r="K26" i="11"/>
  <c r="X4" i="8"/>
  <c r="S11" i="11"/>
  <c r="B82" i="2"/>
  <c r="K23" i="10"/>
  <c r="AK4" i="9"/>
  <c r="A85" i="2"/>
  <c r="B8" i="8"/>
  <c r="X5" i="9"/>
  <c r="H67" i="2"/>
  <c r="T8" i="10"/>
  <c r="S7" i="9"/>
  <c r="X5" i="7"/>
  <c r="AK5" i="7"/>
  <c r="T8" i="8"/>
  <c r="Q93" i="2"/>
  <c r="Q92" i="2"/>
  <c r="G83" i="2"/>
  <c r="B7" i="7"/>
  <c r="I120" i="2"/>
  <c r="Q91" i="2"/>
  <c r="X5" i="8"/>
  <c r="H50" i="2"/>
  <c r="X4" i="10"/>
  <c r="AK8" i="11"/>
  <c r="Z4" i="9"/>
  <c r="K23" i="9"/>
  <c r="W5" i="7"/>
  <c r="A123" i="2"/>
  <c r="W5" i="8"/>
  <c r="C99" i="2"/>
  <c r="R8" i="10"/>
  <c r="Q12" i="11"/>
  <c r="Y4" i="10"/>
  <c r="S112" i="2"/>
  <c r="T11" i="11"/>
  <c r="AJ7" i="7"/>
  <c r="T8" i="9"/>
  <c r="S8" i="8"/>
  <c r="G82" i="2"/>
  <c r="Q75" i="2"/>
  <c r="C50" i="2"/>
  <c r="E22" i="10"/>
  <c r="H120" i="2"/>
  <c r="Q77" i="2"/>
  <c r="D82" i="2"/>
  <c r="A69" i="2"/>
  <c r="AK5" i="9"/>
  <c r="F82" i="2"/>
  <c r="T7" i="9"/>
  <c r="B67" i="2"/>
  <c r="AJ8" i="9"/>
  <c r="F67" i="2"/>
  <c r="C83" i="2"/>
  <c r="S111" i="2"/>
  <c r="AJ8" i="8"/>
  <c r="AI5" i="8"/>
  <c r="I83" i="2"/>
  <c r="P75" i="2"/>
  <c r="D50" i="2"/>
  <c r="E26" i="11"/>
  <c r="A101" i="2"/>
  <c r="Q9" i="7"/>
  <c r="AI4" i="8"/>
  <c r="W5" i="10"/>
  <c r="I82" i="2"/>
  <c r="AI6" i="7"/>
  <c r="E23" i="8"/>
  <c r="A84" i="2"/>
  <c r="AI5" i="10"/>
  <c r="D83" i="2"/>
  <c r="C67" i="2"/>
  <c r="D99" i="2"/>
  <c r="H82" i="2"/>
  <c r="S8" i="9"/>
  <c r="A53" i="2"/>
  <c r="AI8" i="11"/>
  <c r="K23" i="8"/>
  <c r="P44" i="2"/>
  <c r="R8" i="9"/>
  <c r="G67" i="2"/>
  <c r="P77" i="2"/>
  <c r="Y5" i="9"/>
  <c r="P76" i="2"/>
  <c r="Q59" i="2"/>
  <c r="Z8" i="11"/>
  <c r="X4" i="9"/>
  <c r="G120" i="2"/>
  <c r="Q9" i="8"/>
  <c r="I99" i="2"/>
  <c r="E23" i="9"/>
  <c r="Y5" i="7"/>
  <c r="AK5" i="10"/>
  <c r="X5" i="10"/>
  <c r="F50" i="2"/>
  <c r="X8" i="11"/>
  <c r="B99" i="2"/>
  <c r="H99" i="2"/>
  <c r="W4" i="9"/>
  <c r="Z5" i="9"/>
  <c r="I67" i="2"/>
  <c r="G50" i="2"/>
  <c r="C82" i="2"/>
  <c r="Y5" i="10"/>
  <c r="S8" i="10"/>
  <c r="Q9" i="9"/>
  <c r="R7" i="9"/>
  <c r="W8" i="11"/>
  <c r="Z5" i="7"/>
  <c r="E82" i="2"/>
  <c r="Y5" i="8"/>
  <c r="AJ11" i="11"/>
  <c r="AI5" i="9"/>
  <c r="G99" i="2"/>
  <c r="Q60" i="2"/>
  <c r="B120" i="2"/>
  <c r="Q8" i="7"/>
  <c r="E83" i="2"/>
  <c r="E120" i="2"/>
  <c r="Z5" i="8"/>
  <c r="E50" i="2"/>
  <c r="E67" i="2"/>
  <c r="D120" i="2"/>
  <c r="Y8" i="11"/>
  <c r="P43" i="2"/>
  <c r="B83" i="2"/>
  <c r="R7" i="7"/>
  <c r="C120" i="2"/>
  <c r="B8" i="10"/>
  <c r="AJ8" i="10"/>
  <c r="R11" i="11"/>
  <c r="W5" i="9"/>
  <c r="E22" i="7"/>
  <c r="B7" i="9"/>
  <c r="B8" i="9"/>
  <c r="A51" i="2"/>
  <c r="B11" i="11"/>
  <c r="I23" i="7" l="1"/>
  <c r="J23" i="7"/>
  <c r="D72" i="16"/>
  <c r="C73" i="16"/>
  <c r="AD4" i="10"/>
  <c r="AG4" i="10" s="1"/>
  <c r="L18" i="10" s="1"/>
  <c r="AA4" i="10"/>
  <c r="AB7" i="9"/>
  <c r="AC7" i="9"/>
  <c r="AF7" i="9" s="1"/>
  <c r="G21" i="9" s="1"/>
  <c r="AL7" i="9"/>
  <c r="C7" i="9"/>
  <c r="I2" i="9" s="1"/>
  <c r="V7" i="9" s="1"/>
  <c r="AA4" i="8"/>
  <c r="AD4" i="8"/>
  <c r="AG4" i="8" s="1"/>
  <c r="L18" i="8" s="1"/>
  <c r="A8" i="7"/>
  <c r="P8" i="7"/>
  <c r="AH8" i="7" s="1"/>
  <c r="S109" i="2"/>
  <c r="AD4" i="9"/>
  <c r="AG4" i="9" s="1"/>
  <c r="L18" i="9" s="1"/>
  <c r="AA4" i="9"/>
  <c r="AC11" i="11"/>
  <c r="AF11" i="11" s="1"/>
  <c r="G25" i="11" s="1"/>
  <c r="AD8" i="11"/>
  <c r="AG8" i="11" s="1"/>
  <c r="L22" i="11" s="1"/>
  <c r="A12" i="11"/>
  <c r="P12" i="11"/>
  <c r="AH12" i="11" s="1"/>
  <c r="AB11" i="11"/>
  <c r="AA8" i="11"/>
  <c r="C11" i="11"/>
  <c r="AL11" i="11"/>
  <c r="L2" i="11"/>
  <c r="V10" i="11" s="1"/>
  <c r="D10" i="11"/>
  <c r="I27" i="11"/>
  <c r="P74" i="2"/>
  <c r="P42" i="2"/>
  <c r="D6" i="9"/>
  <c r="AB7" i="7"/>
  <c r="AL7" i="7"/>
  <c r="C7" i="7"/>
  <c r="I2" i="7" s="1"/>
  <c r="V7" i="7" s="1"/>
  <c r="AC7" i="7"/>
  <c r="AF7" i="7" s="1"/>
  <c r="G21" i="7" s="1"/>
  <c r="C8" i="9"/>
  <c r="C8" i="8"/>
  <c r="Q74" i="2"/>
  <c r="Q58" i="2"/>
  <c r="Q90" i="2"/>
  <c r="C8" i="10"/>
  <c r="I24" i="7"/>
  <c r="I24" i="10"/>
  <c r="I24" i="8"/>
  <c r="I24" i="9"/>
  <c r="A9" i="10"/>
  <c r="P9" i="10"/>
  <c r="AH9" i="10" s="1"/>
  <c r="AL8" i="10"/>
  <c r="AB8" i="10"/>
  <c r="AA5" i="10"/>
  <c r="AC8" i="10"/>
  <c r="AF8" i="10" s="1"/>
  <c r="G22" i="10" s="1"/>
  <c r="AD5" i="10"/>
  <c r="AG5" i="10" s="1"/>
  <c r="L19" i="10" s="1"/>
  <c r="R44" i="10"/>
  <c r="J25" i="10" s="1"/>
  <c r="D7" i="10"/>
  <c r="I2" i="10"/>
  <c r="V7" i="10" s="1"/>
  <c r="AD5" i="9"/>
  <c r="AG5" i="9" s="1"/>
  <c r="L19" i="9" s="1"/>
  <c r="AB8" i="9"/>
  <c r="AL8" i="9"/>
  <c r="AC8" i="9"/>
  <c r="AF8" i="9" s="1"/>
  <c r="G22" i="9" s="1"/>
  <c r="AA5" i="9"/>
  <c r="A9" i="9"/>
  <c r="P9" i="9"/>
  <c r="AH9" i="9" s="1"/>
  <c r="R44" i="9"/>
  <c r="J25" i="9" s="1"/>
  <c r="AL8" i="8"/>
  <c r="AB8" i="8"/>
  <c r="A9" i="8"/>
  <c r="P9" i="8"/>
  <c r="AH9" i="8" s="1"/>
  <c r="AA5" i="8"/>
  <c r="AD5" i="8"/>
  <c r="AG5" i="8" s="1"/>
  <c r="L19" i="8" s="1"/>
  <c r="AC8" i="8"/>
  <c r="AF8" i="8" s="1"/>
  <c r="G22" i="8" s="1"/>
  <c r="I2" i="8"/>
  <c r="V7" i="8" s="1"/>
  <c r="D7" i="8"/>
  <c r="R44" i="8"/>
  <c r="J25" i="8" s="1"/>
  <c r="AA5" i="7"/>
  <c r="AD5" i="7"/>
  <c r="AG5" i="7" s="1"/>
  <c r="L19" i="7" s="1"/>
  <c r="P9" i="7"/>
  <c r="AH9" i="7" s="1"/>
  <c r="A9" i="7"/>
  <c r="R44" i="7"/>
  <c r="J25" i="7" s="1"/>
  <c r="Z6" i="8"/>
  <c r="R60" i="2"/>
  <c r="T12" i="11"/>
  <c r="Z9" i="11"/>
  <c r="B8" i="7"/>
  <c r="I84" i="2"/>
  <c r="E68" i="2"/>
  <c r="Q45" i="2"/>
  <c r="B121" i="2"/>
  <c r="D100" i="2"/>
  <c r="AJ9" i="7"/>
  <c r="Y6" i="9"/>
  <c r="AJ9" i="10"/>
  <c r="S9" i="7"/>
  <c r="AK6" i="7"/>
  <c r="G100" i="2"/>
  <c r="Y6" i="8"/>
  <c r="A102" i="2"/>
  <c r="Q10" i="10"/>
  <c r="G123" i="2"/>
  <c r="F51" i="2"/>
  <c r="T9" i="8"/>
  <c r="T110" i="2"/>
  <c r="C100" i="2"/>
  <c r="B9" i="8"/>
  <c r="R8" i="7"/>
  <c r="D123" i="2"/>
  <c r="AK6" i="9"/>
  <c r="E121" i="2"/>
  <c r="W6" i="10"/>
  <c r="I100" i="2"/>
  <c r="H123" i="2"/>
  <c r="Q10" i="8"/>
  <c r="E24" i="7"/>
  <c r="R9" i="7"/>
  <c r="C123" i="2"/>
  <c r="D68" i="2"/>
  <c r="B51" i="2"/>
  <c r="G121" i="2"/>
  <c r="F68" i="2"/>
  <c r="B68" i="2"/>
  <c r="Z6" i="9"/>
  <c r="W6" i="7"/>
  <c r="K24" i="7"/>
  <c r="I68" i="2"/>
  <c r="A86" i="2"/>
  <c r="AK6" i="10"/>
  <c r="Z6" i="10"/>
  <c r="Y6" i="10"/>
  <c r="R59" i="2"/>
  <c r="T9" i="10"/>
  <c r="Q13" i="11"/>
  <c r="F84" i="2"/>
  <c r="X6" i="10"/>
  <c r="Z6" i="7"/>
  <c r="H51" i="2"/>
  <c r="K22" i="7"/>
  <c r="AJ12" i="11"/>
  <c r="S9" i="8"/>
  <c r="Y6" i="7"/>
  <c r="K24" i="8"/>
  <c r="S9" i="9"/>
  <c r="T111" i="2"/>
  <c r="AI6" i="8"/>
  <c r="H100" i="2"/>
  <c r="AI9" i="11"/>
  <c r="H121" i="2"/>
  <c r="R9" i="8"/>
  <c r="C84" i="2"/>
  <c r="B9" i="10"/>
  <c r="R12" i="11"/>
  <c r="H68" i="2"/>
  <c r="Q44" i="2"/>
  <c r="AJ9" i="8"/>
  <c r="R76" i="2"/>
  <c r="V110" i="2"/>
  <c r="I51" i="2"/>
  <c r="R9" i="9"/>
  <c r="W6" i="9"/>
  <c r="V112" i="2"/>
  <c r="Q10" i="7"/>
  <c r="T9" i="9"/>
  <c r="R91" i="2"/>
  <c r="G68" i="2"/>
  <c r="R75" i="2"/>
  <c r="X9" i="11"/>
  <c r="S12" i="11"/>
  <c r="AI6" i="10"/>
  <c r="K24" i="9"/>
  <c r="A54" i="2"/>
  <c r="X6" i="9"/>
  <c r="E51" i="2"/>
  <c r="R93" i="2"/>
  <c r="F121" i="2"/>
  <c r="R77" i="2"/>
  <c r="AK6" i="8"/>
  <c r="A70" i="2"/>
  <c r="K27" i="11"/>
  <c r="E23" i="10"/>
  <c r="Q43" i="2"/>
  <c r="E84" i="2"/>
  <c r="AI6" i="9"/>
  <c r="Q10" i="9"/>
  <c r="D121" i="2"/>
  <c r="D84" i="2"/>
  <c r="B9" i="9"/>
  <c r="T8" i="7"/>
  <c r="E23" i="7"/>
  <c r="G51" i="2"/>
  <c r="S9" i="10"/>
  <c r="R92" i="2"/>
  <c r="X6" i="7"/>
  <c r="G84" i="2"/>
  <c r="T9" i="7"/>
  <c r="R9" i="10"/>
  <c r="E100" i="2"/>
  <c r="X6" i="8"/>
  <c r="R61" i="2"/>
  <c r="I123" i="2"/>
  <c r="W6" i="8"/>
  <c r="Y9" i="11"/>
  <c r="S8" i="7"/>
  <c r="K24" i="10"/>
  <c r="B84" i="2"/>
  <c r="AK9" i="11"/>
  <c r="D51" i="2"/>
  <c r="I121" i="2"/>
  <c r="AJ8" i="7"/>
  <c r="V111" i="2"/>
  <c r="F100" i="2"/>
  <c r="B123" i="2"/>
  <c r="T112" i="2"/>
  <c r="W9" i="11"/>
  <c r="AJ9" i="9"/>
  <c r="H84" i="2"/>
  <c r="F123" i="2"/>
  <c r="C51" i="2"/>
  <c r="AI7" i="7"/>
  <c r="B100" i="2"/>
  <c r="C68" i="2"/>
  <c r="C121" i="2"/>
  <c r="E123" i="2"/>
  <c r="E24" i="8"/>
  <c r="E24" i="9"/>
  <c r="B12" i="11"/>
  <c r="E27" i="11"/>
  <c r="B9" i="7"/>
  <c r="V109" i="2" l="1"/>
  <c r="D73" i="16"/>
  <c r="C74" i="16"/>
  <c r="D7" i="9"/>
  <c r="AC8" i="7"/>
  <c r="AF8" i="7" s="1"/>
  <c r="G22" i="7" s="1"/>
  <c r="AB8" i="7"/>
  <c r="AL8" i="7"/>
  <c r="C8" i="7"/>
  <c r="D8" i="7" s="1"/>
  <c r="D7" i="7"/>
  <c r="T109" i="2"/>
  <c r="P13" i="11"/>
  <c r="AH13" i="11" s="1"/>
  <c r="A13" i="11"/>
  <c r="AL12" i="11"/>
  <c r="AD9" i="11"/>
  <c r="AG9" i="11" s="1"/>
  <c r="L23" i="11" s="1"/>
  <c r="AC12" i="11"/>
  <c r="AF12" i="11" s="1"/>
  <c r="G26" i="11" s="1"/>
  <c r="AA9" i="11"/>
  <c r="AB12" i="11"/>
  <c r="C12" i="11"/>
  <c r="D11" i="11"/>
  <c r="M2" i="11"/>
  <c r="V11" i="11" s="1"/>
  <c r="Q42" i="2"/>
  <c r="C9" i="9"/>
  <c r="C9" i="10"/>
  <c r="R58" i="2"/>
  <c r="R74" i="2"/>
  <c r="R90" i="2"/>
  <c r="C9" i="7"/>
  <c r="C9" i="8"/>
  <c r="I25" i="9"/>
  <c r="I25" i="10"/>
  <c r="I25" i="7"/>
  <c r="I25" i="8"/>
  <c r="AC9" i="10"/>
  <c r="AF9" i="10" s="1"/>
  <c r="G23" i="10" s="1"/>
  <c r="AB9" i="10"/>
  <c r="P10" i="10"/>
  <c r="AH10" i="10" s="1"/>
  <c r="A10" i="10"/>
  <c r="AL9" i="10"/>
  <c r="AD6" i="10"/>
  <c r="AG6" i="10" s="1"/>
  <c r="L20" i="10" s="1"/>
  <c r="AA6" i="10"/>
  <c r="R45" i="10"/>
  <c r="J26" i="10" s="1"/>
  <c r="J2" i="10"/>
  <c r="V8" i="10" s="1"/>
  <c r="D8" i="10"/>
  <c r="AD6" i="9"/>
  <c r="AG6" i="9" s="1"/>
  <c r="L20" i="9" s="1"/>
  <c r="AC9" i="9"/>
  <c r="AF9" i="9" s="1"/>
  <c r="G23" i="9" s="1"/>
  <c r="P10" i="9"/>
  <c r="AH10" i="9" s="1"/>
  <c r="A10" i="9"/>
  <c r="AL9" i="9"/>
  <c r="AA6" i="9"/>
  <c r="AB9" i="9"/>
  <c r="R45" i="9"/>
  <c r="J26" i="9" s="1"/>
  <c r="D8" i="9"/>
  <c r="J2" i="9"/>
  <c r="V8" i="9" s="1"/>
  <c r="AC9" i="8"/>
  <c r="AF9" i="8" s="1"/>
  <c r="G23" i="8" s="1"/>
  <c r="AD6" i="8"/>
  <c r="AG6" i="8" s="1"/>
  <c r="L20" i="8" s="1"/>
  <c r="AB9" i="8"/>
  <c r="AA6" i="8"/>
  <c r="AL9" i="8"/>
  <c r="A10" i="8"/>
  <c r="P10" i="8"/>
  <c r="AH10" i="8" s="1"/>
  <c r="R45" i="8"/>
  <c r="J26" i="8" s="1"/>
  <c r="J2" i="8"/>
  <c r="V8" i="8" s="1"/>
  <c r="D8" i="8"/>
  <c r="AC9" i="7"/>
  <c r="AF9" i="7" s="1"/>
  <c r="G23" i="7" s="1"/>
  <c r="AB9" i="7"/>
  <c r="AL9" i="7"/>
  <c r="AD6" i="7"/>
  <c r="AG6" i="7" s="1"/>
  <c r="L20" i="7" s="1"/>
  <c r="AA6" i="7"/>
  <c r="P10" i="7"/>
  <c r="AH10" i="7" s="1"/>
  <c r="A10" i="7"/>
  <c r="R45" i="7"/>
  <c r="J26" i="7" s="1"/>
  <c r="X7" i="8"/>
  <c r="G69" i="2"/>
  <c r="Y7" i="9"/>
  <c r="AI7" i="10"/>
  <c r="D122" i="2"/>
  <c r="C122" i="2"/>
  <c r="Q11" i="7"/>
  <c r="Y7" i="7"/>
  <c r="E101" i="2"/>
  <c r="Z7" i="8"/>
  <c r="E25" i="9"/>
  <c r="B69" i="2"/>
  <c r="S10" i="8"/>
  <c r="S61" i="2"/>
  <c r="E69" i="2"/>
  <c r="S44" i="2"/>
  <c r="Z7" i="7"/>
  <c r="U110" i="2"/>
  <c r="F101" i="2"/>
  <c r="AK7" i="7"/>
  <c r="K25" i="7"/>
  <c r="R10" i="8"/>
  <c r="W7" i="9"/>
  <c r="AK7" i="8"/>
  <c r="S10" i="9"/>
  <c r="G53" i="2"/>
  <c r="S92" i="2"/>
  <c r="R10" i="10"/>
  <c r="S13" i="11"/>
  <c r="E85" i="2"/>
  <c r="C85" i="2"/>
  <c r="C69" i="2"/>
  <c r="X7" i="9"/>
  <c r="I85" i="2"/>
  <c r="D53" i="2"/>
  <c r="D85" i="2"/>
  <c r="S60" i="2"/>
  <c r="I69" i="2"/>
  <c r="AI10" i="11"/>
  <c r="H69" i="2"/>
  <c r="S91" i="2"/>
  <c r="F122" i="2"/>
  <c r="B10" i="10"/>
  <c r="R10" i="9"/>
  <c r="A52" i="2"/>
  <c r="K23" i="7"/>
  <c r="B10" i="8"/>
  <c r="K25" i="8"/>
  <c r="K25" i="9"/>
  <c r="T10" i="10"/>
  <c r="AJ10" i="8"/>
  <c r="K25" i="10"/>
  <c r="Z7" i="10"/>
  <c r="B85" i="2"/>
  <c r="AK7" i="10"/>
  <c r="Y7" i="10"/>
  <c r="X7" i="7"/>
  <c r="B10" i="7"/>
  <c r="S10" i="7"/>
  <c r="Q11" i="10"/>
  <c r="AJ10" i="7"/>
  <c r="W7" i="10"/>
  <c r="I122" i="2"/>
  <c r="S77" i="2"/>
  <c r="C53" i="2"/>
  <c r="AJ10" i="10"/>
  <c r="I53" i="2"/>
  <c r="AI7" i="9"/>
  <c r="A55" i="2"/>
  <c r="S59" i="2"/>
  <c r="X7" i="10"/>
  <c r="U111" i="2"/>
  <c r="E122" i="2"/>
  <c r="T10" i="7"/>
  <c r="I101" i="2"/>
  <c r="B53" i="2"/>
  <c r="B101" i="2"/>
  <c r="AI7" i="8"/>
  <c r="AJ10" i="9"/>
  <c r="T10" i="9"/>
  <c r="Z7" i="9"/>
  <c r="E25" i="8"/>
  <c r="S45" i="2"/>
  <c r="G122" i="2"/>
  <c r="S93" i="2"/>
  <c r="F85" i="2"/>
  <c r="Q11" i="8"/>
  <c r="AK7" i="9"/>
  <c r="X10" i="11"/>
  <c r="H122" i="2"/>
  <c r="Q11" i="9"/>
  <c r="D69" i="2"/>
  <c r="Y7" i="8"/>
  <c r="E53" i="2"/>
  <c r="W7" i="7"/>
  <c r="G101" i="2"/>
  <c r="C101" i="2"/>
  <c r="B10" i="9"/>
  <c r="B122" i="2"/>
  <c r="F69" i="2"/>
  <c r="S76" i="2"/>
  <c r="W7" i="8"/>
  <c r="S10" i="10"/>
  <c r="Y10" i="11"/>
  <c r="G85" i="2"/>
  <c r="AJ13" i="11"/>
  <c r="U112" i="2"/>
  <c r="W10" i="11"/>
  <c r="S43" i="2"/>
  <c r="H53" i="2"/>
  <c r="F53" i="2"/>
  <c r="H101" i="2"/>
  <c r="T13" i="11"/>
  <c r="E25" i="7"/>
  <c r="T10" i="8"/>
  <c r="R10" i="7"/>
  <c r="H85" i="2"/>
  <c r="AK10" i="11"/>
  <c r="S75" i="2"/>
  <c r="R13" i="11"/>
  <c r="Z10" i="11"/>
  <c r="A87" i="2"/>
  <c r="D101" i="2"/>
  <c r="E24" i="10"/>
  <c r="A71" i="2"/>
  <c r="B13" i="11"/>
  <c r="A103" i="2"/>
  <c r="D74" i="16" l="1"/>
  <c r="C75" i="16"/>
  <c r="J2" i="7"/>
  <c r="V8" i="7" s="1"/>
  <c r="U109" i="2"/>
  <c r="AB13" i="11"/>
  <c r="AL13" i="11"/>
  <c r="AD10" i="11"/>
  <c r="AG10" i="11" s="1"/>
  <c r="L24" i="11" s="1"/>
  <c r="C13" i="11"/>
  <c r="AC13" i="11"/>
  <c r="AF13" i="11" s="1"/>
  <c r="G27" i="11" s="1"/>
  <c r="AA10" i="11"/>
  <c r="D12" i="11"/>
  <c r="N2" i="11"/>
  <c r="V12" i="11" s="1"/>
  <c r="C10" i="9"/>
  <c r="C10" i="8"/>
  <c r="C10" i="7"/>
  <c r="S42" i="2"/>
  <c r="C10" i="10"/>
  <c r="S90" i="2"/>
  <c r="S58" i="2"/>
  <c r="S74" i="2"/>
  <c r="I26" i="7"/>
  <c r="I26" i="8"/>
  <c r="I26" i="10"/>
  <c r="I26" i="9"/>
  <c r="P11" i="10"/>
  <c r="AH11" i="10" s="1"/>
  <c r="A11" i="10"/>
  <c r="AB10" i="10"/>
  <c r="AD7" i="10"/>
  <c r="AG7" i="10" s="1"/>
  <c r="L21" i="10" s="1"/>
  <c r="AL10" i="10"/>
  <c r="AC10" i="10"/>
  <c r="AF10" i="10" s="1"/>
  <c r="G24" i="10" s="1"/>
  <c r="AA7" i="10"/>
  <c r="R46" i="10"/>
  <c r="J27" i="10" s="1"/>
  <c r="K2" i="10"/>
  <c r="V9" i="10" s="1"/>
  <c r="D9" i="10"/>
  <c r="AB10" i="9"/>
  <c r="AL10" i="9"/>
  <c r="AC10" i="9"/>
  <c r="AF10" i="9" s="1"/>
  <c r="G24" i="9" s="1"/>
  <c r="P11" i="9"/>
  <c r="AH11" i="9" s="1"/>
  <c r="A11" i="9"/>
  <c r="AA7" i="9"/>
  <c r="AD7" i="9"/>
  <c r="AG7" i="9" s="1"/>
  <c r="L21" i="9" s="1"/>
  <c r="D9" i="9"/>
  <c r="K2" i="9"/>
  <c r="V9" i="9" s="1"/>
  <c r="R46" i="9"/>
  <c r="J27" i="9" s="1"/>
  <c r="AC10" i="8"/>
  <c r="AF10" i="8" s="1"/>
  <c r="G24" i="8" s="1"/>
  <c r="AL10" i="8"/>
  <c r="AD7" i="8"/>
  <c r="AG7" i="8" s="1"/>
  <c r="L21" i="8" s="1"/>
  <c r="P11" i="8"/>
  <c r="AH11" i="8" s="1"/>
  <c r="A11" i="8"/>
  <c r="AA7" i="8"/>
  <c r="AB10" i="8"/>
  <c r="R46" i="8"/>
  <c r="J27" i="8" s="1"/>
  <c r="K2" i="8"/>
  <c r="V9" i="8" s="1"/>
  <c r="D9" i="8"/>
  <c r="AL10" i="7"/>
  <c r="A11" i="7"/>
  <c r="P11" i="7"/>
  <c r="AH11" i="7" s="1"/>
  <c r="AA7" i="7"/>
  <c r="AB10" i="7"/>
  <c r="AC10" i="7"/>
  <c r="AF10" i="7" s="1"/>
  <c r="G24" i="7" s="1"/>
  <c r="AD7" i="7"/>
  <c r="AG7" i="7" s="1"/>
  <c r="L21" i="7" s="1"/>
  <c r="K2" i="7"/>
  <c r="V9" i="7" s="1"/>
  <c r="D9" i="7"/>
  <c r="R46" i="7"/>
  <c r="J27" i="7" s="1"/>
  <c r="D70" i="2"/>
  <c r="S11" i="9"/>
  <c r="H54" i="2"/>
  <c r="T44" i="2"/>
  <c r="AK8" i="10"/>
  <c r="H102" i="2"/>
  <c r="AK11" i="11"/>
  <c r="X8" i="9"/>
  <c r="T93" i="2"/>
  <c r="E52" i="2"/>
  <c r="C102" i="2"/>
  <c r="F86" i="2"/>
  <c r="AI8" i="8"/>
  <c r="T76" i="2"/>
  <c r="T43" i="2"/>
  <c r="K26" i="10"/>
  <c r="G52" i="2"/>
  <c r="R11" i="10"/>
  <c r="H86" i="2"/>
  <c r="Y8" i="8"/>
  <c r="Z8" i="8"/>
  <c r="C52" i="2"/>
  <c r="Q12" i="8"/>
  <c r="X11" i="11"/>
  <c r="K26" i="9"/>
  <c r="T11" i="9"/>
  <c r="B102" i="2"/>
  <c r="I102" i="2"/>
  <c r="A56" i="2"/>
  <c r="E26" i="7"/>
  <c r="AI8" i="9"/>
  <c r="AJ11" i="7"/>
  <c r="B11" i="7"/>
  <c r="C54" i="2"/>
  <c r="S11" i="7"/>
  <c r="B70" i="2"/>
  <c r="Q12" i="7"/>
  <c r="B11" i="8"/>
  <c r="AJ11" i="10"/>
  <c r="W8" i="9"/>
  <c r="E26" i="8"/>
  <c r="T11" i="7"/>
  <c r="K26" i="8"/>
  <c r="Y8" i="7"/>
  <c r="F102" i="2"/>
  <c r="E70" i="2"/>
  <c r="D86" i="2"/>
  <c r="G102" i="2"/>
  <c r="R45" i="2"/>
  <c r="C70" i="2"/>
  <c r="W11" i="11"/>
  <c r="R11" i="9"/>
  <c r="H70" i="2"/>
  <c r="Z8" i="10"/>
  <c r="A104" i="2"/>
  <c r="AI8" i="10"/>
  <c r="D52" i="2"/>
  <c r="G70" i="2"/>
  <c r="T45" i="2"/>
  <c r="AK8" i="8"/>
  <c r="E102" i="2"/>
  <c r="AJ11" i="8"/>
  <c r="B52" i="2"/>
  <c r="S11" i="8"/>
  <c r="T11" i="8"/>
  <c r="X8" i="8"/>
  <c r="T77" i="2"/>
  <c r="Q12" i="10"/>
  <c r="B11" i="9"/>
  <c r="X8" i="10"/>
  <c r="C86" i="2"/>
  <c r="B54" i="2"/>
  <c r="AK8" i="9"/>
  <c r="I86" i="2"/>
  <c r="F70" i="2"/>
  <c r="G54" i="2"/>
  <c r="T60" i="2"/>
  <c r="AI9" i="7"/>
  <c r="Z11" i="11"/>
  <c r="T59" i="2"/>
  <c r="E54" i="2"/>
  <c r="S11" i="10"/>
  <c r="W8" i="8"/>
  <c r="G86" i="2"/>
  <c r="I54" i="2"/>
  <c r="D54" i="2"/>
  <c r="R11" i="8"/>
  <c r="W8" i="10"/>
  <c r="E86" i="2"/>
  <c r="Y8" i="9"/>
  <c r="Y11" i="11"/>
  <c r="R11" i="7"/>
  <c r="F52" i="2"/>
  <c r="Y8" i="10"/>
  <c r="AI11" i="11"/>
  <c r="D102" i="2"/>
  <c r="T91" i="2"/>
  <c r="K26" i="7"/>
  <c r="I52" i="2"/>
  <c r="F54" i="2"/>
  <c r="I70" i="2"/>
  <c r="B86" i="2"/>
  <c r="Q12" i="9"/>
  <c r="R43" i="2"/>
  <c r="A88" i="2"/>
  <c r="E26" i="9"/>
  <c r="Z8" i="9"/>
  <c r="A72" i="2"/>
  <c r="T75" i="2"/>
  <c r="W8" i="7"/>
  <c r="AI8" i="7"/>
  <c r="AJ11" i="9"/>
  <c r="H52" i="2"/>
  <c r="T61" i="2"/>
  <c r="T11" i="10"/>
  <c r="T92" i="2"/>
  <c r="R44" i="2"/>
  <c r="B11" i="10"/>
  <c r="E25" i="10"/>
  <c r="R42" i="2" l="1"/>
  <c r="D75" i="16"/>
  <c r="C76" i="16"/>
  <c r="AA11" i="11"/>
  <c r="AD11" i="11"/>
  <c r="AG11" i="11" s="1"/>
  <c r="L25" i="11" s="1"/>
  <c r="D13" i="11"/>
  <c r="O2" i="11"/>
  <c r="V13" i="11" s="1"/>
  <c r="C11" i="8"/>
  <c r="T74" i="2"/>
  <c r="T90" i="2"/>
  <c r="C11" i="7"/>
  <c r="C11" i="10"/>
  <c r="C11" i="9"/>
  <c r="T42" i="2"/>
  <c r="T58" i="2"/>
  <c r="I27" i="7"/>
  <c r="I27" i="8"/>
  <c r="I27" i="9"/>
  <c r="I27" i="10"/>
  <c r="AC11" i="10"/>
  <c r="AF11" i="10" s="1"/>
  <c r="G25" i="10" s="1"/>
  <c r="AA8" i="10"/>
  <c r="AB11" i="10"/>
  <c r="AL11" i="10"/>
  <c r="A12" i="10"/>
  <c r="P12" i="10"/>
  <c r="AH12" i="10" s="1"/>
  <c r="AD8" i="10"/>
  <c r="AG8" i="10" s="1"/>
  <c r="L22" i="10" s="1"/>
  <c r="D10" i="10"/>
  <c r="L2" i="10"/>
  <c r="V10" i="10" s="1"/>
  <c r="AC11" i="9"/>
  <c r="AF11" i="9" s="1"/>
  <c r="G25" i="9" s="1"/>
  <c r="A12" i="9"/>
  <c r="P12" i="9"/>
  <c r="AH12" i="9" s="1"/>
  <c r="AB11" i="9"/>
  <c r="AA8" i="9"/>
  <c r="AL11" i="9"/>
  <c r="AD8" i="9"/>
  <c r="AG8" i="9" s="1"/>
  <c r="L22" i="9" s="1"/>
  <c r="L2" i="9"/>
  <c r="V10" i="9" s="1"/>
  <c r="D10" i="9"/>
  <c r="AC11" i="8"/>
  <c r="AF11" i="8" s="1"/>
  <c r="G25" i="8" s="1"/>
  <c r="AL11" i="8"/>
  <c r="AA8" i="8"/>
  <c r="A12" i="8"/>
  <c r="P12" i="8"/>
  <c r="AH12" i="8" s="1"/>
  <c r="AD8" i="8"/>
  <c r="AG8" i="8" s="1"/>
  <c r="L22" i="8" s="1"/>
  <c r="AB11" i="8"/>
  <c r="D10" i="8"/>
  <c r="L2" i="8"/>
  <c r="V10" i="8" s="1"/>
  <c r="A12" i="7"/>
  <c r="P12" i="7"/>
  <c r="AH12" i="7" s="1"/>
  <c r="AC11" i="7"/>
  <c r="AF11" i="7" s="1"/>
  <c r="G25" i="7" s="1"/>
  <c r="AB11" i="7"/>
  <c r="AL11" i="7"/>
  <c r="D10" i="7"/>
  <c r="L2" i="7"/>
  <c r="V10" i="7" s="1"/>
  <c r="W9" i="10"/>
  <c r="AJ12" i="9"/>
  <c r="T12" i="10"/>
  <c r="I103" i="2"/>
  <c r="AJ12" i="10"/>
  <c r="K27" i="7"/>
  <c r="Z9" i="9"/>
  <c r="D71" i="2"/>
  <c r="B103" i="2"/>
  <c r="U45" i="2"/>
  <c r="AK9" i="8"/>
  <c r="K27" i="9"/>
  <c r="U76" i="2"/>
  <c r="F71" i="2"/>
  <c r="C103" i="2"/>
  <c r="AJ12" i="8"/>
  <c r="R12" i="10"/>
  <c r="AI9" i="9"/>
  <c r="X12" i="11"/>
  <c r="W9" i="7"/>
  <c r="W12" i="11"/>
  <c r="U44" i="2"/>
  <c r="I87" i="2"/>
  <c r="AK8" i="7"/>
  <c r="U92" i="2"/>
  <c r="Y12" i="11"/>
  <c r="E55" i="2"/>
  <c r="S12" i="10"/>
  <c r="AK12" i="11"/>
  <c r="W9" i="8"/>
  <c r="T12" i="8"/>
  <c r="E27" i="8"/>
  <c r="Z9" i="10"/>
  <c r="K27" i="8"/>
  <c r="X8" i="7"/>
  <c r="G87" i="2"/>
  <c r="W9" i="9"/>
  <c r="U77" i="2"/>
  <c r="AK9" i="10"/>
  <c r="X9" i="9"/>
  <c r="U91" i="2"/>
  <c r="T12" i="7"/>
  <c r="Q13" i="8"/>
  <c r="T12" i="9"/>
  <c r="Q13" i="9"/>
  <c r="H55" i="2"/>
  <c r="U60" i="2"/>
  <c r="B12" i="10"/>
  <c r="C55" i="2"/>
  <c r="B12" i="8"/>
  <c r="F87" i="2"/>
  <c r="S12" i="7"/>
  <c r="F55" i="2"/>
  <c r="F103" i="2"/>
  <c r="X9" i="7"/>
  <c r="Y9" i="8"/>
  <c r="Y9" i="9"/>
  <c r="Q13" i="10"/>
  <c r="G71" i="2"/>
  <c r="Z9" i="8"/>
  <c r="Z12" i="11"/>
  <c r="B12" i="9"/>
  <c r="U93" i="2"/>
  <c r="R12" i="7"/>
  <c r="AI9" i="10"/>
  <c r="D55" i="2"/>
  <c r="S12" i="8"/>
  <c r="C71" i="2"/>
  <c r="Z9" i="7"/>
  <c r="E27" i="7"/>
  <c r="AJ12" i="7"/>
  <c r="H87" i="2"/>
  <c r="Q13" i="7"/>
  <c r="K27" i="10"/>
  <c r="U43" i="2"/>
  <c r="E103" i="2"/>
  <c r="B71" i="2"/>
  <c r="E26" i="10"/>
  <c r="I55" i="2"/>
  <c r="D87" i="2"/>
  <c r="S12" i="9"/>
  <c r="B87" i="2"/>
  <c r="I71" i="2"/>
  <c r="E87" i="2"/>
  <c r="G55" i="2"/>
  <c r="R12" i="8"/>
  <c r="H71" i="2"/>
  <c r="AK9" i="7"/>
  <c r="Y9" i="7"/>
  <c r="E71" i="2"/>
  <c r="Y9" i="10"/>
  <c r="Z8" i="7"/>
  <c r="H103" i="2"/>
  <c r="AI10" i="7"/>
  <c r="AK9" i="9"/>
  <c r="AI9" i="8"/>
  <c r="U61" i="2"/>
  <c r="X9" i="10"/>
  <c r="R12" i="9"/>
  <c r="G103" i="2"/>
  <c r="U75" i="2"/>
  <c r="B55" i="2"/>
  <c r="U59" i="2"/>
  <c r="X9" i="8"/>
  <c r="AI12" i="11"/>
  <c r="D103" i="2"/>
  <c r="C87" i="2"/>
  <c r="E27" i="9"/>
  <c r="B12" i="7"/>
  <c r="A13" i="10" l="1"/>
  <c r="P13" i="10"/>
  <c r="AH13" i="10" s="1"/>
  <c r="A13" i="9"/>
  <c r="P13" i="9"/>
  <c r="AH13" i="9" s="1"/>
  <c r="A13" i="8"/>
  <c r="P13" i="8"/>
  <c r="AH13" i="8" s="1"/>
  <c r="P13" i="7"/>
  <c r="AH13" i="7" s="1"/>
  <c r="A13" i="7"/>
  <c r="AA8" i="7"/>
  <c r="AD8" i="7"/>
  <c r="AG8" i="7" s="1"/>
  <c r="L22" i="7" s="1"/>
  <c r="D76" i="16"/>
  <c r="C77" i="16"/>
  <c r="AA12" i="11"/>
  <c r="AD12" i="11"/>
  <c r="AG12" i="11" s="1"/>
  <c r="L26" i="11" s="1"/>
  <c r="C12" i="7"/>
  <c r="C12" i="8"/>
  <c r="C12" i="10"/>
  <c r="C12" i="9"/>
  <c r="U42" i="2"/>
  <c r="U90" i="2"/>
  <c r="U58" i="2"/>
  <c r="U74" i="2"/>
  <c r="AA9" i="10"/>
  <c r="AC12" i="10"/>
  <c r="AF12" i="10" s="1"/>
  <c r="G26" i="10" s="1"/>
  <c r="AB12" i="10"/>
  <c r="AD9" i="10"/>
  <c r="AG9" i="10" s="1"/>
  <c r="L23" i="10" s="1"/>
  <c r="AL12" i="10"/>
  <c r="D11" i="10"/>
  <c r="M2" i="10"/>
  <c r="V11" i="10" s="1"/>
  <c r="AB12" i="9"/>
  <c r="AA9" i="9"/>
  <c r="AL12" i="9"/>
  <c r="AC12" i="9"/>
  <c r="AF12" i="9" s="1"/>
  <c r="G26" i="9" s="1"/>
  <c r="AD9" i="9"/>
  <c r="AG9" i="9" s="1"/>
  <c r="L23" i="9" s="1"/>
  <c r="M2" i="9"/>
  <c r="V11" i="9" s="1"/>
  <c r="D11" i="9"/>
  <c r="AC12" i="8"/>
  <c r="AF12" i="8" s="1"/>
  <c r="G26" i="8" s="1"/>
  <c r="AB12" i="8"/>
  <c r="AD9" i="8"/>
  <c r="AG9" i="8" s="1"/>
  <c r="L23" i="8" s="1"/>
  <c r="AL12" i="8"/>
  <c r="AA9" i="8"/>
  <c r="D11" i="8"/>
  <c r="M2" i="8"/>
  <c r="V11" i="8" s="1"/>
  <c r="AA9" i="7"/>
  <c r="AD9" i="7"/>
  <c r="AG9" i="7" s="1"/>
  <c r="L23" i="7" s="1"/>
  <c r="AC12" i="7"/>
  <c r="AF12" i="7" s="1"/>
  <c r="G26" i="7" s="1"/>
  <c r="AB12" i="7"/>
  <c r="AL12" i="7"/>
  <c r="D11" i="7"/>
  <c r="M2" i="7"/>
  <c r="V11" i="7" s="1"/>
  <c r="Y10" i="9"/>
  <c r="W10" i="7"/>
  <c r="R13" i="9"/>
  <c r="C72" i="2"/>
  <c r="Z10" i="8"/>
  <c r="G72" i="2"/>
  <c r="E56" i="2"/>
  <c r="V61" i="2"/>
  <c r="D88" i="2"/>
  <c r="B72" i="2"/>
  <c r="F56" i="2"/>
  <c r="V92" i="2"/>
  <c r="AK10" i="8"/>
  <c r="I104" i="2"/>
  <c r="V93" i="2"/>
  <c r="V77" i="2"/>
  <c r="B88" i="2"/>
  <c r="V44" i="2"/>
  <c r="AK13" i="11"/>
  <c r="D104" i="2"/>
  <c r="AI13" i="11"/>
  <c r="Y10" i="10"/>
  <c r="B13" i="8"/>
  <c r="G88" i="2"/>
  <c r="I56" i="2"/>
  <c r="R13" i="7"/>
  <c r="W13" i="11"/>
  <c r="T13" i="10"/>
  <c r="S13" i="10"/>
  <c r="E88" i="2"/>
  <c r="S13" i="9"/>
  <c r="V91" i="2"/>
  <c r="W10" i="8"/>
  <c r="V60" i="2"/>
  <c r="Z10" i="7"/>
  <c r="AJ13" i="10"/>
  <c r="H72" i="2"/>
  <c r="C56" i="2"/>
  <c r="AI10" i="8"/>
  <c r="D72" i="2"/>
  <c r="Y10" i="8"/>
  <c r="D56" i="2"/>
  <c r="V59" i="2"/>
  <c r="H104" i="2"/>
  <c r="R13" i="10"/>
  <c r="T13" i="9"/>
  <c r="AK10" i="9"/>
  <c r="X13" i="11"/>
  <c r="V43" i="2"/>
  <c r="AJ13" i="7"/>
  <c r="B13" i="7"/>
  <c r="AK10" i="7"/>
  <c r="C104" i="2"/>
  <c r="F88" i="2"/>
  <c r="Z10" i="10"/>
  <c r="T13" i="7"/>
  <c r="E27" i="10"/>
  <c r="W10" i="10"/>
  <c r="T13" i="8"/>
  <c r="E72" i="2"/>
  <c r="AI10" i="10"/>
  <c r="S13" i="7"/>
  <c r="B13" i="9"/>
  <c r="AI11" i="7"/>
  <c r="Z13" i="11"/>
  <c r="V75" i="2"/>
  <c r="B104" i="2"/>
  <c r="AI10" i="9"/>
  <c r="AJ13" i="8"/>
  <c r="S13" i="8"/>
  <c r="Y13" i="11"/>
  <c r="F104" i="2"/>
  <c r="AK10" i="10"/>
  <c r="C88" i="2"/>
  <c r="B13" i="10"/>
  <c r="W10" i="9"/>
  <c r="V45" i="2"/>
  <c r="B56" i="2"/>
  <c r="X10" i="8"/>
  <c r="I88" i="2"/>
  <c r="X10" i="7"/>
  <c r="E104" i="2"/>
  <c r="G104" i="2"/>
  <c r="AJ13" i="9"/>
  <c r="I72" i="2"/>
  <c r="G56" i="2"/>
  <c r="F72" i="2"/>
  <c r="V76" i="2"/>
  <c r="Y10" i="7"/>
  <c r="R13" i="8"/>
  <c r="H88" i="2"/>
  <c r="X10" i="10"/>
  <c r="H56" i="2"/>
  <c r="X10" i="9"/>
  <c r="Z10" i="9"/>
  <c r="AL13" i="8" l="1"/>
  <c r="C13" i="9"/>
  <c r="O2" i="9" s="1"/>
  <c r="V13" i="9" s="1"/>
  <c r="AB13" i="7"/>
  <c r="C13" i="8"/>
  <c r="D13" i="8" s="1"/>
  <c r="AB13" i="9"/>
  <c r="C13" i="7"/>
  <c r="O2" i="7" s="1"/>
  <c r="V13" i="7" s="1"/>
  <c r="AL13" i="7"/>
  <c r="AC13" i="8"/>
  <c r="AF13" i="8" s="1"/>
  <c r="G27" i="8" s="1"/>
  <c r="AL13" i="9"/>
  <c r="C13" i="10"/>
  <c r="O2" i="10" s="1"/>
  <c r="V13" i="10" s="1"/>
  <c r="AC13" i="9"/>
  <c r="AF13" i="9" s="1"/>
  <c r="G27" i="9" s="1"/>
  <c r="AL13" i="10"/>
  <c r="AC13" i="10"/>
  <c r="AF13" i="10" s="1"/>
  <c r="G27" i="10" s="1"/>
  <c r="AC13" i="7"/>
  <c r="AF13" i="7" s="1"/>
  <c r="G27" i="7" s="1"/>
  <c r="AB13" i="8"/>
  <c r="AB13" i="10"/>
  <c r="D77" i="16"/>
  <c r="C78" i="16"/>
  <c r="AD13" i="11"/>
  <c r="AG13" i="11" s="1"/>
  <c r="L27" i="11" s="1"/>
  <c r="AA13" i="11"/>
  <c r="V74" i="2"/>
  <c r="V58" i="2"/>
  <c r="V42" i="2"/>
  <c r="V90" i="2"/>
  <c r="AD10" i="10"/>
  <c r="AG10" i="10" s="1"/>
  <c r="L24" i="10" s="1"/>
  <c r="AA10" i="10"/>
  <c r="N2" i="10"/>
  <c r="V12" i="10" s="1"/>
  <c r="D12" i="10"/>
  <c r="AD10" i="9"/>
  <c r="AG10" i="9" s="1"/>
  <c r="L24" i="9" s="1"/>
  <c r="AA10" i="9"/>
  <c r="D12" i="9"/>
  <c r="N2" i="9"/>
  <c r="V12" i="9" s="1"/>
  <c r="AD10" i="8"/>
  <c r="AG10" i="8" s="1"/>
  <c r="L24" i="8" s="1"/>
  <c r="AA10" i="8"/>
  <c r="N2" i="8"/>
  <c r="V12" i="8" s="1"/>
  <c r="D12" i="8"/>
  <c r="AA10" i="7"/>
  <c r="AD10" i="7"/>
  <c r="AG10" i="7" s="1"/>
  <c r="L24" i="7" s="1"/>
  <c r="N2" i="7"/>
  <c r="V12" i="7" s="1"/>
  <c r="D12" i="7"/>
  <c r="AK11" i="10"/>
  <c r="X11" i="8"/>
  <c r="Z11" i="8"/>
  <c r="Z11" i="10"/>
  <c r="X11" i="10"/>
  <c r="AI13" i="7"/>
  <c r="Y11" i="9"/>
  <c r="AI11" i="8"/>
  <c r="X11" i="7"/>
  <c r="AK11" i="9"/>
  <c r="W11" i="9"/>
  <c r="Y11" i="8"/>
  <c r="Z11" i="9"/>
  <c r="AK11" i="8"/>
  <c r="AK11" i="7"/>
  <c r="X11" i="9"/>
  <c r="W11" i="7"/>
  <c r="W11" i="8"/>
  <c r="Z11" i="7"/>
  <c r="AI11" i="10"/>
  <c r="W11" i="10"/>
  <c r="Y11" i="10"/>
  <c r="AI11" i="9"/>
  <c r="Y11" i="7"/>
  <c r="AI12" i="7"/>
  <c r="O2" i="8" l="1"/>
  <c r="V13" i="8" s="1"/>
  <c r="D13" i="7"/>
  <c r="D13" i="9"/>
  <c r="D13" i="10"/>
  <c r="D78" i="16"/>
  <c r="C79" i="16"/>
  <c r="AD11" i="10"/>
  <c r="AG11" i="10" s="1"/>
  <c r="L25" i="10" s="1"/>
  <c r="AA11" i="10"/>
  <c r="AD11" i="9"/>
  <c r="AG11" i="9" s="1"/>
  <c r="L25" i="9" s="1"/>
  <c r="AA11" i="9"/>
  <c r="AD11" i="8"/>
  <c r="AG11" i="8" s="1"/>
  <c r="L25" i="8" s="1"/>
  <c r="AA11" i="8"/>
  <c r="AD11" i="7"/>
  <c r="AG11" i="7" s="1"/>
  <c r="L25" i="7" s="1"/>
  <c r="AA11" i="7"/>
  <c r="X13" i="9"/>
  <c r="W13" i="8"/>
  <c r="Z13" i="7"/>
  <c r="AK13" i="10"/>
  <c r="AI12" i="8"/>
  <c r="Z12" i="8"/>
  <c r="X12" i="10"/>
  <c r="Z12" i="9"/>
  <c r="Y12" i="9"/>
  <c r="X12" i="9"/>
  <c r="AK13" i="9"/>
  <c r="AK12" i="10"/>
  <c r="AK12" i="9"/>
  <c r="Y12" i="7"/>
  <c r="AK12" i="7"/>
  <c r="W12" i="8"/>
  <c r="Y13" i="10"/>
  <c r="X13" i="8"/>
  <c r="Z12" i="7"/>
  <c r="W12" i="10"/>
  <c r="Z13" i="10"/>
  <c r="X13" i="10"/>
  <c r="AI13" i="9"/>
  <c r="AI12" i="10"/>
  <c r="AI12" i="9"/>
  <c r="AK12" i="8"/>
  <c r="Y13" i="8"/>
  <c r="Z12" i="10"/>
  <c r="Y13" i="9"/>
  <c r="X13" i="7"/>
  <c r="AK13" i="7"/>
  <c r="AK13" i="8"/>
  <c r="W13" i="7"/>
  <c r="X12" i="7"/>
  <c r="W12" i="7"/>
  <c r="W13" i="9"/>
  <c r="Y12" i="10"/>
  <c r="W13" i="10"/>
  <c r="Y13" i="7"/>
  <c r="W12" i="9"/>
  <c r="X12" i="8"/>
  <c r="AI13" i="8"/>
  <c r="Z13" i="9"/>
  <c r="Z13" i="8"/>
  <c r="Y12" i="8"/>
  <c r="AI13" i="10"/>
  <c r="D79" i="16" l="1"/>
  <c r="C80" i="16"/>
  <c r="AA12" i="10"/>
  <c r="AD12" i="10"/>
  <c r="AG12" i="10" s="1"/>
  <c r="L26" i="10" s="1"/>
  <c r="AA13" i="10"/>
  <c r="AD13" i="10"/>
  <c r="AG13" i="10" s="1"/>
  <c r="L27" i="10" s="1"/>
  <c r="AA13" i="9"/>
  <c r="AD13" i="9"/>
  <c r="AG13" i="9" s="1"/>
  <c r="L27" i="9" s="1"/>
  <c r="AD12" i="9"/>
  <c r="AG12" i="9" s="1"/>
  <c r="L26" i="9" s="1"/>
  <c r="AA12" i="9"/>
  <c r="AD13" i="8"/>
  <c r="AG13" i="8" s="1"/>
  <c r="L27" i="8" s="1"/>
  <c r="AA13" i="8"/>
  <c r="AD12" i="8"/>
  <c r="AG12" i="8" s="1"/>
  <c r="L26" i="8" s="1"/>
  <c r="AA12" i="8"/>
  <c r="AD12" i="7"/>
  <c r="AG12" i="7" s="1"/>
  <c r="L26" i="7" s="1"/>
  <c r="AD13" i="7"/>
  <c r="AG13" i="7" s="1"/>
  <c r="L27" i="7" s="1"/>
  <c r="AA13" i="7"/>
  <c r="AA12" i="7"/>
  <c r="S36" i="6"/>
  <c r="S35" i="6"/>
  <c r="R35" i="6"/>
  <c r="U10" i="6"/>
  <c r="U9" i="6"/>
  <c r="U8" i="6"/>
  <c r="U7" i="6"/>
  <c r="U6" i="6"/>
  <c r="U5" i="6"/>
  <c r="U3" i="6"/>
  <c r="U4" i="6"/>
  <c r="U13" i="6"/>
  <c r="U12" i="6"/>
  <c r="U11" i="6"/>
  <c r="U2" i="6"/>
  <c r="J16" i="6" l="1"/>
  <c r="D80" i="16"/>
  <c r="C81" i="16"/>
  <c r="I16" i="6"/>
  <c r="R36" i="6"/>
  <c r="J17" i="6" s="1"/>
  <c r="I23" i="2"/>
  <c r="B14" i="2"/>
  <c r="D14" i="2"/>
  <c r="E23" i="2"/>
  <c r="F14" i="2"/>
  <c r="H23" i="2"/>
  <c r="C23" i="2"/>
  <c r="C14" i="2"/>
  <c r="G23" i="2"/>
  <c r="D23" i="2"/>
  <c r="E14" i="2"/>
  <c r="F23" i="2"/>
  <c r="I14" i="2"/>
  <c r="B23" i="2"/>
  <c r="H14" i="2"/>
  <c r="G14" i="2"/>
  <c r="E20" i="2"/>
  <c r="B19" i="2"/>
  <c r="G20" i="2"/>
  <c r="I20" i="2"/>
  <c r="I22" i="2"/>
  <c r="H22" i="2"/>
  <c r="G21" i="2"/>
  <c r="F20" i="2"/>
  <c r="E22" i="2"/>
  <c r="E21" i="2"/>
  <c r="C21" i="2"/>
  <c r="F21" i="2"/>
  <c r="D21" i="2"/>
  <c r="D20" i="2"/>
  <c r="F22" i="2"/>
  <c r="G22" i="2"/>
  <c r="B21" i="2"/>
  <c r="C22" i="2"/>
  <c r="I19" i="2"/>
  <c r="B20" i="2"/>
  <c r="C20" i="2"/>
  <c r="I21" i="2"/>
  <c r="B22" i="2"/>
  <c r="D22" i="2"/>
  <c r="H21" i="2"/>
  <c r="H20" i="2"/>
  <c r="C19" i="2"/>
  <c r="E19" i="2"/>
  <c r="D19" i="2"/>
  <c r="H17" i="2"/>
  <c r="C17" i="2"/>
  <c r="E18" i="2"/>
  <c r="E17" i="2"/>
  <c r="C15" i="2"/>
  <c r="D15" i="2"/>
  <c r="B16" i="2"/>
  <c r="B15" i="2"/>
  <c r="F19" i="2"/>
  <c r="C18" i="2"/>
  <c r="G17" i="2"/>
  <c r="G16" i="2"/>
  <c r="H15" i="2"/>
  <c r="F17" i="2"/>
  <c r="B17" i="2"/>
  <c r="I15" i="2"/>
  <c r="C16" i="2"/>
  <c r="H19" i="2"/>
  <c r="G19" i="2"/>
  <c r="F18" i="2"/>
  <c r="I18" i="2"/>
  <c r="D17" i="2"/>
  <c r="I17" i="2"/>
  <c r="I16" i="2"/>
  <c r="G15" i="2"/>
  <c r="F15" i="2"/>
  <c r="E15" i="2"/>
  <c r="H18" i="2"/>
  <c r="B18" i="2"/>
  <c r="E16" i="2"/>
  <c r="F16" i="2"/>
  <c r="G18" i="2"/>
  <c r="D18" i="2"/>
  <c r="D16" i="2"/>
  <c r="H16" i="2"/>
  <c r="D13" i="2"/>
  <c r="H13" i="2"/>
  <c r="E13" i="2"/>
  <c r="C13" i="2"/>
  <c r="F13" i="2"/>
  <c r="B13" i="2"/>
  <c r="I13" i="2"/>
  <c r="G13" i="2"/>
  <c r="A29" i="2"/>
  <c r="K16" i="6"/>
  <c r="Q2" i="6"/>
  <c r="E16" i="6"/>
  <c r="K17" i="6"/>
  <c r="D81" i="16" l="1"/>
  <c r="C82" i="16"/>
  <c r="I17" i="6"/>
  <c r="A2" i="6"/>
  <c r="P2" i="6"/>
  <c r="R37" i="6"/>
  <c r="J18" i="6" s="1"/>
  <c r="S2" i="6"/>
  <c r="B2" i="6"/>
  <c r="AH2" i="6"/>
  <c r="R2" i="6"/>
  <c r="Q3" i="6"/>
  <c r="K6" i="2"/>
  <c r="T2" i="6"/>
  <c r="AJ2" i="6"/>
  <c r="E17" i="6"/>
  <c r="D82" i="16" l="1"/>
  <c r="C83" i="16"/>
  <c r="C2" i="6"/>
  <c r="D2" i="6" s="1"/>
  <c r="V2" i="6" s="1"/>
  <c r="I18" i="6"/>
  <c r="AE6" i="2"/>
  <c r="K7" i="2" s="1"/>
  <c r="P3" i="6"/>
  <c r="A3" i="6"/>
  <c r="AB2" i="6"/>
  <c r="AL2" i="6"/>
  <c r="AC2" i="6"/>
  <c r="R38" i="6"/>
  <c r="J19" i="6" s="1"/>
  <c r="Z6" i="2"/>
  <c r="H9" i="2"/>
  <c r="D7" i="2"/>
  <c r="C7" i="2"/>
  <c r="C9" i="2"/>
  <c r="R3" i="6"/>
  <c r="B3" i="2"/>
  <c r="E18" i="6"/>
  <c r="E29" i="2"/>
  <c r="G29" i="2"/>
  <c r="AH3" i="6"/>
  <c r="D9" i="2"/>
  <c r="L6" i="2"/>
  <c r="AJ3" i="6"/>
  <c r="T3" i="6"/>
  <c r="B29" i="2"/>
  <c r="A30" i="2"/>
  <c r="S3" i="6"/>
  <c r="F29" i="2"/>
  <c r="K10" i="2"/>
  <c r="AI2" i="6"/>
  <c r="B3" i="6"/>
  <c r="K9" i="2"/>
  <c r="K29" i="2"/>
  <c r="H29" i="2"/>
  <c r="C29" i="2"/>
  <c r="I29" i="2"/>
  <c r="D29" i="2"/>
  <c r="Q4" i="6"/>
  <c r="K27" i="2"/>
  <c r="F9" i="2"/>
  <c r="K8" i="2"/>
  <c r="K28" i="2"/>
  <c r="D83" i="16" l="1"/>
  <c r="C84" i="16"/>
  <c r="C3" i="6"/>
  <c r="D3" i="6" s="1"/>
  <c r="K26" i="2"/>
  <c r="I19" i="6"/>
  <c r="AF2" i="6"/>
  <c r="AL3" i="6"/>
  <c r="AF6" i="2"/>
  <c r="L7" i="2" s="1"/>
  <c r="AB3" i="6"/>
  <c r="AC3" i="6"/>
  <c r="AF3" i="6" s="1"/>
  <c r="G17" i="6" s="1"/>
  <c r="A4" i="6"/>
  <c r="P4" i="6"/>
  <c r="R39" i="6"/>
  <c r="J20" i="6" s="1"/>
  <c r="AG107" i="2"/>
  <c r="AD106" i="2"/>
  <c r="AG106" i="2"/>
  <c r="AE106" i="2"/>
  <c r="AE107" i="2"/>
  <c r="Q5" i="6"/>
  <c r="L9" i="2"/>
  <c r="L11" i="2"/>
  <c r="AH4" i="6"/>
  <c r="L8" i="2"/>
  <c r="S4" i="6"/>
  <c r="A31" i="2"/>
  <c r="AJ4" i="6"/>
  <c r="AK2" i="6"/>
  <c r="G30" i="2"/>
  <c r="W2" i="6"/>
  <c r="T4" i="6"/>
  <c r="L28" i="2"/>
  <c r="R4" i="6"/>
  <c r="K18" i="6"/>
  <c r="F30" i="2"/>
  <c r="L10" i="2"/>
  <c r="Z2" i="6"/>
  <c r="B4" i="6"/>
  <c r="M6" i="2"/>
  <c r="D30" i="2"/>
  <c r="E30" i="2"/>
  <c r="L27" i="2"/>
  <c r="X2" i="6"/>
  <c r="B30" i="2"/>
  <c r="I30" i="2"/>
  <c r="C30" i="2"/>
  <c r="L29" i="2"/>
  <c r="Y2" i="6"/>
  <c r="AB106" i="2"/>
  <c r="H30" i="2"/>
  <c r="E19" i="6"/>
  <c r="D84" i="16" l="1"/>
  <c r="C85" i="16"/>
  <c r="C4" i="6"/>
  <c r="D4" i="6" s="1"/>
  <c r="L26" i="2"/>
  <c r="I20" i="6"/>
  <c r="G16" i="6"/>
  <c r="AL4" i="6"/>
  <c r="AB4" i="6"/>
  <c r="AC4" i="6"/>
  <c r="AF4" i="6" s="1"/>
  <c r="G18" i="6" s="1"/>
  <c r="P5" i="6"/>
  <c r="A5" i="6"/>
  <c r="AG6" i="2"/>
  <c r="M7" i="2" s="1"/>
  <c r="R40" i="6"/>
  <c r="J21" i="6" s="1"/>
  <c r="E2" i="6"/>
  <c r="AB6" i="2"/>
  <c r="AD2" i="6"/>
  <c r="AA2" i="6"/>
  <c r="C31" i="2"/>
  <c r="N6" i="2"/>
  <c r="M10" i="2"/>
  <c r="D31" i="2"/>
  <c r="T5" i="6"/>
  <c r="E20" i="6"/>
  <c r="F31" i="2"/>
  <c r="Q6" i="6"/>
  <c r="M27" i="2"/>
  <c r="G31" i="2"/>
  <c r="S5" i="6"/>
  <c r="N3" i="2"/>
  <c r="M9" i="2"/>
  <c r="R5" i="6"/>
  <c r="M29" i="2"/>
  <c r="AH5" i="6"/>
  <c r="M28" i="2"/>
  <c r="H31" i="2"/>
  <c r="M8" i="2"/>
  <c r="A32" i="2"/>
  <c r="B31" i="2"/>
  <c r="K19" i="6"/>
  <c r="B5" i="6"/>
  <c r="I31" i="2"/>
  <c r="AJ5" i="6"/>
  <c r="E31" i="2"/>
  <c r="D85" i="16" l="1"/>
  <c r="C86" i="16"/>
  <c r="AG2" i="6"/>
  <c r="L16" i="6" s="1"/>
  <c r="C5" i="6"/>
  <c r="D5" i="6" s="1"/>
  <c r="M26" i="2"/>
  <c r="I21" i="6"/>
  <c r="AH6" i="2"/>
  <c r="N7" i="2" s="1"/>
  <c r="AC5" i="6"/>
  <c r="AF5" i="6" s="1"/>
  <c r="G19" i="6" s="1"/>
  <c r="AB5" i="6"/>
  <c r="AL5" i="6"/>
  <c r="P6" i="6"/>
  <c r="A6" i="6"/>
  <c r="V3" i="6"/>
  <c r="F2" i="6"/>
  <c r="R41" i="6"/>
  <c r="J22" i="6" s="1"/>
  <c r="AG108" i="2"/>
  <c r="AC6" i="2"/>
  <c r="AQ6" i="2"/>
  <c r="AE108" i="2"/>
  <c r="Q7" i="6"/>
  <c r="A33" i="2"/>
  <c r="E32" i="2"/>
  <c r="N29" i="2"/>
  <c r="N28" i="2"/>
  <c r="N27" i="2"/>
  <c r="H32" i="2"/>
  <c r="B6" i="6"/>
  <c r="N10" i="2"/>
  <c r="B32" i="2"/>
  <c r="D32" i="2"/>
  <c r="F32" i="2"/>
  <c r="N8" i="2"/>
  <c r="C32" i="2"/>
  <c r="AH6" i="6"/>
  <c r="G32" i="2"/>
  <c r="I32" i="2"/>
  <c r="R6" i="6"/>
  <c r="O6" i="2"/>
  <c r="T6" i="6"/>
  <c r="AI3" i="6"/>
  <c r="S6" i="6"/>
  <c r="N9" i="2"/>
  <c r="M11" i="2"/>
  <c r="K20" i="6"/>
  <c r="AJ6" i="6"/>
  <c r="E21" i="6"/>
  <c r="D86" i="16" l="1"/>
  <c r="C87" i="16"/>
  <c r="C6" i="6"/>
  <c r="D6" i="6" s="1"/>
  <c r="N26" i="2"/>
  <c r="I22" i="6"/>
  <c r="AB6" i="6"/>
  <c r="AC6" i="6"/>
  <c r="AF6" i="6" s="1"/>
  <c r="G20" i="6" s="1"/>
  <c r="AL6" i="6"/>
  <c r="A7" i="6"/>
  <c r="P7" i="6"/>
  <c r="AI6" i="2"/>
  <c r="O7" i="2" s="1"/>
  <c r="V4" i="6"/>
  <c r="R42" i="6"/>
  <c r="J23" i="6" s="1"/>
  <c r="G2" i="6"/>
  <c r="AD107" i="2"/>
  <c r="AG109" i="2"/>
  <c r="AR6" i="2"/>
  <c r="AD6" i="2"/>
  <c r="AE109" i="2"/>
  <c r="A34" i="2"/>
  <c r="AJ7" i="6"/>
  <c r="H33" i="2"/>
  <c r="AH7" i="6"/>
  <c r="W3" i="6"/>
  <c r="E22" i="6"/>
  <c r="E33" i="2"/>
  <c r="Z3" i="6"/>
  <c r="O27" i="2"/>
  <c r="Y3" i="6"/>
  <c r="I33" i="2"/>
  <c r="S7" i="6"/>
  <c r="O10" i="2"/>
  <c r="C33" i="2"/>
  <c r="O8" i="2"/>
  <c r="D33" i="2"/>
  <c r="G33" i="2"/>
  <c r="Q8" i="6"/>
  <c r="N11" i="2"/>
  <c r="AK3" i="6"/>
  <c r="F33" i="2"/>
  <c r="O9" i="2"/>
  <c r="O29" i="2"/>
  <c r="K21" i="6"/>
  <c r="B33" i="2"/>
  <c r="B7" i="6"/>
  <c r="O28" i="2"/>
  <c r="X3" i="6"/>
  <c r="P6" i="2"/>
  <c r="T7" i="6"/>
  <c r="R7" i="6"/>
  <c r="AB107" i="2"/>
  <c r="AI4" i="6"/>
  <c r="D87" i="16" l="1"/>
  <c r="C88" i="16"/>
  <c r="O26" i="2"/>
  <c r="C7" i="6"/>
  <c r="D7" i="6" s="1"/>
  <c r="I23" i="6"/>
  <c r="AA3" i="6"/>
  <c r="AD3" i="6"/>
  <c r="AG3" i="6" s="1"/>
  <c r="L17" i="6" s="1"/>
  <c r="AB7" i="6"/>
  <c r="P8" i="6"/>
  <c r="A8" i="6"/>
  <c r="AC7" i="6"/>
  <c r="AF7" i="6" s="1"/>
  <c r="G21" i="6" s="1"/>
  <c r="AJ6" i="2"/>
  <c r="P7" i="2" s="1"/>
  <c r="AL7" i="6"/>
  <c r="R43" i="6"/>
  <c r="J24" i="6" s="1"/>
  <c r="AD108" i="2"/>
  <c r="H2" i="6"/>
  <c r="V5" i="6"/>
  <c r="AG110" i="2"/>
  <c r="AE110" i="2"/>
  <c r="B34" i="2"/>
  <c r="P9" i="2"/>
  <c r="C34" i="2"/>
  <c r="AH8" i="6"/>
  <c r="R8" i="6"/>
  <c r="H34" i="2"/>
  <c r="G34" i="2"/>
  <c r="P10" i="2"/>
  <c r="P29" i="2"/>
  <c r="A35" i="2"/>
  <c r="Z4" i="6"/>
  <c r="O11" i="2"/>
  <c r="AI5" i="6"/>
  <c r="Y4" i="6"/>
  <c r="AJ8" i="6"/>
  <c r="I34" i="2"/>
  <c r="W4" i="6"/>
  <c r="F34" i="2"/>
  <c r="S8" i="6"/>
  <c r="X4" i="6"/>
  <c r="T8" i="6"/>
  <c r="K22" i="6"/>
  <c r="P28" i="2"/>
  <c r="E23" i="6"/>
  <c r="P27" i="2"/>
  <c r="B8" i="6"/>
  <c r="Q9" i="6"/>
  <c r="E34" i="2"/>
  <c r="AK4" i="6"/>
  <c r="Q6" i="2"/>
  <c r="D34" i="2"/>
  <c r="P8" i="2"/>
  <c r="AB108" i="2"/>
  <c r="D88" i="16" l="1"/>
  <c r="C89" i="16"/>
  <c r="C8" i="6"/>
  <c r="D8" i="6" s="1"/>
  <c r="P26" i="2"/>
  <c r="I24" i="6"/>
  <c r="AD4" i="6"/>
  <c r="AG4" i="6" s="1"/>
  <c r="L18" i="6" s="1"/>
  <c r="AC8" i="6"/>
  <c r="AF8" i="6" s="1"/>
  <c r="G22" i="6" s="1"/>
  <c r="AA4" i="6"/>
  <c r="AK6" i="2"/>
  <c r="Q7" i="2" s="1"/>
  <c r="AL8" i="6"/>
  <c r="P9" i="6"/>
  <c r="A9" i="6"/>
  <c r="AB8" i="6"/>
  <c r="AD109" i="2"/>
  <c r="I2" i="6"/>
  <c r="V6" i="6"/>
  <c r="R44" i="6"/>
  <c r="J25" i="6" s="1"/>
  <c r="AG111" i="2"/>
  <c r="AE111" i="2"/>
  <c r="W5" i="6"/>
  <c r="G35" i="2"/>
  <c r="Q8" i="2"/>
  <c r="A36" i="2"/>
  <c r="AK5" i="6"/>
  <c r="Q10" i="2"/>
  <c r="E24" i="6"/>
  <c r="Q10" i="6"/>
  <c r="I35" i="2"/>
  <c r="Q28" i="2"/>
  <c r="D35" i="2"/>
  <c r="Z5" i="6"/>
  <c r="R9" i="6"/>
  <c r="Q9" i="2"/>
  <c r="P11" i="2"/>
  <c r="Q29" i="2"/>
  <c r="T9" i="6"/>
  <c r="X5" i="6"/>
  <c r="B9" i="6"/>
  <c r="E35" i="2"/>
  <c r="AH9" i="6"/>
  <c r="Y5" i="6"/>
  <c r="Q27" i="2"/>
  <c r="C35" i="2"/>
  <c r="S9" i="6"/>
  <c r="B35" i="2"/>
  <c r="F35" i="2"/>
  <c r="AJ9" i="6"/>
  <c r="H35" i="2"/>
  <c r="K23" i="6"/>
  <c r="AI6" i="6"/>
  <c r="R6" i="2"/>
  <c r="AB109" i="2"/>
  <c r="D89" i="16" l="1"/>
  <c r="C90" i="16"/>
  <c r="C9" i="6"/>
  <c r="D9" i="6" s="1"/>
  <c r="Q26" i="2"/>
  <c r="I25" i="6"/>
  <c r="AA5" i="6"/>
  <c r="AL6" i="2"/>
  <c r="R7" i="2" s="1"/>
  <c r="AD5" i="6"/>
  <c r="AG5" i="6" s="1"/>
  <c r="L19" i="6" s="1"/>
  <c r="AL9" i="6"/>
  <c r="A10" i="6"/>
  <c r="P10" i="6"/>
  <c r="AB9" i="6"/>
  <c r="AC9" i="6"/>
  <c r="AF9" i="6" s="1"/>
  <c r="G23" i="6" s="1"/>
  <c r="R45" i="6"/>
  <c r="J26" i="6" s="1"/>
  <c r="J2" i="6"/>
  <c r="AD110" i="2"/>
  <c r="V7" i="6"/>
  <c r="AG112" i="2"/>
  <c r="AE112" i="2"/>
  <c r="R27" i="2"/>
  <c r="AI7" i="6"/>
  <c r="C36" i="2"/>
  <c r="Q11" i="2"/>
  <c r="W6" i="6"/>
  <c r="X6" i="6"/>
  <c r="AH10" i="6"/>
  <c r="D36" i="2"/>
  <c r="AK6" i="6"/>
  <c r="AJ10" i="6"/>
  <c r="E25" i="6"/>
  <c r="B10" i="6"/>
  <c r="Y6" i="6"/>
  <c r="S6" i="2"/>
  <c r="H36" i="2"/>
  <c r="A37" i="2"/>
  <c r="E36" i="2"/>
  <c r="I36" i="2"/>
  <c r="S10" i="6"/>
  <c r="Z6" i="6"/>
  <c r="R10" i="2"/>
  <c r="T10" i="6"/>
  <c r="R28" i="2"/>
  <c r="R29" i="2"/>
  <c r="R9" i="2"/>
  <c r="B36" i="2"/>
  <c r="Q11" i="6"/>
  <c r="F36" i="2"/>
  <c r="G36" i="2"/>
  <c r="AB110" i="2"/>
  <c r="R10" i="6"/>
  <c r="R8" i="2"/>
  <c r="K24" i="6"/>
  <c r="D90" i="16" l="1"/>
  <c r="C91" i="16"/>
  <c r="C10" i="6"/>
  <c r="D10" i="6" s="1"/>
  <c r="R26" i="2"/>
  <c r="I26" i="6"/>
  <c r="AM6" i="2"/>
  <c r="S7" i="2" s="1"/>
  <c r="AD6" i="6"/>
  <c r="AG6" i="6" s="1"/>
  <c r="L20" i="6" s="1"/>
  <c r="AL10" i="6"/>
  <c r="AC10" i="6"/>
  <c r="AF10" i="6" s="1"/>
  <c r="G24" i="6" s="1"/>
  <c r="AB10" i="6"/>
  <c r="AA6" i="6"/>
  <c r="A11" i="6"/>
  <c r="P11" i="6"/>
  <c r="K2" i="6"/>
  <c r="AD111" i="2"/>
  <c r="V8" i="6"/>
  <c r="R46" i="6"/>
  <c r="J27" i="6" s="1"/>
  <c r="T6" i="2"/>
  <c r="S29" i="2"/>
  <c r="S11" i="6"/>
  <c r="R11" i="6"/>
  <c r="B37" i="2"/>
  <c r="X7" i="6"/>
  <c r="E26" i="6"/>
  <c r="AB111" i="2"/>
  <c r="AJ11" i="6"/>
  <c r="F37" i="2"/>
  <c r="A38" i="2"/>
  <c r="S10" i="2"/>
  <c r="Y7" i="6"/>
  <c r="S28" i="2"/>
  <c r="Z7" i="6"/>
  <c r="S8" i="2"/>
  <c r="I37" i="2"/>
  <c r="D37" i="2"/>
  <c r="AI8" i="6"/>
  <c r="C37" i="2"/>
  <c r="S9" i="2"/>
  <c r="R11" i="2"/>
  <c r="T11" i="6"/>
  <c r="AK7" i="6"/>
  <c r="W7" i="6"/>
  <c r="G37" i="2"/>
  <c r="S27" i="2"/>
  <c r="Q12" i="6"/>
  <c r="E37" i="2"/>
  <c r="AH11" i="6"/>
  <c r="H37" i="2"/>
  <c r="K25" i="6"/>
  <c r="B11" i="6"/>
  <c r="D91" i="16" l="1"/>
  <c r="C92" i="16"/>
  <c r="S26" i="2"/>
  <c r="C11" i="6"/>
  <c r="D11" i="6" s="1"/>
  <c r="I27" i="6"/>
  <c r="P12" i="6"/>
  <c r="A12" i="6"/>
  <c r="AN6" i="2"/>
  <c r="T7" i="2" s="1"/>
  <c r="AL11" i="6"/>
  <c r="AA7" i="6"/>
  <c r="AB11" i="6"/>
  <c r="AC11" i="6"/>
  <c r="AF11" i="6" s="1"/>
  <c r="G25" i="6" s="1"/>
  <c r="AD7" i="6"/>
  <c r="AG7" i="6" s="1"/>
  <c r="L21" i="6" s="1"/>
  <c r="L2" i="6"/>
  <c r="AD112" i="2"/>
  <c r="V9" i="6"/>
  <c r="S11" i="2"/>
  <c r="K26" i="6"/>
  <c r="E27" i="6"/>
  <c r="T9" i="2"/>
  <c r="Q13" i="6"/>
  <c r="S12" i="6"/>
  <c r="B38" i="2"/>
  <c r="C38" i="2"/>
  <c r="X8" i="6"/>
  <c r="T28" i="2"/>
  <c r="D38" i="2"/>
  <c r="E38" i="2"/>
  <c r="H38" i="2"/>
  <c r="AJ12" i="6"/>
  <c r="T29" i="2"/>
  <c r="T8" i="2"/>
  <c r="Z8" i="6"/>
  <c r="U6" i="2"/>
  <c r="I38" i="2"/>
  <c r="A39" i="2"/>
  <c r="W8" i="6"/>
  <c r="F38" i="2"/>
  <c r="AH12" i="6"/>
  <c r="B12" i="6"/>
  <c r="T12" i="6"/>
  <c r="T27" i="2"/>
  <c r="Y8" i="6"/>
  <c r="AK8" i="6"/>
  <c r="T10" i="2"/>
  <c r="R12" i="6"/>
  <c r="G38" i="2"/>
  <c r="AB112" i="2"/>
  <c r="AI9" i="6"/>
  <c r="D92" i="16" l="1"/>
  <c r="C93" i="16"/>
  <c r="C12" i="6"/>
  <c r="D12" i="6" s="1"/>
  <c r="T26" i="2"/>
  <c r="A13" i="6"/>
  <c r="P13" i="6"/>
  <c r="AL12" i="6"/>
  <c r="AA8" i="6"/>
  <c r="AD8" i="6"/>
  <c r="AG8" i="6" s="1"/>
  <c r="L22" i="6" s="1"/>
  <c r="AC12" i="6"/>
  <c r="AF12" i="6" s="1"/>
  <c r="G26" i="6" s="1"/>
  <c r="AB12" i="6"/>
  <c r="AO6" i="2"/>
  <c r="U7" i="2" s="1"/>
  <c r="M2" i="6"/>
  <c r="V10" i="6"/>
  <c r="U29" i="2"/>
  <c r="AJ13" i="6"/>
  <c r="G39" i="2"/>
  <c r="K27" i="6"/>
  <c r="S13" i="6"/>
  <c r="U8" i="2"/>
  <c r="B39" i="2"/>
  <c r="AH13" i="6"/>
  <c r="T11" i="2"/>
  <c r="I39" i="2"/>
  <c r="W9" i="6"/>
  <c r="B13" i="6"/>
  <c r="Z9" i="6"/>
  <c r="X9" i="6"/>
  <c r="F39" i="2"/>
  <c r="Y9" i="6"/>
  <c r="U28" i="2"/>
  <c r="T13" i="6"/>
  <c r="AI10" i="6"/>
  <c r="U9" i="2"/>
  <c r="U10" i="2"/>
  <c r="H39" i="2"/>
  <c r="AK9" i="6"/>
  <c r="V6" i="2"/>
  <c r="A40" i="2"/>
  <c r="U27" i="2"/>
  <c r="C39" i="2"/>
  <c r="E39" i="2"/>
  <c r="R13" i="6"/>
  <c r="D39" i="2"/>
  <c r="D93" i="16" l="1"/>
  <c r="C94" i="16"/>
  <c r="C13" i="6"/>
  <c r="AL13" i="6"/>
  <c r="AP6" i="2"/>
  <c r="V7" i="2" s="1"/>
  <c r="AB13" i="6"/>
  <c r="AC13" i="6"/>
  <c r="AF13" i="6" s="1"/>
  <c r="G27" i="6" s="1"/>
  <c r="U26" i="2"/>
  <c r="AA9" i="6"/>
  <c r="AD9" i="6"/>
  <c r="AG9" i="6" s="1"/>
  <c r="L23" i="6" s="1"/>
  <c r="N2" i="6"/>
  <c r="V11" i="6"/>
  <c r="F40" i="2"/>
  <c r="W10" i="6"/>
  <c r="U11" i="2"/>
  <c r="AK10" i="6"/>
  <c r="C40" i="2"/>
  <c r="AI11" i="6"/>
  <c r="I40" i="2"/>
  <c r="Z10" i="6"/>
  <c r="V9" i="2"/>
  <c r="G40" i="2"/>
  <c r="B40" i="2"/>
  <c r="V29" i="2"/>
  <c r="E40" i="2"/>
  <c r="V10" i="2"/>
  <c r="D40" i="2"/>
  <c r="Y10" i="6"/>
  <c r="H40" i="2"/>
  <c r="V27" i="2"/>
  <c r="X10" i="6"/>
  <c r="V28" i="2"/>
  <c r="V8" i="2"/>
  <c r="D94" i="16" l="1"/>
  <c r="C95" i="16"/>
  <c r="V26" i="2"/>
  <c r="D13" i="6"/>
  <c r="O2" i="6"/>
  <c r="AD10" i="6"/>
  <c r="AG10" i="6" s="1"/>
  <c r="L24" i="6" s="1"/>
  <c r="AA10" i="6"/>
  <c r="V12" i="6"/>
  <c r="W11" i="6"/>
  <c r="Z11" i="6"/>
  <c r="Y11" i="6"/>
  <c r="X11" i="6"/>
  <c r="V11" i="2"/>
  <c r="AK11" i="6"/>
  <c r="AI12" i="6"/>
  <c r="D95" i="16" l="1"/>
  <c r="C96" i="16"/>
  <c r="V13" i="6"/>
  <c r="AA11" i="6"/>
  <c r="AD11" i="6"/>
  <c r="AG11" i="6" s="1"/>
  <c r="L25" i="6" s="1"/>
  <c r="Z12" i="6"/>
  <c r="AK12" i="6"/>
  <c r="X12" i="6"/>
  <c r="W12" i="6"/>
  <c r="Y12" i="6"/>
  <c r="W11" i="2"/>
  <c r="D96" i="16" l="1"/>
  <c r="C97" i="16"/>
  <c r="AD12" i="6"/>
  <c r="AG12" i="6" s="1"/>
  <c r="L26" i="6" s="1"/>
  <c r="AA12" i="6"/>
  <c r="W13" i="6"/>
  <c r="Z13" i="6"/>
  <c r="AI13" i="6"/>
  <c r="Y13" i="6"/>
  <c r="X13" i="6"/>
  <c r="AK13" i="6"/>
  <c r="D97" i="16" l="1"/>
  <c r="C98" i="16"/>
  <c r="AD13" i="6"/>
  <c r="AG13" i="6" s="1"/>
  <c r="L27" i="6" s="1"/>
  <c r="AA13" i="6"/>
  <c r="D98" i="16" l="1"/>
  <c r="C99" i="16"/>
  <c r="D99" i="16" l="1"/>
  <c r="C100" i="16"/>
  <c r="D100" i="16" l="1"/>
  <c r="C101" i="16"/>
  <c r="D101" i="16" l="1"/>
  <c r="C102" i="16"/>
  <c r="D102" i="16" l="1"/>
  <c r="C103" i="16"/>
  <c r="D103" i="16" l="1"/>
  <c r="C104" i="16"/>
  <c r="D104" i="16" l="1"/>
  <c r="C105" i="16"/>
  <c r="D105" i="16" l="1"/>
  <c r="C106" i="16"/>
  <c r="D106" i="16" l="1"/>
  <c r="C107" i="16"/>
  <c r="D107" i="16" l="1"/>
  <c r="C108" i="16"/>
  <c r="D108" i="16" l="1"/>
  <c r="C109" i="16"/>
  <c r="D109" i="16" l="1"/>
  <c r="C110" i="16"/>
  <c r="D110" i="16" l="1"/>
  <c r="C111" i="16"/>
  <c r="D111" i="16" l="1"/>
  <c r="C112" i="16"/>
  <c r="D112" i="16" l="1"/>
  <c r="C113" i="16"/>
  <c r="D113" i="16" l="1"/>
  <c r="C114" i="16"/>
  <c r="D114" i="16" l="1"/>
  <c r="C115" i="16"/>
  <c r="D115" i="16" l="1"/>
  <c r="C116" i="16"/>
  <c r="D116" i="16" l="1"/>
  <c r="C117" i="16"/>
  <c r="D117" i="16" l="1"/>
  <c r="C118" i="16"/>
  <c r="D118" i="16" l="1"/>
  <c r="C119" i="16"/>
  <c r="D119" i="16" l="1"/>
  <c r="C120" i="16"/>
  <c r="D120" i="16" l="1"/>
  <c r="C121" i="16"/>
  <c r="D121" i="16" l="1"/>
  <c r="C122" i="16"/>
  <c r="D122" i="16" l="1"/>
  <c r="C123" i="16"/>
  <c r="D123" i="16" l="1"/>
  <c r="C124" i="16"/>
  <c r="D124" i="16" l="1"/>
  <c r="C125" i="16"/>
  <c r="D125" i="16" l="1"/>
  <c r="C126" i="16"/>
  <c r="D126" i="16" l="1"/>
  <c r="C127" i="16"/>
  <c r="D127" i="16" l="1"/>
  <c r="C128" i="16"/>
  <c r="D128" i="16" l="1"/>
  <c r="C129" i="16"/>
  <c r="D129" i="16" l="1"/>
  <c r="C130" i="16"/>
  <c r="D130" i="16" l="1"/>
  <c r="C131" i="16"/>
  <c r="D131" i="16" l="1"/>
  <c r="C132" i="16"/>
  <c r="D132" i="16" l="1"/>
  <c r="C133" i="16"/>
  <c r="D133" i="16" l="1"/>
  <c r="C134" i="16"/>
  <c r="D134" i="16" l="1"/>
  <c r="C135" i="16"/>
  <c r="D135" i="16" l="1"/>
  <c r="C136" i="16"/>
  <c r="D136" i="16" l="1"/>
  <c r="C137" i="16"/>
  <c r="D137" i="16" l="1"/>
  <c r="C138" i="16"/>
  <c r="D138" i="16" l="1"/>
  <c r="C139" i="16"/>
  <c r="D139" i="16" l="1"/>
  <c r="C140" i="16"/>
  <c r="D140" i="16" l="1"/>
  <c r="C141" i="16"/>
  <c r="D141" i="16" l="1"/>
  <c r="C142" i="16"/>
  <c r="D142" i="16" l="1"/>
  <c r="C143" i="16"/>
  <c r="D143" i="16" l="1"/>
  <c r="C144" i="16"/>
  <c r="D144" i="16" l="1"/>
  <c r="C145" i="16"/>
  <c r="D145" i="16" l="1"/>
  <c r="C146" i="16"/>
  <c r="D146" i="16" l="1"/>
  <c r="C147" i="16"/>
  <c r="D147" i="16" l="1"/>
  <c r="C148" i="16"/>
  <c r="D148" i="16" l="1"/>
  <c r="C149" i="16"/>
  <c r="D149" i="16" l="1"/>
  <c r="C150" i="16"/>
  <c r="D150" i="16" l="1"/>
  <c r="C151" i="16"/>
  <c r="D151" i="16" l="1"/>
  <c r="C152" i="16"/>
  <c r="D152" i="16" l="1"/>
  <c r="C153" i="16"/>
  <c r="D153" i="16" l="1"/>
  <c r="C154" i="16"/>
  <c r="D154" i="16" s="1"/>
</calcChain>
</file>

<file path=xl/sharedStrings.xml><?xml version="1.0" encoding="utf-8"?>
<sst xmlns="http://schemas.openxmlformats.org/spreadsheetml/2006/main" count="565" uniqueCount="243">
  <si>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</si>
  <si>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</si>
  <si>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</si>
  <si>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</si>
  <si>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</si>
  <si>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</si>
  <si>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</si>
  <si>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</si>
  <si>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Last</t>
  </si>
  <si>
    <t>Open</t>
  </si>
  <si>
    <t>High</t>
  </si>
  <si>
    <t>Low</t>
  </si>
  <si>
    <t>Net</t>
  </si>
  <si>
    <t>Volume</t>
  </si>
  <si>
    <t>Last Trade</t>
  </si>
  <si>
    <t>One Month Calendar Spreads</t>
  </si>
  <si>
    <t>Symbols</t>
  </si>
  <si>
    <t xml:space="preserve">  Copyright © 2017</t>
  </si>
  <si>
    <t>Three Month Calendar Spreads</t>
  </si>
  <si>
    <t>Designed by Thom Hartle</t>
  </si>
  <si>
    <t>Month</t>
  </si>
  <si>
    <t>Day</t>
  </si>
  <si>
    <t>Year</t>
  </si>
  <si>
    <t xml:space="preserve">Chart Type: </t>
  </si>
  <si>
    <t>T</t>
  </si>
  <si>
    <t>DC</t>
  </si>
  <si>
    <t>All</t>
  </si>
  <si>
    <t>Two Month Calendar Spreads</t>
  </si>
  <si>
    <t>Four Month Calendar Spreads</t>
  </si>
  <si>
    <t>5 Month Calendar Spreads</t>
  </si>
  <si>
    <t>NGE</t>
  </si>
  <si>
    <t>SPREAD(NGES1?1-NGES1?2)</t>
  </si>
  <si>
    <t>SPREAD(NGES1?2-NGES1?3)</t>
  </si>
  <si>
    <t>SPREAD(NGES1?3-NGES1?4)</t>
  </si>
  <si>
    <t>SPREAD(NGES1?4-NGES1?5)</t>
  </si>
  <si>
    <t>SPREAD(NGES1?5-NGES1?6)</t>
  </si>
  <si>
    <t>SPREAD(NGES1?6-NGES1?7)</t>
  </si>
  <si>
    <t>SPREAD(NGES1?7-NGES1?8)</t>
  </si>
  <si>
    <t>SPREAD(NGES1?8-NGES1?9)</t>
  </si>
  <si>
    <t>SPREAD(NGES1?9-NGES1?10)</t>
  </si>
  <si>
    <t>SPREAD(NGES1?10-NGES1?11)</t>
  </si>
  <si>
    <t>6 Month Calendar Spreads</t>
  </si>
  <si>
    <t>CQG Inc.,   Copyright © 2017</t>
  </si>
  <si>
    <t xml:space="preserve">   Copyright © 2017 CQG Inc.</t>
  </si>
  <si>
    <t>NGE?147</t>
  </si>
  <si>
    <t>NGE?146</t>
  </si>
  <si>
    <t>NGE?145</t>
  </si>
  <si>
    <t>NGE?144</t>
  </si>
  <si>
    <t>NGE?143</t>
  </si>
  <si>
    <t>NGE?142</t>
  </si>
  <si>
    <t>NGE?141</t>
  </si>
  <si>
    <t>NGE?140</t>
  </si>
  <si>
    <t>NGE?139</t>
  </si>
  <si>
    <t>NGE?138</t>
  </si>
  <si>
    <t>NGE?137</t>
  </si>
  <si>
    <t>NGE?136</t>
  </si>
  <si>
    <t>NGE?135</t>
  </si>
  <si>
    <t>NGE?134</t>
  </si>
  <si>
    <t>NGE?133</t>
  </si>
  <si>
    <t>NGE?132</t>
  </si>
  <si>
    <t>NGE?131</t>
  </si>
  <si>
    <t>NGE?130</t>
  </si>
  <si>
    <t>NGE?129</t>
  </si>
  <si>
    <t>NGE?128</t>
  </si>
  <si>
    <t>NGE?127</t>
  </si>
  <si>
    <t>NGE?126</t>
  </si>
  <si>
    <t>NGE?125</t>
  </si>
  <si>
    <t>NGE?124</t>
  </si>
  <si>
    <t>NGE?123</t>
  </si>
  <si>
    <t>NGE?122</t>
  </si>
  <si>
    <t>NGE?121</t>
  </si>
  <si>
    <t>NGE?120</t>
  </si>
  <si>
    <t>NGE?119</t>
  </si>
  <si>
    <t>NGE?118</t>
  </si>
  <si>
    <t>NGE?117</t>
  </si>
  <si>
    <t>NGE?116</t>
  </si>
  <si>
    <t>NGE?115</t>
  </si>
  <si>
    <t>NGE?114</t>
  </si>
  <si>
    <t>NGE?113</t>
  </si>
  <si>
    <t>NGE?112</t>
  </si>
  <si>
    <t>NGE?111</t>
  </si>
  <si>
    <t>NGE?110</t>
  </si>
  <si>
    <t>NGE?109</t>
  </si>
  <si>
    <t>NGE?108</t>
  </si>
  <si>
    <t>NGE?107</t>
  </si>
  <si>
    <t>NGE?106</t>
  </si>
  <si>
    <t>NGE?105</t>
  </si>
  <si>
    <t>NGE?104</t>
  </si>
  <si>
    <t>NGE?103</t>
  </si>
  <si>
    <t>NGE?102</t>
  </si>
  <si>
    <t>NGE?101</t>
  </si>
  <si>
    <t>NGE?100</t>
  </si>
  <si>
    <t>NGE?99</t>
  </si>
  <si>
    <t>NGE?98</t>
  </si>
  <si>
    <t>NGE?97</t>
  </si>
  <si>
    <t>NGE?96</t>
  </si>
  <si>
    <t>NGE?95</t>
  </si>
  <si>
    <t>NGE?94</t>
  </si>
  <si>
    <t>NGE?93</t>
  </si>
  <si>
    <t>NGE?92</t>
  </si>
  <si>
    <t>NGE?91</t>
  </si>
  <si>
    <t>NGE?90</t>
  </si>
  <si>
    <t>NGE?89</t>
  </si>
  <si>
    <t>NGE?88</t>
  </si>
  <si>
    <t>NGE?87</t>
  </si>
  <si>
    <t>NGE?86</t>
  </si>
  <si>
    <t>NGE?85</t>
  </si>
  <si>
    <t>NGE?84</t>
  </si>
  <si>
    <t>NGE?83</t>
  </si>
  <si>
    <t>NGE?82</t>
  </si>
  <si>
    <t>NGE?81</t>
  </si>
  <si>
    <t>NGE?80</t>
  </si>
  <si>
    <t>NGE?79</t>
  </si>
  <si>
    <t>NGE?78</t>
  </si>
  <si>
    <t>NGE?77</t>
  </si>
  <si>
    <t>NGE?76</t>
  </si>
  <si>
    <t>NGE?75</t>
  </si>
  <si>
    <t>NGE?74</t>
  </si>
  <si>
    <t>NGE?73</t>
  </si>
  <si>
    <t>NGE?72</t>
  </si>
  <si>
    <t>NGE?71</t>
  </si>
  <si>
    <t>NGE?70</t>
  </si>
  <si>
    <t>NGE?69</t>
  </si>
  <si>
    <t>NGE?68</t>
  </si>
  <si>
    <t>NGE?67</t>
  </si>
  <si>
    <t>NGE?66</t>
  </si>
  <si>
    <t>NGE?65</t>
  </si>
  <si>
    <t>NGE?64</t>
  </si>
  <si>
    <t>NGE?63</t>
  </si>
  <si>
    <t>NGE?62</t>
  </si>
  <si>
    <t>NGE?61</t>
  </si>
  <si>
    <t>NGE?60</t>
  </si>
  <si>
    <t>NGE?59</t>
  </si>
  <si>
    <t>NGE?58</t>
  </si>
  <si>
    <t>NGE?57</t>
  </si>
  <si>
    <t>NGE?56</t>
  </si>
  <si>
    <t>NGE?55</t>
  </si>
  <si>
    <t>NGE?54</t>
  </si>
  <si>
    <t>NGE?53</t>
  </si>
  <si>
    <t>NGE?52</t>
  </si>
  <si>
    <t>NGE?51</t>
  </si>
  <si>
    <t>NGE?50</t>
  </si>
  <si>
    <t>NGE?49</t>
  </si>
  <si>
    <t>NGE?48</t>
  </si>
  <si>
    <t>NGE?47</t>
  </si>
  <si>
    <t>NGE?46</t>
  </si>
  <si>
    <t>NGE?45</t>
  </si>
  <si>
    <t>NGE?44</t>
  </si>
  <si>
    <t>NGE?43</t>
  </si>
  <si>
    <t>NGE?42</t>
  </si>
  <si>
    <t>NGE?41</t>
  </si>
  <si>
    <t>NGE?40</t>
  </si>
  <si>
    <t>NGE?39</t>
  </si>
  <si>
    <t>NGE?38</t>
  </si>
  <si>
    <t>NGE?37</t>
  </si>
  <si>
    <t>NGE?36</t>
  </si>
  <si>
    <t>NGE?35</t>
  </si>
  <si>
    <t>NGE?34</t>
  </si>
  <si>
    <t>NGE?33</t>
  </si>
  <si>
    <t>NGE?32</t>
  </si>
  <si>
    <t>NGE?31</t>
  </si>
  <si>
    <t>NGE?30</t>
  </si>
  <si>
    <t>NGE?29</t>
  </si>
  <si>
    <t>NGE?28</t>
  </si>
  <si>
    <t>NGE?27</t>
  </si>
  <si>
    <t>NGE?26</t>
  </si>
  <si>
    <t>NGE?25</t>
  </si>
  <si>
    <t>NGE?24</t>
  </si>
  <si>
    <t>NGE?23</t>
  </si>
  <si>
    <t>NGE?22</t>
  </si>
  <si>
    <t>NGE?21</t>
  </si>
  <si>
    <t>NGE?20</t>
  </si>
  <si>
    <t>NGE?19</t>
  </si>
  <si>
    <t>NGE?18</t>
  </si>
  <si>
    <t>NGE?17</t>
  </si>
  <si>
    <t>NGE?16</t>
  </si>
  <si>
    <t>NGE?15</t>
  </si>
  <si>
    <t>NGE?14</t>
  </si>
  <si>
    <t>NGE?13</t>
  </si>
  <si>
    <t>NGE?12</t>
  </si>
  <si>
    <t>NGE?11</t>
  </si>
  <si>
    <t>NGE?10</t>
  </si>
  <si>
    <t>NGE?9</t>
  </si>
  <si>
    <t>NGE?8</t>
  </si>
  <si>
    <t>NGE?7</t>
  </si>
  <si>
    <t>NGE?6</t>
  </si>
  <si>
    <t>NGE?5</t>
  </si>
  <si>
    <t>NGE?4</t>
  </si>
  <si>
    <t>NGE?3</t>
  </si>
  <si>
    <t>NGE?2</t>
  </si>
  <si>
    <t>NGE?1</t>
  </si>
  <si>
    <t>Date</t>
  </si>
  <si>
    <t>Setlement</t>
  </si>
  <si>
    <t>OI</t>
  </si>
  <si>
    <t>Interest</t>
  </si>
  <si>
    <t>L Trade</t>
  </si>
  <si>
    <t>Trade</t>
  </si>
  <si>
    <t>Expiration</t>
  </si>
  <si>
    <t>Yesterday's</t>
  </si>
  <si>
    <t>Today's</t>
  </si>
  <si>
    <t>Difference</t>
  </si>
  <si>
    <t>Previous</t>
  </si>
  <si>
    <t>Time of</t>
  </si>
  <si>
    <t>Net Last</t>
  </si>
  <si>
    <t xml:space="preserve">Time to Globex Day Session Close: </t>
  </si>
  <si>
    <t>Daily Data</t>
  </si>
  <si>
    <t>Market Data</t>
  </si>
  <si>
    <t>Last Trade Data</t>
  </si>
  <si>
    <t>CQG Globex Henry Hub Natural Gas Futures</t>
  </si>
  <si>
    <t>Red Line</t>
  </si>
  <si>
    <t>D</t>
  </si>
  <si>
    <t>Today</t>
  </si>
  <si>
    <t>History</t>
  </si>
  <si>
    <t>V</t>
  </si>
  <si>
    <t>U</t>
  </si>
  <si>
    <t>Q</t>
  </si>
  <si>
    <t>N</t>
  </si>
  <si>
    <t>M</t>
  </si>
  <si>
    <t>K</t>
  </si>
  <si>
    <t>J</t>
  </si>
  <si>
    <t>H</t>
  </si>
  <si>
    <t>G</t>
  </si>
  <si>
    <t>F</t>
  </si>
  <si>
    <t>Z</t>
  </si>
  <si>
    <t>X</t>
  </si>
  <si>
    <t>NGEJ25</t>
  </si>
  <si>
    <t>NGEJ24</t>
  </si>
  <si>
    <t>NGEJ23</t>
  </si>
  <si>
    <t>NGEJ22</t>
  </si>
  <si>
    <t>NGEJ21</t>
  </si>
  <si>
    <t>NGEJ20</t>
  </si>
  <si>
    <t>NGEJ19</t>
  </si>
  <si>
    <t>NGEJ18</t>
  </si>
  <si>
    <t>NGEJ17</t>
  </si>
  <si>
    <t>NGEX24</t>
  </si>
  <si>
    <t>NGEX23</t>
  </si>
  <si>
    <t>NGEX22</t>
  </si>
  <si>
    <t>NGEX21</t>
  </si>
  <si>
    <t>NGEX20</t>
  </si>
  <si>
    <t>NGEX19</t>
  </si>
  <si>
    <t>NGEX18</t>
  </si>
  <si>
    <t>NGEX17</t>
  </si>
  <si>
    <t>NGEX16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</si>
</sst>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0.000"/>
    <numFmt numFmtId="166" formatCode="0.0000"/>
    <numFmt numFmtId="167" formatCode="0.00000000000000000000"/>
  </numFmts>
  <fonts count="42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16"/>
      <color theme="0"/>
      <name val="Century Gothic"/>
      <family val="2"/>
    </font>
    <font>
      <b/>
      <sz val="9.5"/>
      <color theme="1"/>
      <name val="Cambria"/>
      <family val="1"/>
    </font>
    <font>
      <sz val="11"/>
      <color theme="0"/>
      <name val="Arial"/>
      <family val="2"/>
    </font>
    <font>
      <sz val="22"/>
      <color theme="0"/>
      <name val="Century Gothic"/>
      <family val="2"/>
    </font>
    <font>
      <sz val="11"/>
      <color rgb="FF00000F"/>
      <name val="Century Gothic"/>
      <family val="2"/>
    </font>
    <font>
      <sz val="11"/>
      <color theme="4"/>
      <name val="Century Gothic"/>
      <family val="2"/>
    </font>
    <font>
      <sz val="11"/>
      <color rgb="FF002060"/>
      <name val="Century Gothic"/>
      <family val="2"/>
    </font>
    <font>
      <sz val="24"/>
      <color theme="4"/>
      <name val="Century Gothic"/>
      <family val="2"/>
    </font>
    <font>
      <sz val="11"/>
      <color theme="0"/>
      <name val="Calibri Light"/>
      <family val="2"/>
    </font>
    <font>
      <sz val="14"/>
      <color theme="1"/>
      <name val="Calibri Light"/>
      <family val="2"/>
    </font>
    <font>
      <sz val="14"/>
      <color theme="0"/>
      <name val="Calibri Light"/>
      <family val="2"/>
    </font>
    <font>
      <b/>
      <sz val="14"/>
      <color theme="0"/>
      <name val="Calibri Light"/>
      <family val="2"/>
    </font>
    <font>
      <sz val="13"/>
      <color theme="0"/>
      <name val="Century Gothic"/>
      <family val="2"/>
    </font>
    <font>
      <b/>
      <sz val="14"/>
      <color theme="1"/>
      <name val="Calibri Light"/>
      <family val="2"/>
    </font>
    <font>
      <b/>
      <sz val="24"/>
      <color theme="1"/>
      <name val="Century Gothic"/>
      <family val="2"/>
    </font>
    <font>
      <sz val="24"/>
      <color theme="0"/>
      <name val="Century Gothic"/>
      <family val="2"/>
    </font>
    <font>
      <sz val="11"/>
      <color rgb="FF00000F"/>
      <name val="Cambria"/>
      <family val="1"/>
    </font>
    <font>
      <sz val="14"/>
      <color rgb="FF00000F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rgb="FF00000F"/>
        <bgColor indexed="64"/>
      </pattern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theme="4"/>
        </stop>
        <stop position="1">
          <color rgb="FF00000F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rgb="FF00000F"/>
        <bgColor auto="1"/>
      </pattern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</fills>
  <borders count="100">
    <border>
      <left/>
      <right/>
      <top/>
      <bottom/>
      <diagonal/>
    </border>
    <border>
      <left style="medium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theme="4"/>
      </right>
      <top/>
      <bottom/>
      <diagonal/>
    </border>
    <border>
      <left/>
      <right/>
      <top style="thin">
        <color rgb="FF002060"/>
      </top>
      <bottom/>
      <diagonal/>
    </border>
    <border>
      <left/>
      <right style="medium">
        <color theme="3"/>
      </right>
      <top style="thin">
        <color rgb="FF002060"/>
      </top>
      <bottom/>
      <diagonal/>
    </border>
    <border>
      <left style="medium">
        <color theme="3"/>
      </left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medium">
        <color theme="3"/>
      </left>
      <right/>
      <top/>
      <bottom style="thin">
        <color rgb="FF002060"/>
      </bottom>
      <diagonal/>
    </border>
    <border>
      <left style="thin">
        <color rgb="FFC00000"/>
      </left>
      <right/>
      <top style="thin">
        <color rgb="FF002060"/>
      </top>
      <bottom/>
      <diagonal/>
    </border>
    <border>
      <left style="thin">
        <color rgb="FFC00000"/>
      </left>
      <right/>
      <top/>
      <bottom style="thin">
        <color theme="3"/>
      </bottom>
      <diagonal/>
    </border>
    <border>
      <left style="thin">
        <color rgb="FFC00000"/>
      </left>
      <right/>
      <top style="thin">
        <color theme="3"/>
      </top>
      <bottom/>
      <diagonal/>
    </border>
    <border>
      <left style="thin">
        <color rgb="FFC00000"/>
      </left>
      <right/>
      <top/>
      <bottom style="thin">
        <color rgb="FF002060"/>
      </bottom>
      <diagonal/>
    </border>
    <border>
      <left/>
      <right style="thin">
        <color rgb="FFC00000"/>
      </right>
      <top/>
      <bottom style="thin">
        <color rgb="FFFF0000"/>
      </bottom>
      <diagonal/>
    </border>
    <border>
      <left style="thin">
        <color theme="3"/>
      </left>
      <right/>
      <top/>
      <bottom style="thin">
        <color rgb="FFFF0000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4"/>
      </bottom>
      <diagonal/>
    </border>
    <border>
      <left style="thin">
        <color rgb="FF002060"/>
      </left>
      <right style="thin">
        <color rgb="FF002060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rgb="FF002060"/>
      </right>
      <top/>
      <bottom style="thin">
        <color theme="4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theme="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/>
      <diagonal/>
    </border>
    <border>
      <left style="thin">
        <color rgb="FF002060"/>
      </left>
      <right style="thin">
        <color theme="4"/>
      </right>
      <top/>
      <bottom style="thin">
        <color theme="4"/>
      </bottom>
      <diagonal/>
    </border>
    <border>
      <left/>
      <right style="thin">
        <color rgb="FF002060"/>
      </right>
      <top/>
      <bottom style="thin">
        <color theme="4"/>
      </bottom>
      <diagonal/>
    </border>
    <border>
      <left style="thin">
        <color rgb="FF002060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rgb="FF002060"/>
      </right>
      <top style="thin">
        <color theme="4"/>
      </top>
      <bottom/>
      <diagonal/>
    </border>
    <border>
      <left/>
      <right style="thin">
        <color rgb="FF002060"/>
      </right>
      <top style="thin">
        <color theme="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FF0000"/>
      </right>
      <top style="thin">
        <color rgb="FF002060"/>
      </top>
      <bottom style="thin">
        <color rgb="FFFF0000"/>
      </bottom>
      <diagonal/>
    </border>
    <border>
      <left/>
      <right/>
      <top style="thin">
        <color rgb="FF002060"/>
      </top>
      <bottom style="thin">
        <color rgb="FFFF0000"/>
      </bottom>
      <diagonal/>
    </border>
    <border>
      <left style="thin">
        <color rgb="FFFF0000"/>
      </left>
      <right/>
      <top style="thin">
        <color rgb="FF002060"/>
      </top>
      <bottom style="thin">
        <color rgb="FFFF0000"/>
      </bottom>
      <diagonal/>
    </border>
    <border>
      <left/>
      <right style="thin">
        <color rgb="FF002060"/>
      </right>
      <top/>
      <bottom/>
      <diagonal/>
    </border>
    <border>
      <left style="thin">
        <color theme="3"/>
      </left>
      <right style="thin">
        <color rgb="FF002060"/>
      </right>
      <top style="thin">
        <color theme="3"/>
      </top>
      <bottom/>
      <diagonal/>
    </border>
    <border>
      <left style="thin">
        <color theme="3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002060"/>
      </left>
      <right/>
      <top/>
      <bottom/>
      <diagonal/>
    </border>
  </borders>
  <cellStyleXfs count="5">
    <xf numFmtId="0" fontId="0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399">
    <xf numFmtId="0" fontId="0" fillId="0" borderId="0" xfId="0"/>
    <xf numFmtId="0" fontId="16" fillId="12" borderId="42" xfId="0" applyFont="1" applyFill="1" applyBorder="1" applyAlignment="1" applyProtection="1">
      <alignment horizontal="center" vertical="center" shrinkToFit="1"/>
    </xf>
    <xf numFmtId="0" fontId="16" fillId="12" borderId="42" xfId="0" applyFont="1" applyFill="1" applyBorder="1" applyAlignment="1" applyProtection="1">
      <alignment vertical="center" shrinkToFit="1"/>
    </xf>
    <xf numFmtId="0" fontId="16" fillId="12" borderId="42" xfId="0" applyFont="1" applyFill="1" applyBorder="1" applyAlignment="1" applyProtection="1">
      <alignment horizontal="right" vertical="center" shrinkToFit="1"/>
    </xf>
    <xf numFmtId="0" fontId="8" fillId="3" borderId="34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43" xfId="0" applyFont="1" applyFill="1" applyBorder="1" applyAlignment="1" applyProtection="1">
      <alignment horizontal="center" vertical="center" shrinkToFit="1"/>
    </xf>
    <xf numFmtId="0" fontId="16" fillId="12" borderId="42" xfId="0" applyFont="1" applyFill="1" applyBorder="1" applyAlignment="1" applyProtection="1">
      <alignment horizontal="center" vertical="center" shrinkToFit="1"/>
      <protection locked="0"/>
    </xf>
    <xf numFmtId="0" fontId="25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shrinkToFit="1"/>
    </xf>
    <xf numFmtId="0" fontId="7" fillId="2" borderId="0" xfId="0" applyFont="1" applyFill="1" applyProtection="1"/>
    <xf numFmtId="2" fontId="9" fillId="2" borderId="0" xfId="0" applyNumberFormat="1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 vertical="center"/>
    </xf>
    <xf numFmtId="0" fontId="18" fillId="4" borderId="22" xfId="0" applyFont="1" applyFill="1" applyBorder="1" applyAlignment="1" applyProtection="1">
      <alignment horizontal="center"/>
    </xf>
    <xf numFmtId="0" fontId="18" fillId="4" borderId="23" xfId="0" applyFont="1" applyFill="1" applyBorder="1" applyAlignment="1" applyProtection="1">
      <alignment horizontal="center"/>
    </xf>
    <xf numFmtId="0" fontId="18" fillId="4" borderId="24" xfId="0" applyFont="1" applyFill="1" applyBorder="1" applyAlignment="1" applyProtection="1">
      <alignment horizontal="center"/>
    </xf>
    <xf numFmtId="0" fontId="18" fillId="4" borderId="25" xfId="0" applyFont="1" applyFill="1" applyBorder="1" applyAlignment="1" applyProtection="1">
      <alignment horizontal="center"/>
    </xf>
    <xf numFmtId="0" fontId="18" fillId="4" borderId="26" xfId="0" applyFont="1" applyFill="1" applyBorder="1" applyAlignment="1" applyProtection="1">
      <alignment horizontal="center"/>
    </xf>
    <xf numFmtId="0" fontId="18" fillId="4" borderId="37" xfId="0" applyFont="1" applyFill="1" applyBorder="1" applyAlignment="1" applyProtection="1">
      <alignment horizontal="center"/>
    </xf>
    <xf numFmtId="0" fontId="16" fillId="10" borderId="8" xfId="0" applyFont="1" applyFill="1" applyBorder="1" applyAlignment="1" applyProtection="1">
      <alignment horizontal="center" vertical="center"/>
    </xf>
    <xf numFmtId="0" fontId="16" fillId="10" borderId="7" xfId="0" applyFont="1" applyFill="1" applyBorder="1" applyAlignment="1" applyProtection="1">
      <alignment horizontal="center" vertical="center"/>
    </xf>
    <xf numFmtId="0" fontId="16" fillId="10" borderId="38" xfId="0" applyFont="1" applyFill="1" applyBorder="1" applyAlignment="1" applyProtection="1">
      <alignment horizontal="center" vertical="center"/>
    </xf>
    <xf numFmtId="2" fontId="9" fillId="2" borderId="8" xfId="0" applyNumberFormat="1" applyFont="1" applyFill="1" applyBorder="1" applyAlignment="1" applyProtection="1">
      <alignment horizontal="center"/>
    </xf>
    <xf numFmtId="2" fontId="9" fillId="2" borderId="7" xfId="0" applyNumberFormat="1" applyFont="1" applyFill="1" applyBorder="1" applyAlignment="1" applyProtection="1">
      <alignment horizontal="center"/>
    </xf>
    <xf numFmtId="2" fontId="9" fillId="2" borderId="38" xfId="0" applyNumberFormat="1" applyFont="1" applyFill="1" applyBorder="1" applyAlignment="1" applyProtection="1">
      <alignment horizontal="center"/>
    </xf>
    <xf numFmtId="2" fontId="10" fillId="3" borderId="1" xfId="0" applyNumberFormat="1" applyFont="1" applyFill="1" applyBorder="1" applyAlignment="1" applyProtection="1">
      <alignment horizontal="center" vertical="center" shrinkToFit="1"/>
    </xf>
    <xf numFmtId="1" fontId="10" fillId="3" borderId="0" xfId="0" applyNumberFormat="1" applyFont="1" applyFill="1" applyBorder="1" applyAlignment="1" applyProtection="1">
      <alignment horizontal="center" vertical="center" shrinkToFit="1"/>
    </xf>
    <xf numFmtId="2" fontId="10" fillId="3" borderId="0" xfId="0" applyNumberFormat="1" applyFont="1" applyFill="1" applyBorder="1" applyAlignment="1" applyProtection="1">
      <alignment horizontal="center" vertical="center" shrinkToFit="1"/>
    </xf>
    <xf numFmtId="165" fontId="12" fillId="3" borderId="0" xfId="0" applyNumberFormat="1" applyFont="1" applyFill="1" applyBorder="1" applyAlignment="1" applyProtection="1">
      <alignment horizontal="center" vertical="center" shrinkToFit="1"/>
    </xf>
    <xf numFmtId="165" fontId="12" fillId="3" borderId="0" xfId="0" applyNumberFormat="1" applyFont="1" applyFill="1" applyBorder="1" applyAlignment="1" applyProtection="1">
      <alignment horizontal="center" vertical="center"/>
    </xf>
    <xf numFmtId="165" fontId="12" fillId="3" borderId="57" xfId="0" applyNumberFormat="1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shrinkToFit="1"/>
    </xf>
    <xf numFmtId="0" fontId="9" fillId="4" borderId="7" xfId="0" applyFont="1" applyFill="1" applyBorder="1" applyAlignment="1" applyProtection="1">
      <alignment horizontal="center" shrinkToFit="1"/>
    </xf>
    <xf numFmtId="0" fontId="9" fillId="3" borderId="20" xfId="0" applyFont="1" applyFill="1" applyBorder="1" applyAlignment="1" applyProtection="1">
      <alignment horizontal="center" shrinkToFit="1"/>
    </xf>
    <xf numFmtId="0" fontId="9" fillId="2" borderId="0" xfId="0" applyFont="1" applyFill="1" applyBorder="1" applyAlignment="1" applyProtection="1">
      <alignment horizontal="center" shrinkToFit="1"/>
    </xf>
    <xf numFmtId="2" fontId="26" fillId="5" borderId="9" xfId="0" applyNumberFormat="1" applyFont="1" applyFill="1" applyBorder="1" applyAlignment="1" applyProtection="1">
      <alignment horizontal="center" vertical="center"/>
    </xf>
    <xf numFmtId="0" fontId="26" fillId="5" borderId="10" xfId="0" applyFont="1" applyFill="1" applyBorder="1" applyAlignment="1" applyProtection="1">
      <alignment horizontal="center" vertical="center" shrinkToFit="1"/>
    </xf>
    <xf numFmtId="0" fontId="26" fillId="5" borderId="10" xfId="0" applyFont="1" applyFill="1" applyBorder="1" applyAlignment="1" applyProtection="1">
      <alignment horizontal="center" vertical="center"/>
    </xf>
    <xf numFmtId="0" fontId="26" fillId="5" borderId="55" xfId="0" applyFont="1" applyFill="1" applyBorder="1" applyAlignment="1" applyProtection="1">
      <alignment horizontal="center" vertical="center"/>
    </xf>
    <xf numFmtId="0" fontId="26" fillId="3" borderId="57" xfId="0" applyFont="1" applyFill="1" applyBorder="1" applyAlignment="1" applyProtection="1">
      <alignment horizontal="center" vertical="center"/>
    </xf>
    <xf numFmtId="0" fontId="22" fillId="3" borderId="28" xfId="0" applyFont="1" applyFill="1" applyBorder="1" applyAlignment="1" applyProtection="1">
      <alignment horizontal="center" vertical="center" shrinkToFit="1"/>
    </xf>
    <xf numFmtId="0" fontId="22" fillId="3" borderId="36" xfId="0" applyFont="1" applyFill="1" applyBorder="1" applyAlignment="1" applyProtection="1">
      <alignment horizontal="center" vertical="center" shrinkToFit="1"/>
    </xf>
    <xf numFmtId="0" fontId="22" fillId="3" borderId="0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Protection="1"/>
    <xf numFmtId="0" fontId="9" fillId="10" borderId="11" xfId="0" applyFont="1" applyFill="1" applyBorder="1" applyAlignment="1" applyProtection="1">
      <alignment horizontal="center" shrinkToFit="1"/>
    </xf>
    <xf numFmtId="2" fontId="9" fillId="2" borderId="5" xfId="0" applyNumberFormat="1" applyFont="1" applyFill="1" applyBorder="1" applyAlignment="1" applyProtection="1">
      <alignment shrinkToFit="1"/>
    </xf>
    <xf numFmtId="3" fontId="9" fillId="2" borderId="17" xfId="0" applyNumberFormat="1" applyFont="1" applyFill="1" applyBorder="1" applyAlignment="1" applyProtection="1">
      <alignment shrinkToFit="1"/>
    </xf>
    <xf numFmtId="3" fontId="9" fillId="3" borderId="57" xfId="0" applyNumberFormat="1" applyFont="1" applyFill="1" applyBorder="1" applyAlignment="1" applyProtection="1">
      <alignment shrinkToFit="1"/>
    </xf>
    <xf numFmtId="2" fontId="17" fillId="3" borderId="0" xfId="0" applyNumberFormat="1" applyFont="1" applyFill="1" applyBorder="1" applyAlignment="1" applyProtection="1">
      <alignment horizontal="center"/>
    </xf>
    <xf numFmtId="2" fontId="17" fillId="3" borderId="35" xfId="0" applyNumberFormat="1" applyFont="1" applyFill="1" applyBorder="1" applyAlignment="1" applyProtection="1">
      <alignment horizontal="center"/>
    </xf>
    <xf numFmtId="2" fontId="17" fillId="3" borderId="34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shrinkToFit="1"/>
    </xf>
    <xf numFmtId="0" fontId="4" fillId="3" borderId="35" xfId="0" applyFont="1" applyFill="1" applyBorder="1" applyAlignment="1" applyProtection="1">
      <alignment horizontal="center" shrinkToFit="1"/>
    </xf>
    <xf numFmtId="0" fontId="4" fillId="2" borderId="0" xfId="0" applyFont="1" applyFill="1" applyBorder="1" applyProtection="1"/>
    <xf numFmtId="2" fontId="4" fillId="3" borderId="0" xfId="0" applyNumberFormat="1" applyFont="1" applyFill="1" applyBorder="1" applyAlignment="1" applyProtection="1">
      <alignment horizontal="center"/>
    </xf>
    <xf numFmtId="2" fontId="4" fillId="3" borderId="35" xfId="0" applyNumberFormat="1" applyFont="1" applyFill="1" applyBorder="1" applyAlignment="1" applyProtection="1">
      <alignment horizontal="center"/>
    </xf>
    <xf numFmtId="2" fontId="4" fillId="3" borderId="0" xfId="0" applyNumberFormat="1" applyFont="1" applyFill="1" applyBorder="1" applyAlignment="1" applyProtection="1">
      <alignment horizontal="right"/>
    </xf>
    <xf numFmtId="0" fontId="4" fillId="3" borderId="0" xfId="0" applyFont="1" applyFill="1" applyBorder="1" applyProtection="1"/>
    <xf numFmtId="0" fontId="4" fillId="3" borderId="35" xfId="0" applyFont="1" applyFill="1" applyBorder="1" applyProtection="1"/>
    <xf numFmtId="0" fontId="4" fillId="3" borderId="0" xfId="0" applyFont="1" applyFill="1" applyBorder="1" applyAlignment="1" applyProtection="1">
      <alignment horizontal="right"/>
    </xf>
    <xf numFmtId="1" fontId="21" fillId="5" borderId="18" xfId="0" applyNumberFormat="1" applyFont="1" applyFill="1" applyBorder="1" applyAlignment="1" applyProtection="1">
      <alignment horizontal="right" shrinkToFit="1"/>
    </xf>
    <xf numFmtId="1" fontId="9" fillId="5" borderId="18" xfId="0" applyNumberFormat="1" applyFont="1" applyFill="1" applyBorder="1" applyAlignment="1" applyProtection="1">
      <alignment horizontal="center" shrinkToFit="1"/>
    </xf>
    <xf numFmtId="1" fontId="19" fillId="5" borderId="18" xfId="0" applyNumberFormat="1" applyFont="1" applyFill="1" applyBorder="1" applyAlignment="1" applyProtection="1">
      <alignment horizontal="right" shrinkToFit="1"/>
    </xf>
    <xf numFmtId="1" fontId="20" fillId="5" borderId="18" xfId="0" applyNumberFormat="1" applyFont="1" applyFill="1" applyBorder="1" applyAlignment="1" applyProtection="1">
      <alignment horizontal="right" shrinkToFit="1"/>
    </xf>
    <xf numFmtId="1" fontId="9" fillId="5" borderId="19" xfId="0" applyNumberFormat="1" applyFont="1" applyFill="1" applyBorder="1" applyAlignment="1" applyProtection="1">
      <alignment horizontal="center" shrinkToFit="1"/>
    </xf>
    <xf numFmtId="2" fontId="4" fillId="3" borderId="25" xfId="0" applyNumberFormat="1" applyFont="1" applyFill="1" applyBorder="1" applyAlignment="1" applyProtection="1">
      <alignment horizontal="center"/>
    </xf>
    <xf numFmtId="2" fontId="4" fillId="3" borderId="25" xfId="0" applyNumberFormat="1" applyFont="1" applyFill="1" applyBorder="1" applyAlignment="1" applyProtection="1">
      <alignment horizontal="right"/>
    </xf>
    <xf numFmtId="0" fontId="4" fillId="3" borderId="25" xfId="0" applyFont="1" applyFill="1" applyBorder="1" applyProtection="1"/>
    <xf numFmtId="0" fontId="4" fillId="3" borderId="37" xfId="0" applyFont="1" applyFill="1" applyBorder="1" applyProtection="1"/>
    <xf numFmtId="0" fontId="24" fillId="3" borderId="57" xfId="0" applyFont="1" applyFill="1" applyBorder="1" applyAlignment="1" applyProtection="1">
      <alignment horizontal="center" vertical="center" shrinkToFit="1"/>
    </xf>
    <xf numFmtId="0" fontId="16" fillId="10" borderId="27" xfId="0" applyFont="1" applyFill="1" applyBorder="1" applyAlignment="1" applyProtection="1">
      <alignment horizontal="center" vertical="center" shrinkToFit="1"/>
    </xf>
    <xf numFmtId="0" fontId="16" fillId="10" borderId="7" xfId="0" applyFont="1" applyFill="1" applyBorder="1" applyAlignment="1" applyProtection="1">
      <alignment horizontal="center" vertical="center" shrinkToFit="1"/>
    </xf>
    <xf numFmtId="0" fontId="9" fillId="3" borderId="39" xfId="0" applyFont="1" applyFill="1" applyBorder="1" applyAlignment="1" applyProtection="1">
      <alignment horizontal="center"/>
    </xf>
    <xf numFmtId="2" fontId="26" fillId="5" borderId="9" xfId="0" applyNumberFormat="1" applyFont="1" applyFill="1" applyBorder="1" applyAlignment="1" applyProtection="1">
      <alignment horizontal="center" vertical="center" shrinkToFit="1"/>
    </xf>
    <xf numFmtId="3" fontId="26" fillId="5" borderId="55" xfId="0" applyNumberFormat="1" applyFont="1" applyFill="1" applyBorder="1" applyAlignment="1" applyProtection="1">
      <alignment horizontal="center" vertical="center" shrinkToFit="1"/>
    </xf>
    <xf numFmtId="3" fontId="26" fillId="3" borderId="57" xfId="0" applyNumberFormat="1" applyFont="1" applyFill="1" applyBorder="1" applyAlignment="1" applyProtection="1">
      <alignment horizontal="center" vertical="center"/>
    </xf>
    <xf numFmtId="0" fontId="9" fillId="3" borderId="40" xfId="0" applyFont="1" applyFill="1" applyBorder="1" applyAlignment="1" applyProtection="1">
      <alignment horizontal="center"/>
    </xf>
    <xf numFmtId="0" fontId="9" fillId="10" borderId="11" xfId="0" applyFont="1" applyFill="1" applyBorder="1" applyAlignment="1" applyProtection="1">
      <alignment shrinkToFit="1"/>
    </xf>
    <xf numFmtId="0" fontId="9" fillId="3" borderId="41" xfId="0" applyFont="1" applyFill="1" applyBorder="1" applyAlignment="1" applyProtection="1">
      <alignment horizontal="center"/>
    </xf>
    <xf numFmtId="2" fontId="4" fillId="3" borderId="32" xfId="0" applyNumberFormat="1" applyFont="1" applyFill="1" applyBorder="1" applyAlignment="1" applyProtection="1">
      <alignment horizontal="center" shrinkToFit="1"/>
    </xf>
    <xf numFmtId="0" fontId="4" fillId="3" borderId="32" xfId="0" applyFont="1" applyFill="1" applyBorder="1" applyAlignment="1" applyProtection="1">
      <alignment horizontal="right"/>
    </xf>
    <xf numFmtId="0" fontId="4" fillId="3" borderId="32" xfId="0" applyFont="1" applyFill="1" applyBorder="1" applyProtection="1"/>
    <xf numFmtId="0" fontId="4" fillId="3" borderId="33" xfId="0" applyFont="1" applyFill="1" applyBorder="1" applyProtection="1"/>
    <xf numFmtId="2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right"/>
    </xf>
    <xf numFmtId="0" fontId="4" fillId="2" borderId="35" xfId="0" applyFont="1" applyFill="1" applyBorder="1" applyProtection="1"/>
    <xf numFmtId="0" fontId="9" fillId="10" borderId="12" xfId="0" applyFont="1" applyFill="1" applyBorder="1" applyAlignment="1" applyProtection="1">
      <alignment shrinkToFit="1"/>
    </xf>
    <xf numFmtId="2" fontId="9" fillId="2" borderId="6" xfId="0" applyNumberFormat="1" applyFont="1" applyFill="1" applyBorder="1" applyAlignment="1" applyProtection="1">
      <alignment shrinkToFit="1"/>
    </xf>
    <xf numFmtId="2" fontId="4" fillId="3" borderId="0" xfId="0" applyNumberFormat="1" applyFont="1" applyFill="1" applyBorder="1" applyAlignment="1" applyProtection="1">
      <alignment horizontal="center" shrinkToFit="1"/>
    </xf>
    <xf numFmtId="0" fontId="4" fillId="2" borderId="0" xfId="0" applyFont="1" applyFill="1" applyBorder="1" applyAlignment="1" applyProtection="1">
      <alignment horizontal="right"/>
    </xf>
    <xf numFmtId="3" fontId="9" fillId="2" borderId="56" xfId="0" applyNumberFormat="1" applyFont="1" applyFill="1" applyBorder="1" applyAlignment="1" applyProtection="1">
      <alignment shrinkToFit="1"/>
    </xf>
    <xf numFmtId="2" fontId="4" fillId="2" borderId="14" xfId="0" applyNumberFormat="1" applyFont="1" applyFill="1" applyBorder="1" applyAlignment="1" applyProtection="1">
      <alignment horizontal="center"/>
    </xf>
    <xf numFmtId="2" fontId="4" fillId="2" borderId="14" xfId="0" applyNumberFormat="1" applyFont="1" applyFill="1" applyBorder="1" applyAlignment="1" applyProtection="1">
      <alignment horizontal="right"/>
    </xf>
    <xf numFmtId="0" fontId="4" fillId="2" borderId="14" xfId="0" applyFont="1" applyFill="1" applyBorder="1" applyProtection="1"/>
    <xf numFmtId="0" fontId="4" fillId="2" borderId="15" xfId="0" applyFont="1" applyFill="1" applyBorder="1" applyProtection="1"/>
    <xf numFmtId="0" fontId="16" fillId="10" borderId="31" xfId="0" applyFont="1" applyFill="1" applyBorder="1" applyAlignment="1" applyProtection="1">
      <alignment horizontal="center" vertical="center" shrinkToFit="1"/>
    </xf>
    <xf numFmtId="0" fontId="4" fillId="2" borderId="29" xfId="0" applyFont="1" applyFill="1" applyBorder="1" applyProtection="1"/>
    <xf numFmtId="0" fontId="4" fillId="2" borderId="27" xfId="0" applyFont="1" applyFill="1" applyBorder="1" applyProtection="1"/>
    <xf numFmtId="0" fontId="9" fillId="5" borderId="16" xfId="0" applyFont="1" applyFill="1" applyBorder="1" applyAlignment="1" applyProtection="1">
      <alignment horizontal="center" shrinkToFit="1"/>
    </xf>
    <xf numFmtId="0" fontId="9" fillId="5" borderId="18" xfId="0" applyFont="1" applyFill="1" applyBorder="1" applyAlignment="1" applyProtection="1">
      <alignment horizontal="center" shrinkToFit="1"/>
    </xf>
    <xf numFmtId="0" fontId="23" fillId="2" borderId="34" xfId="1" applyFont="1" applyFill="1" applyBorder="1" applyAlignment="1" applyProtection="1">
      <alignment horizontal="right" vertical="center"/>
    </xf>
    <xf numFmtId="164" fontId="23" fillId="2" borderId="0" xfId="1" applyNumberFormat="1" applyFont="1" applyFill="1" applyBorder="1" applyAlignment="1" applyProtection="1">
      <alignment horizontal="left" vertical="center" shrinkToFit="1"/>
    </xf>
    <xf numFmtId="0" fontId="23" fillId="2" borderId="0" xfId="1" applyFont="1" applyFill="1" applyBorder="1" applyAlignment="1" applyProtection="1">
      <alignment horizontal="center" vertical="center" shrinkToFit="1"/>
    </xf>
    <xf numFmtId="0" fontId="23" fillId="2" borderId="0" xfId="1" applyFont="1" applyFill="1" applyBorder="1" applyAlignment="1" applyProtection="1">
      <alignment horizontal="center" vertical="center"/>
    </xf>
    <xf numFmtId="0" fontId="23" fillId="3" borderId="54" xfId="1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/>
    </xf>
    <xf numFmtId="2" fontId="4" fillId="2" borderId="25" xfId="0" applyNumberFormat="1" applyFont="1" applyFill="1" applyBorder="1" applyAlignment="1" applyProtection="1">
      <alignment horizontal="center"/>
    </xf>
    <xf numFmtId="0" fontId="4" fillId="2" borderId="25" xfId="0" applyFont="1" applyFill="1" applyBorder="1" applyProtection="1"/>
    <xf numFmtId="0" fontId="15" fillId="11" borderId="13" xfId="1" applyFont="1" applyFill="1" applyBorder="1" applyAlignment="1" applyProtection="1">
      <alignment vertical="center"/>
    </xf>
    <xf numFmtId="164" fontId="15" fillId="11" borderId="14" xfId="0" applyNumberFormat="1" applyFont="1" applyFill="1" applyBorder="1" applyAlignment="1" applyProtection="1">
      <alignment vertical="center"/>
    </xf>
    <xf numFmtId="0" fontId="15" fillId="11" borderId="14" xfId="1" applyFont="1" applyFill="1" applyBorder="1" applyAlignment="1" applyProtection="1">
      <alignment horizontal="right" vertical="center"/>
    </xf>
    <xf numFmtId="0" fontId="15" fillId="2" borderId="0" xfId="0" applyFont="1" applyFill="1" applyBorder="1" applyProtection="1"/>
    <xf numFmtId="0" fontId="14" fillId="2" borderId="0" xfId="0" applyFont="1" applyFill="1" applyProtection="1"/>
    <xf numFmtId="0" fontId="13" fillId="2" borderId="0" xfId="0" applyFont="1" applyFill="1" applyProtection="1"/>
    <xf numFmtId="0" fontId="9" fillId="5" borderId="16" xfId="0" applyFont="1" applyFill="1" applyBorder="1" applyAlignment="1" applyProtection="1">
      <alignment horizontal="center" shrinkToFit="1"/>
    </xf>
    <xf numFmtId="0" fontId="9" fillId="5" borderId="18" xfId="0" applyFont="1" applyFill="1" applyBorder="1" applyAlignment="1" applyProtection="1">
      <alignment horizontal="center" shrinkToFit="1"/>
    </xf>
    <xf numFmtId="0" fontId="15" fillId="11" borderId="14" xfId="1" applyFont="1" applyFill="1" applyBorder="1" applyAlignment="1" applyProtection="1">
      <alignment horizontal="right" vertical="center"/>
    </xf>
    <xf numFmtId="165" fontId="9" fillId="2" borderId="5" xfId="0" applyNumberFormat="1" applyFont="1" applyFill="1" applyBorder="1" applyAlignment="1" applyProtection="1">
      <alignment horizontal="center" shrinkToFit="1"/>
    </xf>
    <xf numFmtId="165" fontId="17" fillId="2" borderId="5" xfId="0" applyNumberFormat="1" applyFont="1" applyFill="1" applyBorder="1" applyAlignment="1" applyProtection="1">
      <alignment horizontal="center" shrinkToFit="1"/>
    </xf>
    <xf numFmtId="165" fontId="9" fillId="2" borderId="6" xfId="0" applyNumberFormat="1" applyFont="1" applyFill="1" applyBorder="1" applyAlignment="1" applyProtection="1">
      <alignment horizontal="center" shrinkToFit="1"/>
    </xf>
    <xf numFmtId="165" fontId="17" fillId="2" borderId="6" xfId="0" applyNumberFormat="1" applyFont="1" applyFill="1" applyBorder="1" applyAlignment="1" applyProtection="1">
      <alignment horizontal="center" shrinkToFit="1"/>
    </xf>
    <xf numFmtId="0" fontId="16" fillId="15" borderId="0" xfId="4" applyFont="1" applyFill="1" applyAlignment="1">
      <alignment shrinkToFit="1"/>
    </xf>
    <xf numFmtId="0" fontId="28" fillId="15" borderId="0" xfId="4" applyFont="1" applyFill="1" applyAlignment="1">
      <alignment shrinkToFit="1"/>
    </xf>
    <xf numFmtId="165" fontId="16" fillId="15" borderId="0" xfId="4" applyNumberFormat="1" applyFont="1" applyFill="1" applyAlignment="1">
      <alignment shrinkToFit="1"/>
    </xf>
    <xf numFmtId="167" fontId="16" fillId="15" borderId="0" xfId="4" applyNumberFormat="1" applyFont="1" applyFill="1" applyAlignment="1">
      <alignment shrinkToFit="1"/>
    </xf>
    <xf numFmtId="0" fontId="16" fillId="16" borderId="58" xfId="4" applyFont="1" applyFill="1" applyBorder="1" applyAlignment="1">
      <alignment shrinkToFit="1"/>
    </xf>
    <xf numFmtId="0" fontId="16" fillId="16" borderId="59" xfId="4" applyFont="1" applyFill="1" applyBorder="1" applyAlignment="1">
      <alignment shrinkToFit="1"/>
    </xf>
    <xf numFmtId="0" fontId="28" fillId="16" borderId="59" xfId="4" applyFont="1" applyFill="1" applyBorder="1" applyAlignment="1">
      <alignment shrinkToFit="1"/>
    </xf>
    <xf numFmtId="0" fontId="29" fillId="16" borderId="59" xfId="4" applyFont="1" applyFill="1" applyBorder="1"/>
    <xf numFmtId="0" fontId="29" fillId="16" borderId="60" xfId="4" applyFont="1" applyFill="1" applyBorder="1"/>
    <xf numFmtId="0" fontId="16" fillId="17" borderId="61" xfId="4" applyFont="1" applyFill="1" applyBorder="1" applyAlignment="1">
      <alignment horizontal="centerContinuous" shrinkToFit="1"/>
    </xf>
    <xf numFmtId="14" fontId="16" fillId="15" borderId="62" xfId="4" applyNumberFormat="1" applyFont="1" applyFill="1" applyBorder="1" applyAlignment="1">
      <alignment horizontal="center" shrinkToFit="1"/>
    </xf>
    <xf numFmtId="165" fontId="16" fillId="15" borderId="63" xfId="4" applyNumberFormat="1" applyFont="1" applyFill="1" applyBorder="1" applyAlignment="1">
      <alignment horizontal="center" shrinkToFit="1"/>
    </xf>
    <xf numFmtId="3" fontId="16" fillId="15" borderId="63" xfId="4" applyNumberFormat="1" applyFont="1" applyFill="1" applyBorder="1" applyAlignment="1">
      <alignment horizontal="center" shrinkToFit="1"/>
    </xf>
    <xf numFmtId="3" fontId="16" fillId="15" borderId="64" xfId="4" applyNumberFormat="1" applyFont="1" applyFill="1" applyBorder="1" applyAlignment="1">
      <alignment horizontal="center" shrinkToFit="1"/>
    </xf>
    <xf numFmtId="165" fontId="16" fillId="15" borderId="62" xfId="4" applyNumberFormat="1" applyFont="1" applyFill="1" applyBorder="1" applyAlignment="1">
      <alignment horizontal="center" shrinkToFit="1"/>
    </xf>
    <xf numFmtId="1" fontId="30" fillId="18" borderId="63" xfId="4" applyNumberFormat="1" applyFont="1" applyFill="1" applyBorder="1" applyAlignment="1">
      <alignment horizontal="center" shrinkToFit="1"/>
    </xf>
    <xf numFmtId="1" fontId="16" fillId="15" borderId="63" xfId="4" applyNumberFormat="1" applyFont="1" applyFill="1" applyBorder="1" applyAlignment="1">
      <alignment horizontal="center" shrinkToFit="1"/>
    </xf>
    <xf numFmtId="164" fontId="16" fillId="15" borderId="63" xfId="4" applyNumberFormat="1" applyFont="1" applyFill="1" applyBorder="1" applyAlignment="1">
      <alignment horizontal="center" shrinkToFit="1"/>
    </xf>
    <xf numFmtId="0" fontId="16" fillId="15" borderId="62" xfId="4" applyFont="1" applyFill="1" applyBorder="1" applyAlignment="1">
      <alignment shrinkToFit="1"/>
    </xf>
    <xf numFmtId="0" fontId="16" fillId="15" borderId="65" xfId="4" applyFont="1" applyFill="1" applyBorder="1" applyAlignment="1">
      <alignment shrinkToFit="1"/>
    </xf>
    <xf numFmtId="0" fontId="16" fillId="17" borderId="66" xfId="4" applyFont="1" applyFill="1" applyBorder="1" applyAlignment="1">
      <alignment horizontal="centerContinuous" shrinkToFit="1"/>
    </xf>
    <xf numFmtId="0" fontId="16" fillId="17" borderId="67" xfId="4" applyFont="1" applyFill="1" applyBorder="1" applyAlignment="1">
      <alignment horizontal="centerContinuous" shrinkToFit="1"/>
    </xf>
    <xf numFmtId="14" fontId="16" fillId="15" borderId="68" xfId="4" applyNumberFormat="1" applyFont="1" applyFill="1" applyBorder="1" applyAlignment="1">
      <alignment horizontal="center" shrinkToFit="1"/>
    </xf>
    <xf numFmtId="165" fontId="16" fillId="15" borderId="69" xfId="4" applyNumberFormat="1" applyFont="1" applyFill="1" applyBorder="1" applyAlignment="1">
      <alignment horizontal="center" shrinkToFit="1"/>
    </xf>
    <xf numFmtId="3" fontId="16" fillId="15" borderId="69" xfId="4" applyNumberFormat="1" applyFont="1" applyFill="1" applyBorder="1" applyAlignment="1">
      <alignment horizontal="center" shrinkToFit="1"/>
    </xf>
    <xf numFmtId="3" fontId="16" fillId="15" borderId="70" xfId="4" applyNumberFormat="1" applyFont="1" applyFill="1" applyBorder="1" applyAlignment="1">
      <alignment horizontal="center" shrinkToFit="1"/>
    </xf>
    <xf numFmtId="165" fontId="16" fillId="15" borderId="68" xfId="4" applyNumberFormat="1" applyFont="1" applyFill="1" applyBorder="1" applyAlignment="1">
      <alignment horizontal="center" shrinkToFit="1"/>
    </xf>
    <xf numFmtId="1" fontId="30" fillId="18" borderId="71" xfId="4" applyNumberFormat="1" applyFont="1" applyFill="1" applyBorder="1" applyAlignment="1">
      <alignment horizontal="center" shrinkToFit="1"/>
    </xf>
    <xf numFmtId="1" fontId="16" fillId="15" borderId="69" xfId="4" applyNumberFormat="1" applyFont="1" applyFill="1" applyBorder="1" applyAlignment="1">
      <alignment horizontal="center" shrinkToFit="1"/>
    </xf>
    <xf numFmtId="164" fontId="16" fillId="15" borderId="69" xfId="4" applyNumberFormat="1" applyFont="1" applyFill="1" applyBorder="1" applyAlignment="1">
      <alignment horizontal="center" shrinkToFit="1"/>
    </xf>
    <xf numFmtId="0" fontId="16" fillId="15" borderId="68" xfId="4" applyFont="1" applyFill="1" applyBorder="1" applyAlignment="1">
      <alignment shrinkToFit="1"/>
    </xf>
    <xf numFmtId="0" fontId="16" fillId="15" borderId="0" xfId="4" applyFont="1" applyFill="1" applyBorder="1" applyAlignment="1">
      <alignment shrinkToFit="1"/>
    </xf>
    <xf numFmtId="0" fontId="16" fillId="17" borderId="72" xfId="4" applyFont="1" applyFill="1" applyBorder="1" applyAlignment="1">
      <alignment horizontal="centerContinuous" shrinkToFit="1"/>
    </xf>
    <xf numFmtId="165" fontId="16" fillId="15" borderId="0" xfId="4" applyNumberFormat="1" applyFont="1" applyFill="1" applyBorder="1" applyAlignment="1">
      <alignment shrinkToFit="1"/>
    </xf>
    <xf numFmtId="0" fontId="16" fillId="17" borderId="73" xfId="4" applyFont="1" applyFill="1" applyBorder="1" applyAlignment="1">
      <alignment horizontal="centerContinuous" shrinkToFit="1"/>
    </xf>
    <xf numFmtId="14" fontId="16" fillId="15" borderId="69" xfId="4" applyNumberFormat="1" applyFont="1" applyFill="1" applyBorder="1" applyAlignment="1">
      <alignment horizontal="center" shrinkToFit="1"/>
    </xf>
    <xf numFmtId="1" fontId="30" fillId="18" borderId="74" xfId="4" applyNumberFormat="1" applyFont="1" applyFill="1" applyBorder="1" applyAlignment="1">
      <alignment horizontal="center" shrinkToFit="1"/>
    </xf>
    <xf numFmtId="0" fontId="16" fillId="15" borderId="69" xfId="4" applyFont="1" applyFill="1" applyBorder="1" applyAlignment="1">
      <alignment shrinkToFit="1"/>
    </xf>
    <xf numFmtId="0" fontId="16" fillId="19" borderId="0" xfId="4" applyFont="1" applyFill="1" applyBorder="1" applyAlignment="1">
      <alignment horizontal="center" shrinkToFit="1"/>
    </xf>
    <xf numFmtId="0" fontId="16" fillId="20" borderId="63" xfId="4" applyFont="1" applyFill="1" applyBorder="1" applyAlignment="1">
      <alignment horizontal="center" shrinkToFit="1"/>
    </xf>
    <xf numFmtId="0" fontId="16" fillId="18" borderId="63" xfId="4" applyFont="1" applyFill="1" applyBorder="1" applyAlignment="1">
      <alignment horizontal="center" shrinkToFit="1"/>
    </xf>
    <xf numFmtId="0" fontId="16" fillId="19" borderId="63" xfId="4" applyFont="1" applyFill="1" applyBorder="1" applyAlignment="1">
      <alignment horizontal="center" shrinkToFit="1"/>
    </xf>
    <xf numFmtId="0" fontId="16" fillId="16" borderId="64" xfId="4" applyFont="1" applyFill="1" applyBorder="1" applyAlignment="1">
      <alignment horizontal="center" shrinkToFit="1"/>
    </xf>
    <xf numFmtId="0" fontId="16" fillId="21" borderId="74" xfId="4" applyFont="1" applyFill="1" applyBorder="1" applyAlignment="1">
      <alignment horizontal="center" shrinkToFit="1"/>
    </xf>
    <xf numFmtId="0" fontId="16" fillId="21" borderId="0" xfId="4" applyFont="1" applyFill="1" applyBorder="1" applyAlignment="1">
      <alignment shrinkToFit="1"/>
    </xf>
    <xf numFmtId="0" fontId="16" fillId="18" borderId="74" xfId="4" applyFont="1" applyFill="1" applyBorder="1" applyAlignment="1">
      <alignment horizontal="center" shrinkToFit="1"/>
    </xf>
    <xf numFmtId="0" fontId="16" fillId="19" borderId="74" xfId="4" applyFont="1" applyFill="1" applyBorder="1" applyAlignment="1">
      <alignment horizontal="center" shrinkToFit="1"/>
    </xf>
    <xf numFmtId="0" fontId="16" fillId="18" borderId="64" xfId="4" applyFont="1" applyFill="1" applyBorder="1" applyAlignment="1">
      <alignment horizontal="center" shrinkToFit="1"/>
    </xf>
    <xf numFmtId="0" fontId="16" fillId="15" borderId="80" xfId="4" applyFont="1" applyFill="1" applyBorder="1" applyAlignment="1">
      <alignment shrinkToFit="1"/>
    </xf>
    <xf numFmtId="21" fontId="9" fillId="18" borderId="58" xfId="4" applyNumberFormat="1" applyFont="1" applyFill="1" applyBorder="1" applyAlignment="1">
      <alignment horizontal="center" shrinkToFit="1"/>
    </xf>
    <xf numFmtId="0" fontId="16" fillId="18" borderId="59" xfId="4" applyFont="1" applyFill="1" applyBorder="1" applyAlignment="1">
      <alignment shrinkToFit="1"/>
    </xf>
    <xf numFmtId="0" fontId="16" fillId="18" borderId="59" xfId="4" applyFont="1" applyFill="1" applyBorder="1" applyAlignment="1">
      <alignment horizontal="center" shrinkToFit="1"/>
    </xf>
    <xf numFmtId="164" fontId="31" fillId="19" borderId="0" xfId="4" applyNumberFormat="1" applyFont="1" applyFill="1" applyBorder="1" applyAlignment="1">
      <alignment horizontal="center" vertical="center" shrinkToFit="1"/>
    </xf>
    <xf numFmtId="0" fontId="31" fillId="19" borderId="0" xfId="4" applyFont="1" applyFill="1" applyBorder="1" applyAlignment="1">
      <alignment horizontal="center" vertical="center" shrinkToFit="1"/>
    </xf>
    <xf numFmtId="0" fontId="31" fillId="19" borderId="81" xfId="4" applyFont="1" applyFill="1" applyBorder="1" applyAlignment="1">
      <alignment horizontal="center" vertical="center" shrinkToFit="1"/>
    </xf>
    <xf numFmtId="0" fontId="1" fillId="19" borderId="81" xfId="4" applyFill="1" applyBorder="1" applyAlignment="1">
      <alignment horizontal="center" shrinkToFit="1"/>
    </xf>
    <xf numFmtId="165" fontId="1" fillId="19" borderId="81" xfId="4" applyNumberFormat="1" applyFill="1" applyBorder="1" applyAlignment="1">
      <alignment horizontal="center" shrinkToFit="1"/>
    </xf>
    <xf numFmtId="0" fontId="16" fillId="15" borderId="82" xfId="4" applyFont="1" applyFill="1" applyBorder="1" applyAlignment="1">
      <alignment shrinkToFit="1"/>
    </xf>
    <xf numFmtId="0" fontId="1" fillId="15" borderId="0" xfId="4" applyFill="1" applyBorder="1"/>
    <xf numFmtId="0" fontId="32" fillId="15" borderId="0" xfId="4" applyFont="1" applyFill="1" applyBorder="1"/>
    <xf numFmtId="0" fontId="16" fillId="15" borderId="0" xfId="4" applyFont="1" applyFill="1" applyBorder="1"/>
    <xf numFmtId="0" fontId="16" fillId="16" borderId="88" xfId="4" applyFont="1" applyFill="1" applyBorder="1"/>
    <xf numFmtId="0" fontId="16" fillId="16" borderId="89" xfId="4" applyFont="1" applyFill="1" applyBorder="1"/>
    <xf numFmtId="0" fontId="33" fillId="15" borderId="0" xfId="4" applyFont="1" applyFill="1" applyBorder="1" applyAlignment="1">
      <alignment horizontal="center" vertical="center"/>
    </xf>
    <xf numFmtId="0" fontId="34" fillId="15" borderId="0" xfId="4" applyFont="1" applyFill="1" applyBorder="1" applyAlignment="1">
      <alignment horizontal="center" vertical="center"/>
    </xf>
    <xf numFmtId="0" fontId="35" fillId="3" borderId="35" xfId="4" applyFont="1" applyFill="1" applyBorder="1" applyAlignment="1" applyProtection="1">
      <alignment horizontal="center" vertical="center"/>
    </xf>
    <xf numFmtId="0" fontId="35" fillId="3" borderId="0" xfId="4" applyFont="1" applyFill="1" applyBorder="1" applyAlignment="1" applyProtection="1">
      <alignment horizontal="center" vertical="center"/>
    </xf>
    <xf numFmtId="2" fontId="35" fillId="3" borderId="0" xfId="4" applyNumberFormat="1" applyFont="1" applyFill="1" applyBorder="1" applyAlignment="1" applyProtection="1">
      <alignment horizontal="center" vertical="center"/>
    </xf>
    <xf numFmtId="2" fontId="35" fillId="3" borderId="91" xfId="4" applyNumberFormat="1" applyFont="1" applyFill="1" applyBorder="1" applyAlignment="1" applyProtection="1">
      <alignment horizontal="center" vertical="center"/>
    </xf>
    <xf numFmtId="3" fontId="36" fillId="2" borderId="0" xfId="4" applyNumberFormat="1" applyFont="1" applyFill="1" applyBorder="1" applyAlignment="1" applyProtection="1">
      <alignment horizontal="center" vertical="center" shrinkToFit="1"/>
    </xf>
    <xf numFmtId="3" fontId="36" fillId="2" borderId="92" xfId="4" applyNumberFormat="1" applyFont="1" applyFill="1" applyBorder="1" applyAlignment="1" applyProtection="1">
      <alignment horizontal="center" vertical="center" shrinkToFit="1"/>
    </xf>
    <xf numFmtId="165" fontId="36" fillId="2" borderId="6" xfId="4" applyNumberFormat="1" applyFont="1" applyFill="1" applyBorder="1" applyAlignment="1" applyProtection="1">
      <alignment horizontal="center" vertical="center" shrinkToFit="1"/>
    </xf>
    <xf numFmtId="0" fontId="36" fillId="10" borderId="12" xfId="4" applyFont="1" applyFill="1" applyBorder="1" applyAlignment="1" applyProtection="1">
      <alignment horizontal="center" vertical="center" shrinkToFit="1"/>
    </xf>
    <xf numFmtId="0" fontId="25" fillId="2" borderId="0" xfId="4" applyFont="1" applyFill="1" applyProtection="1"/>
    <xf numFmtId="3" fontId="36" fillId="2" borderId="93" xfId="4" applyNumberFormat="1" applyFont="1" applyFill="1" applyBorder="1" applyAlignment="1" applyProtection="1">
      <alignment horizontal="center" vertical="center" shrinkToFit="1"/>
    </xf>
    <xf numFmtId="165" fontId="36" fillId="2" borderId="5" xfId="4" applyNumberFormat="1" applyFont="1" applyFill="1" applyBorder="1" applyAlignment="1" applyProtection="1">
      <alignment horizontal="center" vertical="center" shrinkToFit="1"/>
    </xf>
    <xf numFmtId="0" fontId="36" fillId="10" borderId="11" xfId="4" applyFont="1" applyFill="1" applyBorder="1" applyAlignment="1" applyProtection="1">
      <alignment horizontal="center" vertical="center" shrinkToFit="1"/>
    </xf>
    <xf numFmtId="2" fontId="36" fillId="2" borderId="5" xfId="4" applyNumberFormat="1" applyFont="1" applyFill="1" applyBorder="1" applyAlignment="1" applyProtection="1">
      <alignment horizontal="center" vertical="center" shrinkToFit="1"/>
    </xf>
    <xf numFmtId="165" fontId="36" fillId="19" borderId="94" xfId="4" applyNumberFormat="1" applyFont="1" applyFill="1" applyBorder="1" applyAlignment="1" applyProtection="1">
      <alignment horizontal="center" vertical="center" shrinkToFit="1"/>
    </xf>
    <xf numFmtId="0" fontId="37" fillId="2" borderId="0" xfId="4" applyFont="1" applyFill="1" applyAlignment="1" applyProtection="1">
      <alignment horizontal="center" vertical="center"/>
    </xf>
    <xf numFmtId="2" fontId="4" fillId="19" borderId="0" xfId="4" applyNumberFormat="1" applyFont="1" applyFill="1" applyBorder="1" applyAlignment="1" applyProtection="1">
      <alignment horizontal="center"/>
    </xf>
    <xf numFmtId="0" fontId="16" fillId="19" borderId="0" xfId="4" applyFont="1" applyFill="1" applyBorder="1" applyAlignment="1" applyProtection="1">
      <alignment horizontal="center" vertical="center"/>
    </xf>
    <xf numFmtId="2" fontId="4" fillId="16" borderId="95" xfId="4" applyNumberFormat="1" applyFont="1" applyFill="1" applyBorder="1" applyAlignment="1" applyProtection="1">
      <alignment horizontal="center"/>
    </xf>
    <xf numFmtId="165" fontId="16" fillId="16" borderId="96" xfId="4" applyNumberFormat="1" applyFont="1" applyFill="1" applyBorder="1" applyAlignment="1" applyProtection="1">
      <alignment horizontal="center"/>
    </xf>
    <xf numFmtId="165" fontId="16" fillId="16" borderId="96" xfId="4" applyNumberFormat="1" applyFont="1" applyFill="1" applyBorder="1" applyAlignment="1" applyProtection="1">
      <alignment horizontal="center" vertical="center" shrinkToFit="1"/>
    </xf>
    <xf numFmtId="14" fontId="16" fillId="16" borderId="96" xfId="4" applyNumberFormat="1" applyFont="1" applyFill="1" applyBorder="1" applyAlignment="1" applyProtection="1">
      <alignment horizontal="center" vertical="center" shrinkToFit="1"/>
    </xf>
    <xf numFmtId="2" fontId="4" fillId="16" borderId="96" xfId="4" applyNumberFormat="1" applyFont="1" applyFill="1" applyBorder="1" applyAlignment="1" applyProtection="1">
      <alignment horizontal="center"/>
    </xf>
    <xf numFmtId="0" fontId="26" fillId="5" borderId="96" xfId="4" applyFont="1" applyFill="1" applyBorder="1" applyAlignment="1" applyProtection="1">
      <alignment horizontal="center" vertical="center"/>
    </xf>
    <xf numFmtId="0" fontId="26" fillId="5" borderId="10" xfId="4" applyFont="1" applyFill="1" applyBorder="1" applyAlignment="1" applyProtection="1">
      <alignment horizontal="center" vertical="center"/>
    </xf>
    <xf numFmtId="0" fontId="26" fillId="5" borderId="10" xfId="4" applyFont="1" applyFill="1" applyBorder="1" applyAlignment="1" applyProtection="1">
      <alignment horizontal="center" vertical="center" shrinkToFit="1"/>
    </xf>
    <xf numFmtId="2" fontId="26" fillId="5" borderId="9" xfId="4" applyNumberFormat="1" applyFont="1" applyFill="1" applyBorder="1" applyAlignment="1" applyProtection="1">
      <alignment horizontal="center" vertical="center"/>
    </xf>
    <xf numFmtId="0" fontId="9" fillId="19" borderId="27" xfId="4" applyFont="1" applyFill="1" applyBorder="1" applyAlignment="1" applyProtection="1">
      <alignment horizontal="center" shrinkToFit="1"/>
    </xf>
    <xf numFmtId="0" fontId="9" fillId="19" borderId="0" xfId="4" applyFont="1" applyFill="1" applyBorder="1" applyAlignment="1" applyProtection="1">
      <alignment horizontal="center" shrinkToFit="1"/>
    </xf>
    <xf numFmtId="165" fontId="9" fillId="19" borderId="97" xfId="4" applyNumberFormat="1" applyFont="1" applyFill="1" applyBorder="1" applyAlignment="1" applyProtection="1">
      <alignment horizontal="center" shrinkToFit="1"/>
    </xf>
    <xf numFmtId="165" fontId="9" fillId="19" borderId="29" xfId="4" applyNumberFormat="1" applyFont="1" applyFill="1" applyBorder="1" applyAlignment="1" applyProtection="1">
      <alignment horizontal="center" shrinkToFit="1"/>
    </xf>
    <xf numFmtId="165" fontId="12" fillId="3" borderId="0" xfId="4" applyNumberFormat="1" applyFont="1" applyFill="1" applyBorder="1" applyAlignment="1" applyProtection="1">
      <alignment horizontal="center" vertical="center"/>
    </xf>
    <xf numFmtId="165" fontId="12" fillId="3" borderId="0" xfId="4" applyNumberFormat="1" applyFont="1" applyFill="1" applyBorder="1" applyAlignment="1" applyProtection="1">
      <alignment horizontal="center" vertical="center" shrinkToFit="1"/>
    </xf>
    <xf numFmtId="2" fontId="10" fillId="3" borderId="0" xfId="4" applyNumberFormat="1" applyFont="1" applyFill="1" applyBorder="1" applyAlignment="1" applyProtection="1">
      <alignment horizontal="center" vertical="center" shrinkToFit="1"/>
    </xf>
    <xf numFmtId="1" fontId="10" fillId="3" borderId="0" xfId="4" applyNumberFormat="1" applyFont="1" applyFill="1" applyBorder="1" applyAlignment="1" applyProtection="1">
      <alignment horizontal="center" vertical="center" shrinkToFit="1"/>
    </xf>
    <xf numFmtId="2" fontId="10" fillId="3" borderId="1" xfId="4" applyNumberFormat="1" applyFont="1" applyFill="1" applyBorder="1" applyAlignment="1" applyProtection="1">
      <alignment horizontal="center" vertical="center" shrinkToFit="1"/>
    </xf>
    <xf numFmtId="2" fontId="9" fillId="2" borderId="27" xfId="4" applyNumberFormat="1" applyFont="1" applyFill="1" applyBorder="1" applyAlignment="1" applyProtection="1">
      <alignment horizontal="center"/>
    </xf>
    <xf numFmtId="2" fontId="9" fillId="2" borderId="0" xfId="4" applyNumberFormat="1" applyFont="1" applyFill="1" applyBorder="1" applyAlignment="1" applyProtection="1">
      <alignment horizontal="center"/>
    </xf>
    <xf numFmtId="2" fontId="9" fillId="2" borderId="7" xfId="4" applyNumberFormat="1" applyFont="1" applyFill="1" applyBorder="1" applyAlignment="1" applyProtection="1">
      <alignment horizontal="center"/>
    </xf>
    <xf numFmtId="0" fontId="16" fillId="16" borderId="8" xfId="4" applyFont="1" applyFill="1" applyBorder="1" applyAlignment="1" applyProtection="1">
      <alignment horizontal="center" vertical="center"/>
    </xf>
    <xf numFmtId="0" fontId="18" fillId="4" borderId="37" xfId="4" applyFont="1" applyFill="1" applyBorder="1" applyAlignment="1" applyProtection="1">
      <alignment horizontal="center"/>
    </xf>
    <xf numFmtId="0" fontId="18" fillId="4" borderId="26" xfId="4" applyFont="1" applyFill="1" applyBorder="1" applyAlignment="1" applyProtection="1">
      <alignment horizontal="center"/>
    </xf>
    <xf numFmtId="0" fontId="18" fillId="4" borderId="25" xfId="4" applyFont="1" applyFill="1" applyBorder="1" applyAlignment="1" applyProtection="1">
      <alignment horizontal="center"/>
    </xf>
    <xf numFmtId="0" fontId="18" fillId="4" borderId="23" xfId="4" applyFont="1" applyFill="1" applyBorder="1" applyAlignment="1" applyProtection="1">
      <alignment horizontal="center"/>
    </xf>
    <xf numFmtId="0" fontId="18" fillId="4" borderId="22" xfId="4" applyFont="1" applyFill="1" applyBorder="1" applyAlignment="1" applyProtection="1">
      <alignment horizontal="center"/>
    </xf>
    <xf numFmtId="0" fontId="8" fillId="3" borderId="0" xfId="4" applyFont="1" applyFill="1" applyBorder="1" applyAlignment="1" applyProtection="1">
      <alignment horizontal="center" vertical="center" shrinkToFit="1"/>
    </xf>
    <xf numFmtId="0" fontId="8" fillId="3" borderId="43" xfId="4" applyFont="1" applyFill="1" applyBorder="1" applyAlignment="1" applyProtection="1">
      <alignment horizontal="center" vertical="center" shrinkToFit="1"/>
    </xf>
    <xf numFmtId="0" fontId="8" fillId="3" borderId="34" xfId="4" applyFont="1" applyFill="1" applyBorder="1" applyAlignment="1" applyProtection="1">
      <alignment horizontal="center" vertical="center" shrinkToFit="1"/>
    </xf>
    <xf numFmtId="2" fontId="4" fillId="3" borderId="0" xfId="4" applyNumberFormat="1" applyFont="1" applyFill="1" applyBorder="1" applyAlignment="1" applyProtection="1">
      <alignment horizontal="center"/>
    </xf>
    <xf numFmtId="2" fontId="4" fillId="3" borderId="99" xfId="4" applyNumberFormat="1" applyFont="1" applyFill="1" applyBorder="1" applyAlignment="1" applyProtection="1">
      <alignment horizontal="center"/>
    </xf>
    <xf numFmtId="0" fontId="4" fillId="3" borderId="0" xfId="4" applyFont="1" applyFill="1" applyBorder="1" applyAlignment="1" applyProtection="1">
      <alignment horizontal="center" shrinkToFit="1"/>
    </xf>
    <xf numFmtId="0" fontId="4" fillId="3" borderId="99" xfId="4" applyFont="1" applyFill="1" applyBorder="1" applyAlignment="1" applyProtection="1">
      <alignment horizontal="center" shrinkToFit="1"/>
    </xf>
    <xf numFmtId="2" fontId="17" fillId="3" borderId="0" xfId="4" applyNumberFormat="1" applyFont="1" applyFill="1" applyBorder="1" applyAlignment="1" applyProtection="1">
      <alignment horizontal="center"/>
    </xf>
    <xf numFmtId="2" fontId="17" fillId="3" borderId="99" xfId="4" applyNumberFormat="1" applyFont="1" applyFill="1" applyBorder="1" applyAlignment="1" applyProtection="1">
      <alignment horizontal="center"/>
    </xf>
    <xf numFmtId="0" fontId="1" fillId="3" borderId="0" xfId="4" applyFont="1" applyFill="1" applyBorder="1" applyAlignment="1" applyProtection="1">
      <alignment horizontal="center" vertical="center" shrinkToFit="1"/>
    </xf>
    <xf numFmtId="0" fontId="1" fillId="3" borderId="99" xfId="4" applyFont="1" applyFill="1" applyBorder="1" applyAlignment="1" applyProtection="1">
      <alignment horizontal="center" vertical="center" shrinkToFit="1"/>
    </xf>
    <xf numFmtId="0" fontId="36" fillId="19" borderId="0" xfId="4" applyFont="1" applyFill="1" applyBorder="1" applyAlignment="1" applyProtection="1">
      <alignment horizontal="center" vertical="center" shrinkToFit="1"/>
    </xf>
    <xf numFmtId="0" fontId="36" fillId="5" borderId="93" xfId="4" applyFont="1" applyFill="1" applyBorder="1" applyAlignment="1" applyProtection="1">
      <alignment horizontal="center" vertical="center" shrinkToFit="1"/>
    </xf>
    <xf numFmtId="0" fontId="36" fillId="5" borderId="94" xfId="4" applyFont="1" applyFill="1" applyBorder="1" applyAlignment="1" applyProtection="1">
      <alignment horizontal="center" vertical="center" shrinkToFit="1"/>
    </xf>
    <xf numFmtId="0" fontId="36" fillId="19" borderId="94" xfId="4" applyFont="1" applyFill="1" applyBorder="1" applyAlignment="1" applyProtection="1">
      <alignment horizontal="center" vertical="center" shrinkToFit="1"/>
    </xf>
    <xf numFmtId="165" fontId="16" fillId="16" borderId="95" xfId="4" applyNumberFormat="1" applyFont="1" applyFill="1" applyBorder="1" applyAlignment="1" applyProtection="1">
      <alignment horizontal="center" vertical="center" shrinkToFit="1"/>
    </xf>
    <xf numFmtId="0" fontId="9" fillId="19" borderId="20" xfId="4" applyFont="1" applyFill="1" applyBorder="1" applyAlignment="1" applyProtection="1">
      <alignment horizontal="center" shrinkToFit="1"/>
    </xf>
    <xf numFmtId="0" fontId="9" fillId="19" borderId="97" xfId="4" applyFont="1" applyFill="1" applyBorder="1" applyAlignment="1" applyProtection="1">
      <alignment horizontal="center" shrinkToFit="1"/>
    </xf>
    <xf numFmtId="0" fontId="9" fillId="19" borderId="29" xfId="4" applyFont="1" applyFill="1" applyBorder="1" applyAlignment="1" applyProtection="1">
      <alignment horizontal="center" shrinkToFit="1"/>
    </xf>
    <xf numFmtId="2" fontId="9" fillId="2" borderId="20" xfId="4" applyNumberFormat="1" applyFont="1" applyFill="1" applyBorder="1" applyAlignment="1" applyProtection="1">
      <alignment horizontal="center"/>
    </xf>
    <xf numFmtId="0" fontId="16" fillId="12" borderId="42" xfId="4" applyFont="1" applyFill="1" applyBorder="1" applyAlignment="1" applyProtection="1">
      <alignment horizontal="center" vertical="center" shrinkToFit="1"/>
    </xf>
    <xf numFmtId="0" fontId="16" fillId="12" borderId="42" xfId="4" applyFont="1" applyFill="1" applyBorder="1" applyAlignment="1" applyProtection="1">
      <alignment horizontal="right" vertical="center" shrinkToFit="1"/>
    </xf>
    <xf numFmtId="0" fontId="16" fillId="12" borderId="42" xfId="4" applyFont="1" applyFill="1" applyBorder="1" applyAlignment="1" applyProtection="1">
      <alignment vertical="center" shrinkToFit="1"/>
    </xf>
    <xf numFmtId="0" fontId="16" fillId="12" borderId="42" xfId="4" applyFont="1" applyFill="1" applyBorder="1" applyAlignment="1" applyProtection="1">
      <alignment horizontal="center" vertical="center" shrinkToFit="1"/>
      <protection locked="0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6" fillId="2" borderId="0" xfId="0" applyFont="1" applyFill="1"/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" fontId="6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166" fontId="6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1" fillId="2" borderId="0" xfId="4" applyFill="1"/>
    <xf numFmtId="14" fontId="1" fillId="2" borderId="0" xfId="4" applyNumberFormat="1" applyFill="1"/>
    <xf numFmtId="165" fontId="1" fillId="2" borderId="0" xfId="4" applyNumberFormat="1" applyFill="1"/>
    <xf numFmtId="0" fontId="1" fillId="2" borderId="0" xfId="4" applyFill="1" applyBorder="1"/>
    <xf numFmtId="14" fontId="1" fillId="2" borderId="0" xfId="4" applyNumberFormat="1" applyFill="1" applyBorder="1"/>
    <xf numFmtId="0" fontId="1" fillId="2" borderId="0" xfId="4" applyFont="1" applyFill="1" applyBorder="1"/>
    <xf numFmtId="165" fontId="1" fillId="2" borderId="0" xfId="4" applyNumberFormat="1" applyFont="1" applyFill="1" applyBorder="1"/>
    <xf numFmtId="2" fontId="1" fillId="2" borderId="0" xfId="4" applyNumberFormat="1" applyFont="1" applyFill="1" applyBorder="1"/>
    <xf numFmtId="0" fontId="29" fillId="16" borderId="89" xfId="4" applyFont="1" applyFill="1" applyBorder="1"/>
    <xf numFmtId="0" fontId="16" fillId="16" borderId="89" xfId="4" applyFont="1" applyFill="1" applyBorder="1" applyAlignment="1">
      <alignment shrinkToFit="1"/>
    </xf>
    <xf numFmtId="20" fontId="16" fillId="18" borderId="74" xfId="4" applyNumberFormat="1" applyFont="1" applyFill="1" applyBorder="1" applyAlignment="1">
      <alignment horizontal="center" shrinkToFit="1"/>
    </xf>
    <xf numFmtId="20" fontId="16" fillId="18" borderId="71" xfId="4" applyNumberFormat="1" applyFont="1" applyFill="1" applyBorder="1" applyAlignment="1">
      <alignment horizontal="center" shrinkToFit="1"/>
    </xf>
    <xf numFmtId="20" fontId="16" fillId="18" borderId="63" xfId="4" applyNumberFormat="1" applyFont="1" applyFill="1" applyBorder="1" applyAlignment="1">
      <alignment horizontal="center" shrinkToFit="1"/>
    </xf>
    <xf numFmtId="0" fontId="16" fillId="18" borderId="60" xfId="4" applyFont="1" applyFill="1" applyBorder="1" applyAlignment="1">
      <alignment horizontal="center" shrinkToFit="1"/>
    </xf>
    <xf numFmtId="0" fontId="16" fillId="18" borderId="59" xfId="4" applyFont="1" applyFill="1" applyBorder="1" applyAlignment="1">
      <alignment horizontal="center" shrinkToFit="1"/>
    </xf>
    <xf numFmtId="0" fontId="16" fillId="16" borderId="78" xfId="4" applyFont="1" applyFill="1" applyBorder="1" applyAlignment="1">
      <alignment horizontal="center" vertical="center" shrinkToFit="1"/>
    </xf>
    <xf numFmtId="0" fontId="16" fillId="16" borderId="66" xfId="4" applyFont="1" applyFill="1" applyBorder="1" applyAlignment="1">
      <alignment horizontal="center" vertical="center" shrinkToFit="1"/>
    </xf>
    <xf numFmtId="0" fontId="16" fillId="16" borderId="79" xfId="4" applyFont="1" applyFill="1" applyBorder="1" applyAlignment="1">
      <alignment horizontal="center" vertical="center" shrinkToFit="1"/>
    </xf>
    <xf numFmtId="0" fontId="16" fillId="16" borderId="76" xfId="4" applyFont="1" applyFill="1" applyBorder="1" applyAlignment="1">
      <alignment horizontal="center" vertical="center" shrinkToFit="1"/>
    </xf>
    <xf numFmtId="164" fontId="31" fillId="18" borderId="81" xfId="4" applyNumberFormat="1" applyFont="1" applyFill="1" applyBorder="1" applyAlignment="1">
      <alignment horizontal="center" vertical="center" shrinkToFit="1"/>
    </xf>
    <xf numFmtId="164" fontId="31" fillId="18" borderId="86" xfId="4" applyNumberFormat="1" applyFont="1" applyFill="1" applyBorder="1" applyAlignment="1">
      <alignment horizontal="center" vertical="center" shrinkToFit="1"/>
    </xf>
    <xf numFmtId="164" fontId="31" fillId="18" borderId="84" xfId="4" applyNumberFormat="1" applyFont="1" applyFill="1" applyBorder="1" applyAlignment="1">
      <alignment horizontal="center" vertical="center" shrinkToFit="1"/>
    </xf>
    <xf numFmtId="164" fontId="31" fillId="18" borderId="83" xfId="4" applyNumberFormat="1" applyFont="1" applyFill="1" applyBorder="1" applyAlignment="1">
      <alignment horizontal="center" vertical="center" shrinkToFit="1"/>
    </xf>
    <xf numFmtId="0" fontId="1" fillId="18" borderId="87" xfId="4" applyFill="1" applyBorder="1" applyAlignment="1">
      <alignment horizontal="center" shrinkToFit="1"/>
    </xf>
    <xf numFmtId="0" fontId="1" fillId="18" borderId="81" xfId="4" applyFill="1" applyBorder="1" applyAlignment="1">
      <alignment horizontal="center" shrinkToFit="1"/>
    </xf>
    <xf numFmtId="0" fontId="1" fillId="18" borderId="85" xfId="4" applyFill="1" applyBorder="1" applyAlignment="1">
      <alignment horizontal="center" shrinkToFit="1"/>
    </xf>
    <xf numFmtId="0" fontId="1" fillId="18" borderId="84" xfId="4" applyFill="1" applyBorder="1" applyAlignment="1">
      <alignment horizontal="center" shrinkToFit="1"/>
    </xf>
    <xf numFmtId="0" fontId="16" fillId="16" borderId="77" xfId="4" applyFont="1" applyFill="1" applyBorder="1" applyAlignment="1">
      <alignment horizontal="center" vertical="center" shrinkToFit="1"/>
    </xf>
    <xf numFmtId="0" fontId="16" fillId="16" borderId="75" xfId="4" applyFont="1" applyFill="1" applyBorder="1" applyAlignment="1">
      <alignment horizontal="center" vertical="center" shrinkToFit="1"/>
    </xf>
    <xf numFmtId="0" fontId="31" fillId="18" borderId="81" xfId="4" applyFont="1" applyFill="1" applyBorder="1" applyAlignment="1">
      <alignment horizontal="center" vertical="center" shrinkToFit="1"/>
    </xf>
    <xf numFmtId="0" fontId="1" fillId="0" borderId="81" xfId="4" applyBorder="1" applyAlignment="1">
      <alignment horizontal="center" vertical="center" shrinkToFit="1"/>
    </xf>
    <xf numFmtId="0" fontId="1" fillId="0" borderId="84" xfId="4" applyBorder="1" applyAlignment="1">
      <alignment horizontal="center" vertical="center" shrinkToFit="1"/>
    </xf>
    <xf numFmtId="164" fontId="15" fillId="11" borderId="14" xfId="1" applyNumberFormat="1" applyFont="1" applyFill="1" applyBorder="1" applyAlignment="1" applyProtection="1">
      <alignment horizontal="left" vertical="center"/>
    </xf>
    <xf numFmtId="164" fontId="15" fillId="11" borderId="14" xfId="0" applyNumberFormat="1" applyFont="1" applyFill="1" applyBorder="1" applyAlignment="1" applyProtection="1">
      <alignment horizontal="left" vertical="center"/>
    </xf>
    <xf numFmtId="164" fontId="15" fillId="11" borderId="53" xfId="0" applyNumberFormat="1" applyFont="1" applyFill="1" applyBorder="1" applyAlignment="1" applyProtection="1">
      <alignment horizontal="left" vertical="center"/>
    </xf>
    <xf numFmtId="0" fontId="24" fillId="5" borderId="34" xfId="0" applyFont="1" applyFill="1" applyBorder="1" applyAlignment="1" applyProtection="1">
      <alignment horizontal="center" vertical="center" shrinkToFit="1"/>
    </xf>
    <xf numFmtId="0" fontId="24" fillId="5" borderId="0" xfId="0" applyFont="1" applyFill="1" applyBorder="1" applyAlignment="1" applyProtection="1">
      <alignment horizontal="center" vertical="center" shrinkToFit="1"/>
    </xf>
    <xf numFmtId="0" fontId="24" fillId="5" borderId="13" xfId="0" applyFont="1" applyFill="1" applyBorder="1" applyAlignment="1" applyProtection="1">
      <alignment horizontal="center" vertical="center" shrinkToFit="1"/>
    </xf>
    <xf numFmtId="0" fontId="24" fillId="5" borderId="14" xfId="0" applyFont="1" applyFill="1" applyBorder="1" applyAlignment="1" applyProtection="1">
      <alignment horizontal="center" vertical="center" shrinkToFit="1"/>
    </xf>
    <xf numFmtId="0" fontId="9" fillId="5" borderId="16" xfId="0" applyFont="1" applyFill="1" applyBorder="1" applyAlignment="1" applyProtection="1">
      <alignment horizontal="center" shrinkToFit="1"/>
    </xf>
    <xf numFmtId="0" fontId="9" fillId="5" borderId="18" xfId="0" applyFont="1" applyFill="1" applyBorder="1" applyAlignment="1" applyProtection="1">
      <alignment horizontal="center" shrinkToFit="1"/>
    </xf>
    <xf numFmtId="0" fontId="15" fillId="11" borderId="14" xfId="1" applyFont="1" applyFill="1" applyBorder="1" applyAlignment="1" applyProtection="1">
      <alignment horizontal="center" vertical="center" shrinkToFit="1"/>
    </xf>
    <xf numFmtId="164" fontId="15" fillId="11" borderId="14" xfId="0" applyNumberFormat="1" applyFont="1" applyFill="1" applyBorder="1" applyAlignment="1" applyProtection="1">
      <alignment horizontal="center" vertical="center"/>
    </xf>
    <xf numFmtId="0" fontId="15" fillId="11" borderId="14" xfId="1" applyFont="1" applyFill="1" applyBorder="1" applyAlignment="1" applyProtection="1">
      <alignment horizontal="right" vertical="center"/>
    </xf>
    <xf numFmtId="166" fontId="11" fillId="14" borderId="0" xfId="0" applyNumberFormat="1" applyFont="1" applyFill="1" applyBorder="1" applyAlignment="1" applyProtection="1">
      <alignment horizontal="center" vertical="center" shrinkToFit="1"/>
    </xf>
    <xf numFmtId="0" fontId="27" fillId="12" borderId="20" xfId="1" applyFont="1" applyFill="1" applyBorder="1" applyAlignment="1" applyProtection="1">
      <alignment horizontal="center" vertical="center" shrinkToFit="1"/>
    </xf>
    <xf numFmtId="0" fontId="27" fillId="12" borderId="0" xfId="1" applyFont="1" applyFill="1" applyBorder="1" applyAlignment="1" applyProtection="1">
      <alignment horizontal="center" vertical="center" shrinkToFit="1"/>
    </xf>
    <xf numFmtId="0" fontId="27" fillId="12" borderId="35" xfId="1" applyFont="1" applyFill="1" applyBorder="1" applyAlignment="1" applyProtection="1">
      <alignment horizontal="center" vertical="center" shrinkToFit="1"/>
    </xf>
    <xf numFmtId="164" fontId="27" fillId="13" borderId="28" xfId="1" applyNumberFormat="1" applyFont="1" applyFill="1" applyBorder="1" applyAlignment="1" applyProtection="1">
      <alignment horizontal="center" vertical="center" shrinkToFit="1"/>
    </xf>
    <xf numFmtId="164" fontId="27" fillId="13" borderId="29" xfId="1" applyNumberFormat="1" applyFont="1" applyFill="1" applyBorder="1" applyAlignment="1" applyProtection="1">
      <alignment horizontal="center" vertical="center" shrinkToFit="1"/>
    </xf>
    <xf numFmtId="164" fontId="27" fillId="13" borderId="0" xfId="1" applyNumberFormat="1" applyFont="1" applyFill="1" applyBorder="1" applyAlignment="1" applyProtection="1">
      <alignment horizontal="center" vertical="center" shrinkToFit="1"/>
    </xf>
    <xf numFmtId="164" fontId="27" fillId="13" borderId="27" xfId="1" applyNumberFormat="1" applyFont="1" applyFill="1" applyBorder="1" applyAlignment="1" applyProtection="1">
      <alignment horizontal="center" vertical="center" shrinkToFit="1"/>
    </xf>
    <xf numFmtId="164" fontId="27" fillId="13" borderId="25" xfId="1" applyNumberFormat="1" applyFont="1" applyFill="1" applyBorder="1" applyAlignment="1" applyProtection="1">
      <alignment horizontal="center" vertical="center" shrinkToFit="1"/>
    </xf>
    <xf numFmtId="164" fontId="27" fillId="13" borderId="30" xfId="1" applyNumberFormat="1" applyFont="1" applyFill="1" applyBorder="1" applyAlignment="1" applyProtection="1">
      <alignment horizontal="center" vertical="center" shrinkToFit="1"/>
    </xf>
    <xf numFmtId="0" fontId="27" fillId="13" borderId="28" xfId="1" applyFont="1" applyFill="1" applyBorder="1" applyAlignment="1" applyProtection="1">
      <alignment horizontal="center" vertical="center" shrinkToFit="1"/>
    </xf>
    <xf numFmtId="0" fontId="27" fillId="13" borderId="0" xfId="1" applyFont="1" applyFill="1" applyBorder="1" applyAlignment="1" applyProtection="1">
      <alignment horizontal="center" vertical="center" shrinkToFit="1"/>
    </xf>
    <xf numFmtId="0" fontId="27" fillId="13" borderId="25" xfId="1" applyFont="1" applyFill="1" applyBorder="1" applyAlignment="1" applyProtection="1">
      <alignment horizontal="center" vertical="center" shrinkToFit="1"/>
    </xf>
    <xf numFmtId="1" fontId="10" fillId="7" borderId="3" xfId="0" applyNumberFormat="1" applyFont="1" applyFill="1" applyBorder="1" applyAlignment="1" applyProtection="1">
      <alignment horizontal="center" vertical="center" shrinkToFit="1"/>
    </xf>
    <xf numFmtId="1" fontId="10" fillId="7" borderId="47" xfId="0" applyNumberFormat="1" applyFont="1" applyFill="1" applyBorder="1" applyAlignment="1" applyProtection="1">
      <alignment horizontal="center" vertical="center" shrinkToFit="1"/>
    </xf>
    <xf numFmtId="165" fontId="10" fillId="7" borderId="3" xfId="0" applyNumberFormat="1" applyFont="1" applyFill="1" applyBorder="1" applyAlignment="1" applyProtection="1">
      <alignment horizontal="center" vertical="center" shrinkToFit="1"/>
    </xf>
    <xf numFmtId="165" fontId="10" fillId="7" borderId="47" xfId="0" applyNumberFormat="1" applyFont="1" applyFill="1" applyBorder="1" applyAlignment="1" applyProtection="1">
      <alignment horizontal="center" vertical="center" shrinkToFit="1"/>
    </xf>
    <xf numFmtId="165" fontId="12" fillId="9" borderId="1" xfId="0" applyNumberFormat="1" applyFont="1" applyFill="1" applyBorder="1" applyAlignment="1" applyProtection="1">
      <alignment horizontal="center" vertical="center" shrinkToFit="1"/>
    </xf>
    <xf numFmtId="165" fontId="12" fillId="9" borderId="0" xfId="0" applyNumberFormat="1" applyFont="1" applyFill="1" applyBorder="1" applyAlignment="1" applyProtection="1">
      <alignment horizontal="center" vertical="center" shrinkToFit="1"/>
    </xf>
    <xf numFmtId="165" fontId="12" fillId="9" borderId="48" xfId="0" applyNumberFormat="1" applyFont="1" applyFill="1" applyBorder="1" applyAlignment="1" applyProtection="1">
      <alignment horizontal="center" vertical="center" shrinkToFit="1"/>
    </xf>
    <xf numFmtId="165" fontId="12" fillId="9" borderId="47" xfId="0" applyNumberFormat="1" applyFont="1" applyFill="1" applyBorder="1" applyAlignment="1" applyProtection="1">
      <alignment horizontal="center" vertical="center" shrinkToFit="1"/>
    </xf>
    <xf numFmtId="165" fontId="12" fillId="9" borderId="0" xfId="0" applyNumberFormat="1" applyFont="1" applyFill="1" applyBorder="1" applyAlignment="1" applyProtection="1">
      <alignment horizontal="center" vertical="center"/>
    </xf>
    <xf numFmtId="165" fontId="12" fillId="9" borderId="47" xfId="0" applyNumberFormat="1" applyFont="1" applyFill="1" applyBorder="1" applyAlignment="1" applyProtection="1">
      <alignment horizontal="center" vertical="center"/>
    </xf>
    <xf numFmtId="2" fontId="10" fillId="6" borderId="49" xfId="0" applyNumberFormat="1" applyFont="1" applyFill="1" applyBorder="1" applyAlignment="1" applyProtection="1">
      <alignment horizontal="center" vertical="center" shrinkToFit="1"/>
    </xf>
    <xf numFmtId="2" fontId="10" fillId="6" borderId="50" xfId="0" applyNumberFormat="1" applyFont="1" applyFill="1" applyBorder="1" applyAlignment="1" applyProtection="1">
      <alignment horizontal="center" vertical="center" shrinkToFit="1"/>
    </xf>
    <xf numFmtId="1" fontId="10" fillId="6" borderId="44" xfId="0" applyNumberFormat="1" applyFont="1" applyFill="1" applyBorder="1" applyAlignment="1" applyProtection="1">
      <alignment horizontal="center" vertical="center" shrinkToFit="1"/>
    </xf>
    <xf numFmtId="1" fontId="10" fillId="6" borderId="2" xfId="0" applyNumberFormat="1" applyFont="1" applyFill="1" applyBorder="1" applyAlignment="1" applyProtection="1">
      <alignment horizontal="center" vertical="center" shrinkToFit="1"/>
    </xf>
    <xf numFmtId="0" fontId="24" fillId="5" borderId="21" xfId="0" applyFont="1" applyFill="1" applyBorder="1" applyAlignment="1" applyProtection="1">
      <alignment horizontal="center" vertical="center" shrinkToFit="1"/>
    </xf>
    <xf numFmtId="0" fontId="24" fillId="5" borderId="3" xfId="0" applyFont="1" applyFill="1" applyBorder="1" applyAlignment="1" applyProtection="1">
      <alignment horizontal="center" vertical="center" shrinkToFit="1"/>
    </xf>
    <xf numFmtId="2" fontId="10" fillId="7" borderId="51" xfId="0" applyNumberFormat="1" applyFont="1" applyFill="1" applyBorder="1" applyAlignment="1" applyProtection="1">
      <alignment horizontal="center" vertical="center" shrinkToFit="1"/>
    </xf>
    <xf numFmtId="2" fontId="10" fillId="7" borderId="52" xfId="0" applyNumberFormat="1" applyFont="1" applyFill="1" applyBorder="1" applyAlignment="1" applyProtection="1">
      <alignment horizontal="center" vertical="center" shrinkToFit="1"/>
    </xf>
    <xf numFmtId="165" fontId="10" fillId="6" borderId="44" xfId="0" applyNumberFormat="1" applyFont="1" applyFill="1" applyBorder="1" applyAlignment="1" applyProtection="1">
      <alignment horizontal="center" vertical="center" shrinkToFit="1"/>
    </xf>
    <xf numFmtId="165" fontId="10" fillId="6" borderId="45" xfId="0" applyNumberFormat="1" applyFont="1" applyFill="1" applyBorder="1" applyAlignment="1" applyProtection="1">
      <alignment horizontal="center" vertical="center" shrinkToFit="1"/>
    </xf>
    <xf numFmtId="165" fontId="10" fillId="6" borderId="2" xfId="0" applyNumberFormat="1" applyFont="1" applyFill="1" applyBorder="1" applyAlignment="1" applyProtection="1">
      <alignment horizontal="center" vertical="center" shrinkToFit="1"/>
    </xf>
    <xf numFmtId="165" fontId="10" fillId="6" borderId="4" xfId="0" applyNumberFormat="1" applyFont="1" applyFill="1" applyBorder="1" applyAlignment="1" applyProtection="1">
      <alignment horizontal="center" vertical="center" shrinkToFit="1"/>
    </xf>
    <xf numFmtId="166" fontId="11" fillId="8" borderId="46" xfId="0" applyNumberFormat="1" applyFont="1" applyFill="1" applyBorder="1" applyAlignment="1" applyProtection="1">
      <alignment horizontal="center" vertical="center" shrinkToFit="1"/>
    </xf>
    <xf numFmtId="166" fontId="11" fillId="8" borderId="44" xfId="0" applyNumberFormat="1" applyFont="1" applyFill="1" applyBorder="1" applyAlignment="1" applyProtection="1">
      <alignment horizontal="center" vertical="center" shrinkToFit="1"/>
    </xf>
    <xf numFmtId="166" fontId="11" fillId="8" borderId="1" xfId="0" applyNumberFormat="1" applyFont="1" applyFill="1" applyBorder="1" applyAlignment="1" applyProtection="1">
      <alignment horizontal="center" vertical="center" shrinkToFit="1"/>
    </xf>
    <xf numFmtId="166" fontId="11" fillId="8" borderId="0" xfId="0" applyNumberFormat="1" applyFont="1" applyFill="1" applyBorder="1" applyAlignment="1" applyProtection="1">
      <alignment horizontal="center" vertical="center" shrinkToFit="1"/>
    </xf>
    <xf numFmtId="0" fontId="17" fillId="3" borderId="0" xfId="0" applyFont="1" applyFill="1" applyBorder="1" applyAlignment="1" applyProtection="1">
      <alignment horizontal="center"/>
    </xf>
    <xf numFmtId="0" fontId="29" fillId="16" borderId="90" xfId="4" applyFont="1" applyFill="1" applyBorder="1" applyAlignment="1">
      <alignment horizontal="center"/>
    </xf>
    <xf numFmtId="0" fontId="29" fillId="16" borderId="89" xfId="4" applyFont="1" applyFill="1" applyBorder="1" applyAlignment="1">
      <alignment horizontal="center"/>
    </xf>
    <xf numFmtId="165" fontId="12" fillId="9" borderId="27" xfId="4" applyNumberFormat="1" applyFont="1" applyFill="1" applyBorder="1" applyAlignment="1" applyProtection="1">
      <alignment horizontal="center" vertical="center"/>
    </xf>
    <xf numFmtId="2" fontId="10" fillId="7" borderId="51" xfId="4" applyNumberFormat="1" applyFont="1" applyFill="1" applyBorder="1" applyAlignment="1" applyProtection="1">
      <alignment horizontal="center" vertical="center" shrinkToFit="1"/>
    </xf>
    <xf numFmtId="2" fontId="10" fillId="7" borderId="52" xfId="4" applyNumberFormat="1" applyFont="1" applyFill="1" applyBorder="1" applyAlignment="1" applyProtection="1">
      <alignment horizontal="center" vertical="center" shrinkToFit="1"/>
    </xf>
    <xf numFmtId="1" fontId="10" fillId="7" borderId="3" xfId="4" applyNumberFormat="1" applyFont="1" applyFill="1" applyBorder="1" applyAlignment="1" applyProtection="1">
      <alignment horizontal="center" vertical="center" shrinkToFit="1"/>
    </xf>
    <xf numFmtId="1" fontId="10" fillId="7" borderId="47" xfId="4" applyNumberFormat="1" applyFont="1" applyFill="1" applyBorder="1" applyAlignment="1" applyProtection="1">
      <alignment horizontal="center" vertical="center" shrinkToFit="1"/>
    </xf>
    <xf numFmtId="165" fontId="10" fillId="7" borderId="3" xfId="4" applyNumberFormat="1" applyFont="1" applyFill="1" applyBorder="1" applyAlignment="1" applyProtection="1">
      <alignment horizontal="center" vertical="center" shrinkToFit="1"/>
    </xf>
    <xf numFmtId="165" fontId="10" fillId="7" borderId="47" xfId="4" applyNumberFormat="1" applyFont="1" applyFill="1" applyBorder="1" applyAlignment="1" applyProtection="1">
      <alignment horizontal="center" vertical="center" shrinkToFit="1"/>
    </xf>
    <xf numFmtId="165" fontId="38" fillId="9" borderId="1" xfId="4" applyNumberFormat="1" applyFont="1" applyFill="1" applyBorder="1" applyAlignment="1" applyProtection="1">
      <alignment horizontal="center" vertical="center" shrinkToFit="1"/>
    </xf>
    <xf numFmtId="165" fontId="38" fillId="9" borderId="0" xfId="4" applyNumberFormat="1" applyFont="1" applyFill="1" applyBorder="1" applyAlignment="1" applyProtection="1">
      <alignment horizontal="center" vertical="center" shrinkToFit="1"/>
    </xf>
    <xf numFmtId="165" fontId="38" fillId="9" borderId="48" xfId="4" applyNumberFormat="1" applyFont="1" applyFill="1" applyBorder="1" applyAlignment="1" applyProtection="1">
      <alignment horizontal="center" vertical="center" shrinkToFit="1"/>
    </xf>
    <xf numFmtId="165" fontId="38" fillId="9" borderId="47" xfId="4" applyNumberFormat="1" applyFont="1" applyFill="1" applyBorder="1" applyAlignment="1" applyProtection="1">
      <alignment horizontal="center" vertical="center" shrinkToFit="1"/>
    </xf>
    <xf numFmtId="165" fontId="12" fillId="9" borderId="0" xfId="4" applyNumberFormat="1" applyFont="1" applyFill="1" applyBorder="1" applyAlignment="1" applyProtection="1">
      <alignment horizontal="center" vertical="center"/>
    </xf>
    <xf numFmtId="165" fontId="12" fillId="9" borderId="47" xfId="4" applyNumberFormat="1" applyFont="1" applyFill="1" applyBorder="1" applyAlignment="1" applyProtection="1">
      <alignment horizontal="center" vertical="center"/>
    </xf>
    <xf numFmtId="0" fontId="16" fillId="16" borderId="98" xfId="4" applyFont="1" applyFill="1" applyBorder="1" applyAlignment="1" applyProtection="1">
      <alignment horizontal="center" vertical="center"/>
    </xf>
    <xf numFmtId="0" fontId="16" fillId="16" borderId="28" xfId="4" applyFont="1" applyFill="1" applyBorder="1" applyAlignment="1" applyProtection="1">
      <alignment horizontal="center" vertical="center"/>
    </xf>
    <xf numFmtId="0" fontId="16" fillId="16" borderId="36" xfId="4" applyFont="1" applyFill="1" applyBorder="1" applyAlignment="1" applyProtection="1">
      <alignment horizontal="center" vertical="center"/>
    </xf>
    <xf numFmtId="0" fontId="17" fillId="3" borderId="0" xfId="4" applyFont="1" applyFill="1" applyBorder="1" applyAlignment="1" applyProtection="1">
      <alignment horizontal="center"/>
    </xf>
    <xf numFmtId="2" fontId="10" fillId="6" borderId="49" xfId="4" applyNumberFormat="1" applyFont="1" applyFill="1" applyBorder="1" applyAlignment="1" applyProtection="1">
      <alignment horizontal="center" vertical="center" shrinkToFit="1"/>
    </xf>
    <xf numFmtId="2" fontId="10" fillId="6" borderId="50" xfId="4" applyNumberFormat="1" applyFont="1" applyFill="1" applyBorder="1" applyAlignment="1" applyProtection="1">
      <alignment horizontal="center" vertical="center" shrinkToFit="1"/>
    </xf>
    <xf numFmtId="1" fontId="10" fillId="6" borderId="44" xfId="4" applyNumberFormat="1" applyFont="1" applyFill="1" applyBorder="1" applyAlignment="1" applyProtection="1">
      <alignment horizontal="center" vertical="center" shrinkToFit="1"/>
    </xf>
    <xf numFmtId="1" fontId="10" fillId="6" borderId="2" xfId="4" applyNumberFormat="1" applyFont="1" applyFill="1" applyBorder="1" applyAlignment="1" applyProtection="1">
      <alignment horizontal="center" vertical="center" shrinkToFit="1"/>
    </xf>
    <xf numFmtId="165" fontId="10" fillId="6" borderId="44" xfId="4" applyNumberFormat="1" applyFont="1" applyFill="1" applyBorder="1" applyAlignment="1" applyProtection="1">
      <alignment horizontal="center" vertical="center" shrinkToFit="1"/>
    </xf>
    <xf numFmtId="165" fontId="10" fillId="6" borderId="45" xfId="4" applyNumberFormat="1" applyFont="1" applyFill="1" applyBorder="1" applyAlignment="1" applyProtection="1">
      <alignment horizontal="center" vertical="center" shrinkToFit="1"/>
    </xf>
    <xf numFmtId="165" fontId="10" fillId="6" borderId="2" xfId="4" applyNumberFormat="1" applyFont="1" applyFill="1" applyBorder="1" applyAlignment="1" applyProtection="1">
      <alignment horizontal="center" vertical="center" shrinkToFit="1"/>
    </xf>
    <xf numFmtId="165" fontId="10" fillId="6" borderId="4" xfId="4" applyNumberFormat="1" applyFont="1" applyFill="1" applyBorder="1" applyAlignment="1" applyProtection="1">
      <alignment horizontal="center" vertical="center" shrinkToFit="1"/>
    </xf>
    <xf numFmtId="166" fontId="10" fillId="8" borderId="1" xfId="4" applyNumberFormat="1" applyFont="1" applyFill="1" applyBorder="1" applyAlignment="1" applyProtection="1">
      <alignment horizontal="center" vertical="center" shrinkToFit="1"/>
    </xf>
    <xf numFmtId="166" fontId="10" fillId="8" borderId="0" xfId="4" applyNumberFormat="1" applyFont="1" applyFill="1" applyBorder="1" applyAlignment="1" applyProtection="1">
      <alignment horizontal="center" vertical="center" shrinkToFit="1"/>
    </xf>
    <xf numFmtId="0" fontId="12" fillId="9" borderId="0" xfId="4" applyNumberFormat="1" applyFont="1" applyFill="1" applyBorder="1" applyAlignment="1" applyProtection="1">
      <alignment horizontal="center" vertical="center"/>
    </xf>
    <xf numFmtId="0" fontId="27" fillId="12" borderId="28" xfId="3" applyFont="1" applyFill="1" applyBorder="1" applyAlignment="1" applyProtection="1">
      <alignment horizontal="center" vertical="center" shrinkToFit="1"/>
    </xf>
    <xf numFmtId="0" fontId="27" fillId="12" borderId="0" xfId="3" applyFont="1" applyFill="1" applyBorder="1" applyAlignment="1" applyProtection="1">
      <alignment horizontal="center" vertical="center" shrinkToFit="1"/>
    </xf>
    <xf numFmtId="0" fontId="27" fillId="12" borderId="25" xfId="3" applyFont="1" applyFill="1" applyBorder="1" applyAlignment="1" applyProtection="1">
      <alignment horizontal="center" vertical="center" shrinkToFit="1"/>
    </xf>
    <xf numFmtId="164" fontId="39" fillId="12" borderId="28" xfId="3" applyNumberFormat="1" applyFont="1" applyFill="1" applyBorder="1" applyAlignment="1" applyProtection="1">
      <alignment horizontal="center" vertical="center" shrinkToFit="1"/>
    </xf>
    <xf numFmtId="164" fontId="39" fillId="12" borderId="29" xfId="3" applyNumberFormat="1" applyFont="1" applyFill="1" applyBorder="1" applyAlignment="1" applyProtection="1">
      <alignment horizontal="center" vertical="center" shrinkToFit="1"/>
    </xf>
    <xf numFmtId="164" fontId="39" fillId="12" borderId="0" xfId="3" applyNumberFormat="1" applyFont="1" applyFill="1" applyBorder="1" applyAlignment="1" applyProtection="1">
      <alignment horizontal="center" vertical="center" shrinkToFit="1"/>
    </xf>
    <xf numFmtId="164" fontId="39" fillId="12" borderId="27" xfId="3" applyNumberFormat="1" applyFont="1" applyFill="1" applyBorder="1" applyAlignment="1" applyProtection="1">
      <alignment horizontal="center" vertical="center" shrinkToFit="1"/>
    </xf>
    <xf numFmtId="164" fontId="39" fillId="12" borderId="25" xfId="3" applyNumberFormat="1" applyFont="1" applyFill="1" applyBorder="1" applyAlignment="1" applyProtection="1">
      <alignment horizontal="center" vertical="center" shrinkToFit="1"/>
    </xf>
    <xf numFmtId="164" fontId="39" fillId="12" borderId="30" xfId="3" applyNumberFormat="1" applyFont="1" applyFill="1" applyBorder="1" applyAlignment="1" applyProtection="1">
      <alignment horizontal="center" vertical="center" shrinkToFit="1"/>
    </xf>
    <xf numFmtId="0" fontId="27" fillId="12" borderId="98" xfId="3" quotePrefix="1" applyFont="1" applyFill="1" applyBorder="1" applyAlignment="1" applyProtection="1">
      <alignment horizontal="center" vertical="center" shrinkToFit="1"/>
    </xf>
    <xf numFmtId="0" fontId="27" fillId="12" borderId="36" xfId="3" applyFont="1" applyFill="1" applyBorder="1" applyAlignment="1" applyProtection="1">
      <alignment horizontal="center" vertical="center" shrinkToFit="1"/>
    </xf>
    <xf numFmtId="0" fontId="27" fillId="12" borderId="20" xfId="3" applyFont="1" applyFill="1" applyBorder="1" applyAlignment="1" applyProtection="1">
      <alignment horizontal="center" vertical="center" shrinkToFit="1"/>
    </xf>
    <xf numFmtId="0" fontId="27" fillId="12" borderId="35" xfId="3" applyFont="1" applyFill="1" applyBorder="1" applyAlignment="1" applyProtection="1">
      <alignment horizontal="center" vertical="center" shrinkToFit="1"/>
    </xf>
    <xf numFmtId="0" fontId="40" fillId="15" borderId="0" xfId="4" applyFont="1" applyFill="1" applyBorder="1"/>
    <xf numFmtId="0" fontId="40" fillId="15" borderId="0" xfId="4" applyFont="1" applyFill="1"/>
    <xf numFmtId="165" fontId="40" fillId="15" borderId="0" xfId="4" applyNumberFormat="1" applyFont="1" applyFill="1" applyBorder="1"/>
    <xf numFmtId="0" fontId="40" fillId="15" borderId="34" xfId="4" applyFont="1" applyFill="1" applyBorder="1"/>
    <xf numFmtId="0" fontId="41" fillId="15" borderId="34" xfId="4" applyFont="1" applyFill="1" applyBorder="1" applyAlignment="1">
      <alignment horizontal="center" vertical="center"/>
    </xf>
    <xf numFmtId="0" fontId="41" fillId="15" borderId="0" xfId="4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Normal 2 3" xfId="3"/>
    <cellStyle name="Normal 3" xfId="4"/>
  </cellStyles>
  <dxfs count="159"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2060"/>
          </stop>
          <stop position="1">
            <color rgb="FF00000F"/>
          </stop>
        </gradientFill>
      </fill>
    </dxf>
  </dxfs>
  <tableStyles count="0" defaultTableStyle="TableStyleMedium2" defaultPivotStyle="PivotStyleLight16"/>
  <colors>
    <mruColors>
      <color rgb="FF00000F"/>
      <color rgb="FF00007D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2.7724285700000002</v>
        <stp/>
        <stp>StudyData</stp>
        <stp>Bar(((NGEJ19+NGEK19+NGEM19+NGEN19+NGEQ19+NGEU19+NGEV19)/7),1)</stp>
        <stp>Bar</stp>
        <stp/>
        <stp>LOw</stp>
        <stp>D</stp>
        <stp>-15</stp>
        <stp/>
        <stp/>
        <stp/>
        <stp/>
        <stp>T</stp>
        <tr r="AM17" s="14"/>
      </tp>
      <tp>
        <v>2.7204285700000002</v>
        <stp/>
        <stp>StudyData</stp>
        <stp>Bar(((NGEJ19+NGEK19+NGEM19+NGEN19+NGEQ19+NGEU19+NGEV19)/7),1)</stp>
        <stp>Bar</stp>
        <stp/>
        <stp>LOw</stp>
        <stp>D</stp>
        <stp>-25</stp>
        <stp/>
        <stp/>
        <stp/>
        <stp/>
        <stp>T</stp>
        <tr r="AM27" s="14"/>
      </tp>
      <tp>
        <v>2.7002857100000002</v>
        <stp/>
        <stp>StudyData</stp>
        <stp>Bar(((NGEJ19+NGEK19+NGEM19+NGEN19+NGEQ19+NGEU19+NGEV19)/7),1)</stp>
        <stp>Bar</stp>
        <stp/>
        <stp>LOw</stp>
        <stp>D</stp>
        <stp>-35</stp>
        <stp/>
        <stp/>
        <stp/>
        <stp/>
        <stp>T</stp>
        <tr r="AM37" s="14"/>
      </tp>
      <tp>
        <v>2.9421428600000001</v>
        <stp/>
        <stp>StudyData</stp>
        <stp>Bar(((NGEJ18+NGEK18+NGEM18+NGEN18+NGEQ18+NGEU18+NGEV18)/7),1)</stp>
        <stp>Bar</stp>
        <stp/>
        <stp>LOw</stp>
        <stp>D</stp>
        <stp>-15</stp>
        <stp/>
        <stp/>
        <stp/>
        <stp/>
        <stp>T</stp>
        <tr r="R17" s="14"/>
      </tp>
      <tp>
        <v>2.8782857100000001</v>
        <stp/>
        <stp>StudyData</stp>
        <stp>Bar(((NGEJ18+NGEK18+NGEM18+NGEN18+NGEQ18+NGEU18+NGEV18)/7),1)</stp>
        <stp>Bar</stp>
        <stp/>
        <stp>LOw</stp>
        <stp>D</stp>
        <stp>-25</stp>
        <stp/>
        <stp/>
        <stp/>
        <stp/>
        <stp>T</stp>
        <tr r="R27" s="14"/>
      </tp>
      <tp>
        <v>2.8661428600000001</v>
        <stp/>
        <stp>StudyData</stp>
        <stp>Bar(((NGEJ18+NGEK18+NGEM18+NGEN18+NGEQ18+NGEU18+NGEV18)/7),1)</stp>
        <stp>Bar</stp>
        <stp/>
        <stp>LOw</stp>
        <stp>D</stp>
        <stp>-35</stp>
        <stp/>
        <stp/>
        <stp/>
        <stp/>
        <stp>T</stp>
        <tr r="R37" s="14"/>
      </tp>
      <tp>
        <v>2.9470000000000001</v>
        <stp/>
        <stp>StudyData</stp>
        <stp>Close(NGEK18)when (LocalMonth(NGEK18)=9 and LocalDay(NGEK18)=18 and LocalYear(NGEK18)=2017)</stp>
        <stp>Bar</stp>
        <stp/>
        <stp>Close</stp>
        <stp>D</stp>
        <stp>0</stp>
        <stp>ALL</stp>
        <stp/>
        <stp/>
        <stp>FALSE</stp>
        <stp>T</stp>
        <tr r="E17" s="15"/>
      </tp>
      <tp>
        <v>2.7490000000000001</v>
        <stp/>
        <stp>StudyData</stp>
        <stp>Close(NGEK19)when (LocalMonth(NGEK19)=9 and LocalDay(NGEK19)=18 and LocalYear(NGEK19)=2017)</stp>
        <stp>Bar</stp>
        <stp/>
        <stp>Close</stp>
        <stp>D</stp>
        <stp>0</stp>
        <stp>ALL</stp>
        <stp/>
        <stp/>
        <stp>FALSE</stp>
        <stp>T</stp>
        <tr r="E39" s="15"/>
      </tp>
      <tp>
        <v>3.0739999999999998</v>
        <stp/>
        <stp>StudyData</stp>
        <stp>Bar(((NGEX18+NGEZ18+NGEF19+NGEG19+NGEH19)/5),1)</stp>
        <stp>Bar</stp>
        <stp/>
        <stp>Open</stp>
        <stp>D</stp>
        <stp>-40</stp>
        <stp/>
        <stp/>
        <stp/>
        <stp/>
        <stp>T</stp>
        <tr r="X42" s="14"/>
      </tp>
      <tp>
        <v>3.0926</v>
        <stp/>
        <stp>StudyData</stp>
        <stp>Bar(((NGEX18+NGEZ18+NGEF19+NGEG19+NGEH19)/5),1)</stp>
        <stp>Bar</stp>
        <stp/>
        <stp>Open</stp>
        <stp>D</stp>
        <stp>-30</stp>
        <stp/>
        <stp/>
        <stp/>
        <stp/>
        <stp>T</stp>
        <tr r="X32" s="14"/>
      </tp>
      <tp>
        <v>3.1236000000000002</v>
        <stp/>
        <stp>StudyData</stp>
        <stp>Bar(((NGEX18+NGEZ18+NGEF19+NGEG19+NGEH19)/5),1)</stp>
        <stp>Bar</stp>
        <stp/>
        <stp>Open</stp>
        <stp>D</stp>
        <stp>-20</stp>
        <stp/>
        <stp/>
        <stp/>
        <stp/>
        <stp>T</stp>
        <tr r="X22" s="14"/>
      </tp>
      <tp>
        <v>3.1432000000000002</v>
        <stp/>
        <stp>StudyData</stp>
        <stp>Bar(((NGEX18+NGEZ18+NGEF19+NGEG19+NGEH19)/5),1)</stp>
        <stp>Bar</stp>
        <stp/>
        <stp>Open</stp>
        <stp>D</stp>
        <stp>-10</stp>
        <stp/>
        <stp/>
        <stp/>
        <stp/>
        <stp>T</stp>
        <tr r="X12" s="14"/>
      </tp>
      <tp>
        <v>2.9504285700000001</v>
        <stp/>
        <stp>StudyData</stp>
        <stp>Bar(((NGEJ18+NGEK18+NGEM18+NGEN18+NGEQ18+NGEU18+NGEV18)/7),1)</stp>
        <stp>Bar</stp>
        <stp/>
        <stp>Close</stp>
        <stp>D</stp>
        <stp>-7</stp>
        <stp/>
        <stp/>
        <stp/>
        <stp/>
        <stp>T</stp>
        <tr r="S9" s="14"/>
      </tp>
      <tp>
        <v>2.7492857100000001</v>
        <stp/>
        <stp>StudyData</stp>
        <stp>Bar(((NGEJ19+NGEK19+NGEM19+NGEN19+NGEQ19+NGEU19+NGEV19)/7),1)</stp>
        <stp>Bar</stp>
        <stp/>
        <stp>Close</stp>
        <stp>D</stp>
        <stp>-6</stp>
        <stp/>
        <stp/>
        <stp/>
        <stp/>
        <stp>T</stp>
        <tr r="AN8" s="14"/>
      </tp>
      <tp>
        <v>-2.8000000000000001E-2</v>
        <stp/>
        <stp>StudyData</stp>
        <stp>Close(NGES4??7)when (LocalMonth(NGES4??7)=9 and LocalDay(NGES4??7)=14 and LocalYear(NGES4??7)=2017)</stp>
        <stp>Bar</stp>
        <stp/>
        <stp>Close</stp>
        <stp>D</stp>
        <stp>0</stp>
        <stp>ALL</stp>
        <stp/>
        <stp/>
        <stp>FALSE</stp>
        <stp>T</stp>
        <tr r="K22" s="9"/>
      </tp>
      <tp>
        <v>0.01</v>
        <stp/>
        <stp>StudyData</stp>
        <stp>Close(NGES5??6)when (LocalMonth(NGES5??6)=9 and LocalDay(NGES5??6)=14 and LocalYear(NGES5??6)=2017)</stp>
        <stp>Bar</stp>
        <stp/>
        <stp>Close</stp>
        <stp>D</stp>
        <stp>0</stp>
        <stp>ALL</stp>
        <stp/>
        <stp/>
        <stp>FALSE</stp>
        <stp>T</stp>
        <tr r="K21" s="10"/>
      </tp>
      <tp>
        <v>0.37</v>
        <stp/>
        <stp>StudyData</stp>
        <stp>Close(NGES6??5)when (LocalMonth(NGES6??5)=9 and LocalDay(NGES6??5)=14 and LocalYear(NGES6??5)=2017)</stp>
        <stp>Bar</stp>
        <stp/>
        <stp>Close</stp>
        <stp>D</stp>
        <stp>0</stp>
        <stp>ALL</stp>
        <stp/>
        <stp/>
        <stp>FALSE</stp>
        <stp>T</stp>
        <tr r="K20" s="11"/>
      </tp>
      <tp>
        <v>-0.1</v>
        <stp/>
        <stp>StudyData</stp>
        <stp>Close(NGES1??2)when (LocalMonth(NGES1??2)=9 and LocalDay(NGES1??2)=14 and LocalYear(NGES1??2)=2017)</stp>
        <stp>Bar</stp>
        <stp/>
        <stp>Close</stp>
        <stp>D</stp>
        <stp>0</stp>
        <stp>ALL</stp>
        <stp/>
        <stp/>
        <stp>FALSE</stp>
        <stp>T</stp>
        <tr r="K17" s="6"/>
      </tp>
      <tp>
        <v>-0.24399999999999999</v>
        <stp/>
        <stp>StudyData</stp>
        <stp>Close(NGES2??1)when (LocalMonth(NGES2??1)=9 and LocalDay(NGES2??1)=14 and LocalYear(NGES2??1)=2017)</stp>
        <stp>Bar</stp>
        <stp/>
        <stp>Close</stp>
        <stp>D</stp>
        <stp>0</stp>
        <stp>ALL</stp>
        <stp/>
        <stp/>
        <stp>FALSE</stp>
        <stp>T</stp>
        <tr r="K16" s="7"/>
      </tp>
      <tp t="s">
        <v>Natural Gas (Globex) Calendar Spread 1, Dec 17, Jan 18</v>
        <stp/>
        <stp>ContractData</stp>
        <stp>NGES1Z7</stp>
        <stp>LongDescription</stp>
        <tr r="B30" s="2"/>
      </tp>
      <tp t="s">
        <v>Natural Gas (Globex) Calendar Spread 1, Nov 17, Dec 17</v>
        <stp/>
        <stp>ContractData</stp>
        <stp>NGES1X7</stp>
        <stp>LongDescription</stp>
        <tr r="B29" s="2"/>
      </tp>
      <tp t="s">
        <v>Natural Gas (Globex) Calendar Spread 1, Aug 18, Sep 18</v>
        <stp/>
        <stp>ContractData</stp>
        <stp>NGES1Q8</stp>
        <stp>LongDescription</stp>
        <tr r="B38" s="2"/>
      </tp>
      <tp t="s">
        <v>Natural Gas (Globex) Calendar Spread 1, Oct 18, Nov 18</v>
        <stp/>
        <stp>ContractData</stp>
        <stp>NGES1V8</stp>
        <stp>LongDescription</stp>
        <tr r="B40" s="2"/>
      </tp>
      <tp t="s">
        <v>Natural Gas (Globex) Calendar Spread 1, Sep 18, Oct 18</v>
        <stp/>
        <stp>ContractData</stp>
        <stp>NGES1U8</stp>
        <stp>LongDescription</stp>
        <tr r="B39" s="2"/>
      </tp>
      <tp t="s">
        <v>Natural Gas (Globex) Calendar Spread 1, May 18, Jun 18</v>
        <stp/>
        <stp>ContractData</stp>
        <stp>NGES1K8</stp>
        <stp>LongDescription</stp>
        <tr r="B35" s="2"/>
      </tp>
      <tp t="s">
        <v>Natural Gas (Globex) Calendar Spread 1, Apr 18, May 18</v>
        <stp/>
        <stp>ContractData</stp>
        <stp>NGES1J8</stp>
        <stp>LongDescription</stp>
        <tr r="B34" s="2"/>
      </tp>
      <tp t="s">
        <v>Natural Gas (Globex) Calendar Spread 1, Mar 18, Apr 18</v>
        <stp/>
        <stp>ContractData</stp>
        <stp>NGES1H8</stp>
        <stp>LongDescription</stp>
        <tr r="B33" s="2"/>
      </tp>
      <tp t="s">
        <v>Natural Gas (Globex) Calendar Spread 1, Jul 18, Aug 18</v>
        <stp/>
        <stp>ContractData</stp>
        <stp>NGES1N8</stp>
        <stp>LongDescription</stp>
        <tr r="B37" s="2"/>
      </tp>
      <tp t="s">
        <v>Natural Gas (Globex) Calendar Spread 1, Jun 18, Jul 18</v>
        <stp/>
        <stp>ContractData</stp>
        <stp>NGES1M8</stp>
        <stp>LongDescription</stp>
        <tr r="B36" s="2"/>
      </tp>
      <tp t="s">
        <v>Natural Gas (Globex) Calendar Spread 1, Feb 18, Mar 18</v>
        <stp/>
        <stp>ContractData</stp>
        <stp>NGES1G8</stp>
        <stp>LongDescription</stp>
        <tr r="B32" s="2"/>
      </tp>
      <tp t="s">
        <v>Natural Gas (Globex) Calendar Spread 1, Jan 18, Feb 18</v>
        <stp/>
        <stp>ContractData</stp>
        <stp>NGES1F8</stp>
        <stp>LongDescription</stp>
        <tr r="B31" s="2"/>
      </tp>
      <tp>
        <v>2.8815714300000002</v>
        <stp/>
        <stp>StudyData</stp>
        <stp>Bar(((NGEJ18+NGEK18+NGEM18+NGEN18+NGEQ18+NGEU18+NGEV18)/7),1)</stp>
        <stp>Bar</stp>
        <stp/>
        <stp>Close</stp>
        <stp>D</stp>
        <stp>-35</stp>
        <stp/>
        <stp/>
        <stp/>
        <stp/>
        <stp>T</stp>
        <tr r="S37" s="14"/>
      </tp>
      <tp>
        <v>2.7357142900000002</v>
        <stp/>
        <stp>StudyData</stp>
        <stp>Bar(((NGEJ19+NGEK19+NGEM19+NGEN19+NGEQ19+NGEU19+NGEV19)/7),1)</stp>
        <stp>Bar</stp>
        <stp/>
        <stp>Close</stp>
        <stp>D</stp>
        <stp>-25</stp>
        <stp/>
        <stp/>
        <stp/>
        <stp/>
        <stp>T</stp>
        <tr r="AN27" s="14"/>
      </tp>
      <tp>
        <v>2.9157142899999999</v>
        <stp/>
        <stp>StudyData</stp>
        <stp>Bar(((NGEJ18+NGEK18+NGEM18+NGEN18+NGEQ18+NGEU18+NGEV18)/7),1)</stp>
        <stp>Bar</stp>
        <stp/>
        <stp>Close</stp>
        <stp>D</stp>
        <stp>-25</stp>
        <stp/>
        <stp/>
        <stp/>
        <stp/>
        <stp>T</stp>
        <tr r="S27" s="14"/>
      </tp>
      <tp>
        <v>2.7092857100000001</v>
        <stp/>
        <stp>StudyData</stp>
        <stp>Bar(((NGEJ19+NGEK19+NGEM19+NGEN19+NGEQ19+NGEU19+NGEV19)/7),1)</stp>
        <stp>Bar</stp>
        <stp/>
        <stp>Close</stp>
        <stp>D</stp>
        <stp>-35</stp>
        <stp/>
        <stp/>
        <stp/>
        <stp/>
        <stp>T</stp>
        <tr r="AN37" s="14"/>
      </tp>
      <tp>
        <v>2.9604285699999999</v>
        <stp/>
        <stp>StudyData</stp>
        <stp>Bar(((NGEJ18+NGEK18+NGEM18+NGEN18+NGEQ18+NGEU18+NGEV18)/7),1)</stp>
        <stp>Bar</stp>
        <stp/>
        <stp>Close</stp>
        <stp>D</stp>
        <stp>-15</stp>
        <stp/>
        <stp/>
        <stp/>
        <stp/>
        <stp>T</stp>
        <tr r="S17" s="14"/>
      </tp>
      <tp>
        <v>2.7775714300000001</v>
        <stp/>
        <stp>StudyData</stp>
        <stp>Bar(((NGEJ19+NGEK19+NGEM19+NGEN19+NGEQ19+NGEU19+NGEV19)/7),1)</stp>
        <stp>Bar</stp>
        <stp/>
        <stp>Close</stp>
        <stp>D</stp>
        <stp>-15</stp>
        <stp/>
        <stp/>
        <stp/>
        <stp/>
        <stp>T</stp>
        <tr r="AN17" s="14"/>
      </tp>
      <tp>
        <v>2.7075714299999998</v>
        <stp/>
        <stp>StudyData</stp>
        <stp>Bar(((NGEJ19+NGEK19+NGEM19+NGEN19+NGEQ19+NGEU19+NGEV19)/7),1)</stp>
        <stp>Bar</stp>
        <stp/>
        <stp>LOw</stp>
        <stp>D</stp>
        <stp>-44</stp>
        <stp/>
        <stp/>
        <stp/>
        <stp/>
        <stp>T</stp>
        <tr r="AM46" s="14"/>
      </tp>
      <tp>
        <v>2.7771428600000001</v>
        <stp/>
        <stp>StudyData</stp>
        <stp>Bar(((NGEJ19+NGEK19+NGEM19+NGEN19+NGEQ19+NGEU19+NGEV19)/7),1)</stp>
        <stp>Bar</stp>
        <stp/>
        <stp>LOw</stp>
        <stp>D</stp>
        <stp>-14</stp>
        <stp/>
        <stp/>
        <stp/>
        <stp/>
        <stp>T</stp>
        <tr r="AM16" s="14"/>
      </tp>
      <tp>
        <v>2.7308571399999999</v>
        <stp/>
        <stp>StudyData</stp>
        <stp>Bar(((NGEJ19+NGEK19+NGEM19+NGEN19+NGEQ19+NGEU19+NGEV19)/7),1)</stp>
        <stp>Bar</stp>
        <stp/>
        <stp>LOw</stp>
        <stp>D</stp>
        <stp>-24</stp>
        <stp/>
        <stp/>
        <stp/>
        <stp/>
        <stp>T</stp>
        <tr r="AM26" s="14"/>
      </tp>
      <tp>
        <v>2.7085714300000001</v>
        <stp/>
        <stp>StudyData</stp>
        <stp>Bar(((NGEJ19+NGEK19+NGEM19+NGEN19+NGEQ19+NGEU19+NGEV19)/7),1)</stp>
        <stp>Bar</stp>
        <stp/>
        <stp>LOw</stp>
        <stp>D</stp>
        <stp>-34</stp>
        <stp/>
        <stp/>
        <stp/>
        <stp/>
        <stp>T</stp>
        <tr r="AM36" s="14"/>
      </tp>
      <tp>
        <v>2.8260000000000001</v>
        <stp/>
        <stp>StudyData</stp>
        <stp>Bar(((NGEJ18+NGEK18+NGEM18+NGEN18+NGEQ18+NGEU18+NGEV18)/7),1)</stp>
        <stp>Bar</stp>
        <stp/>
        <stp>LOw</stp>
        <stp>D</stp>
        <stp>-44</stp>
        <stp/>
        <stp/>
        <stp/>
        <stp/>
        <stp>T</stp>
        <tr r="R46" s="14"/>
      </tp>
      <tp>
        <v>2.9648571399999999</v>
        <stp/>
        <stp>StudyData</stp>
        <stp>Bar(((NGEJ18+NGEK18+NGEM18+NGEN18+NGEQ18+NGEU18+NGEV18)/7),1)</stp>
        <stp>Bar</stp>
        <stp/>
        <stp>LOw</stp>
        <stp>D</stp>
        <stp>-14</stp>
        <stp/>
        <stp/>
        <stp/>
        <stp/>
        <stp>T</stp>
        <tr r="R16" s="14"/>
      </tp>
      <tp>
        <v>2.9057142900000001</v>
        <stp/>
        <stp>StudyData</stp>
        <stp>Bar(((NGEJ18+NGEK18+NGEM18+NGEN18+NGEQ18+NGEU18+NGEV18)/7),1)</stp>
        <stp>Bar</stp>
        <stp/>
        <stp>LOw</stp>
        <stp>D</stp>
        <stp>-24</stp>
        <stp/>
        <stp/>
        <stp/>
        <stp/>
        <stp>T</stp>
        <tr r="R26" s="14"/>
      </tp>
      <tp>
        <v>2.8738571400000001</v>
        <stp/>
        <stp>StudyData</stp>
        <stp>Bar(((NGEJ18+NGEK18+NGEM18+NGEN18+NGEQ18+NGEU18+NGEV18)/7),1)</stp>
        <stp>Bar</stp>
        <stp/>
        <stp>LOw</stp>
        <stp>D</stp>
        <stp>-34</stp>
        <stp/>
        <stp/>
        <stp/>
        <stp/>
        <stp>T</stp>
        <tr r="R36" s="14"/>
      </tp>
      <tp>
        <v>2.9860000000000002</v>
        <stp/>
        <stp>StudyData</stp>
        <stp>Close(NGEJ18)when (LocalMonth(NGEJ18)=9 and LocalDay(NGEJ18)=18 and LocalYear(NGEJ18)=2017)</stp>
        <stp>Bar</stp>
        <stp/>
        <stp>Close</stp>
        <stp>D</stp>
        <stp>0</stp>
        <stp>ALL</stp>
        <stp/>
        <stp/>
        <stp>FALSE</stp>
        <stp>T</stp>
        <tr r="E16" s="15"/>
      </tp>
      <tp>
        <v>2.7850000000000001</v>
        <stp/>
        <stp>StudyData</stp>
        <stp>Close(NGEJ19)when (LocalMonth(NGEJ19)=9 and LocalDay(NGEJ19)=18 and LocalYear(NGEJ19)=2017)</stp>
        <stp>Bar</stp>
        <stp/>
        <stp>Close</stp>
        <stp>D</stp>
        <stp>0</stp>
        <stp>ALL</stp>
        <stp/>
        <stp/>
        <stp>FALSE</stp>
        <stp>T</stp>
        <tr r="E38" s="15"/>
      </tp>
      <tp>
        <v>3.0676000000000001</v>
        <stp/>
        <stp>StudyData</stp>
        <stp>Bar(((NGEX18+NGEZ18+NGEF19+NGEG19+NGEH19)/5),1)</stp>
        <stp>Bar</stp>
        <stp/>
        <stp>Open</stp>
        <stp>D</stp>
        <stp>-41</stp>
        <stp/>
        <stp/>
        <stp/>
        <stp/>
        <stp>T</stp>
        <tr r="X43" s="14"/>
      </tp>
      <tp>
        <v>3.09</v>
        <stp/>
        <stp>StudyData</stp>
        <stp>Bar(((NGEX18+NGEZ18+NGEF19+NGEG19+NGEH19)/5),1)</stp>
        <stp>Bar</stp>
        <stp/>
        <stp>Open</stp>
        <stp>D</stp>
        <stp>-31</stp>
        <stp/>
        <stp/>
        <stp/>
        <stp/>
        <stp>T</stp>
        <tr r="X33" s="14"/>
      </tp>
      <tp>
        <v>3.1160000000000001</v>
        <stp/>
        <stp>StudyData</stp>
        <stp>Bar(((NGEX18+NGEZ18+NGEF19+NGEG19+NGEH19)/5),1)</stp>
        <stp>Bar</stp>
        <stp/>
        <stp>Open</stp>
        <stp>D</stp>
        <stp>-21</stp>
        <stp/>
        <stp/>
        <stp/>
        <stp/>
        <stp>T</stp>
        <tr r="X23" s="14"/>
      </tp>
      <tp>
        <v>3.1829999999999998</v>
        <stp/>
        <stp>StudyData</stp>
        <stp>Bar(((NGEX18+NGEZ18+NGEF19+NGEG19+NGEH19)/5),1)</stp>
        <stp>Bar</stp>
        <stp/>
        <stp>Open</stp>
        <stp>D</stp>
        <stp>-11</stp>
        <stp/>
        <stp/>
        <stp/>
        <stp/>
        <stp>T</stp>
        <tr r="X13" s="14"/>
      </tp>
      <tp>
        <v>2.9407142899999998</v>
        <stp/>
        <stp>StudyData</stp>
        <stp>Bar(((NGEJ18+NGEK18+NGEM18+NGEN18+NGEQ18+NGEU18+NGEV18)/7),1)</stp>
        <stp>Bar</stp>
        <stp/>
        <stp>Close</stp>
        <stp>D</stp>
        <stp>-6</stp>
        <stp/>
        <stp/>
        <stp/>
        <stp/>
        <stp>T</stp>
        <tr r="S8" s="14"/>
      </tp>
      <tp>
        <v>2.7709999999999999</v>
        <stp/>
        <stp>StudyData</stp>
        <stp>Bar(((NGEJ19+NGEK19+NGEM19+NGEN19+NGEQ19+NGEU19+NGEV19)/7),1)</stp>
        <stp>Bar</stp>
        <stp/>
        <stp>Close</stp>
        <stp>D</stp>
        <stp>-7</stp>
        <stp/>
        <stp/>
        <stp/>
        <stp/>
        <stp>T</stp>
        <tr r="AN9" s="14"/>
      </tp>
      <tp>
        <v>-1.2999999999999999E-2</v>
        <stp/>
        <stp>StudyData</stp>
        <stp>Close(NGES4??6)when (LocalMonth(NGES4??6)=9 and LocalDay(NGES4??6)=14 and LocalYear(NGES4??6)=2017)</stp>
        <stp>Bar</stp>
        <stp/>
        <stp>Close</stp>
        <stp>D</stp>
        <stp>0</stp>
        <stp>ALL</stp>
        <stp/>
        <stp/>
        <stp>FALSE</stp>
        <stp>T</stp>
        <tr r="K21" s="9"/>
      </tp>
      <tp>
        <v>-0.05</v>
        <stp/>
        <stp>StudyData</stp>
        <stp>Close(NGES5??7)when (LocalMonth(NGES5??7)=9 and LocalDay(NGES5??7)=14 and LocalYear(NGES5??7)=2017)</stp>
        <stp>Bar</stp>
        <stp/>
        <stp>Close</stp>
        <stp>D</stp>
        <stp>0</stp>
        <stp>ALL</stp>
        <stp/>
        <stp/>
        <stp>FALSE</stp>
        <stp>T</stp>
        <tr r="K22" s="10"/>
      </tp>
      <tp>
        <v>0.39700000000000002</v>
        <stp/>
        <stp>StudyData</stp>
        <stp>Close(NGES6??4)when (LocalMonth(NGES6??4)=9 and LocalDay(NGES6??4)=14 and LocalYear(NGES6??4)=2017)</stp>
        <stp>Bar</stp>
        <stp/>
        <stp>Close</stp>
        <stp>D</stp>
        <stp>0</stp>
        <stp>ALL</stp>
        <stp/>
        <stp/>
        <stp>FALSE</stp>
        <stp>T</stp>
        <tr r="K19" s="11"/>
      </tp>
      <tp>
        <v>1E-3</v>
        <stp/>
        <stp>StudyData</stp>
        <stp>Close(NGES1??3)when (LocalMonth(NGES1??3)=9 and LocalDay(NGES1??3)=14 and LocalYear(NGES1??3)=2017)</stp>
        <stp>Bar</stp>
        <stp/>
        <stp>Close</stp>
        <stp>D</stp>
        <stp>0</stp>
        <stp>ALL</stp>
        <stp/>
        <stp/>
        <stp>FALSE</stp>
        <stp>T</stp>
        <tr r="K18" s="6"/>
      </tp>
      <tp>
        <v>-0.24299999999999999</v>
        <stp/>
        <stp>StudyData</stp>
        <stp>Close(NGES3??1)when (LocalMonth(NGES3??1)=9 and LocalDay(NGES3??1)=14 and LocalYear(NGES3??1)=2017)</stp>
        <stp>Bar</stp>
        <stp/>
        <stp>Close</stp>
        <stp>D</stp>
        <stp>0</stp>
        <stp>ALL</stp>
        <stp/>
        <stp/>
        <stp>FALSE</stp>
        <stp>T</stp>
        <tr r="K16" s="8"/>
      </tp>
      <tp>
        <v>3.1006</v>
        <stp/>
        <stp>StudyData</stp>
        <stp>Bar(((NGEX17+NGEZ17+NGEF18+NGEG18+NGEH18)/5),1)</stp>
        <stp>Bar</stp>
        <stp/>
        <stp>LOw</stp>
        <stp>D</stp>
        <stp>0</stp>
        <stp/>
        <stp/>
        <stp/>
        <stp/>
        <stp>T</stp>
        <tr r="E2" s="14"/>
      </tp>
      <tp>
        <v>3.1006</v>
        <stp/>
        <stp>StudyData</stp>
        <stp>Bar(((NGEX17+NGEZ17+NGEF18+NGEG18+NGEH18)/5),1)</stp>
        <stp>Bar</stp>
        <stp/>
        <stp>Low</stp>
        <stp>D</stp>
        <stp>0</stp>
        <stp/>
        <stp/>
        <stp/>
        <stp/>
        <stp>T</stp>
        <tr r="E12" s="13"/>
      </tp>
      <tp>
        <v>2.70985714</v>
        <stp/>
        <stp>StudyData</stp>
        <stp>Bar(((NGEJ19+NGEK19+NGEM19+NGEN19+NGEQ19+NGEU19+NGEV19)/7),1)</stp>
        <stp>Bar</stp>
        <stp/>
        <stp>Close</stp>
        <stp>D</stp>
        <stp>-44</stp>
        <stp/>
        <stp/>
        <stp/>
        <stp/>
        <stp>T</stp>
        <tr r="AN46" s="14"/>
      </tp>
      <tp>
        <v>2.8394285699999999</v>
        <stp/>
        <stp>StudyData</stp>
        <stp>Bar(((NGEJ18+NGEK18+NGEM18+NGEN18+NGEQ18+NGEU18+NGEV18)/7),1)</stp>
        <stp>Bar</stp>
        <stp/>
        <stp>Close</stp>
        <stp>D</stp>
        <stp>-44</stp>
        <stp/>
        <stp/>
        <stp/>
        <stp/>
        <stp>T</stp>
        <tr r="S46" s="14"/>
      </tp>
      <tp>
        <v>2.8841428599999999</v>
        <stp/>
        <stp>StudyData</stp>
        <stp>Bar(((NGEJ18+NGEK18+NGEM18+NGEN18+NGEQ18+NGEU18+NGEV18)/7),1)</stp>
        <stp>Bar</stp>
        <stp/>
        <stp>Close</stp>
        <stp>D</stp>
        <stp>-34</stp>
        <stp/>
        <stp/>
        <stp/>
        <stp/>
        <stp>T</stp>
        <tr r="S36" s="14"/>
      </tp>
      <tp>
        <v>2.7357142900000002</v>
        <stp/>
        <stp>StudyData</stp>
        <stp>Bar(((NGEJ19+NGEK19+NGEM19+NGEN19+NGEQ19+NGEU19+NGEV19)/7),1)</stp>
        <stp>Bar</stp>
        <stp/>
        <stp>Close</stp>
        <stp>D</stp>
        <stp>-24</stp>
        <stp/>
        <stp/>
        <stp/>
        <stp/>
        <stp>T</stp>
        <tr r="AN26" s="14"/>
      </tp>
      <tp>
        <v>2.9264285700000001</v>
        <stp/>
        <stp>StudyData</stp>
        <stp>Bar(((NGEJ18+NGEK18+NGEM18+NGEN18+NGEQ18+NGEU18+NGEV18)/7),1)</stp>
        <stp>Bar</stp>
        <stp/>
        <stp>Close</stp>
        <stp>D</stp>
        <stp>-24</stp>
        <stp/>
        <stp/>
        <stp/>
        <stp/>
        <stp>T</stp>
        <tr r="S26" s="14"/>
      </tp>
      <tp>
        <v>2.70914286</v>
        <stp/>
        <stp>StudyData</stp>
        <stp>Bar(((NGEJ19+NGEK19+NGEM19+NGEN19+NGEQ19+NGEU19+NGEV19)/7),1)</stp>
        <stp>Bar</stp>
        <stp/>
        <stp>Close</stp>
        <stp>D</stp>
        <stp>-34</stp>
        <stp/>
        <stp/>
        <stp/>
        <stp/>
        <stp>T</stp>
        <tr r="AN36" s="14"/>
      </tp>
      <tp>
        <v>2.9754285700000001</v>
        <stp/>
        <stp>StudyData</stp>
        <stp>Bar(((NGEJ18+NGEK18+NGEM18+NGEN18+NGEQ18+NGEU18+NGEV18)/7),1)</stp>
        <stp>Bar</stp>
        <stp/>
        <stp>Close</stp>
        <stp>D</stp>
        <stp>-14</stp>
        <stp/>
        <stp/>
        <stp/>
        <stp/>
        <stp>T</stp>
        <tr r="S16" s="14"/>
      </tp>
      <tp>
        <v>2.7850000000000001</v>
        <stp/>
        <stp>StudyData</stp>
        <stp>Bar(((NGEJ19+NGEK19+NGEM19+NGEN19+NGEQ19+NGEU19+NGEV19)/7),1)</stp>
        <stp>Bar</stp>
        <stp/>
        <stp>Close</stp>
        <stp>D</stp>
        <stp>-14</stp>
        <stp/>
        <stp/>
        <stp/>
        <stp/>
        <stp>T</stp>
        <tr r="AN16" s="14"/>
      </tp>
      <tp t="s">
        <v/>
        <stp/>
        <stp>ContractData</stp>
        <stp>NGE?84</stp>
        <stp>High</stp>
        <stp/>
        <stp>T</stp>
        <tr r="Q91" s="16"/>
      </tp>
      <tp t="s">
        <v/>
        <stp/>
        <stp>ContractData</stp>
        <stp>NGE?85</stp>
        <stp>High</stp>
        <stp/>
        <stp>T</stp>
        <tr r="Q92" s="16"/>
      </tp>
      <tp t="s">
        <v/>
        <stp/>
        <stp>ContractData</stp>
        <stp>NGE?86</stp>
        <stp>High</stp>
        <stp/>
        <stp>T</stp>
        <tr r="Q93" s="16"/>
      </tp>
      <tp t="s">
        <v/>
        <stp/>
        <stp>ContractData</stp>
        <stp>NGE?87</stp>
        <stp>High</stp>
        <stp/>
        <stp>T</stp>
        <tr r="Q94" s="16"/>
      </tp>
      <tp t="s">
        <v/>
        <stp/>
        <stp>ContractData</stp>
        <stp>NGE?80</stp>
        <stp>High</stp>
        <stp/>
        <stp>T</stp>
        <tr r="Q87" s="16"/>
      </tp>
      <tp t="s">
        <v/>
        <stp/>
        <stp>ContractData</stp>
        <stp>NGE?81</stp>
        <stp>High</stp>
        <stp/>
        <stp>T</stp>
        <tr r="Q88" s="16"/>
      </tp>
      <tp t="s">
        <v/>
        <stp/>
        <stp>ContractData</stp>
        <stp>NGE?82</stp>
        <stp>High</stp>
        <stp/>
        <stp>T</stp>
        <tr r="Q89" s="16"/>
      </tp>
      <tp t="s">
        <v/>
        <stp/>
        <stp>ContractData</stp>
        <stp>NGE?83</stp>
        <stp>High</stp>
        <stp/>
        <stp>T</stp>
        <tr r="Q90" s="16"/>
      </tp>
      <tp t="s">
        <v/>
        <stp/>
        <stp>ContractData</stp>
        <stp>NGE?88</stp>
        <stp>High</stp>
        <stp/>
        <stp>T</stp>
        <tr r="Q95" s="16"/>
      </tp>
      <tp t="s">
        <v/>
        <stp/>
        <stp>ContractData</stp>
        <stp>NGE?89</stp>
        <stp>High</stp>
        <stp/>
        <stp>T</stp>
        <tr r="Q96" s="16"/>
      </tp>
      <tp t="s">
        <v/>
        <stp/>
        <stp>ContractData</stp>
        <stp>NGE?94</stp>
        <stp>High</stp>
        <stp/>
        <stp>T</stp>
        <tr r="Q101" s="16"/>
      </tp>
      <tp t="s">
        <v/>
        <stp/>
        <stp>ContractData</stp>
        <stp>NGE?95</stp>
        <stp>High</stp>
        <stp/>
        <stp>T</stp>
        <tr r="Q102" s="16"/>
      </tp>
      <tp t="s">
        <v/>
        <stp/>
        <stp>ContractData</stp>
        <stp>NGE?96</stp>
        <stp>High</stp>
        <stp/>
        <stp>T</stp>
        <tr r="Q103" s="16"/>
      </tp>
      <tp t="s">
        <v/>
        <stp/>
        <stp>ContractData</stp>
        <stp>NGE?97</stp>
        <stp>High</stp>
        <stp/>
        <stp>T</stp>
        <tr r="Q104" s="16"/>
      </tp>
      <tp t="s">
        <v/>
        <stp/>
        <stp>ContractData</stp>
        <stp>NGE?90</stp>
        <stp>High</stp>
        <stp/>
        <stp>T</stp>
        <tr r="Q97" s="16"/>
      </tp>
      <tp t="s">
        <v/>
        <stp/>
        <stp>ContractData</stp>
        <stp>NGE?91</stp>
        <stp>High</stp>
        <stp/>
        <stp>T</stp>
        <tr r="Q98" s="16"/>
      </tp>
      <tp t="s">
        <v/>
        <stp/>
        <stp>ContractData</stp>
        <stp>NGE?92</stp>
        <stp>High</stp>
        <stp/>
        <stp>T</stp>
        <tr r="Q99" s="16"/>
      </tp>
      <tp t="s">
        <v/>
        <stp/>
        <stp>ContractData</stp>
        <stp>NGE?93</stp>
        <stp>High</stp>
        <stp/>
        <stp>T</stp>
        <tr r="Q100" s="16"/>
      </tp>
      <tp t="s">
        <v/>
        <stp/>
        <stp>ContractData</stp>
        <stp>NGE?98</stp>
        <stp>High</stp>
        <stp/>
        <stp>T</stp>
        <tr r="Q105" s="16"/>
      </tp>
      <tp t="s">
        <v/>
        <stp/>
        <stp>ContractData</stp>
        <stp>NGE?99</stp>
        <stp>High</stp>
        <stp/>
        <stp>T</stp>
        <tr r="Q106" s="16"/>
      </tp>
      <tp t="s">
        <v/>
        <stp/>
        <stp>ContractData</stp>
        <stp>NGE?24</stp>
        <stp>High</stp>
        <stp/>
        <stp>T</stp>
        <tr r="Q31" s="16"/>
      </tp>
      <tp t="s">
        <v/>
        <stp/>
        <stp>ContractData</stp>
        <stp>NGE?25</stp>
        <stp>High</stp>
        <stp/>
        <stp>T</stp>
        <tr r="Q32" s="16"/>
      </tp>
      <tp t="s">
        <v/>
        <stp/>
        <stp>ContractData</stp>
        <stp>NGE?26</stp>
        <stp>High</stp>
        <stp/>
        <stp>T</stp>
        <tr r="Q33" s="16"/>
      </tp>
      <tp t="s">
        <v/>
        <stp/>
        <stp>ContractData</stp>
        <stp>NGE?27</stp>
        <stp>High</stp>
        <stp/>
        <stp>T</stp>
        <tr r="Q34" s="16"/>
      </tp>
      <tp t="s">
        <v/>
        <stp/>
        <stp>ContractData</stp>
        <stp>NGE?20</stp>
        <stp>High</stp>
        <stp/>
        <stp>T</stp>
        <tr r="Q27" s="16"/>
      </tp>
      <tp t="s">
        <v/>
        <stp/>
        <stp>ContractData</stp>
        <stp>NGE?21</stp>
        <stp>High</stp>
        <stp/>
        <stp>T</stp>
        <tr r="Q28" s="16"/>
      </tp>
      <tp t="s">
        <v/>
        <stp/>
        <stp>ContractData</stp>
        <stp>NGE?22</stp>
        <stp>High</stp>
        <stp/>
        <stp>T</stp>
        <tr r="Q29" s="16"/>
      </tp>
      <tp t="s">
        <v/>
        <stp/>
        <stp>ContractData</stp>
        <stp>NGE?23</stp>
        <stp>High</stp>
        <stp/>
        <stp>T</stp>
        <tr r="Q30" s="16"/>
      </tp>
      <tp t="s">
        <v/>
        <stp/>
        <stp>ContractData</stp>
        <stp>NGE?28</stp>
        <stp>High</stp>
        <stp/>
        <stp>T</stp>
        <tr r="Q35" s="16"/>
      </tp>
      <tp t="s">
        <v/>
        <stp/>
        <stp>ContractData</stp>
        <stp>NGE?29</stp>
        <stp>High</stp>
        <stp/>
        <stp>T</stp>
        <tr r="Q36" s="16"/>
      </tp>
      <tp t="s">
        <v/>
        <stp/>
        <stp>ContractData</stp>
        <stp>NGE?34</stp>
        <stp>High</stp>
        <stp/>
        <stp>T</stp>
        <tr r="Q41" s="16"/>
      </tp>
      <tp t="s">
        <v/>
        <stp/>
        <stp>ContractData</stp>
        <stp>NGE?35</stp>
        <stp>High</stp>
        <stp/>
        <stp>T</stp>
        <tr r="Q42" s="16"/>
      </tp>
      <tp t="s">
        <v/>
        <stp/>
        <stp>ContractData</stp>
        <stp>NGE?36</stp>
        <stp>High</stp>
        <stp/>
        <stp>T</stp>
        <tr r="Q43" s="16"/>
      </tp>
      <tp t="s">
        <v/>
        <stp/>
        <stp>ContractData</stp>
        <stp>NGE?37</stp>
        <stp>High</stp>
        <stp/>
        <stp>T</stp>
        <tr r="Q44" s="16"/>
      </tp>
      <tp t="s">
        <v/>
        <stp/>
        <stp>ContractData</stp>
        <stp>NGE?30</stp>
        <stp>High</stp>
        <stp/>
        <stp>T</stp>
        <tr r="Q37" s="16"/>
      </tp>
      <tp t="s">
        <v/>
        <stp/>
        <stp>ContractData</stp>
        <stp>NGE?31</stp>
        <stp>High</stp>
        <stp/>
        <stp>T</stp>
        <tr r="Q38" s="16"/>
      </tp>
      <tp t="s">
        <v/>
        <stp/>
        <stp>ContractData</stp>
        <stp>NGE?32</stp>
        <stp>High</stp>
        <stp/>
        <stp>T</stp>
        <tr r="Q39" s="16"/>
      </tp>
      <tp t="s">
        <v/>
        <stp/>
        <stp>ContractData</stp>
        <stp>NGE?33</stp>
        <stp>High</stp>
        <stp/>
        <stp>T</stp>
        <tr r="Q40" s="16"/>
      </tp>
      <tp t="s">
        <v/>
        <stp/>
        <stp>ContractData</stp>
        <stp>NGE?38</stp>
        <stp>High</stp>
        <stp/>
        <stp>T</stp>
        <tr r="Q45" s="16"/>
      </tp>
      <tp t="s">
        <v/>
        <stp/>
        <stp>ContractData</stp>
        <stp>NGE?39</stp>
        <stp>High</stp>
        <stp/>
        <stp>T</stp>
        <tr r="Q46" s="16"/>
      </tp>
      <tp>
        <v>3.1560000000000001</v>
        <stp/>
        <stp>ContractData</stp>
        <stp>NGE?14</stp>
        <stp>High</stp>
        <stp/>
        <stp>T</stp>
        <tr r="Q21" s="16"/>
      </tp>
      <tp>
        <v>3.242</v>
        <stp/>
        <stp>ContractData</stp>
        <stp>NGE?15</stp>
        <stp>High</stp>
        <stp/>
        <stp>T</stp>
        <tr r="Q22" s="16"/>
      </tp>
      <tp t="s">
        <v/>
        <stp/>
        <stp>ContractData</stp>
        <stp>NGE?16</stp>
        <stp>High</stp>
        <stp/>
        <stp>T</stp>
        <tr r="Q23" s="16"/>
      </tp>
      <tp t="s">
        <v/>
        <stp/>
        <stp>ContractData</stp>
        <stp>NGE?17</stp>
        <stp>High</stp>
        <stp/>
        <stp>T</stp>
        <tr r="Q24" s="16"/>
      </tp>
      <tp>
        <v>2.9620000000000002</v>
        <stp/>
        <stp>ContractData</stp>
        <stp>NGE?10</stp>
        <stp>High</stp>
        <stp/>
        <stp>T</stp>
        <tr r="Q17" s="16"/>
      </tp>
      <tp>
        <v>2.944</v>
        <stp/>
        <stp>ContractData</stp>
        <stp>NGE?11</stp>
        <stp>High</stp>
        <stp/>
        <stp>T</stp>
        <tr r="Q18" s="16"/>
      </tp>
      <tp>
        <v>2.968</v>
        <stp/>
        <stp>ContractData</stp>
        <stp>NGE?12</stp>
        <stp>High</stp>
        <stp/>
        <stp>T</stp>
        <tr r="Q19" s="16"/>
      </tp>
      <tp>
        <v>3.0209999999999999</v>
        <stp/>
        <stp>ContractData</stp>
        <stp>NGE?13</stp>
        <stp>High</stp>
        <stp/>
        <stp>T</stp>
        <tr r="Q20" s="16"/>
      </tp>
      <tp t="s">
        <v/>
        <stp/>
        <stp>ContractData</stp>
        <stp>NGE?18</stp>
        <stp>High</stp>
        <stp/>
        <stp>T</stp>
        <tr r="Q25" s="16"/>
      </tp>
      <tp t="s">
        <v/>
        <stp/>
        <stp>ContractData</stp>
        <stp>NGE?19</stp>
        <stp>High</stp>
        <stp/>
        <stp>T</stp>
        <tr r="Q26" s="16"/>
      </tp>
      <tp t="s">
        <v/>
        <stp/>
        <stp>ContractData</stp>
        <stp>NGE?64</stp>
        <stp>High</stp>
        <stp/>
        <stp>T</stp>
        <tr r="Q71" s="16"/>
      </tp>
      <tp t="s">
        <v/>
        <stp/>
        <stp>ContractData</stp>
        <stp>NGE?65</stp>
        <stp>High</stp>
        <stp/>
        <stp>T</stp>
        <tr r="Q72" s="16"/>
      </tp>
      <tp t="s">
        <v/>
        <stp/>
        <stp>ContractData</stp>
        <stp>NGE?66</stp>
        <stp>High</stp>
        <stp/>
        <stp>T</stp>
        <tr r="Q73" s="16"/>
      </tp>
      <tp t="s">
        <v/>
        <stp/>
        <stp>ContractData</stp>
        <stp>NGE?67</stp>
        <stp>High</stp>
        <stp/>
        <stp>T</stp>
        <tr r="Q74" s="16"/>
      </tp>
      <tp t="s">
        <v/>
        <stp/>
        <stp>ContractData</stp>
        <stp>NGE?60</stp>
        <stp>High</stp>
        <stp/>
        <stp>T</stp>
        <tr r="Q67" s="16"/>
      </tp>
      <tp t="s">
        <v/>
        <stp/>
        <stp>ContractData</stp>
        <stp>NGE?61</stp>
        <stp>High</stp>
        <stp/>
        <stp>T</stp>
        <tr r="Q68" s="16"/>
      </tp>
      <tp t="s">
        <v/>
        <stp/>
        <stp>ContractData</stp>
        <stp>NGE?62</stp>
        <stp>High</stp>
        <stp/>
        <stp>T</stp>
        <tr r="Q69" s="16"/>
      </tp>
      <tp t="s">
        <v/>
        <stp/>
        <stp>ContractData</stp>
        <stp>NGE?63</stp>
        <stp>High</stp>
        <stp/>
        <stp>T</stp>
        <tr r="Q70" s="16"/>
      </tp>
      <tp t="s">
        <v/>
        <stp/>
        <stp>ContractData</stp>
        <stp>NGE?68</stp>
        <stp>High</stp>
        <stp/>
        <stp>T</stp>
        <tr r="Q75" s="16"/>
      </tp>
      <tp t="s">
        <v/>
        <stp/>
        <stp>ContractData</stp>
        <stp>NGE?69</stp>
        <stp>High</stp>
        <stp/>
        <stp>T</stp>
        <tr r="Q76" s="16"/>
      </tp>
      <tp t="s">
        <v/>
        <stp/>
        <stp>ContractData</stp>
        <stp>NGE?74</stp>
        <stp>High</stp>
        <stp/>
        <stp>T</stp>
        <tr r="Q81" s="16"/>
      </tp>
      <tp t="s">
        <v/>
        <stp/>
        <stp>ContractData</stp>
        <stp>NGE?75</stp>
        <stp>High</stp>
        <stp/>
        <stp>T</stp>
        <tr r="Q82" s="16"/>
      </tp>
      <tp t="s">
        <v/>
        <stp/>
        <stp>ContractData</stp>
        <stp>NGE?76</stp>
        <stp>High</stp>
        <stp/>
        <stp>T</stp>
        <tr r="Q83" s="16"/>
      </tp>
      <tp t="s">
        <v/>
        <stp/>
        <stp>ContractData</stp>
        <stp>NGE?77</stp>
        <stp>High</stp>
        <stp/>
        <stp>T</stp>
        <tr r="Q84" s="16"/>
      </tp>
      <tp t="s">
        <v/>
        <stp/>
        <stp>ContractData</stp>
        <stp>NGE?70</stp>
        <stp>High</stp>
        <stp/>
        <stp>T</stp>
        <tr r="Q77" s="16"/>
      </tp>
      <tp t="s">
        <v/>
        <stp/>
        <stp>ContractData</stp>
        <stp>NGE?71</stp>
        <stp>High</stp>
        <stp/>
        <stp>T</stp>
        <tr r="Q78" s="16"/>
      </tp>
      <tp t="s">
        <v/>
        <stp/>
        <stp>ContractData</stp>
        <stp>NGE?72</stp>
        <stp>High</stp>
        <stp/>
        <stp>T</stp>
        <tr r="Q79" s="16"/>
      </tp>
      <tp t="s">
        <v/>
        <stp/>
        <stp>ContractData</stp>
        <stp>NGE?73</stp>
        <stp>High</stp>
        <stp/>
        <stp>T</stp>
        <tr r="Q80" s="16"/>
      </tp>
      <tp t="s">
        <v/>
        <stp/>
        <stp>ContractData</stp>
        <stp>NGE?78</stp>
        <stp>High</stp>
        <stp/>
        <stp>T</stp>
        <tr r="Q85" s="16"/>
      </tp>
      <tp t="s">
        <v/>
        <stp/>
        <stp>ContractData</stp>
        <stp>NGE?79</stp>
        <stp>High</stp>
        <stp/>
        <stp>T</stp>
        <tr r="Q86" s="16"/>
      </tp>
      <tp t="s">
        <v/>
        <stp/>
        <stp>ContractData</stp>
        <stp>NGE?44</stp>
        <stp>High</stp>
        <stp/>
        <stp>T</stp>
        <tr r="Q51" s="16"/>
      </tp>
      <tp t="s">
        <v/>
        <stp/>
        <stp>ContractData</stp>
        <stp>NGE?45</stp>
        <stp>High</stp>
        <stp/>
        <stp>T</stp>
        <tr r="Q52" s="16"/>
      </tp>
      <tp t="s">
        <v/>
        <stp/>
        <stp>ContractData</stp>
        <stp>NGE?46</stp>
        <stp>High</stp>
        <stp/>
        <stp>T</stp>
        <tr r="Q53" s="16"/>
      </tp>
      <tp t="s">
        <v/>
        <stp/>
        <stp>ContractData</stp>
        <stp>NGE?47</stp>
        <stp>High</stp>
        <stp/>
        <stp>T</stp>
        <tr r="Q54" s="16"/>
      </tp>
      <tp t="s">
        <v/>
        <stp/>
        <stp>ContractData</stp>
        <stp>NGE?40</stp>
        <stp>High</stp>
        <stp/>
        <stp>T</stp>
        <tr r="Q47" s="16"/>
      </tp>
      <tp t="s">
        <v/>
        <stp/>
        <stp>ContractData</stp>
        <stp>NGE?41</stp>
        <stp>High</stp>
        <stp/>
        <stp>T</stp>
        <tr r="Q48" s="16"/>
      </tp>
      <tp t="s">
        <v/>
        <stp/>
        <stp>ContractData</stp>
        <stp>NGE?42</stp>
        <stp>High</stp>
        <stp/>
        <stp>T</stp>
        <tr r="Q49" s="16"/>
      </tp>
      <tp t="s">
        <v/>
        <stp/>
        <stp>ContractData</stp>
        <stp>NGE?43</stp>
        <stp>High</stp>
        <stp/>
        <stp>T</stp>
        <tr r="Q50" s="16"/>
      </tp>
      <tp t="s">
        <v/>
        <stp/>
        <stp>ContractData</stp>
        <stp>NGE?48</stp>
        <stp>High</stp>
        <stp/>
        <stp>T</stp>
        <tr r="Q55" s="16"/>
      </tp>
      <tp t="s">
        <v/>
        <stp/>
        <stp>ContractData</stp>
        <stp>NGE?49</stp>
        <stp>High</stp>
        <stp/>
        <stp>T</stp>
        <tr r="Q56" s="16"/>
      </tp>
      <tp t="s">
        <v/>
        <stp/>
        <stp>ContractData</stp>
        <stp>NGE?54</stp>
        <stp>High</stp>
        <stp/>
        <stp>T</stp>
        <tr r="Q61" s="16"/>
      </tp>
      <tp t="s">
        <v/>
        <stp/>
        <stp>ContractData</stp>
        <stp>NGE?55</stp>
        <stp>High</stp>
        <stp/>
        <stp>T</stp>
        <tr r="Q62" s="16"/>
      </tp>
      <tp t="s">
        <v/>
        <stp/>
        <stp>ContractData</stp>
        <stp>NGE?56</stp>
        <stp>High</stp>
        <stp/>
        <stp>T</stp>
        <tr r="Q63" s="16"/>
      </tp>
      <tp t="s">
        <v/>
        <stp/>
        <stp>ContractData</stp>
        <stp>NGE?57</stp>
        <stp>High</stp>
        <stp/>
        <stp>T</stp>
        <tr r="Q64" s="16"/>
      </tp>
      <tp t="s">
        <v/>
        <stp/>
        <stp>ContractData</stp>
        <stp>NGE?50</stp>
        <stp>High</stp>
        <stp/>
        <stp>T</stp>
        <tr r="Q57" s="16"/>
      </tp>
      <tp t="s">
        <v/>
        <stp/>
        <stp>ContractData</stp>
        <stp>NGE?51</stp>
        <stp>High</stp>
        <stp/>
        <stp>T</stp>
        <tr r="Q58" s="16"/>
      </tp>
      <tp t="s">
        <v/>
        <stp/>
        <stp>ContractData</stp>
        <stp>NGE?52</stp>
        <stp>High</stp>
        <stp/>
        <stp>T</stp>
        <tr r="Q59" s="16"/>
      </tp>
      <tp t="s">
        <v/>
        <stp/>
        <stp>ContractData</stp>
        <stp>NGE?53</stp>
        <stp>High</stp>
        <stp/>
        <stp>T</stp>
        <tr r="Q60" s="16"/>
      </tp>
      <tp t="s">
        <v/>
        <stp/>
        <stp>ContractData</stp>
        <stp>NGE?58</stp>
        <stp>High</stp>
        <stp/>
        <stp>T</stp>
        <tr r="Q65" s="16"/>
      </tp>
      <tp t="s">
        <v/>
        <stp/>
        <stp>ContractData</stp>
        <stp>NGE?59</stp>
        <stp>High</stp>
        <stp/>
        <stp>T</stp>
        <tr r="Q66" s="16"/>
      </tp>
      <tp>
        <v>2.7632857099999999</v>
        <stp/>
        <stp>StudyData</stp>
        <stp>Bar(((NGEJ19+NGEK19+NGEM19+NGEN19+NGEQ19+NGEU19+NGEV19)/7),1)</stp>
        <stp>Bar</stp>
        <stp/>
        <stp>LOw</stp>
        <stp>D</stp>
        <stp>-17</stp>
        <stp/>
        <stp/>
        <stp/>
        <stp/>
        <stp>T</stp>
        <tr r="AM19" s="14"/>
      </tp>
      <tp>
        <v>2.70914286</v>
        <stp/>
        <stp>StudyData</stp>
        <stp>Bar(((NGEJ19+NGEK19+NGEM19+NGEN19+NGEQ19+NGEU19+NGEV19)/7),1)</stp>
        <stp>Bar</stp>
        <stp/>
        <stp>LOw</stp>
        <stp>D</stp>
        <stp>-27</stp>
        <stp/>
        <stp/>
        <stp/>
        <stp/>
        <stp>T</stp>
        <tr r="AM29" s="14"/>
      </tp>
      <tp>
        <v>2.7145714299999999</v>
        <stp/>
        <stp>StudyData</stp>
        <stp>Bar(((NGEJ19+NGEK19+NGEM19+NGEN19+NGEQ19+NGEU19+NGEV19)/7),1)</stp>
        <stp>Bar</stp>
        <stp/>
        <stp>LOw</stp>
        <stp>D</stp>
        <stp>-37</stp>
        <stp/>
        <stp/>
        <stp/>
        <stp/>
        <stp>T</stp>
        <tr r="AM39" s="14"/>
      </tp>
      <tp>
        <v>2.9467142900000001</v>
        <stp/>
        <stp>StudyData</stp>
        <stp>Bar(((NGEJ18+NGEK18+NGEM18+NGEN18+NGEQ18+NGEU18+NGEV18)/7),1)</stp>
        <stp>Bar</stp>
        <stp/>
        <stp>LOw</stp>
        <stp>D</stp>
        <stp>-17</stp>
        <stp/>
        <stp/>
        <stp/>
        <stp/>
        <stp>T</stp>
        <tr r="R19" s="14"/>
      </tp>
      <tp>
        <v>2.8985714300000001</v>
        <stp/>
        <stp>StudyData</stp>
        <stp>Bar(((NGEJ18+NGEK18+NGEM18+NGEN18+NGEQ18+NGEU18+NGEV18)/7),1)</stp>
        <stp>Bar</stp>
        <stp/>
        <stp>LOw</stp>
        <stp>D</stp>
        <stp>-27</stp>
        <stp/>
        <stp/>
        <stp/>
        <stp/>
        <stp>T</stp>
        <tr r="R29" s="14"/>
      </tp>
      <tp>
        <v>2.88714286</v>
        <stp/>
        <stp>StudyData</stp>
        <stp>Bar(((NGEJ18+NGEK18+NGEM18+NGEN18+NGEQ18+NGEU18+NGEV18)/7),1)</stp>
        <stp>Bar</stp>
        <stp/>
        <stp>LOw</stp>
        <stp>D</stp>
        <stp>-37</stp>
        <stp/>
        <stp/>
        <stp/>
        <stp/>
        <stp>T</stp>
        <tr r="R39" s="14"/>
      </tp>
      <tp t="s">
        <v/>
        <stp/>
        <stp>ContractData</stp>
        <stp>NGE?86</stp>
        <stp>NetLastTradeToday</stp>
        <stp/>
        <stp>T</stp>
        <tr r="G93" s="16"/>
        <tr r="E93" s="16"/>
      </tp>
      <tp t="s">
        <v/>
        <stp/>
        <stp>ContractData</stp>
        <stp>NGE?87</stp>
        <stp>NetLastTradeToday</stp>
        <stp/>
        <stp>T</stp>
        <tr r="G94" s="16"/>
        <tr r="E94" s="16"/>
      </tp>
      <tp t="s">
        <v/>
        <stp/>
        <stp>ContractData</stp>
        <stp>NGE?84</stp>
        <stp>NetLastTradeToday</stp>
        <stp/>
        <stp>T</stp>
        <tr r="G91" s="16"/>
        <tr r="E91" s="16"/>
      </tp>
      <tp t="s">
        <v/>
        <stp/>
        <stp>ContractData</stp>
        <stp>NGE?85</stp>
        <stp>NetLastTradeToday</stp>
        <stp/>
        <stp>T</stp>
        <tr r="G92" s="16"/>
        <tr r="E92" s="16"/>
      </tp>
      <tp t="s">
        <v/>
        <stp/>
        <stp>ContractData</stp>
        <stp>NGE?82</stp>
        <stp>NetLastTradeToday</stp>
        <stp/>
        <stp>T</stp>
        <tr r="E89" s="16"/>
        <tr r="G89" s="16"/>
      </tp>
      <tp t="s">
        <v/>
        <stp/>
        <stp>ContractData</stp>
        <stp>NGE?83</stp>
        <stp>NetLastTradeToday</stp>
        <stp/>
        <stp>T</stp>
        <tr r="E90" s="16"/>
        <tr r="G90" s="16"/>
      </tp>
      <tp t="s">
        <v/>
        <stp/>
        <stp>ContractData</stp>
        <stp>NGE?80</stp>
        <stp>NetLastTradeToday</stp>
        <stp/>
        <stp>T</stp>
        <tr r="G87" s="16"/>
        <tr r="E87" s="16"/>
      </tp>
      <tp t="s">
        <v/>
        <stp/>
        <stp>ContractData</stp>
        <stp>NGE?81</stp>
        <stp>NetLastTradeToday</stp>
        <stp/>
        <stp>T</stp>
        <tr r="E88" s="16"/>
        <tr r="G88" s="16"/>
      </tp>
      <tp t="s">
        <v/>
        <stp/>
        <stp>ContractData</stp>
        <stp>NGE?88</stp>
        <stp>NetLastTradeToday</stp>
        <stp/>
        <stp>T</stp>
        <tr r="G95" s="16"/>
        <tr r="E95" s="16"/>
      </tp>
      <tp t="s">
        <v/>
        <stp/>
        <stp>ContractData</stp>
        <stp>NGE?89</stp>
        <stp>NetLastTradeToday</stp>
        <stp/>
        <stp>T</stp>
        <tr r="G96" s="16"/>
        <tr r="E96" s="16"/>
      </tp>
      <tp>
        <v>3.0526</v>
        <stp/>
        <stp>StudyData</stp>
        <stp>Bar(((NGEX18+NGEZ18+NGEF19+NGEG19+NGEH19)/5),1)</stp>
        <stp>Bar</stp>
        <stp/>
        <stp>Open</stp>
        <stp>D</stp>
        <stp>-42</stp>
        <stp/>
        <stp/>
        <stp/>
        <stp/>
        <stp>T</stp>
        <tr r="X44" s="14"/>
      </tp>
      <tp>
        <v>3.0914000000000001</v>
        <stp/>
        <stp>StudyData</stp>
        <stp>Bar(((NGEX18+NGEZ18+NGEF19+NGEG19+NGEH19)/5),1)</stp>
        <stp>Bar</stp>
        <stp/>
        <stp>Open</stp>
        <stp>D</stp>
        <stp>-32</stp>
        <stp/>
        <stp/>
        <stp/>
        <stp/>
        <stp>T</stp>
        <tr r="X34" s="14"/>
      </tp>
      <tp>
        <v>3.1038000000000001</v>
        <stp/>
        <stp>StudyData</stp>
        <stp>Bar(((NGEX18+NGEZ18+NGEF19+NGEG19+NGEH19)/5),1)</stp>
        <stp>Bar</stp>
        <stp/>
        <stp>Open</stp>
        <stp>D</stp>
        <stp>-22</stp>
        <stp/>
        <stp/>
        <stp/>
        <stp/>
        <stp>T</stp>
        <tr r="X24" s="14"/>
      </tp>
      <tp>
        <v>3.1796000000000002</v>
        <stp/>
        <stp>StudyData</stp>
        <stp>Bar(((NGEX18+NGEZ18+NGEF19+NGEG19+NGEH19)/5),1)</stp>
        <stp>Bar</stp>
        <stp/>
        <stp>Open</stp>
        <stp>D</stp>
        <stp>-12</stp>
        <stp/>
        <stp/>
        <stp/>
        <stp/>
        <stp>T</stp>
        <tr r="X14" s="14"/>
      </tp>
      <tp>
        <v>2.93142857</v>
        <stp/>
        <stp>StudyData</stp>
        <stp>Bar(((NGEJ18+NGEK18+NGEM18+NGEN18+NGEQ18+NGEU18+NGEV18)/7),1)</stp>
        <stp>Bar</stp>
        <stp/>
        <stp>Close</stp>
        <stp>D</stp>
        <stp>-5</stp>
        <stp/>
        <stp/>
        <stp/>
        <stp/>
        <stp>T</stp>
        <tr r="S7" s="14"/>
      </tp>
      <tp>
        <v>2.7491428600000001</v>
        <stp/>
        <stp>StudyData</stp>
        <stp>Bar(((NGEJ19+NGEK19+NGEM19+NGEN19+NGEQ19+NGEU19+NGEV19)/7),1)</stp>
        <stp>Bar</stp>
        <stp/>
        <stp>Close</stp>
        <stp>D</stp>
        <stp>-4</stp>
        <stp/>
        <stp/>
        <stp/>
        <stp/>
        <stp>T</stp>
        <tr r="AN6" s="14"/>
      </tp>
      <tp>
        <v>0.35</v>
        <stp/>
        <stp>StudyData</stp>
        <stp>Close(NGES4??5)when (LocalMonth(NGES4??5)=9 and LocalDay(NGES4??5)=14 and LocalYear(NGES4??5)=2017)</stp>
        <stp>Bar</stp>
        <stp/>
        <stp>Close</stp>
        <stp>D</stp>
        <stp>0</stp>
        <stp>ALL</stp>
        <stp/>
        <stp/>
        <stp>FALSE</stp>
        <stp>T</stp>
        <tr r="K20" s="9"/>
      </tp>
      <tp>
        <v>0.4</v>
        <stp/>
        <stp>StudyData</stp>
        <stp>Close(NGES5??4)when (LocalMonth(NGES5??4)=9 and LocalDay(NGES5??4)=14 and LocalYear(NGES5??4)=2017)</stp>
        <stp>Bar</stp>
        <stp/>
        <stp>Close</stp>
        <stp>D</stp>
        <stp>0</stp>
        <stp>ALL</stp>
        <stp/>
        <stp/>
        <stp>FALSE</stp>
        <stp>T</stp>
        <tr r="K19" s="10"/>
      </tp>
      <tp>
        <v>-9.9000000000000005E-2</v>
        <stp/>
        <stp>StudyData</stp>
        <stp>Close(NGES6??7)when (LocalMonth(NGES6??7)=9 and LocalDay(NGES6??7)=14 and LocalYear(NGES6??7)=2017)</stp>
        <stp>Bar</stp>
        <stp/>
        <stp>Close</stp>
        <stp>D</stp>
        <stp>0</stp>
        <stp>ALL</stp>
        <stp/>
        <stp/>
        <stp>FALSE</stp>
        <stp>T</stp>
        <tr r="K22" s="11"/>
      </tp>
      <tp>
        <v>5.0999999999999997E-2</v>
        <stp/>
        <stp>StudyData</stp>
        <stp>Close(NGES2??3)when (LocalMonth(NGES2??3)=9 and LocalDay(NGES2??3)=14 and LocalYear(NGES2??3)=2017)</stp>
        <stp>Bar</stp>
        <stp/>
        <stp>Close</stp>
        <stp>D</stp>
        <stp>0</stp>
        <stp>ALL</stp>
        <stp/>
        <stp/>
        <stp>FALSE</stp>
        <stp>T</stp>
        <tr r="K18" s="7"/>
      </tp>
      <tp>
        <v>-4.9000000000000002E-2</v>
        <stp/>
        <stp>StudyData</stp>
        <stp>Close(NGES3??2)when (LocalMonth(NGES3??2)=9 and LocalDay(NGES3??2)=14 and LocalYear(NGES3??2)=2017)</stp>
        <stp>Bar</stp>
        <stp/>
        <stp>Close</stp>
        <stp>D</stp>
        <stp>0</stp>
        <stp>ALL</stp>
        <stp/>
        <stp/>
        <stp>FALSE</stp>
        <stp>T</stp>
        <tr r="K17" s="8"/>
      </tp>
      <tp t="s">
        <v>Natural Gas (Globex) Calendar Spread 3, Dec 17, Mar 18</v>
        <stp/>
        <stp>ContractData</stp>
        <stp>NGES3Z7</stp>
        <stp>LongDescription</stp>
        <tr r="B62" s="2"/>
      </tp>
      <tp t="s">
        <v>Natural Gas (Globex) Calendar Spread 3, Nov 17, Feb 18</v>
        <stp/>
        <stp>ContractData</stp>
        <stp>NGES3X7</stp>
        <stp>LongDescription</stp>
        <tr r="B61" s="2"/>
      </tp>
      <tp t="s">
        <v>Natural Gas (Globex) Calendar Spread 3, Aug 18, Nov 18</v>
        <stp/>
        <stp>ContractData</stp>
        <stp>NGES3Q8</stp>
        <stp>LongDescription</stp>
        <tr r="B70" s="2"/>
      </tp>
      <tp t="s">
        <v>Natural Gas (Globex) Calendar Spread 3, Oct 18, Jan 19</v>
        <stp/>
        <stp>ContractData</stp>
        <stp>NGES3V8</stp>
        <stp>LongDescription</stp>
        <tr r="B72" s="2"/>
      </tp>
      <tp t="s">
        <v>Natural Gas (Globex) Calendar Spread 3, Sep 18, Dec 18</v>
        <stp/>
        <stp>ContractData</stp>
        <stp>NGES3U8</stp>
        <stp>LongDescription</stp>
        <tr r="B71" s="2"/>
      </tp>
      <tp t="s">
        <v>Natural Gas (Globex) Calendar Spread 3, May 18, Aug 18</v>
        <stp/>
        <stp>ContractData</stp>
        <stp>NGES3K8</stp>
        <stp>LongDescription</stp>
        <tr r="B67" s="2"/>
      </tp>
      <tp t="s">
        <v>Natural Gas (Globex) Calendar Spread 3, Apr 18, Jul 18</v>
        <stp/>
        <stp>ContractData</stp>
        <stp>NGES3J8</stp>
        <stp>LongDescription</stp>
        <tr r="B66" s="2"/>
      </tp>
      <tp t="s">
        <v>Natural Gas (Globex) Calendar Spread 3, Mar 18, Jun 18</v>
        <stp/>
        <stp>ContractData</stp>
        <stp>NGES3H8</stp>
        <stp>LongDescription</stp>
        <tr r="B65" s="2"/>
      </tp>
      <tp t="s">
        <v>Natural Gas (Globex) Calendar Spread 3, Jul 18, Oct 18</v>
        <stp/>
        <stp>ContractData</stp>
        <stp>NGES3N8</stp>
        <stp>LongDescription</stp>
        <tr r="B69" s="2"/>
      </tp>
      <tp t="s">
        <v>Natural Gas (Globex) Calendar Spread 3, Jun 18, Sep 18</v>
        <stp/>
        <stp>ContractData</stp>
        <stp>NGES3M8</stp>
        <stp>LongDescription</stp>
        <tr r="B68" s="2"/>
      </tp>
      <tp t="s">
        <v>Natural Gas (Globex) Calendar Spread 3, Feb 18, May 18</v>
        <stp/>
        <stp>ContractData</stp>
        <stp>NGES3G8</stp>
        <stp>LongDescription</stp>
        <tr r="B64" s="2"/>
      </tp>
      <tp t="s">
        <v>Natural Gas (Globex) Calendar Spread 3, Jan 18, Apr 18</v>
        <stp/>
        <stp>ContractData</stp>
        <stp>NGES3F8</stp>
        <stp>LongDescription</stp>
        <tr r="B63" s="2"/>
      </tp>
      <tp>
        <v>2.8878571399999999</v>
        <stp/>
        <stp>StudyData</stp>
        <stp>Bar(((NGEJ18+NGEK18+NGEM18+NGEN18+NGEQ18+NGEU18+NGEV18)/7),1)</stp>
        <stp>Bar</stp>
        <stp/>
        <stp>Close</stp>
        <stp>D</stp>
        <stp>-37</stp>
        <stp/>
        <stp/>
        <stp/>
        <stp/>
        <stp>T</stp>
        <tr r="S39" s="14"/>
      </tp>
      <tp>
        <v>2.7202857100000002</v>
        <stp/>
        <stp>StudyData</stp>
        <stp>Bar(((NGEJ19+NGEK19+NGEM19+NGEN19+NGEQ19+NGEU19+NGEV19)/7),1)</stp>
        <stp>Bar</stp>
        <stp/>
        <stp>Close</stp>
        <stp>D</stp>
        <stp>-27</stp>
        <stp/>
        <stp/>
        <stp/>
        <stp/>
        <stp>T</stp>
        <tr r="AN29" s="14"/>
      </tp>
      <tp>
        <v>2.9004285699999999</v>
        <stp/>
        <stp>StudyData</stp>
        <stp>Bar(((NGEJ18+NGEK18+NGEM18+NGEN18+NGEQ18+NGEU18+NGEV18)/7),1)</stp>
        <stp>Bar</stp>
        <stp/>
        <stp>Close</stp>
        <stp>D</stp>
        <stp>-27</stp>
        <stp/>
        <stp/>
        <stp/>
        <stp/>
        <stp>T</stp>
        <tr r="S29" s="14"/>
      </tp>
      <tp>
        <v>2.7151428599999998</v>
        <stp/>
        <stp>StudyData</stp>
        <stp>Bar(((NGEJ19+NGEK19+NGEM19+NGEN19+NGEQ19+NGEU19+NGEV19)/7),1)</stp>
        <stp>Bar</stp>
        <stp/>
        <stp>Close</stp>
        <stp>D</stp>
        <stp>-37</stp>
        <stp/>
        <stp/>
        <stp/>
        <stp/>
        <stp>T</stp>
        <tr r="AN39" s="14"/>
      </tp>
      <tp>
        <v>2.9561428599999999</v>
        <stp/>
        <stp>StudyData</stp>
        <stp>Bar(((NGEJ18+NGEK18+NGEM18+NGEN18+NGEQ18+NGEU18+NGEV18)/7),1)</stp>
        <stp>Bar</stp>
        <stp/>
        <stp>Close</stp>
        <stp>D</stp>
        <stp>-17</stp>
        <stp/>
        <stp/>
        <stp/>
        <stp/>
        <stp>T</stp>
        <tr r="S19" s="14"/>
      </tp>
      <tp>
        <v>2.7647142900000001</v>
        <stp/>
        <stp>StudyData</stp>
        <stp>Bar(((NGEJ19+NGEK19+NGEM19+NGEN19+NGEQ19+NGEU19+NGEV19)/7),1)</stp>
        <stp>Bar</stp>
        <stp/>
        <stp>Close</stp>
        <stp>D</stp>
        <stp>-17</stp>
        <stp/>
        <stp/>
        <stp/>
        <stp/>
        <stp>T</stp>
        <tr r="AN19" s="14"/>
      </tp>
      <tp>
        <v>3.2349999999999999</v>
        <stp/>
        <stp>ContractData</stp>
        <stp>NGEG8</stp>
        <stp>Settlement</stp>
        <stp/>
        <stp>T</stp>
        <tr r="AJ5" s="6"/>
        <tr r="AJ5" s="7"/>
        <tr r="AJ5" s="9"/>
        <tr r="AJ5" s="10"/>
        <tr r="AJ5" s="8"/>
        <tr r="AJ5" s="11"/>
      </tp>
      <tp>
        <v>3.23</v>
        <stp/>
        <stp>ContractData</stp>
        <stp>NGEF8</stp>
        <stp>Settlement</stp>
        <stp/>
        <stp>T</stp>
        <tr r="AJ4" s="6"/>
        <tr r="AJ4" s="8"/>
        <tr r="AJ4" s="9"/>
        <tr r="AJ4" s="10"/>
        <tr r="AJ4" s="7"/>
        <tr r="AJ4" s="11"/>
      </tp>
      <tp>
        <v>3.1930000000000001</v>
        <stp/>
        <stp>ContractData</stp>
        <stp>NGEH8</stp>
        <stp>Settlement</stp>
        <stp/>
        <stp>T</stp>
        <tr r="AJ6" s="6"/>
        <tr r="AJ6" s="9"/>
        <tr r="AJ6" s="10"/>
        <tr r="AJ6" s="8"/>
        <tr r="AJ6" s="7"/>
        <tr r="AJ6" s="11"/>
      </tp>
      <tp>
        <v>2.911</v>
        <stp/>
        <stp>ContractData</stp>
        <stp>NGEK8</stp>
        <stp>Settlement</stp>
        <stp/>
        <stp>T</stp>
        <tr r="AJ8" s="6"/>
        <tr r="AJ8" s="7"/>
        <tr r="AJ8" s="10"/>
        <tr r="AJ8" s="8"/>
        <tr r="AJ8" s="9"/>
        <tr r="AJ8" s="11"/>
      </tp>
      <tp>
        <v>2.9390000000000001</v>
        <stp/>
        <stp>ContractData</stp>
        <stp>NGEJ8</stp>
        <stp>Settlement</stp>
        <stp/>
        <stp>T</stp>
        <tr r="AJ7" s="6"/>
        <tr r="AJ7" s="7"/>
        <tr r="AJ7" s="9"/>
        <tr r="AJ7" s="10"/>
        <tr r="AJ7" s="8"/>
        <tr r="AJ7" s="11"/>
      </tp>
      <tp>
        <v>2.9390000000000001</v>
        <stp/>
        <stp>ContractData</stp>
        <stp>NGEM8</stp>
        <stp>Settlement</stp>
        <stp/>
        <stp>T</stp>
        <tr r="AJ9" s="6"/>
        <tr r="AJ9" s="9"/>
        <tr r="AJ9" s="8"/>
        <tr r="AJ9" s="10"/>
        <tr r="AJ9" s="7"/>
        <tr r="AJ9" s="11"/>
      </tp>
      <tp>
        <v>2.9660000000000002</v>
        <stp/>
        <stp>ContractData</stp>
        <stp>NGEN8</stp>
        <stp>Settlement</stp>
        <stp/>
        <stp>T</stp>
        <tr r="AJ10" s="6"/>
        <tr r="AJ10" s="9"/>
        <tr r="AJ10" s="10"/>
        <tr r="AJ10" s="7"/>
        <tr r="AJ10" s="8"/>
        <tr r="AJ10" s="11"/>
      </tp>
      <tp>
        <v>2.9689999999999999</v>
        <stp/>
        <stp>ContractData</stp>
        <stp>NGEQ8</stp>
        <stp>Settlement</stp>
        <stp/>
        <stp>T</stp>
        <tr r="AJ11" s="6"/>
        <tr r="AJ11" s="9"/>
        <tr r="AJ11" s="8"/>
        <tr r="AJ11" s="10"/>
        <tr r="AJ11" s="7"/>
        <tr r="AJ11" s="11"/>
      </tp>
      <tp>
        <v>2.9510000000000001</v>
        <stp/>
        <stp>ContractData</stp>
        <stp>NGEU8</stp>
        <stp>Settlement</stp>
        <stp/>
        <stp>T</stp>
        <tr r="AJ12" s="6"/>
        <tr r="AJ12" s="7"/>
        <tr r="AJ12" s="8"/>
        <tr r="AJ12" s="10"/>
        <tr r="AJ12" s="9"/>
        <tr r="AJ12" s="11"/>
      </tp>
      <tp>
        <v>2.9740000000000002</v>
        <stp/>
        <stp>ContractData</stp>
        <stp>NGEV8</stp>
        <stp>Settlement</stp>
        <stp/>
        <stp>T</stp>
        <tr r="AJ13" s="6"/>
        <tr r="AJ13" s="9"/>
        <tr r="AJ13" s="8"/>
        <tr r="AJ13" s="7"/>
        <tr r="AJ13" s="10"/>
        <tr r="AJ13" s="11"/>
      </tp>
      <tp>
        <v>2.7585714299999999</v>
        <stp/>
        <stp>StudyData</stp>
        <stp>Bar(((NGEJ19+NGEK19+NGEM19+NGEN19+NGEQ19+NGEU19+NGEV19)/7),1)</stp>
        <stp>Bar</stp>
        <stp/>
        <stp>LOw</stp>
        <stp>D</stp>
        <stp>-16</stp>
        <stp/>
        <stp/>
        <stp/>
        <stp/>
        <stp>T</stp>
        <tr r="AM18" s="14"/>
      </tp>
      <tp>
        <v>2.7191428599999998</v>
        <stp/>
        <stp>StudyData</stp>
        <stp>Bar(((NGEJ19+NGEK19+NGEM19+NGEN19+NGEQ19+NGEU19+NGEV19)/7),1)</stp>
        <stp>Bar</stp>
        <stp/>
        <stp>LOw</stp>
        <stp>D</stp>
        <stp>-26</stp>
        <stp/>
        <stp/>
        <stp/>
        <stp/>
        <stp>T</stp>
        <tr r="AM28" s="14"/>
      </tp>
      <tp>
        <v>2.7004285700000001</v>
        <stp/>
        <stp>StudyData</stp>
        <stp>Bar(((NGEJ19+NGEK19+NGEM19+NGEN19+NGEQ19+NGEU19+NGEV19)/7),1)</stp>
        <stp>Bar</stp>
        <stp/>
        <stp>LOw</stp>
        <stp>D</stp>
        <stp>-36</stp>
        <stp/>
        <stp/>
        <stp/>
        <stp/>
        <stp>T</stp>
        <tr r="AM38" s="14"/>
      </tp>
      <tp>
        <v>2.9485714299999999</v>
        <stp/>
        <stp>StudyData</stp>
        <stp>Bar(((NGEJ18+NGEK18+NGEM18+NGEN18+NGEQ18+NGEU18+NGEV18)/7),1)</stp>
        <stp>Bar</stp>
        <stp/>
        <stp>LOw</stp>
        <stp>D</stp>
        <stp>-16</stp>
        <stp/>
        <stp/>
        <stp/>
        <stp/>
        <stp>T</stp>
        <tr r="R18" s="14"/>
      </tp>
      <tp>
        <v>2.8935714300000002</v>
        <stp/>
        <stp>StudyData</stp>
        <stp>Bar(((NGEJ18+NGEK18+NGEM18+NGEN18+NGEQ18+NGEU18+NGEV18)/7),1)</stp>
        <stp>Bar</stp>
        <stp/>
        <stp>LOw</stp>
        <stp>D</stp>
        <stp>-26</stp>
        <stp/>
        <stp/>
        <stp/>
        <stp/>
        <stp>T</stp>
        <tr r="R28" s="14"/>
      </tp>
      <tp>
        <v>2.8740000000000001</v>
        <stp/>
        <stp>StudyData</stp>
        <stp>Bar(((NGEJ18+NGEK18+NGEM18+NGEN18+NGEQ18+NGEU18+NGEV18)/7),1)</stp>
        <stp>Bar</stp>
        <stp/>
        <stp>LOw</stp>
        <stp>D</stp>
        <stp>-36</stp>
        <stp/>
        <stp/>
        <stp/>
        <stp/>
        <stp>T</stp>
        <tr r="R38" s="14"/>
      </tp>
      <tp t="s">
        <v/>
        <stp/>
        <stp>ContractData</stp>
        <stp>NGE?96</stp>
        <stp>NetLastTradeToday</stp>
        <stp/>
        <stp>T</stp>
        <tr r="G103" s="16"/>
        <tr r="E103" s="16"/>
      </tp>
      <tp t="s">
        <v/>
        <stp/>
        <stp>ContractData</stp>
        <stp>NGE?97</stp>
        <stp>NetLastTradeToday</stp>
        <stp/>
        <stp>T</stp>
        <tr r="E104" s="16"/>
        <tr r="G104" s="16"/>
      </tp>
      <tp t="s">
        <v/>
        <stp/>
        <stp>ContractData</stp>
        <stp>NGE?94</stp>
        <stp>NetLastTradeToday</stp>
        <stp/>
        <stp>T</stp>
        <tr r="G101" s="16"/>
        <tr r="E101" s="16"/>
      </tp>
      <tp t="s">
        <v/>
        <stp/>
        <stp>ContractData</stp>
        <stp>NGE?95</stp>
        <stp>NetLastTradeToday</stp>
        <stp/>
        <stp>T</stp>
        <tr r="G102" s="16"/>
        <tr r="E102" s="16"/>
      </tp>
      <tp t="s">
        <v/>
        <stp/>
        <stp>ContractData</stp>
        <stp>NGE?92</stp>
        <stp>NetLastTradeToday</stp>
        <stp/>
        <stp>T</stp>
        <tr r="E99" s="16"/>
        <tr r="G99" s="16"/>
      </tp>
      <tp t="s">
        <v/>
        <stp/>
        <stp>ContractData</stp>
        <stp>NGE?93</stp>
        <stp>NetLastTradeToday</stp>
        <stp/>
        <stp>T</stp>
        <tr r="G100" s="16"/>
        <tr r="E100" s="16"/>
      </tp>
      <tp t="s">
        <v/>
        <stp/>
        <stp>ContractData</stp>
        <stp>NGE?90</stp>
        <stp>NetLastTradeToday</stp>
        <stp/>
        <stp>T</stp>
        <tr r="E97" s="16"/>
        <tr r="G97" s="16"/>
      </tp>
      <tp t="s">
        <v/>
        <stp/>
        <stp>ContractData</stp>
        <stp>NGE?91</stp>
        <stp>NetLastTradeToday</stp>
        <stp/>
        <stp>T</stp>
        <tr r="G98" s="16"/>
        <tr r="E98" s="16"/>
      </tp>
      <tp>
        <v>3.3809999999999998</v>
        <stp/>
        <stp>StudyData</stp>
        <stp>Close(NGEH18)when (LocalMonth(NGEH18)=9 and LocalDay(NGEH18)=18 and LocalYear(NGEH18)=2017)</stp>
        <stp>Bar</stp>
        <stp/>
        <stp>Close</stp>
        <stp>D</stp>
        <stp>0</stp>
        <stp>ALL</stp>
        <stp/>
        <stp/>
        <stp>FALSE</stp>
        <stp>T</stp>
        <tr r="E7" s="15"/>
      </tp>
      <tp>
        <v>3.1789999999999998</v>
        <stp/>
        <stp>StudyData</stp>
        <stp>Close(NGEH19)when (LocalMonth(NGEH19)=9 and LocalDay(NGEH19)=18 and LocalYear(NGEH19)=2017)</stp>
        <stp>Bar</stp>
        <stp/>
        <stp>Close</stp>
        <stp>D</stp>
        <stp>0</stp>
        <stp>ALL</stp>
        <stp/>
        <stp/>
        <stp>FALSE</stp>
        <stp>T</stp>
        <tr r="E32" s="15"/>
      </tp>
      <tp t="s">
        <v/>
        <stp/>
        <stp>ContractData</stp>
        <stp>NGE?98</stp>
        <stp>NetLastTradeToday</stp>
        <stp/>
        <stp>T</stp>
        <tr r="G105" s="16"/>
        <tr r="E105" s="16"/>
      </tp>
      <tp t="s">
        <v/>
        <stp/>
        <stp>ContractData</stp>
        <stp>NGE?99</stp>
        <stp>NetLastTradeToday</stp>
        <stp/>
        <stp>T</stp>
        <tr r="G106" s="16"/>
        <tr r="E106" s="16"/>
      </tp>
      <tp>
        <v>3.0491999999999999</v>
        <stp/>
        <stp>StudyData</stp>
        <stp>Bar(((NGEX18+NGEZ18+NGEF19+NGEG19+NGEH19)/5),1)</stp>
        <stp>Bar</stp>
        <stp/>
        <stp>Open</stp>
        <stp>D</stp>
        <stp>-43</stp>
        <stp/>
        <stp/>
        <stp/>
        <stp/>
        <stp>T</stp>
        <tr r="X45" s="14"/>
      </tp>
      <tp>
        <v>3.0768</v>
        <stp/>
        <stp>StudyData</stp>
        <stp>Bar(((NGEX18+NGEZ18+NGEF19+NGEG19+NGEH19)/5),1)</stp>
        <stp>Bar</stp>
        <stp/>
        <stp>Open</stp>
        <stp>D</stp>
        <stp>-33</stp>
        <stp/>
        <stp/>
        <stp/>
        <stp/>
        <stp>T</stp>
        <tr r="X35" s="14"/>
      </tp>
      <tp>
        <v>3.1225999999999998</v>
        <stp/>
        <stp>StudyData</stp>
        <stp>Bar(((NGEX18+NGEZ18+NGEF19+NGEG19+NGEH19)/5),1)</stp>
        <stp>Bar</stp>
        <stp/>
        <stp>Open</stp>
        <stp>D</stp>
        <stp>-23</stp>
        <stp/>
        <stp/>
        <stp/>
        <stp/>
        <stp>T</stp>
        <tr r="X25" s="14"/>
      </tp>
      <tp>
        <v>3.1804000000000001</v>
        <stp/>
        <stp>StudyData</stp>
        <stp>Bar(((NGEX18+NGEZ18+NGEF19+NGEG19+NGEH19)/5),1)</stp>
        <stp>Bar</stp>
        <stp/>
        <stp>Open</stp>
        <stp>D</stp>
        <stp>-13</stp>
        <stp/>
        <stp/>
        <stp/>
        <stp/>
        <stp>T</stp>
        <tr r="X15" s="14"/>
      </tp>
      <tp>
        <v>2.9148571400000001</v>
        <stp/>
        <stp>StudyData</stp>
        <stp>Bar(((NGEJ18+NGEK18+NGEM18+NGEN18+NGEQ18+NGEU18+NGEV18)/7),1)</stp>
        <stp>Bar</stp>
        <stp/>
        <stp>Close</stp>
        <stp>D</stp>
        <stp>-4</stp>
        <stp/>
        <stp/>
        <stp/>
        <stp/>
        <stp>T</stp>
        <tr r="S6" s="14"/>
      </tp>
      <tp>
        <v>2.7425714299999999</v>
        <stp/>
        <stp>StudyData</stp>
        <stp>Bar(((NGEJ19+NGEK19+NGEM19+NGEN19+NGEQ19+NGEU19+NGEV19)/7),1)</stp>
        <stp>Bar</stp>
        <stp/>
        <stp>Close</stp>
        <stp>D</stp>
        <stp>-5</stp>
        <stp/>
        <stp/>
        <stp/>
        <stp/>
        <stp>T</stp>
        <tr r="AN7" s="14"/>
      </tp>
      <tp>
        <v>0.42399999999999999</v>
        <stp/>
        <stp>StudyData</stp>
        <stp>Close(NGES4??4)when (LocalMonth(NGES4??4)=9 and LocalDay(NGES4??4)=14 and LocalYear(NGES4??4)=2017)</stp>
        <stp>Bar</stp>
        <stp/>
        <stp>Close</stp>
        <stp>D</stp>
        <stp>0</stp>
        <stp>ALL</stp>
        <stp/>
        <stp/>
        <stp>FALSE</stp>
        <stp>T</stp>
        <tr r="K19" s="9"/>
      </tp>
      <tp>
        <v>0.34699999999999998</v>
        <stp/>
        <stp>StudyData</stp>
        <stp>Close(NGES5??5)when (LocalMonth(NGES5??5)=9 and LocalDay(NGES5??5)=14 and LocalYear(NGES5??5)=2017)</stp>
        <stp>Bar</stp>
        <stp/>
        <stp>Close</stp>
        <stp>D</stp>
        <stp>0</stp>
        <stp>ALL</stp>
        <stp/>
        <stp/>
        <stp>FALSE</stp>
        <stp>T</stp>
        <tr r="K20" s="10"/>
      </tp>
      <tp>
        <v>-1.2E-2</v>
        <stp/>
        <stp>StudyData</stp>
        <stp>Close(NGES6??6)when (LocalMonth(NGES6??6)=9 and LocalDay(NGES6??6)=14 and LocalYear(NGES6??6)=2017)</stp>
        <stp>Bar</stp>
        <stp/>
        <stp>Close</stp>
        <stp>D</stp>
        <stp>0</stp>
        <stp>ALL</stp>
        <stp/>
        <stp/>
        <stp>FALSE</stp>
        <stp>T</stp>
        <tr r="K21" s="11"/>
      </tp>
      <tp>
        <v>-0.14399999999999999</v>
        <stp/>
        <stp>StudyData</stp>
        <stp>Close(NGES1??1)when (LocalMonth(NGES1??1)=9 and LocalDay(NGES1??1)=14 and LocalYear(NGES1??1)=2017)</stp>
        <stp>Bar</stp>
        <stp/>
        <stp>Close</stp>
        <stp>D</stp>
        <stp>0</stp>
        <stp>ALL</stp>
        <stp/>
        <stp/>
        <stp>FALSE</stp>
        <stp>T</stp>
        <tr r="K16" s="6"/>
      </tp>
      <tp>
        <v>-9.9000000000000005E-2</v>
        <stp/>
        <stp>StudyData</stp>
        <stp>Close(NGES2??2)when (LocalMonth(NGES2??2)=9 and LocalDay(NGES2??2)=14 and LocalYear(NGES2??2)=2017)</stp>
        <stp>Bar</stp>
        <stp/>
        <stp>Close</stp>
        <stp>D</stp>
        <stp>0</stp>
        <stp>ALL</stp>
        <stp/>
        <stp/>
        <stp>FALSE</stp>
        <stp>T</stp>
        <tr r="K17" s="7"/>
      </tp>
      <tp>
        <v>0.41099999999999998</v>
        <stp/>
        <stp>StudyData</stp>
        <stp>Close(NGES3??3)when (LocalMonth(NGES3??3)=9 and LocalDay(NGES3??3)=14 and LocalYear(NGES3??3)=2017)</stp>
        <stp>Bar</stp>
        <stp/>
        <stp>Close</stp>
        <stp>D</stp>
        <stp>0</stp>
        <stp>ALL</stp>
        <stp/>
        <stp/>
        <stp>FALSE</stp>
        <stp>T</stp>
        <tr r="K18" s="8"/>
      </tp>
      <tp t="s">
        <v>Natural Gas (Globex) Calendar Spread 2, Dec 17, Feb 18</v>
        <stp/>
        <stp>ContractData</stp>
        <stp>NGES2Z7</stp>
        <stp>LongDescription</stp>
        <tr r="B46" s="2"/>
      </tp>
      <tp t="s">
        <v>Natural Gas (Globex) Calendar Spread 2, Nov 17, Jan 18</v>
        <stp/>
        <stp>ContractData</stp>
        <stp>NGES2X7</stp>
        <stp>LongDescription</stp>
        <tr r="B45" s="2"/>
      </tp>
      <tp t="s">
        <v>Natural Gas (Globex) Calendar Spread 2, Aug 18, Oct 18</v>
        <stp/>
        <stp>ContractData</stp>
        <stp>NGES2Q8</stp>
        <stp>LongDescription</stp>
        <tr r="B54" s="2"/>
      </tp>
      <tp t="s">
        <v>Natural Gas (Globex) Calendar Spread 2, Oct 18, Dec 18</v>
        <stp/>
        <stp>ContractData</stp>
        <stp>NGES2V8</stp>
        <stp>LongDescription</stp>
        <tr r="B56" s="2"/>
      </tp>
      <tp t="s">
        <v>Natural Gas (Globex) Calendar Spread 2, Sep 18, Nov 18</v>
        <stp/>
        <stp>ContractData</stp>
        <stp>NGES2U8</stp>
        <stp>LongDescription</stp>
        <tr r="B55" s="2"/>
      </tp>
      <tp t="s">
        <v>Natural Gas (Globex) Calendar Spread 2, May 18, Jul 18</v>
        <stp/>
        <stp>ContractData</stp>
        <stp>NGES2K8</stp>
        <stp>LongDescription</stp>
        <tr r="B51" s="2"/>
      </tp>
      <tp t="s">
        <v>Natural Gas (Globex) Calendar Spread 2, Apr 18, Jun 18</v>
        <stp/>
        <stp>ContractData</stp>
        <stp>NGES2J8</stp>
        <stp>LongDescription</stp>
        <tr r="B50" s="2"/>
      </tp>
      <tp t="s">
        <v>Natural Gas (Globex) Calendar Spread 2, Mar 18, May 18</v>
        <stp/>
        <stp>ContractData</stp>
        <stp>NGES2H8</stp>
        <stp>LongDescription</stp>
        <tr r="B49" s="2"/>
      </tp>
      <tp t="s">
        <v>Natural Gas (Globex) Calendar Spread 2, Jul 18, Sep 18</v>
        <stp/>
        <stp>ContractData</stp>
        <stp>NGES2N8</stp>
        <stp>LongDescription</stp>
        <tr r="B53" s="2"/>
      </tp>
      <tp t="s">
        <v>Natural Gas (Globex) Calendar Spread 2, Jun 18, Aug 18</v>
        <stp/>
        <stp>ContractData</stp>
        <stp>NGES2M8</stp>
        <stp>LongDescription</stp>
        <tr r="B52" s="2"/>
      </tp>
      <tp t="s">
        <v>Natural Gas (Globex) Calendar Spread 2, Feb 18, Apr 18</v>
        <stp/>
        <stp>ContractData</stp>
        <stp>NGES2G8</stp>
        <stp>LongDescription</stp>
        <tr r="B48" s="2"/>
      </tp>
      <tp t="s">
        <v>Natural Gas (Globex) Calendar Spread 2, Jan 18, Mar 18</v>
        <stp/>
        <stp>ContractData</stp>
        <stp>NGES2F8</stp>
        <stp>LongDescription</stp>
        <tr r="B47" s="2"/>
      </tp>
      <tp>
        <v>2.8772857100000002</v>
        <stp/>
        <stp>StudyData</stp>
        <stp>Bar(((NGEJ18+NGEK18+NGEM18+NGEN18+NGEQ18+NGEU18+NGEV18)/7),1)</stp>
        <stp>Bar</stp>
        <stp/>
        <stp>Close</stp>
        <stp>D</stp>
        <stp>-36</stp>
        <stp/>
        <stp/>
        <stp/>
        <stp/>
        <stp>T</stp>
        <tr r="S38" s="14"/>
      </tp>
      <tp>
        <v>2.72157143</v>
        <stp/>
        <stp>StudyData</stp>
        <stp>Bar(((NGEJ19+NGEK19+NGEM19+NGEN19+NGEQ19+NGEU19+NGEV19)/7),1)</stp>
        <stp>Bar</stp>
        <stp/>
        <stp>Close</stp>
        <stp>D</stp>
        <stp>-26</stp>
        <stp/>
        <stp/>
        <stp/>
        <stp/>
        <stp>T</stp>
        <tr r="AN28" s="14"/>
      </tp>
      <tp>
        <v>2.8964285699999999</v>
        <stp/>
        <stp>StudyData</stp>
        <stp>Bar(((NGEJ18+NGEK18+NGEM18+NGEN18+NGEQ18+NGEU18+NGEV18)/7),1)</stp>
        <stp>Bar</stp>
        <stp/>
        <stp>Close</stp>
        <stp>D</stp>
        <stp>-26</stp>
        <stp/>
        <stp/>
        <stp/>
        <stp/>
        <stp>T</stp>
        <tr r="S28" s="14"/>
      </tp>
      <tp>
        <v>2.7004285700000001</v>
        <stp/>
        <stp>StudyData</stp>
        <stp>Bar(((NGEJ19+NGEK19+NGEM19+NGEN19+NGEQ19+NGEU19+NGEV19)/7),1)</stp>
        <stp>Bar</stp>
        <stp/>
        <stp>Close</stp>
        <stp>D</stp>
        <stp>-36</stp>
        <stp/>
        <stp/>
        <stp/>
        <stp/>
        <stp>T</stp>
        <tr r="AN38" s="14"/>
      </tp>
      <tp>
        <v>2.9532857099999998</v>
        <stp/>
        <stp>StudyData</stp>
        <stp>Bar(((NGEJ18+NGEK18+NGEM18+NGEN18+NGEQ18+NGEU18+NGEV18)/7),1)</stp>
        <stp>Bar</stp>
        <stp/>
        <stp>Close</stp>
        <stp>D</stp>
        <stp>-16</stp>
        <stp/>
        <stp/>
        <stp/>
        <stp/>
        <stp>T</stp>
        <tr r="S18" s="14"/>
      </tp>
      <tp>
        <v>2.7724285700000002</v>
        <stp/>
        <stp>StudyData</stp>
        <stp>Bar(((NGEJ19+NGEK19+NGEM19+NGEN19+NGEQ19+NGEU19+NGEV19)/7),1)</stp>
        <stp>Bar</stp>
        <stp/>
        <stp>Close</stp>
        <stp>D</stp>
        <stp>-16</stp>
        <stp/>
        <stp/>
        <stp/>
        <stp/>
        <stp>T</stp>
        <tr r="AN18" s="14"/>
      </tp>
      <tp>
        <v>2.7198571399999998</v>
        <stp/>
        <stp>StudyData</stp>
        <stp>Bar(((NGEJ19+NGEK19+NGEM19+NGEN19+NGEQ19+NGEU19+NGEV19)/7),1)</stp>
        <stp>Bar</stp>
        <stp/>
        <stp>LOw</stp>
        <stp>D</stp>
        <stp>-41</stp>
        <stp/>
        <stp/>
        <stp/>
        <stp/>
        <stp>T</stp>
        <tr r="AM43" s="14"/>
      </tp>
      <tp>
        <v>2.7715714299999998</v>
        <stp/>
        <stp>StudyData</stp>
        <stp>Bar(((NGEJ19+NGEK19+NGEM19+NGEN19+NGEQ19+NGEU19+NGEV19)/7),1)</stp>
        <stp>Bar</stp>
        <stp/>
        <stp>LOw</stp>
        <stp>D</stp>
        <stp>-11</stp>
        <stp/>
        <stp/>
        <stp/>
        <stp/>
        <stp>T</stp>
        <tr r="AM13" s="14"/>
      </tp>
      <tp>
        <v>2.7344285699999999</v>
        <stp/>
        <stp>StudyData</stp>
        <stp>Bar(((NGEJ19+NGEK19+NGEM19+NGEN19+NGEQ19+NGEU19+NGEV19)/7),1)</stp>
        <stp>Bar</stp>
        <stp/>
        <stp>LOw</stp>
        <stp>D</stp>
        <stp>-21</stp>
        <stp/>
        <stp/>
        <stp/>
        <stp/>
        <stp>T</stp>
        <tr r="AM23" s="14"/>
      </tp>
      <tp>
        <v>2.70914286</v>
        <stp/>
        <stp>StudyData</stp>
        <stp>Bar(((NGEJ19+NGEK19+NGEM19+NGEN19+NGEQ19+NGEU19+NGEV19)/7),1)</stp>
        <stp>Bar</stp>
        <stp/>
        <stp>LOw</stp>
        <stp>D</stp>
        <stp>-31</stp>
        <stp/>
        <stp/>
        <stp/>
        <stp/>
        <stp>T</stp>
        <tr r="AM33" s="14"/>
      </tp>
      <tp>
        <v>2.8621428600000001</v>
        <stp/>
        <stp>StudyData</stp>
        <stp>Bar(((NGEJ18+NGEK18+NGEM18+NGEN18+NGEQ18+NGEU18+NGEV18)/7),1)</stp>
        <stp>Bar</stp>
        <stp/>
        <stp>LOw</stp>
        <stp>D</stp>
        <stp>-41</stp>
        <stp/>
        <stp/>
        <stp/>
        <stp/>
        <stp>T</stp>
        <tr r="R43" s="14"/>
      </tp>
      <tp>
        <v>2.9317142899999999</v>
        <stp/>
        <stp>StudyData</stp>
        <stp>Bar(((NGEJ18+NGEK18+NGEM18+NGEN18+NGEQ18+NGEU18+NGEV18)/7),1)</stp>
        <stp>Bar</stp>
        <stp/>
        <stp>LOw</stp>
        <stp>D</stp>
        <stp>-11</stp>
        <stp/>
        <stp/>
        <stp/>
        <stp/>
        <stp>T</stp>
        <tr r="R13" s="14"/>
      </tp>
      <tp>
        <v>2.9145714300000001</v>
        <stp/>
        <stp>StudyData</stp>
        <stp>Bar(((NGEJ18+NGEK18+NGEM18+NGEN18+NGEQ18+NGEU18+NGEV18)/7),1)</stp>
        <stp>Bar</stp>
        <stp/>
        <stp>LOw</stp>
        <stp>D</stp>
        <stp>-21</stp>
        <stp/>
        <stp/>
        <stp/>
        <stp/>
        <stp>T</stp>
        <tr r="R23" s="14"/>
      </tp>
      <tp>
        <v>2.8887142899999998</v>
        <stp/>
        <stp>StudyData</stp>
        <stp>Bar(((NGEJ18+NGEK18+NGEM18+NGEN18+NGEQ18+NGEU18+NGEV18)/7),1)</stp>
        <stp>Bar</stp>
        <stp/>
        <stp>LOw</stp>
        <stp>D</stp>
        <stp>-31</stp>
        <stp/>
        <stp/>
        <stp/>
        <stp/>
        <stp>T</stp>
        <tr r="R33" s="14"/>
      </tp>
      <tp>
        <v>3.0594000000000001</v>
        <stp/>
        <stp>StudyData</stp>
        <stp>Bar(((NGEX18+NGEZ18+NGEF19+NGEG19+NGEH19)/5),1)</stp>
        <stp>Bar</stp>
        <stp/>
        <stp>Open</stp>
        <stp>D</stp>
        <stp>-44</stp>
        <stp/>
        <stp/>
        <stp/>
        <stp/>
        <stp>T</stp>
        <tr r="X46" s="14"/>
      </tp>
      <tp>
        <v>3.073</v>
        <stp/>
        <stp>StudyData</stp>
        <stp>Bar(((NGEX18+NGEZ18+NGEF19+NGEG19+NGEH19)/5),1)</stp>
        <stp>Bar</stp>
        <stp/>
        <stp>Open</stp>
        <stp>D</stp>
        <stp>-34</stp>
        <stp/>
        <stp/>
        <stp/>
        <stp/>
        <stp>T</stp>
        <tr r="X36" s="14"/>
      </tp>
      <tp>
        <v>3.1038000000000001</v>
        <stp/>
        <stp>StudyData</stp>
        <stp>Bar(((NGEX18+NGEZ18+NGEF19+NGEG19+NGEH19)/5),1)</stp>
        <stp>Bar</stp>
        <stp/>
        <stp>Open</stp>
        <stp>D</stp>
        <stp>-24</stp>
        <stp/>
        <stp/>
        <stp/>
        <stp/>
        <stp>T</stp>
        <tr r="X26" s="14"/>
      </tp>
      <tp>
        <v>3.1692</v>
        <stp/>
        <stp>StudyData</stp>
        <stp>Bar(((NGEX18+NGEZ18+NGEF19+NGEG19+NGEH19)/5),1)</stp>
        <stp>Bar</stp>
        <stp/>
        <stp>Open</stp>
        <stp>D</stp>
        <stp>-14</stp>
        <stp/>
        <stp/>
        <stp/>
        <stp/>
        <stp>T</stp>
        <tr r="X16" s="14"/>
      </tp>
      <tp>
        <v>2.91471429</v>
        <stp/>
        <stp>StudyData</stp>
        <stp>Bar(((NGEJ18+NGEK18+NGEM18+NGEN18+NGEQ18+NGEU18+NGEV18)/7),1)</stp>
        <stp>Bar</stp>
        <stp/>
        <stp>Close</stp>
        <stp>D</stp>
        <stp>-3</stp>
        <stp/>
        <stp/>
        <stp/>
        <stp/>
        <stp>T</stp>
        <tr r="S5" s="14"/>
      </tp>
      <tp>
        <v>2.7518571399999998</v>
        <stp/>
        <stp>StudyData</stp>
        <stp>Bar(((NGEJ19+NGEK19+NGEM19+NGEN19+NGEQ19+NGEU19+NGEV19)/7),1)</stp>
        <stp>Bar</stp>
        <stp/>
        <stp>Close</stp>
        <stp>D</stp>
        <stp>-2</stp>
        <stp/>
        <stp/>
        <stp/>
        <stp/>
        <stp>T</stp>
        <tr r="AN4" s="14"/>
      </tp>
      <tp>
        <v>0.44900000000000001</v>
        <stp/>
        <stp>StudyData</stp>
        <stp>Close(NGES4??3)when (LocalMonth(NGES4??3)=9 and LocalDay(NGES4??3)=14 and LocalYear(NGES4??3)=2017)</stp>
        <stp>Bar</stp>
        <stp/>
        <stp>Close</stp>
        <stp>D</stp>
        <stp>0</stp>
        <stp>ALL</stp>
        <stp/>
        <stp/>
        <stp>FALSE</stp>
        <stp>T</stp>
        <tr r="K18" s="9"/>
      </tp>
      <tp>
        <v>0.34899999999999998</v>
        <stp/>
        <stp>StudyData</stp>
        <stp>Close(NGES5??2)when (LocalMonth(NGES5??2)=9 and LocalDay(NGES5??2)=14 and LocalYear(NGES5??2)=2017)</stp>
        <stp>Bar</stp>
        <stp/>
        <stp>Close</stp>
        <stp>D</stp>
        <stp>0</stp>
        <stp>ALL</stp>
        <stp/>
        <stp/>
        <stp>FALSE</stp>
        <stp>T</stp>
        <tr r="K17" s="10"/>
      </tp>
      <tp>
        <v>0.20499999999999999</v>
        <stp/>
        <stp>StudyData</stp>
        <stp>Close(NGES6??1)when (LocalMonth(NGES6??1)=9 and LocalDay(NGES6??1)=14 and LocalYear(NGES6??1)=2017)</stp>
        <stp>Bar</stp>
        <stp/>
        <stp>Close</stp>
        <stp>D</stp>
        <stp>0</stp>
        <stp>ALL</stp>
        <stp/>
        <stp/>
        <stp>FALSE</stp>
        <stp>T</stp>
        <tr r="K16" s="11"/>
      </tp>
      <tp>
        <v>3.7999999999999999E-2</v>
        <stp/>
        <stp>StudyData</stp>
        <stp>Close(NGES1??6)when (LocalMonth(NGES1??6)=9 and LocalDay(NGES1??6)=14 and LocalYear(NGES1??6)=2017)</stp>
        <stp>Bar</stp>
        <stp/>
        <stp>Close</stp>
        <stp>D</stp>
        <stp>0</stp>
        <stp>ALL</stp>
        <stp/>
        <stp/>
        <stp>FALSE</stp>
        <stp>T</stp>
        <tr r="K21" s="6"/>
      </tp>
      <tp>
        <v>0.39800000000000002</v>
        <stp/>
        <stp>StudyData</stp>
        <stp>Close(NGES2??5)when (LocalMonth(NGES2??5)=9 and LocalDay(NGES2??5)=14 and LocalYear(NGES2??5)=2017)</stp>
        <stp>Bar</stp>
        <stp/>
        <stp>Close</stp>
        <stp>D</stp>
        <stp>0</stp>
        <stp>ALL</stp>
        <stp/>
        <stp/>
        <stp>FALSE</stp>
        <stp>T</stp>
        <tr r="K20" s="7"/>
      </tp>
      <tp>
        <v>0.44800000000000001</v>
        <stp/>
        <stp>StudyData</stp>
        <stp>Close(NGES3??4)when (LocalMonth(NGES3??4)=9 and LocalDay(NGES3??4)=14 and LocalYear(NGES3??4)=2017)</stp>
        <stp>Bar</stp>
        <stp/>
        <stp>Close</stp>
        <stp>D</stp>
        <stp>0</stp>
        <stp>ALL</stp>
        <stp/>
        <stp/>
        <stp>FALSE</stp>
        <stp>T</stp>
        <tr r="K19" s="8"/>
      </tp>
      <tp t="s">
        <v>Natural Gas (Globex) Calendar Spread 5, Dec 17, May 18</v>
        <stp/>
        <stp>ContractData</stp>
        <stp>NGES5Z7</stp>
        <stp>LongDescription</stp>
        <tr r="B94" s="2"/>
      </tp>
      <tp t="s">
        <v>Natural Gas (Globex) Calendar Spread 5, Nov 17, Apr 18</v>
        <stp/>
        <stp>ContractData</stp>
        <stp>NGES5X7</stp>
        <stp>LongDescription</stp>
        <tr r="B93" s="2"/>
      </tp>
      <tp t="s">
        <v>Natural Gas (Globex) Calendar Spread 5, Aug 18, Jan 19</v>
        <stp/>
        <stp>ContractData</stp>
        <stp>NGES5Q8</stp>
        <stp>LongDescription</stp>
        <tr r="B102" s="2"/>
      </tp>
      <tp t="s">
        <v>Natural Gas (Globex) Calendar Spread 5, Oct 18, Mar 19</v>
        <stp/>
        <stp>ContractData</stp>
        <stp>NGES5V8</stp>
        <stp>LongDescription</stp>
        <tr r="B104" s="2"/>
      </tp>
      <tp t="s">
        <v>Natural Gas (Globex) Calendar Spread 5, Sep 18, Feb 19</v>
        <stp/>
        <stp>ContractData</stp>
        <stp>NGES5U8</stp>
        <stp>LongDescription</stp>
        <tr r="B103" s="2"/>
      </tp>
      <tp t="s">
        <v>Natural Gas (Globex) Calendar Spread 5, May 18, Oct 18</v>
        <stp/>
        <stp>ContractData</stp>
        <stp>NGES5K8</stp>
        <stp>LongDescription</stp>
        <tr r="B99" s="2"/>
      </tp>
      <tp t="s">
        <v>Natural Gas (Globex) Calendar Spread 5, Apr 18, Sep 18</v>
        <stp/>
        <stp>ContractData</stp>
        <stp>NGES5J8</stp>
        <stp>LongDescription</stp>
        <tr r="B98" s="2"/>
      </tp>
      <tp t="s">
        <v>Natural Gas (Globex) Calendar Spread 5, Mar 18, Aug 18</v>
        <stp/>
        <stp>ContractData</stp>
        <stp>NGES5H8</stp>
        <stp>LongDescription</stp>
        <tr r="B97" s="2"/>
      </tp>
      <tp t="s">
        <v/>
        <stp/>
        <stp>ContractData</stp>
        <stp>NGE?92</stp>
        <stp>T_Settlement</stp>
        <stp/>
        <stp>T</stp>
        <tr r="Y99" s="16"/>
      </tp>
      <tp t="s">
        <v/>
        <stp/>
        <stp>ContractData</stp>
        <stp>NGE?93</stp>
        <stp>T_Settlement</stp>
        <stp/>
        <stp>T</stp>
        <tr r="Y100" s="16"/>
      </tp>
      <tp t="s">
        <v/>
        <stp/>
        <stp>ContractData</stp>
        <stp>NGE?90</stp>
        <stp>T_Settlement</stp>
        <stp/>
        <stp>T</stp>
        <tr r="Y97" s="16"/>
      </tp>
      <tp t="s">
        <v/>
        <stp/>
        <stp>ContractData</stp>
        <stp>NGE?91</stp>
        <stp>T_Settlement</stp>
        <stp/>
        <stp>T</stp>
        <tr r="Y98" s="16"/>
      </tp>
      <tp t="s">
        <v/>
        <stp/>
        <stp>ContractData</stp>
        <stp>NGE?96</stp>
        <stp>T_Settlement</stp>
        <stp/>
        <stp>T</stp>
        <tr r="Y103" s="16"/>
      </tp>
      <tp t="s">
        <v/>
        <stp/>
        <stp>ContractData</stp>
        <stp>NGE?97</stp>
        <stp>T_Settlement</stp>
        <stp/>
        <stp>T</stp>
        <tr r="Y104" s="16"/>
      </tp>
      <tp t="s">
        <v/>
        <stp/>
        <stp>ContractData</stp>
        <stp>NGE?94</stp>
        <stp>T_Settlement</stp>
        <stp/>
        <stp>T</stp>
        <tr r="Y101" s="16"/>
      </tp>
      <tp t="s">
        <v/>
        <stp/>
        <stp>ContractData</stp>
        <stp>NGE?95</stp>
        <stp>T_Settlement</stp>
        <stp/>
        <stp>T</stp>
        <tr r="Y102" s="16"/>
      </tp>
      <tp t="s">
        <v/>
        <stp/>
        <stp>ContractData</stp>
        <stp>NGE?98</stp>
        <stp>T_Settlement</stp>
        <stp/>
        <stp>T</stp>
        <tr r="Y105" s="16"/>
      </tp>
      <tp t="s">
        <v/>
        <stp/>
        <stp>ContractData</stp>
        <stp>NGE?99</stp>
        <stp>T_Settlement</stp>
        <stp/>
        <stp>T</stp>
        <tr r="Y106" s="16"/>
      </tp>
      <tp t="s">
        <v>Natural Gas (Globex) Calendar Spread 5, Jul 18, Dec 18</v>
        <stp/>
        <stp>ContractData</stp>
        <stp>NGES5N8</stp>
        <stp>LongDescription</stp>
        <tr r="B101" s="2"/>
      </tp>
      <tp t="s">
        <v/>
        <stp/>
        <stp>ContractData</stp>
        <stp>NGE?82</stp>
        <stp>T_Settlement</stp>
        <stp/>
        <stp>T</stp>
        <tr r="Y89" s="16"/>
      </tp>
      <tp t="s">
        <v/>
        <stp/>
        <stp>ContractData</stp>
        <stp>NGE?83</stp>
        <stp>T_Settlement</stp>
        <stp/>
        <stp>T</stp>
        <tr r="Y90" s="16"/>
      </tp>
      <tp t="s">
        <v/>
        <stp/>
        <stp>ContractData</stp>
        <stp>NGE?80</stp>
        <stp>T_Settlement</stp>
        <stp/>
        <stp>T</stp>
        <tr r="Y87" s="16"/>
      </tp>
      <tp t="s">
        <v/>
        <stp/>
        <stp>ContractData</stp>
        <stp>NGE?81</stp>
        <stp>T_Settlement</stp>
        <stp/>
        <stp>T</stp>
        <tr r="Y88" s="16"/>
      </tp>
      <tp t="s">
        <v/>
        <stp/>
        <stp>ContractData</stp>
        <stp>NGE?86</stp>
        <stp>T_Settlement</stp>
        <stp/>
        <stp>T</stp>
        <tr r="Y93" s="16"/>
      </tp>
      <tp t="s">
        <v/>
        <stp/>
        <stp>ContractData</stp>
        <stp>NGE?87</stp>
        <stp>T_Settlement</stp>
        <stp/>
        <stp>T</stp>
        <tr r="Y94" s="16"/>
      </tp>
      <tp t="s">
        <v/>
        <stp/>
        <stp>ContractData</stp>
        <stp>NGE?84</stp>
        <stp>T_Settlement</stp>
        <stp/>
        <stp>T</stp>
        <tr r="Y91" s="16"/>
      </tp>
      <tp t="s">
        <v/>
        <stp/>
        <stp>ContractData</stp>
        <stp>NGE?85</stp>
        <stp>T_Settlement</stp>
        <stp/>
        <stp>T</stp>
        <tr r="Y92" s="16"/>
      </tp>
      <tp t="s">
        <v/>
        <stp/>
        <stp>ContractData</stp>
        <stp>NGE?88</stp>
        <stp>T_Settlement</stp>
        <stp/>
        <stp>T</stp>
        <tr r="Y95" s="16"/>
      </tp>
      <tp t="s">
        <v/>
        <stp/>
        <stp>ContractData</stp>
        <stp>NGE?89</stp>
        <stp>T_Settlement</stp>
        <stp/>
        <stp>T</stp>
        <tr r="Y96" s="16"/>
      </tp>
      <tp t="s">
        <v>Natural Gas (Globex) Calendar Spread 5, Jun 18, Nov 18</v>
        <stp/>
        <stp>ContractData</stp>
        <stp>NGES5M8</stp>
        <stp>LongDescription</stp>
        <tr r="B100" s="2"/>
      </tp>
      <tp t="s">
        <v/>
        <stp/>
        <stp>ContractData</stp>
        <stp>NGE?52</stp>
        <stp>T_Settlement</stp>
        <stp/>
        <stp>T</stp>
        <tr r="Y59" s="16"/>
      </tp>
      <tp t="s">
        <v/>
        <stp/>
        <stp>ContractData</stp>
        <stp>NGE?53</stp>
        <stp>T_Settlement</stp>
        <stp/>
        <stp>T</stp>
        <tr r="Y60" s="16"/>
      </tp>
      <tp t="s">
        <v/>
        <stp/>
        <stp>ContractData</stp>
        <stp>NGE?50</stp>
        <stp>T_Settlement</stp>
        <stp/>
        <stp>T</stp>
        <tr r="Y57" s="16"/>
      </tp>
      <tp t="s">
        <v/>
        <stp/>
        <stp>ContractData</stp>
        <stp>NGE?51</stp>
        <stp>T_Settlement</stp>
        <stp/>
        <stp>T</stp>
        <tr r="Y58" s="16"/>
      </tp>
      <tp t="s">
        <v/>
        <stp/>
        <stp>ContractData</stp>
        <stp>NGE?56</stp>
        <stp>T_Settlement</stp>
        <stp/>
        <stp>T</stp>
        <tr r="Y63" s="16"/>
      </tp>
      <tp t="s">
        <v/>
        <stp/>
        <stp>ContractData</stp>
        <stp>NGE?57</stp>
        <stp>T_Settlement</stp>
        <stp/>
        <stp>T</stp>
        <tr r="Y64" s="16"/>
      </tp>
      <tp t="s">
        <v/>
        <stp/>
        <stp>ContractData</stp>
        <stp>NGE?54</stp>
        <stp>T_Settlement</stp>
        <stp/>
        <stp>T</stp>
        <tr r="Y61" s="16"/>
      </tp>
      <tp t="s">
        <v/>
        <stp/>
        <stp>ContractData</stp>
        <stp>NGE?55</stp>
        <stp>T_Settlement</stp>
        <stp/>
        <stp>T</stp>
        <tr r="Y62" s="16"/>
      </tp>
      <tp t="s">
        <v/>
        <stp/>
        <stp>ContractData</stp>
        <stp>NGE?58</stp>
        <stp>T_Settlement</stp>
        <stp/>
        <stp>T</stp>
        <tr r="Y65" s="16"/>
      </tp>
      <tp t="s">
        <v/>
        <stp/>
        <stp>ContractData</stp>
        <stp>NGE?59</stp>
        <stp>T_Settlement</stp>
        <stp/>
        <stp>T</stp>
        <tr r="Y66" s="16"/>
      </tp>
      <tp t="s">
        <v/>
        <stp/>
        <stp>ContractData</stp>
        <stp>NGE?42</stp>
        <stp>T_Settlement</stp>
        <stp/>
        <stp>T</stp>
        <tr r="Y49" s="16"/>
      </tp>
      <tp t="s">
        <v/>
        <stp/>
        <stp>ContractData</stp>
        <stp>NGE?43</stp>
        <stp>T_Settlement</stp>
        <stp/>
        <stp>T</stp>
        <tr r="Y50" s="16"/>
      </tp>
      <tp t="s">
        <v/>
        <stp/>
        <stp>ContractData</stp>
        <stp>NGE?40</stp>
        <stp>T_Settlement</stp>
        <stp/>
        <stp>T</stp>
        <tr r="Y47" s="16"/>
      </tp>
      <tp t="s">
        <v/>
        <stp/>
        <stp>ContractData</stp>
        <stp>NGE?41</stp>
        <stp>T_Settlement</stp>
        <stp/>
        <stp>T</stp>
        <tr r="Y48" s="16"/>
      </tp>
      <tp t="s">
        <v/>
        <stp/>
        <stp>ContractData</stp>
        <stp>NGE?46</stp>
        <stp>T_Settlement</stp>
        <stp/>
        <stp>T</stp>
        <tr r="Y53" s="16"/>
      </tp>
      <tp t="s">
        <v/>
        <stp/>
        <stp>ContractData</stp>
        <stp>NGE?47</stp>
        <stp>T_Settlement</stp>
        <stp/>
        <stp>T</stp>
        <tr r="Y54" s="16"/>
      </tp>
      <tp t="s">
        <v/>
        <stp/>
        <stp>ContractData</stp>
        <stp>NGE?44</stp>
        <stp>T_Settlement</stp>
        <stp/>
        <stp>T</stp>
        <tr r="Y51" s="16"/>
      </tp>
      <tp t="s">
        <v/>
        <stp/>
        <stp>ContractData</stp>
        <stp>NGE?45</stp>
        <stp>T_Settlement</stp>
        <stp/>
        <stp>T</stp>
        <tr r="Y52" s="16"/>
      </tp>
      <tp t="s">
        <v/>
        <stp/>
        <stp>ContractData</stp>
        <stp>NGE?48</stp>
        <stp>T_Settlement</stp>
        <stp/>
        <stp>T</stp>
        <tr r="Y55" s="16"/>
      </tp>
      <tp t="s">
        <v/>
        <stp/>
        <stp>ContractData</stp>
        <stp>NGE?49</stp>
        <stp>T_Settlement</stp>
        <stp/>
        <stp>T</stp>
        <tr r="Y56" s="16"/>
      </tp>
      <tp t="s">
        <v/>
        <stp/>
        <stp>ContractData</stp>
        <stp>NGE?72</stp>
        <stp>T_Settlement</stp>
        <stp/>
        <stp>T</stp>
        <tr r="Y79" s="16"/>
      </tp>
      <tp t="s">
        <v/>
        <stp/>
        <stp>ContractData</stp>
        <stp>NGE?73</stp>
        <stp>T_Settlement</stp>
        <stp/>
        <stp>T</stp>
        <tr r="Y80" s="16"/>
      </tp>
      <tp t="s">
        <v/>
        <stp/>
        <stp>ContractData</stp>
        <stp>NGE?70</stp>
        <stp>T_Settlement</stp>
        <stp/>
        <stp>T</stp>
        <tr r="Y77" s="16"/>
      </tp>
      <tp t="s">
        <v/>
        <stp/>
        <stp>ContractData</stp>
        <stp>NGE?71</stp>
        <stp>T_Settlement</stp>
        <stp/>
        <stp>T</stp>
        <tr r="Y78" s="16"/>
      </tp>
      <tp t="s">
        <v/>
        <stp/>
        <stp>ContractData</stp>
        <stp>NGE?76</stp>
        <stp>T_Settlement</stp>
        <stp/>
        <stp>T</stp>
        <tr r="Y83" s="16"/>
      </tp>
      <tp t="s">
        <v/>
        <stp/>
        <stp>ContractData</stp>
        <stp>NGE?77</stp>
        <stp>T_Settlement</stp>
        <stp/>
        <stp>T</stp>
        <tr r="Y84" s="16"/>
      </tp>
      <tp t="s">
        <v/>
        <stp/>
        <stp>ContractData</stp>
        <stp>NGE?74</stp>
        <stp>T_Settlement</stp>
        <stp/>
        <stp>T</stp>
        <tr r="Y81" s="16"/>
      </tp>
      <tp t="s">
        <v/>
        <stp/>
        <stp>ContractData</stp>
        <stp>NGE?75</stp>
        <stp>T_Settlement</stp>
        <stp/>
        <stp>T</stp>
        <tr r="Y82" s="16"/>
      </tp>
      <tp t="s">
        <v/>
        <stp/>
        <stp>ContractData</stp>
        <stp>NGE?78</stp>
        <stp>T_Settlement</stp>
        <stp/>
        <stp>T</stp>
        <tr r="Y85" s="16"/>
      </tp>
      <tp t="s">
        <v/>
        <stp/>
        <stp>ContractData</stp>
        <stp>NGE?79</stp>
        <stp>T_Settlement</stp>
        <stp/>
        <stp>T</stp>
        <tr r="Y86" s="16"/>
      </tp>
      <tp t="s">
        <v/>
        <stp/>
        <stp>ContractData</stp>
        <stp>NGE?62</stp>
        <stp>T_Settlement</stp>
        <stp/>
        <stp>T</stp>
        <tr r="Y69" s="16"/>
      </tp>
      <tp t="s">
        <v/>
        <stp/>
        <stp>ContractData</stp>
        <stp>NGE?63</stp>
        <stp>T_Settlement</stp>
        <stp/>
        <stp>T</stp>
        <tr r="Y70" s="16"/>
      </tp>
      <tp t="s">
        <v/>
        <stp/>
        <stp>ContractData</stp>
        <stp>NGE?60</stp>
        <stp>T_Settlement</stp>
        <stp/>
        <stp>T</stp>
        <tr r="Y67" s="16"/>
      </tp>
      <tp t="s">
        <v/>
        <stp/>
        <stp>ContractData</stp>
        <stp>NGE?61</stp>
        <stp>T_Settlement</stp>
        <stp/>
        <stp>T</stp>
        <tr r="Y68" s="16"/>
      </tp>
      <tp t="s">
        <v/>
        <stp/>
        <stp>ContractData</stp>
        <stp>NGE?66</stp>
        <stp>T_Settlement</stp>
        <stp/>
        <stp>T</stp>
        <tr r="Y73" s="16"/>
      </tp>
      <tp t="s">
        <v/>
        <stp/>
        <stp>ContractData</stp>
        <stp>NGE?67</stp>
        <stp>T_Settlement</stp>
        <stp/>
        <stp>T</stp>
        <tr r="Y74" s="16"/>
      </tp>
      <tp t="s">
        <v/>
        <stp/>
        <stp>ContractData</stp>
        <stp>NGE?64</stp>
        <stp>T_Settlement</stp>
        <stp/>
        <stp>T</stp>
        <tr r="Y71" s="16"/>
      </tp>
      <tp t="s">
        <v/>
        <stp/>
        <stp>ContractData</stp>
        <stp>NGE?65</stp>
        <stp>T_Settlement</stp>
        <stp/>
        <stp>T</stp>
        <tr r="Y72" s="16"/>
      </tp>
      <tp t="s">
        <v/>
        <stp/>
        <stp>ContractData</stp>
        <stp>NGE?68</stp>
        <stp>T_Settlement</stp>
        <stp/>
        <stp>T</stp>
        <tr r="Y75" s="16"/>
      </tp>
      <tp t="s">
        <v/>
        <stp/>
        <stp>ContractData</stp>
        <stp>NGE?69</stp>
        <stp>T_Settlement</stp>
        <stp/>
        <stp>T</stp>
        <tr r="Y76" s="16"/>
      </tp>
      <tp t="s">
        <v>Natural Gas (Globex) Calendar Spread 5, Feb 18, Jul 18</v>
        <stp/>
        <stp>ContractData</stp>
        <stp>NGES5G8</stp>
        <stp>LongDescription</stp>
        <tr r="B96" s="2"/>
      </tp>
      <tp t="s">
        <v/>
        <stp/>
        <stp>ContractData</stp>
        <stp>NGE?12</stp>
        <stp>T_Settlement</stp>
        <stp/>
        <stp>T</stp>
        <tr r="Y19" s="16"/>
      </tp>
      <tp t="s">
        <v/>
        <stp/>
        <stp>ContractData</stp>
        <stp>NGE?13</stp>
        <stp>T_Settlement</stp>
        <stp/>
        <stp>T</stp>
        <tr r="Y20" s="16"/>
      </tp>
      <tp t="s">
        <v/>
        <stp/>
        <stp>ContractData</stp>
        <stp>NGE?10</stp>
        <stp>T_Settlement</stp>
        <stp/>
        <stp>T</stp>
        <tr r="Y17" s="16"/>
      </tp>
      <tp t="s">
        <v/>
        <stp/>
        <stp>ContractData</stp>
        <stp>NGE?11</stp>
        <stp>T_Settlement</stp>
        <stp/>
        <stp>T</stp>
        <tr r="Y18" s="16"/>
      </tp>
      <tp t="s">
        <v/>
        <stp/>
        <stp>ContractData</stp>
        <stp>NGE?16</stp>
        <stp>T_Settlement</stp>
        <stp/>
        <stp>T</stp>
        <tr r="Y23" s="16"/>
      </tp>
      <tp t="s">
        <v/>
        <stp/>
        <stp>ContractData</stp>
        <stp>NGE?17</stp>
        <stp>T_Settlement</stp>
        <stp/>
        <stp>T</stp>
        <tr r="Y24" s="16"/>
      </tp>
      <tp t="s">
        <v/>
        <stp/>
        <stp>ContractData</stp>
        <stp>NGE?14</stp>
        <stp>T_Settlement</stp>
        <stp/>
        <stp>T</stp>
        <tr r="Y21" s="16"/>
      </tp>
      <tp t="s">
        <v/>
        <stp/>
        <stp>ContractData</stp>
        <stp>NGE?15</stp>
        <stp>T_Settlement</stp>
        <stp/>
        <stp>T</stp>
        <tr r="Y22" s="16"/>
      </tp>
      <tp t="s">
        <v/>
        <stp/>
        <stp>ContractData</stp>
        <stp>NGE?18</stp>
        <stp>T_Settlement</stp>
        <stp/>
        <stp>T</stp>
        <tr r="Y25" s="16"/>
      </tp>
      <tp t="s">
        <v/>
        <stp/>
        <stp>ContractData</stp>
        <stp>NGE?19</stp>
        <stp>T_Settlement</stp>
        <stp/>
        <stp>T</stp>
        <tr r="Y26" s="16"/>
      </tp>
      <tp t="s">
        <v>Natural Gas (Globex) Calendar Spread 5, Jan 18, Jun 18</v>
        <stp/>
        <stp>ContractData</stp>
        <stp>NGES5F8</stp>
        <stp>LongDescription</stp>
        <tr r="B95" s="2"/>
      </tp>
      <tp t="s">
        <v/>
        <stp/>
        <stp>ContractData</stp>
        <stp>NGE?32</stp>
        <stp>T_Settlement</stp>
        <stp/>
        <stp>T</stp>
        <tr r="Y39" s="16"/>
      </tp>
      <tp t="s">
        <v/>
        <stp/>
        <stp>ContractData</stp>
        <stp>NGE?33</stp>
        <stp>T_Settlement</stp>
        <stp/>
        <stp>T</stp>
        <tr r="Y40" s="16"/>
      </tp>
      <tp t="s">
        <v/>
        <stp/>
        <stp>ContractData</stp>
        <stp>NGE?30</stp>
        <stp>T_Settlement</stp>
        <stp/>
        <stp>T</stp>
        <tr r="Y37" s="16"/>
      </tp>
      <tp t="s">
        <v/>
        <stp/>
        <stp>ContractData</stp>
        <stp>NGE?31</stp>
        <stp>T_Settlement</stp>
        <stp/>
        <stp>T</stp>
        <tr r="Y38" s="16"/>
      </tp>
      <tp t="s">
        <v/>
        <stp/>
        <stp>ContractData</stp>
        <stp>NGE?36</stp>
        <stp>T_Settlement</stp>
        <stp/>
        <stp>T</stp>
        <tr r="Y43" s="16"/>
      </tp>
      <tp t="s">
        <v/>
        <stp/>
        <stp>ContractData</stp>
        <stp>NGE?37</stp>
        <stp>T_Settlement</stp>
        <stp/>
        <stp>T</stp>
        <tr r="Y44" s="16"/>
      </tp>
      <tp t="s">
        <v/>
        <stp/>
        <stp>ContractData</stp>
        <stp>NGE?34</stp>
        <stp>T_Settlement</stp>
        <stp/>
        <stp>T</stp>
        <tr r="Y41" s="16"/>
      </tp>
      <tp t="s">
        <v/>
        <stp/>
        <stp>ContractData</stp>
        <stp>NGE?35</stp>
        <stp>T_Settlement</stp>
        <stp/>
        <stp>T</stp>
        <tr r="Y42" s="16"/>
      </tp>
      <tp t="s">
        <v/>
        <stp/>
        <stp>ContractData</stp>
        <stp>NGE?38</stp>
        <stp>T_Settlement</stp>
        <stp/>
        <stp>T</stp>
        <tr r="Y45" s="16"/>
      </tp>
      <tp t="s">
        <v/>
        <stp/>
        <stp>ContractData</stp>
        <stp>NGE?39</stp>
        <stp>T_Settlement</stp>
        <stp/>
        <stp>T</stp>
        <tr r="Y46" s="16"/>
      </tp>
      <tp t="s">
        <v/>
        <stp/>
        <stp>ContractData</stp>
        <stp>NGE?22</stp>
        <stp>T_Settlement</stp>
        <stp/>
        <stp>T</stp>
        <tr r="Y29" s="16"/>
      </tp>
      <tp t="s">
        <v/>
        <stp/>
        <stp>ContractData</stp>
        <stp>NGE?23</stp>
        <stp>T_Settlement</stp>
        <stp/>
        <stp>T</stp>
        <tr r="Y30" s="16"/>
      </tp>
      <tp t="s">
        <v/>
        <stp/>
        <stp>ContractData</stp>
        <stp>NGE?20</stp>
        <stp>T_Settlement</stp>
        <stp/>
        <stp>T</stp>
        <tr r="Y27" s="16"/>
      </tp>
      <tp t="s">
        <v/>
        <stp/>
        <stp>ContractData</stp>
        <stp>NGE?21</stp>
        <stp>T_Settlement</stp>
        <stp/>
        <stp>T</stp>
        <tr r="Y28" s="16"/>
      </tp>
      <tp t="s">
        <v/>
        <stp/>
        <stp>ContractData</stp>
        <stp>NGE?26</stp>
        <stp>T_Settlement</stp>
        <stp/>
        <stp>T</stp>
        <tr r="Y33" s="16"/>
      </tp>
      <tp t="s">
        <v/>
        <stp/>
        <stp>ContractData</stp>
        <stp>NGE?27</stp>
        <stp>T_Settlement</stp>
        <stp/>
        <stp>T</stp>
        <tr r="Y34" s="16"/>
      </tp>
      <tp t="s">
        <v/>
        <stp/>
        <stp>ContractData</stp>
        <stp>NGE?24</stp>
        <stp>T_Settlement</stp>
        <stp/>
        <stp>T</stp>
        <tr r="Y31" s="16"/>
      </tp>
      <tp t="s">
        <v/>
        <stp/>
        <stp>ContractData</stp>
        <stp>NGE?25</stp>
        <stp>T_Settlement</stp>
        <stp/>
        <stp>T</stp>
        <tr r="Y32" s="16"/>
      </tp>
      <tp t="s">
        <v/>
        <stp/>
        <stp>ContractData</stp>
        <stp>NGE?28</stp>
        <stp>T_Settlement</stp>
        <stp/>
        <stp>T</stp>
        <tr r="Y35" s="16"/>
      </tp>
      <tp t="s">
        <v/>
        <stp/>
        <stp>ContractData</stp>
        <stp>NGE?29</stp>
        <stp>T_Settlement</stp>
        <stp/>
        <stp>T</stp>
        <tr r="Y36" s="16"/>
      </tp>
      <tp>
        <v>2.7198571399999998</v>
        <stp/>
        <stp>StudyData</stp>
        <stp>Bar(((NGEJ19+NGEK19+NGEM19+NGEN19+NGEQ19+NGEU19+NGEV19)/7),1)</stp>
        <stp>Bar</stp>
        <stp/>
        <stp>Close</stp>
        <stp>D</stp>
        <stp>-41</stp>
        <stp/>
        <stp/>
        <stp/>
        <stp/>
        <stp>T</stp>
        <tr r="AN43" s="14"/>
      </tp>
      <tp>
        <v>2.8757142899999999</v>
        <stp/>
        <stp>StudyData</stp>
        <stp>Bar(((NGEJ18+NGEK18+NGEM18+NGEN18+NGEQ18+NGEU18+NGEV18)/7),1)</stp>
        <stp>Bar</stp>
        <stp/>
        <stp>Close</stp>
        <stp>D</stp>
        <stp>-41</stp>
        <stp/>
        <stp/>
        <stp/>
        <stp/>
        <stp>T</stp>
        <tr r="S43" s="14"/>
      </tp>
      <tp>
        <v>2.9051428600000002</v>
        <stp/>
        <stp>StudyData</stp>
        <stp>Bar(((NGEJ18+NGEK18+NGEM18+NGEN18+NGEQ18+NGEU18+NGEV18)/7),1)</stp>
        <stp>Bar</stp>
        <stp/>
        <stp>Close</stp>
        <stp>D</stp>
        <stp>-31</stp>
        <stp/>
        <stp/>
        <stp/>
        <stp/>
        <stp>T</stp>
        <tr r="S33" s="14"/>
      </tp>
      <tp>
        <v>2.7490000000000001</v>
        <stp/>
        <stp>StudyData</stp>
        <stp>Bar(((NGEJ19+NGEK19+NGEM19+NGEN19+NGEQ19+NGEU19+NGEV19)/7),1)</stp>
        <stp>Bar</stp>
        <stp/>
        <stp>Close</stp>
        <stp>D</stp>
        <stp>-21</stp>
        <stp/>
        <stp/>
        <stp/>
        <stp/>
        <stp>T</stp>
        <tr r="AN23" s="14"/>
      </tp>
      <tp>
        <v>2.93128571</v>
        <stp/>
        <stp>StudyData</stp>
        <stp>Bar(((NGEJ18+NGEK18+NGEM18+NGEN18+NGEQ18+NGEU18+NGEV18)/7),1)</stp>
        <stp>Bar</stp>
        <stp/>
        <stp>Close</stp>
        <stp>D</stp>
        <stp>-21</stp>
        <stp/>
        <stp/>
        <stp/>
        <stp/>
        <stp>T</stp>
        <tr r="S23" s="14"/>
      </tp>
      <tp>
        <v>2.7120000000000002</v>
        <stp/>
        <stp>StudyData</stp>
        <stp>Bar(((NGEJ19+NGEK19+NGEM19+NGEN19+NGEQ19+NGEU19+NGEV19)/7),1)</stp>
        <stp>Bar</stp>
        <stp/>
        <stp>Close</stp>
        <stp>D</stp>
        <stp>-31</stp>
        <stp/>
        <stp/>
        <stp/>
        <stp/>
        <stp>T</stp>
        <tr r="AN33" s="14"/>
      </tp>
      <tp>
        <v>2.9365714299999999</v>
        <stp/>
        <stp>StudyData</stp>
        <stp>Bar(((NGEJ18+NGEK18+NGEM18+NGEN18+NGEQ18+NGEU18+NGEV18)/7),1)</stp>
        <stp>Bar</stp>
        <stp/>
        <stp>Close</stp>
        <stp>D</stp>
        <stp>-11</stp>
        <stp/>
        <stp/>
        <stp/>
        <stp/>
        <stp>T</stp>
        <tr r="S13" s="14"/>
      </tp>
      <tp>
        <v>2.7715714299999998</v>
        <stp/>
        <stp>StudyData</stp>
        <stp>Bar(((NGEJ19+NGEK19+NGEM19+NGEN19+NGEQ19+NGEU19+NGEV19)/7),1)</stp>
        <stp>Bar</stp>
        <stp/>
        <stp>Close</stp>
        <stp>D</stp>
        <stp>-11</stp>
        <stp/>
        <stp/>
        <stp/>
        <stp/>
        <stp>T</stp>
        <tr r="AN13" s="14"/>
      </tp>
      <tp>
        <v>2.7197142900000002</v>
        <stp/>
        <stp>StudyData</stp>
        <stp>Bar(((NGEJ19+NGEK19+NGEM19+NGEN19+NGEQ19+NGEU19+NGEV19)/7),1)</stp>
        <stp>Bar</stp>
        <stp/>
        <stp>LOw</stp>
        <stp>D</stp>
        <stp>-40</stp>
        <stp/>
        <stp/>
        <stp/>
        <stp/>
        <stp>T</stp>
        <tr r="AM42" s="14"/>
      </tp>
      <tp>
        <v>2.7715714299999998</v>
        <stp/>
        <stp>StudyData</stp>
        <stp>Bar(((NGEJ19+NGEK19+NGEM19+NGEN19+NGEQ19+NGEU19+NGEV19)/7),1)</stp>
        <stp>Bar</stp>
        <stp/>
        <stp>LOw</stp>
        <stp>D</stp>
        <stp>-10</stp>
        <stp/>
        <stp/>
        <stp/>
        <stp/>
        <stp>T</stp>
        <tr r="AM12" s="14"/>
      </tp>
      <tp>
        <v>2.7478571399999998</v>
        <stp/>
        <stp>StudyData</stp>
        <stp>Bar(((NGEJ19+NGEK19+NGEM19+NGEN19+NGEQ19+NGEU19+NGEV19)/7),1)</stp>
        <stp>Bar</stp>
        <stp/>
        <stp>LOw</stp>
        <stp>D</stp>
        <stp>-20</stp>
        <stp/>
        <stp/>
        <stp/>
        <stp/>
        <stp>T</stp>
        <tr r="AM22" s="14"/>
      </tp>
      <tp>
        <v>2.7034285699999998</v>
        <stp/>
        <stp>StudyData</stp>
        <stp>Bar(((NGEJ19+NGEK19+NGEM19+NGEN19+NGEQ19+NGEU19+NGEV19)/7),1)</stp>
        <stp>Bar</stp>
        <stp/>
        <stp>LOw</stp>
        <stp>D</stp>
        <stp>-30</stp>
        <stp/>
        <stp/>
        <stp/>
        <stp/>
        <stp>T</stp>
        <tr r="AM32" s="14"/>
      </tp>
      <tp>
        <v>2.8742857100000001</v>
        <stp/>
        <stp>StudyData</stp>
        <stp>Bar(((NGEJ18+NGEK18+NGEM18+NGEN18+NGEQ18+NGEU18+NGEV18)/7),1)</stp>
        <stp>Bar</stp>
        <stp/>
        <stp>LOw</stp>
        <stp>D</stp>
        <stp>-40</stp>
        <stp/>
        <stp/>
        <stp/>
        <stp/>
        <stp>T</stp>
        <tr r="R42" s="14"/>
      </tp>
      <tp>
        <v>2.9344285700000001</v>
        <stp/>
        <stp>StudyData</stp>
        <stp>Bar(((NGEJ18+NGEK18+NGEM18+NGEN18+NGEQ18+NGEU18+NGEV18)/7),1)</stp>
        <stp>Bar</stp>
        <stp/>
        <stp>LOw</stp>
        <stp>D</stp>
        <stp>-10</stp>
        <stp/>
        <stp/>
        <stp/>
        <stp/>
        <stp>T</stp>
        <tr r="R12" s="14"/>
      </tp>
      <tp>
        <v>2.9011428600000002</v>
        <stp/>
        <stp>StudyData</stp>
        <stp>Bar(((NGEJ18+NGEK18+NGEM18+NGEN18+NGEQ18+NGEU18+NGEV18)/7),1)</stp>
        <stp>Bar</stp>
        <stp/>
        <stp>LOw</stp>
        <stp>D</stp>
        <stp>-20</stp>
        <stp/>
        <stp/>
        <stp/>
        <stp/>
        <stp>T</stp>
        <tr r="R22" s="14"/>
      </tp>
      <tp>
        <v>2.8955714299999999</v>
        <stp/>
        <stp>StudyData</stp>
        <stp>Bar(((NGEJ18+NGEK18+NGEM18+NGEN18+NGEQ18+NGEU18+NGEV18)/7),1)</stp>
        <stp>Bar</stp>
        <stp/>
        <stp>LOw</stp>
        <stp>D</stp>
        <stp>-30</stp>
        <stp/>
        <stp/>
        <stp/>
        <stp/>
        <stp>T</stp>
        <tr r="R32" s="14"/>
      </tp>
      <tp>
        <v>2.9929999999999999</v>
        <stp/>
        <stp>StudyData</stp>
        <stp>Close(NGEN18)when (LocalMonth(NGEN18)=9 and LocalDay(NGEN18)=18 and LocalYear(NGEN18)=2017)</stp>
        <stp>Bar</stp>
        <stp/>
        <stp>Close</stp>
        <stp>D</stp>
        <stp>0</stp>
        <stp>ALL</stp>
        <stp/>
        <stp/>
        <stp>FALSE</stp>
        <stp>T</stp>
        <tr r="E19" s="15"/>
      </tp>
      <tp>
        <v>2.7949999999999999</v>
        <stp/>
        <stp>StudyData</stp>
        <stp>Close(NGEN19)when (LocalMonth(NGEN19)=9 and LocalDay(NGEN19)=18 and LocalYear(NGEN19)=2017)</stp>
        <stp>Bar</stp>
        <stp/>
        <stp>Close</stp>
        <stp>D</stp>
        <stp>0</stp>
        <stp>ALL</stp>
        <stp/>
        <stp/>
        <stp>FALSE</stp>
        <stp>T</stp>
        <tr r="E41" s="15"/>
      </tp>
      <tp>
        <v>3.0731999999999999</v>
        <stp/>
        <stp>StudyData</stp>
        <stp>Bar(((NGEX18+NGEZ18+NGEF19+NGEG19+NGEH19)/5),1)</stp>
        <stp>Bar</stp>
        <stp/>
        <stp>Open</stp>
        <stp>D</stp>
        <stp>-35</stp>
        <stp/>
        <stp/>
        <stp/>
        <stp/>
        <stp>T</stp>
        <tr r="X37" s="14"/>
      </tp>
      <tp>
        <v>3.09</v>
        <stp/>
        <stp>StudyData</stp>
        <stp>Bar(((NGEX18+NGEZ18+NGEF19+NGEG19+NGEH19)/5),1)</stp>
        <stp>Bar</stp>
        <stp/>
        <stp>Open</stp>
        <stp>D</stp>
        <stp>-25</stp>
        <stp/>
        <stp/>
        <stp/>
        <stp/>
        <stp>T</stp>
        <tr r="X27" s="14"/>
      </tp>
      <tp>
        <v>3.1509999999999998</v>
        <stp/>
        <stp>StudyData</stp>
        <stp>Bar(((NGEX18+NGEZ18+NGEF19+NGEG19+NGEH19)/5),1)</stp>
        <stp>Bar</stp>
        <stp/>
        <stp>Open</stp>
        <stp>D</stp>
        <stp>-15</stp>
        <stp/>
        <stp/>
        <stp/>
        <stp/>
        <stp>T</stp>
        <tr r="X17" s="14"/>
      </tp>
      <tp>
        <v>2.9444285699999999</v>
        <stp/>
        <stp>StudyData</stp>
        <stp>Bar(((NGEJ18+NGEK18+NGEM18+NGEN18+NGEQ18+NGEU18+NGEV18)/7),1)</stp>
        <stp>Bar</stp>
        <stp/>
        <stp>Close</stp>
        <stp>D</stp>
        <stp>-2</stp>
        <stp/>
        <stp/>
        <stp/>
        <stp/>
        <stp>T</stp>
        <tr r="S4" s="14"/>
      </tp>
      <tp>
        <v>2.7524285700000002</v>
        <stp/>
        <stp>StudyData</stp>
        <stp>Bar(((NGEJ19+NGEK19+NGEM19+NGEN19+NGEQ19+NGEU19+NGEV19)/7),1)</stp>
        <stp>Bar</stp>
        <stp/>
        <stp>Close</stp>
        <stp>D</stp>
        <stp>-3</stp>
        <stp/>
        <stp/>
        <stp/>
        <stp/>
        <stp>T</stp>
        <tr r="AN5" s="14"/>
      </tp>
      <tp>
        <v>0.311</v>
        <stp/>
        <stp>StudyData</stp>
        <stp>Close(NGES4??2)when (LocalMonth(NGES4??2)=9 and LocalDay(NGES4??2)=14 and LocalYear(NGES4??2)=2017)</stp>
        <stp>Bar</stp>
        <stp/>
        <stp>Close</stp>
        <stp>D</stp>
        <stp>0</stp>
        <stp>ALL</stp>
        <stp/>
        <stp/>
        <stp>FALSE</stp>
        <stp>T</stp>
        <tr r="K17" s="9"/>
      </tp>
      <tp>
        <v>0.42499999999999999</v>
        <stp/>
        <stp>StudyData</stp>
        <stp>Close(NGES5??3)when (LocalMonth(NGES5??3)=9 and LocalDay(NGES5??3)=14 and LocalYear(NGES5??3)=2017)</stp>
        <stp>Bar</stp>
        <stp/>
        <stp>Close</stp>
        <stp>D</stp>
        <stp>0</stp>
        <stp>ALL</stp>
        <stp/>
        <stp/>
        <stp>FALSE</stp>
        <stp>T</stp>
        <tr r="K18" s="10"/>
      </tp>
      <tp>
        <v>-2.4E-2</v>
        <stp/>
        <stp>StudyData</stp>
        <stp>Close(NGES1??7)when (LocalMonth(NGES1??7)=9 and LocalDay(NGES1??7)=14 and LocalYear(NGES1??7)=2017)</stp>
        <stp>Bar</stp>
        <stp/>
        <stp>Close</stp>
        <stp>D</stp>
        <stp>0</stp>
        <stp>ALL</stp>
        <stp/>
        <stp/>
        <stp>FALSE</stp>
        <stp>T</stp>
        <tr r="K22" s="6"/>
      </tp>
      <tp>
        <v>0.41</v>
        <stp/>
        <stp>StudyData</stp>
        <stp>Close(NGES2??4)when (LocalMonth(NGES2??4)=9 and LocalDay(NGES2??4)=14 and LocalYear(NGES2??4)=2017)</stp>
        <stp>Bar</stp>
        <stp/>
        <stp>Close</stp>
        <stp>D</stp>
        <stp>0</stp>
        <stp>ALL</stp>
        <stp/>
        <stp/>
        <stp>FALSE</stp>
        <stp>T</stp>
        <tr r="K19" s="7"/>
      </tp>
      <tp>
        <v>0.374</v>
        <stp/>
        <stp>StudyData</stp>
        <stp>Close(NGES3??5)when (LocalMonth(NGES3??5)=9 and LocalDay(NGES3??5)=14 and LocalYear(NGES3??5)=2017)</stp>
        <stp>Bar</stp>
        <stp/>
        <stp>Close</stp>
        <stp>D</stp>
        <stp>0</stp>
        <stp>ALL</stp>
        <stp/>
        <stp/>
        <stp>FALSE</stp>
        <stp>T</stp>
        <tr r="K20" s="8"/>
      </tp>
      <tp t="s">
        <v>Natural Gas (Globex) Calendar Spread 5, Dec 17, Apr 18</v>
        <stp/>
        <stp>ContractData</stp>
        <stp>NGES4Z7</stp>
        <stp>LongDescription</stp>
        <tr r="B78" s="2"/>
      </tp>
      <tp t="s">
        <v>Natural Gas (Globex) Calendar Spread 5, Nov 17, Mar 18</v>
        <stp/>
        <stp>ContractData</stp>
        <stp>NGES4X7</stp>
        <stp>LongDescription</stp>
        <tr r="B77" s="2"/>
      </tp>
      <tp t="s">
        <v>Natural Gas (Globex) Calendar Spread 5, Aug 18, Dec 18</v>
        <stp/>
        <stp>ContractData</stp>
        <stp>NGES4Q8</stp>
        <stp>LongDescription</stp>
        <tr r="B86" s="2"/>
      </tp>
      <tp t="s">
        <v>Natural Gas (Globex) Calendar Spread 5, Oct 18, Feb 19</v>
        <stp/>
        <stp>ContractData</stp>
        <stp>NGES4V8</stp>
        <stp>LongDescription</stp>
        <tr r="B88" s="2"/>
      </tp>
      <tp t="s">
        <v>Natural Gas (Globex) Calendar Spread 5, Sep 18, Jan 19</v>
        <stp/>
        <stp>ContractData</stp>
        <stp>NGES4U8</stp>
        <stp>LongDescription</stp>
        <tr r="B87" s="2"/>
      </tp>
      <tp t="s">
        <v>Natural Gas (Globex) Calendar Spread 5, May 18, Sep 18</v>
        <stp/>
        <stp>ContractData</stp>
        <stp>NGES4K8</stp>
        <stp>LongDescription</stp>
        <tr r="B83" s="2"/>
      </tp>
      <tp t="s">
        <v>Natural Gas (Globex) Calendar Spread 5, Apr 18, Aug 18</v>
        <stp/>
        <stp>ContractData</stp>
        <stp>NGES4J8</stp>
        <stp>LongDescription</stp>
        <tr r="B82" s="2"/>
      </tp>
      <tp t="s">
        <v>Natural Gas (Globex) Calendar Spread 5, Mar 18, Jul 18</v>
        <stp/>
        <stp>ContractData</stp>
        <stp>NGES4H8</stp>
        <stp>LongDescription</stp>
        <tr r="B81" s="2"/>
      </tp>
      <tp t="s">
        <v>Natural Gas (Globex) Calendar Spread 5, Jul 18, Nov 18</v>
        <stp/>
        <stp>ContractData</stp>
        <stp>NGES4N8</stp>
        <stp>LongDescription</stp>
        <tr r="B85" s="2"/>
      </tp>
      <tp t="s">
        <v>Natural Gas (Globex) Calendar Spread 5, Jun 18, Oct 18</v>
        <stp/>
        <stp>ContractData</stp>
        <stp>NGES4M8</stp>
        <stp>LongDescription</stp>
        <tr r="B84" s="2"/>
      </tp>
      <tp t="s">
        <v>Natural Gas (Globex) Calendar Spread 5, Feb 18, Jun 18</v>
        <stp/>
        <stp>ContractData</stp>
        <stp>NGES4G8</stp>
        <stp>LongDescription</stp>
        <tr r="B80" s="2"/>
      </tp>
      <tp t="s">
        <v>Natural Gas (Globex) Calendar Spread 5, Jan 18, May 18</v>
        <stp/>
        <stp>ContractData</stp>
        <stp>NGES4F8</stp>
        <stp>LongDescription</stp>
        <tr r="B79" s="2"/>
      </tp>
      <tp>
        <v>2.7250000000000001</v>
        <stp/>
        <stp>StudyData</stp>
        <stp>Bar(((NGEJ19+NGEK19+NGEM19+NGEN19+NGEQ19+NGEU19+NGEV19)/7),1)</stp>
        <stp>Bar</stp>
        <stp/>
        <stp>Close</stp>
        <stp>D</stp>
        <stp>-40</stp>
        <stp/>
        <stp/>
        <stp/>
        <stp/>
        <stp>T</stp>
        <tr r="AN42" s="14"/>
      </tp>
      <tp>
        <v>2.8958571399999999</v>
        <stp/>
        <stp>StudyData</stp>
        <stp>Bar(((NGEJ18+NGEK18+NGEM18+NGEN18+NGEQ18+NGEU18+NGEV18)/7),1)</stp>
        <stp>Bar</stp>
        <stp/>
        <stp>Close</stp>
        <stp>D</stp>
        <stp>-40</stp>
        <stp/>
        <stp/>
        <stp/>
        <stp/>
        <stp>T</stp>
        <tr r="S42" s="14"/>
      </tp>
      <tp>
        <v>2.90271429</v>
        <stp/>
        <stp>StudyData</stp>
        <stp>Bar(((NGEJ18+NGEK18+NGEM18+NGEN18+NGEQ18+NGEU18+NGEV18)/7),1)</stp>
        <stp>Bar</stp>
        <stp/>
        <stp>Close</stp>
        <stp>D</stp>
        <stp>-30</stp>
        <stp/>
        <stp/>
        <stp/>
        <stp/>
        <stp>T</stp>
        <tr r="S32" s="14"/>
      </tp>
      <tp>
        <v>2.7478571399999998</v>
        <stp/>
        <stp>StudyData</stp>
        <stp>Bar(((NGEJ19+NGEK19+NGEM19+NGEN19+NGEQ19+NGEU19+NGEV19)/7),1)</stp>
        <stp>Bar</stp>
        <stp/>
        <stp>Close</stp>
        <stp>D</stp>
        <stp>-20</stp>
        <stp/>
        <stp/>
        <stp/>
        <stp/>
        <stp>T</stp>
        <tr r="AN22" s="14"/>
      </tp>
      <tp>
        <v>2.9142857100000001</v>
        <stp/>
        <stp>StudyData</stp>
        <stp>Bar(((NGEJ18+NGEK18+NGEM18+NGEN18+NGEQ18+NGEU18+NGEV18)/7),1)</stp>
        <stp>Bar</stp>
        <stp/>
        <stp>Close</stp>
        <stp>D</stp>
        <stp>-20</stp>
        <stp/>
        <stp/>
        <stp/>
        <stp/>
        <stp>T</stp>
        <tr r="S22" s="14"/>
      </tp>
      <tp>
        <v>2.7034285699999998</v>
        <stp/>
        <stp>StudyData</stp>
        <stp>Bar(((NGEJ19+NGEK19+NGEM19+NGEN19+NGEQ19+NGEU19+NGEV19)/7),1)</stp>
        <stp>Bar</stp>
        <stp/>
        <stp>Close</stp>
        <stp>D</stp>
        <stp>-30</stp>
        <stp/>
        <stp/>
        <stp/>
        <stp/>
        <stp>T</stp>
        <tr r="AN32" s="14"/>
      </tp>
      <tp>
        <v>2.9420000000000002</v>
        <stp/>
        <stp>StudyData</stp>
        <stp>Bar(((NGEJ18+NGEK18+NGEM18+NGEN18+NGEQ18+NGEU18+NGEV18)/7),1)</stp>
        <stp>Bar</stp>
        <stp/>
        <stp>Close</stp>
        <stp>D</stp>
        <stp>-10</stp>
        <stp/>
        <stp/>
        <stp/>
        <stp/>
        <stp>T</stp>
        <tr r="S12" s="14"/>
      </tp>
      <tp>
        <v>2.79485714</v>
        <stp/>
        <stp>StudyData</stp>
        <stp>Bar(((NGEJ19+NGEK19+NGEM19+NGEN19+NGEQ19+NGEU19+NGEV19)/7),1)</stp>
        <stp>Bar</stp>
        <stp/>
        <stp>Close</stp>
        <stp>D</stp>
        <stp>-10</stp>
        <stp/>
        <stp/>
        <stp/>
        <stp/>
        <stp>T</stp>
        <tr r="AN12" s="14"/>
      </tp>
      <tp>
        <v>2.70985714</v>
        <stp/>
        <stp>StudyData</stp>
        <stp>Bar(((NGEJ19+NGEK19+NGEM19+NGEN19+NGEQ19+NGEU19+NGEV19)/7),1)</stp>
        <stp>Bar</stp>
        <stp/>
        <stp>LOw</stp>
        <stp>D</stp>
        <stp>-43</stp>
        <stp/>
        <stp/>
        <stp/>
        <stp/>
        <stp>T</stp>
        <tr r="AM45" s="14"/>
      </tp>
      <tp>
        <v>2.7814285700000001</v>
        <stp/>
        <stp>StudyData</stp>
        <stp>Bar(((NGEJ19+NGEK19+NGEM19+NGEN19+NGEQ19+NGEU19+NGEV19)/7),1)</stp>
        <stp>Bar</stp>
        <stp/>
        <stp>LOw</stp>
        <stp>D</stp>
        <stp>-13</stp>
        <stp/>
        <stp/>
        <stp/>
        <stp/>
        <stp>T</stp>
        <tr r="AM15" s="14"/>
      </tp>
      <tp>
        <v>2.7294285700000001</v>
        <stp/>
        <stp>StudyData</stp>
        <stp>Bar(((NGEJ19+NGEK19+NGEM19+NGEN19+NGEQ19+NGEU19+NGEV19)/7),1)</stp>
        <stp>Bar</stp>
        <stp/>
        <stp>LOw</stp>
        <stp>D</stp>
        <stp>-23</stp>
        <stp/>
        <stp/>
        <stp/>
        <stp/>
        <stp>T</stp>
        <tr r="AM25" s="14"/>
      </tp>
      <tp>
        <v>2.70914286</v>
        <stp/>
        <stp>StudyData</stp>
        <stp>Bar(((NGEJ19+NGEK19+NGEM19+NGEN19+NGEQ19+NGEU19+NGEV19)/7),1)</stp>
        <stp>Bar</stp>
        <stp/>
        <stp>LOw</stp>
        <stp>D</stp>
        <stp>-33</stp>
        <stp/>
        <stp/>
        <stp/>
        <stp/>
        <stp>T</stp>
        <tr r="AM35" s="14"/>
      </tp>
      <tp>
        <v>2.8394285699999999</v>
        <stp/>
        <stp>StudyData</stp>
        <stp>Bar(((NGEJ18+NGEK18+NGEM18+NGEN18+NGEQ18+NGEU18+NGEV18)/7),1)</stp>
        <stp>Bar</stp>
        <stp/>
        <stp>LOw</stp>
        <stp>D</stp>
        <stp>-43</stp>
        <stp/>
        <stp/>
        <stp/>
        <stp/>
        <stp>T</stp>
        <tr r="R45" s="14"/>
      </tp>
      <tp>
        <v>2.9651428599999998</v>
        <stp/>
        <stp>StudyData</stp>
        <stp>Bar(((NGEJ18+NGEK18+NGEM18+NGEN18+NGEQ18+NGEU18+NGEV18)/7),1)</stp>
        <stp>Bar</stp>
        <stp/>
        <stp>LOw</stp>
        <stp>D</stp>
        <stp>-13</stp>
        <stp/>
        <stp/>
        <stp/>
        <stp/>
        <stp>T</stp>
        <tr r="R15" s="14"/>
      </tp>
      <tp>
        <v>2.9022857100000001</v>
        <stp/>
        <stp>StudyData</stp>
        <stp>Bar(((NGEJ18+NGEK18+NGEM18+NGEN18+NGEQ18+NGEU18+NGEV18)/7),1)</stp>
        <stp>Bar</stp>
        <stp/>
        <stp>LOw</stp>
        <stp>D</stp>
        <stp>-23</stp>
        <stp/>
        <stp/>
        <stp/>
        <stp/>
        <stp>T</stp>
        <tr r="R25" s="14"/>
      </tp>
      <tp>
        <v>2.8759999999999999</v>
        <stp/>
        <stp>StudyData</stp>
        <stp>Bar(((NGEJ18+NGEK18+NGEM18+NGEN18+NGEQ18+NGEU18+NGEV18)/7),1)</stp>
        <stp>Bar</stp>
        <stp/>
        <stp>LOw</stp>
        <stp>D</stp>
        <stp>-33</stp>
        <stp/>
        <stp/>
        <stp/>
        <stp/>
        <stp>T</stp>
        <tr r="R35" s="14"/>
      </tp>
      <tp>
        <v>3.2040000000000002</v>
        <stp/>
        <stp>StudyData</stp>
        <stp>Bar(((NGEX17+NGEZ17+NGEF18+NGEG18+NGEH18)/5),1)</stp>
        <stp>Bar</stp>
        <stp/>
        <stp>Open</stp>
        <stp>D</stp>
        <stp>-29</stp>
        <stp/>
        <stp/>
        <stp/>
        <stp/>
        <stp>T</stp>
        <tr r="C31" s="14"/>
      </tp>
      <tp>
        <v>3.2178</v>
        <stp/>
        <stp>StudyData</stp>
        <stp>Bar(((NGEX17+NGEZ17+NGEF18+NGEG18+NGEH18)/5),1)</stp>
        <stp>Bar</stp>
        <stp/>
        <stp>Open</stp>
        <stp>D</stp>
        <stp>-39</stp>
        <stp/>
        <stp/>
        <stp/>
        <stp/>
        <stp>T</stp>
        <tr r="C41" s="14"/>
      </tp>
      <tp>
        <v>3.1629999999999998</v>
        <stp/>
        <stp>StudyData</stp>
        <stp>Bar(((NGEX17+NGEZ17+NGEF18+NGEG18+NGEH18)/5),1)</stp>
        <stp>Bar</stp>
        <stp/>
        <stp>Open</stp>
        <stp>D</stp>
        <stp>-19</stp>
        <stp/>
        <stp/>
        <stp/>
        <stp/>
        <stp>T</stp>
        <tr r="C21" s="14"/>
      </tp>
      <tp>
        <v>2.97</v>
        <stp/>
        <stp>StudyData</stp>
        <stp>Close(NGEM18)when (LocalMonth(NGEM18)=9 and LocalDay(NGEM18)=18 and LocalYear(NGEM18)=2017)</stp>
        <stp>Bar</stp>
        <stp/>
        <stp>Close</stp>
        <stp>D</stp>
        <stp>0</stp>
        <stp>ALL</stp>
        <stp/>
        <stp/>
        <stp>FALSE</stp>
        <stp>T</stp>
        <tr r="E18" s="15"/>
      </tp>
      <tp>
        <v>2.7719999999999998</v>
        <stp/>
        <stp>StudyData</stp>
        <stp>Close(NGEM19)when (LocalMonth(NGEM19)=9 and LocalDay(NGEM19)=18 and LocalYear(NGEM19)=2017)</stp>
        <stp>Bar</stp>
        <stp/>
        <stp>Close</stp>
        <stp>D</stp>
        <stp>0</stp>
        <stp>ALL</stp>
        <stp/>
        <stp/>
        <stp>FALSE</stp>
        <stp>T</stp>
        <tr r="E40" s="15"/>
      </tp>
      <tp>
        <v>3.0781999999999998</v>
        <stp/>
        <stp>StudyData</stp>
        <stp>Bar(((NGEX18+NGEZ18+NGEF19+NGEG19+NGEH19)/5),1)</stp>
        <stp>Bar</stp>
        <stp/>
        <stp>Open</stp>
        <stp>D</stp>
        <stp>-36</stp>
        <stp/>
        <stp/>
        <stp/>
        <stp/>
        <stp>T</stp>
        <tr r="X38" s="14"/>
      </tp>
      <tp>
        <v>3.0901999999999998</v>
        <stp/>
        <stp>StudyData</stp>
        <stp>Bar(((NGEX18+NGEZ18+NGEF19+NGEG19+NGEH19)/5),1)</stp>
        <stp>Bar</stp>
        <stp/>
        <stp>Open</stp>
        <stp>D</stp>
        <stp>-26</stp>
        <stp/>
        <stp/>
        <stp/>
        <stp/>
        <stp>T</stp>
        <tr r="X28" s="14"/>
      </tp>
      <tp>
        <v>3.1516000000000002</v>
        <stp/>
        <stp>StudyData</stp>
        <stp>Bar(((NGEX18+NGEZ18+NGEF19+NGEG19+NGEH19)/5),1)</stp>
        <stp>Bar</stp>
        <stp/>
        <stp>Open</stp>
        <stp>D</stp>
        <stp>-16</stp>
        <stp/>
        <stp/>
        <stp/>
        <stp/>
        <stp>T</stp>
        <tr r="X18" s="14"/>
      </tp>
      <tp>
        <v>2.9404285699999999</v>
        <stp/>
        <stp>StudyData</stp>
        <stp>Bar(((NGEJ18+NGEK18+NGEM18+NGEN18+NGEQ18+NGEU18+NGEV18)/7),1)</stp>
        <stp>Bar</stp>
        <stp/>
        <stp>Close</stp>
        <stp>D</stp>
        <stp>-1</stp>
        <stp/>
        <stp/>
        <stp/>
        <stp/>
        <stp>T</stp>
        <tr r="S3" s="14"/>
      </tp>
      <tp>
        <v>-0.193</v>
        <stp/>
        <stp>StudyData</stp>
        <stp>Close(NGES4??1)when (LocalMonth(NGES4??1)=9 and LocalDay(NGES4??1)=14 and LocalYear(NGES4??1)=2017)</stp>
        <stp>Bar</stp>
        <stp/>
        <stp>Close</stp>
        <stp>D</stp>
        <stp>0</stp>
        <stp>ALL</stp>
        <stp/>
        <stp/>
        <stp>FALSE</stp>
        <stp>T</stp>
        <tr r="K16" s="9"/>
      </tp>
      <tp>
        <v>0.40100000000000002</v>
        <stp/>
        <stp>StudyData</stp>
        <stp>Close(NGES6??3)when (LocalMonth(NGES6??3)=9 and LocalDay(NGES6??3)=14 and LocalYear(NGES6??3)=2017)</stp>
        <stp>Bar</stp>
        <stp/>
        <stp>Close</stp>
        <stp>D</stp>
        <stp>0</stp>
        <stp>ALL</stp>
        <stp/>
        <stp/>
        <stp>FALSE</stp>
        <stp>T</stp>
        <tr r="K18" s="11"/>
      </tp>
      <tp>
        <v>0.05</v>
        <stp/>
        <stp>StudyData</stp>
        <stp>Close(NGES1??4)when (LocalMonth(NGES1??4)=9 and LocalDay(NGES1??4)=14 and LocalYear(NGES1??4)=2017)</stp>
        <stp>Bar</stp>
        <stp/>
        <stp>Close</stp>
        <stp>D</stp>
        <stp>0</stp>
        <stp>ALL</stp>
        <stp/>
        <stp/>
        <stp>FALSE</stp>
        <stp>T</stp>
        <tr r="K19" s="6"/>
      </tp>
      <tp>
        <v>-4.8000000000000001E-2</v>
        <stp/>
        <stp>StudyData</stp>
        <stp>Close(NGES2??7)when (LocalMonth(NGES2??7)=9 and LocalDay(NGES2??7)=14 and LocalYear(NGES2??7)=2017)</stp>
        <stp>Bar</stp>
        <stp/>
        <stp>Close</stp>
        <stp>D</stp>
        <stp>0</stp>
        <stp>ALL</stp>
        <stp/>
        <stp/>
        <stp>FALSE</stp>
        <stp>T</stp>
        <tr r="K22" s="7"/>
      </tp>
      <tp>
        <v>-0.01</v>
        <stp/>
        <stp>StudyData</stp>
        <stp>Close(NGES3??6)when (LocalMonth(NGES3??6)=9 and LocalDay(NGES3??6)=14 and LocalYear(NGES3??6)=2017)</stp>
        <stp>Bar</stp>
        <stp/>
        <stp>Close</stp>
        <stp>D</stp>
        <stp>0</stp>
        <stp>ALL</stp>
        <stp/>
        <stp/>
        <stp>FALSE</stp>
        <stp>T</stp>
        <tr r="K21" s="8"/>
      </tp>
      <tp t="s">
        <v/>
        <stp/>
        <stp>ContractData</stp>
        <stp>NGE?36</stp>
        <stp>Open</stp>
        <stp/>
        <stp>T</stp>
        <tr r="P43" s="16"/>
      </tp>
      <tp t="s">
        <v/>
        <stp/>
        <stp>ContractData</stp>
        <stp>NGE?37</stp>
        <stp>Open</stp>
        <stp/>
        <stp>T</stp>
        <tr r="P44" s="16"/>
      </tp>
      <tp t="s">
        <v/>
        <stp/>
        <stp>ContractData</stp>
        <stp>NGE?34</stp>
        <stp>Open</stp>
        <stp/>
        <stp>T</stp>
        <tr r="P41" s="16"/>
      </tp>
      <tp t="s">
        <v/>
        <stp/>
        <stp>ContractData</stp>
        <stp>NGE?35</stp>
        <stp>Open</stp>
        <stp/>
        <stp>T</stp>
        <tr r="P42" s="16"/>
      </tp>
      <tp t="s">
        <v/>
        <stp/>
        <stp>ContractData</stp>
        <stp>NGE?32</stp>
        <stp>Open</stp>
        <stp/>
        <stp>T</stp>
        <tr r="P39" s="16"/>
      </tp>
      <tp t="s">
        <v/>
        <stp/>
        <stp>ContractData</stp>
        <stp>NGE?33</stp>
        <stp>Open</stp>
        <stp/>
        <stp>T</stp>
        <tr r="P40" s="16"/>
      </tp>
      <tp t="s">
        <v/>
        <stp/>
        <stp>ContractData</stp>
        <stp>NGE?30</stp>
        <stp>Open</stp>
        <stp/>
        <stp>T</stp>
        <tr r="P37" s="16"/>
      </tp>
      <tp t="s">
        <v/>
        <stp/>
        <stp>ContractData</stp>
        <stp>NGE?31</stp>
        <stp>Open</stp>
        <stp/>
        <stp>T</stp>
        <tr r="P38" s="16"/>
      </tp>
      <tp t="s">
        <v/>
        <stp/>
        <stp>ContractData</stp>
        <stp>NGE?38</stp>
        <stp>Open</stp>
        <stp/>
        <stp>T</stp>
        <tr r="P45" s="16"/>
      </tp>
      <tp t="s">
        <v/>
        <stp/>
        <stp>ContractData</stp>
        <stp>NGE?39</stp>
        <stp>Open</stp>
        <stp/>
        <stp>T</stp>
        <tr r="P46" s="16"/>
      </tp>
      <tp t="s">
        <v/>
        <stp/>
        <stp>ContractData</stp>
        <stp>NGE?26</stp>
        <stp>Open</stp>
        <stp/>
        <stp>T</stp>
        <tr r="P33" s="16"/>
      </tp>
      <tp t="s">
        <v/>
        <stp/>
        <stp>ContractData</stp>
        <stp>NGE?27</stp>
        <stp>Open</stp>
        <stp/>
        <stp>T</stp>
        <tr r="P34" s="16"/>
      </tp>
      <tp t="s">
        <v/>
        <stp/>
        <stp>ContractData</stp>
        <stp>NGE?24</stp>
        <stp>Open</stp>
        <stp/>
        <stp>T</stp>
        <tr r="P31" s="16"/>
      </tp>
      <tp t="s">
        <v/>
        <stp/>
        <stp>ContractData</stp>
        <stp>NGE?25</stp>
        <stp>Open</stp>
        <stp/>
        <stp>T</stp>
        <tr r="P32" s="16"/>
      </tp>
      <tp t="s">
        <v/>
        <stp/>
        <stp>ContractData</stp>
        <stp>NGE?22</stp>
        <stp>Open</stp>
        <stp/>
        <stp>T</stp>
        <tr r="P29" s="16"/>
      </tp>
      <tp t="s">
        <v/>
        <stp/>
        <stp>ContractData</stp>
        <stp>NGE?23</stp>
        <stp>Open</stp>
        <stp/>
        <stp>T</stp>
        <tr r="P30" s="16"/>
      </tp>
      <tp t="s">
        <v/>
        <stp/>
        <stp>ContractData</stp>
        <stp>NGE?20</stp>
        <stp>Open</stp>
        <stp/>
        <stp>T</stp>
        <tr r="P27" s="16"/>
      </tp>
      <tp t="s">
        <v/>
        <stp/>
        <stp>ContractData</stp>
        <stp>NGE?21</stp>
        <stp>Open</stp>
        <stp/>
        <stp>T</stp>
        <tr r="P28" s="16"/>
      </tp>
      <tp t="s">
        <v/>
        <stp/>
        <stp>ContractData</stp>
        <stp>NGE?28</stp>
        <stp>Open</stp>
        <stp/>
        <stp>T</stp>
        <tr r="P35" s="16"/>
      </tp>
      <tp t="s">
        <v/>
        <stp/>
        <stp>ContractData</stp>
        <stp>NGE?29</stp>
        <stp>Open</stp>
        <stp/>
        <stp>T</stp>
        <tr r="P36" s="16"/>
      </tp>
      <tp t="s">
        <v/>
        <stp/>
        <stp>ContractData</stp>
        <stp>NGE?16</stp>
        <stp>Open</stp>
        <stp/>
        <stp>T</stp>
        <tr r="P23" s="16"/>
      </tp>
      <tp t="s">
        <v/>
        <stp/>
        <stp>ContractData</stp>
        <stp>NGE?17</stp>
        <stp>Open</stp>
        <stp/>
        <stp>T</stp>
        <tr r="P24" s="16"/>
      </tp>
      <tp>
        <v>3.1550000000000002</v>
        <stp/>
        <stp>ContractData</stp>
        <stp>NGE?14</stp>
        <stp>Open</stp>
        <stp/>
        <stp>T</stp>
        <tr r="P21" s="16"/>
      </tp>
      <tp>
        <v>3.2360000000000002</v>
        <stp/>
        <stp>ContractData</stp>
        <stp>NGE?15</stp>
        <stp>Open</stp>
        <stp/>
        <stp>T</stp>
        <tr r="P22" s="16"/>
      </tp>
      <tp>
        <v>2.9660000000000002</v>
        <stp/>
        <stp>ContractData</stp>
        <stp>NGE?12</stp>
        <stp>Open</stp>
        <stp/>
        <stp>T</stp>
        <tr r="P19" s="16"/>
      </tp>
      <tp>
        <v>3.016</v>
        <stp/>
        <stp>ContractData</stp>
        <stp>NGE?13</stp>
        <stp>Open</stp>
        <stp/>
        <stp>T</stp>
        <tr r="P20" s="16"/>
      </tp>
      <tp>
        <v>2.9550000000000001</v>
        <stp/>
        <stp>ContractData</stp>
        <stp>NGE?10</stp>
        <stp>Open</stp>
        <stp/>
        <stp>T</stp>
        <tr r="P17" s="16"/>
      </tp>
      <tp>
        <v>2.944</v>
        <stp/>
        <stp>ContractData</stp>
        <stp>NGE?11</stp>
        <stp>Open</stp>
        <stp/>
        <stp>T</stp>
        <tr r="P18" s="16"/>
      </tp>
      <tp t="s">
        <v/>
        <stp/>
        <stp>ContractData</stp>
        <stp>NGE?18</stp>
        <stp>Open</stp>
        <stp/>
        <stp>T</stp>
        <tr r="P25" s="16"/>
      </tp>
      <tp t="s">
        <v/>
        <stp/>
        <stp>ContractData</stp>
        <stp>NGE?19</stp>
        <stp>Open</stp>
        <stp/>
        <stp>T</stp>
        <tr r="P26" s="16"/>
      </tp>
      <tp t="s">
        <v/>
        <stp/>
        <stp>ContractData</stp>
        <stp>NGE?76</stp>
        <stp>Open</stp>
        <stp/>
        <stp>T</stp>
        <tr r="P83" s="16"/>
      </tp>
      <tp t="s">
        <v/>
        <stp/>
        <stp>ContractData</stp>
        <stp>NGE?77</stp>
        <stp>Open</stp>
        <stp/>
        <stp>T</stp>
        <tr r="P84" s="16"/>
      </tp>
      <tp t="s">
        <v/>
        <stp/>
        <stp>ContractData</stp>
        <stp>NGE?74</stp>
        <stp>Open</stp>
        <stp/>
        <stp>T</stp>
        <tr r="P81" s="16"/>
      </tp>
      <tp t="s">
        <v/>
        <stp/>
        <stp>ContractData</stp>
        <stp>NGE?75</stp>
        <stp>Open</stp>
        <stp/>
        <stp>T</stp>
        <tr r="P82" s="16"/>
      </tp>
      <tp t="s">
        <v/>
        <stp/>
        <stp>ContractData</stp>
        <stp>NGE?72</stp>
        <stp>Open</stp>
        <stp/>
        <stp>T</stp>
        <tr r="P79" s="16"/>
      </tp>
      <tp t="s">
        <v/>
        <stp/>
        <stp>ContractData</stp>
        <stp>NGE?73</stp>
        <stp>Open</stp>
        <stp/>
        <stp>T</stp>
        <tr r="P80" s="16"/>
      </tp>
      <tp t="s">
        <v/>
        <stp/>
        <stp>ContractData</stp>
        <stp>NGE?70</stp>
        <stp>Open</stp>
        <stp/>
        <stp>T</stp>
        <tr r="P77" s="16"/>
      </tp>
      <tp t="s">
        <v/>
        <stp/>
        <stp>ContractData</stp>
        <stp>NGE?71</stp>
        <stp>Open</stp>
        <stp/>
        <stp>T</stp>
        <tr r="P78" s="16"/>
      </tp>
      <tp t="s">
        <v/>
        <stp/>
        <stp>ContractData</stp>
        <stp>NGE?78</stp>
        <stp>Open</stp>
        <stp/>
        <stp>T</stp>
        <tr r="P85" s="16"/>
      </tp>
      <tp t="s">
        <v/>
        <stp/>
        <stp>ContractData</stp>
        <stp>NGE?79</stp>
        <stp>Open</stp>
        <stp/>
        <stp>T</stp>
        <tr r="P86" s="16"/>
      </tp>
      <tp t="s">
        <v/>
        <stp/>
        <stp>ContractData</stp>
        <stp>NGE?66</stp>
        <stp>Open</stp>
        <stp/>
        <stp>T</stp>
        <tr r="P73" s="16"/>
      </tp>
      <tp t="s">
        <v/>
        <stp/>
        <stp>ContractData</stp>
        <stp>NGE?67</stp>
        <stp>Open</stp>
        <stp/>
        <stp>T</stp>
        <tr r="P74" s="16"/>
      </tp>
      <tp t="s">
        <v/>
        <stp/>
        <stp>ContractData</stp>
        <stp>NGE?64</stp>
        <stp>Open</stp>
        <stp/>
        <stp>T</stp>
        <tr r="P71" s="16"/>
      </tp>
      <tp t="s">
        <v/>
        <stp/>
        <stp>ContractData</stp>
        <stp>NGE?65</stp>
        <stp>Open</stp>
        <stp/>
        <stp>T</stp>
        <tr r="P72" s="16"/>
      </tp>
      <tp t="s">
        <v/>
        <stp/>
        <stp>ContractData</stp>
        <stp>NGE?62</stp>
        <stp>Open</stp>
        <stp/>
        <stp>T</stp>
        <tr r="P69" s="16"/>
      </tp>
      <tp t="s">
        <v/>
        <stp/>
        <stp>ContractData</stp>
        <stp>NGE?63</stp>
        <stp>Open</stp>
        <stp/>
        <stp>T</stp>
        <tr r="P70" s="16"/>
      </tp>
      <tp t="s">
        <v/>
        <stp/>
        <stp>ContractData</stp>
        <stp>NGE?60</stp>
        <stp>Open</stp>
        <stp/>
        <stp>T</stp>
        <tr r="P67" s="16"/>
      </tp>
      <tp t="s">
        <v/>
        <stp/>
        <stp>ContractData</stp>
        <stp>NGE?61</stp>
        <stp>Open</stp>
        <stp/>
        <stp>T</stp>
        <tr r="P68" s="16"/>
      </tp>
      <tp t="s">
        <v/>
        <stp/>
        <stp>ContractData</stp>
        <stp>NGE?68</stp>
        <stp>Open</stp>
        <stp/>
        <stp>T</stp>
        <tr r="P75" s="16"/>
      </tp>
      <tp t="s">
        <v/>
        <stp/>
        <stp>ContractData</stp>
        <stp>NGE?69</stp>
        <stp>Open</stp>
        <stp/>
        <stp>T</stp>
        <tr r="P76" s="16"/>
      </tp>
      <tp t="s">
        <v/>
        <stp/>
        <stp>ContractData</stp>
        <stp>NGE?56</stp>
        <stp>Open</stp>
        <stp/>
        <stp>T</stp>
        <tr r="P63" s="16"/>
      </tp>
      <tp t="s">
        <v/>
        <stp/>
        <stp>ContractData</stp>
        <stp>NGE?57</stp>
        <stp>Open</stp>
        <stp/>
        <stp>T</stp>
        <tr r="P64" s="16"/>
      </tp>
      <tp t="s">
        <v/>
        <stp/>
        <stp>ContractData</stp>
        <stp>NGE?54</stp>
        <stp>Open</stp>
        <stp/>
        <stp>T</stp>
        <tr r="P61" s="16"/>
      </tp>
      <tp t="s">
        <v/>
        <stp/>
        <stp>ContractData</stp>
        <stp>NGE?55</stp>
        <stp>Open</stp>
        <stp/>
        <stp>T</stp>
        <tr r="P62" s="16"/>
      </tp>
      <tp t="s">
        <v/>
        <stp/>
        <stp>ContractData</stp>
        <stp>NGE?52</stp>
        <stp>Open</stp>
        <stp/>
        <stp>T</stp>
        <tr r="P59" s="16"/>
      </tp>
      <tp t="s">
        <v/>
        <stp/>
        <stp>ContractData</stp>
        <stp>NGE?53</stp>
        <stp>Open</stp>
        <stp/>
        <stp>T</stp>
        <tr r="P60" s="16"/>
      </tp>
      <tp t="s">
        <v/>
        <stp/>
        <stp>ContractData</stp>
        <stp>NGE?50</stp>
        <stp>Open</stp>
        <stp/>
        <stp>T</stp>
        <tr r="P57" s="16"/>
      </tp>
      <tp t="s">
        <v/>
        <stp/>
        <stp>ContractData</stp>
        <stp>NGE?51</stp>
        <stp>Open</stp>
        <stp/>
        <stp>T</stp>
        <tr r="P58" s="16"/>
      </tp>
      <tp t="s">
        <v/>
        <stp/>
        <stp>ContractData</stp>
        <stp>NGE?58</stp>
        <stp>Open</stp>
        <stp/>
        <stp>T</stp>
        <tr r="P65" s="16"/>
      </tp>
      <tp t="s">
        <v/>
        <stp/>
        <stp>ContractData</stp>
        <stp>NGE?59</stp>
        <stp>Open</stp>
        <stp/>
        <stp>T</stp>
        <tr r="P66" s="16"/>
      </tp>
      <tp t="s">
        <v/>
        <stp/>
        <stp>ContractData</stp>
        <stp>NGE?46</stp>
        <stp>Open</stp>
        <stp/>
        <stp>T</stp>
        <tr r="P53" s="16"/>
      </tp>
      <tp t="s">
        <v/>
        <stp/>
        <stp>ContractData</stp>
        <stp>NGE?47</stp>
        <stp>Open</stp>
        <stp/>
        <stp>T</stp>
        <tr r="P54" s="16"/>
      </tp>
      <tp t="s">
        <v/>
        <stp/>
        <stp>ContractData</stp>
        <stp>NGE?44</stp>
        <stp>Open</stp>
        <stp/>
        <stp>T</stp>
        <tr r="P51" s="16"/>
      </tp>
      <tp t="s">
        <v/>
        <stp/>
        <stp>ContractData</stp>
        <stp>NGE?45</stp>
        <stp>Open</stp>
        <stp/>
        <stp>T</stp>
        <tr r="P52" s="16"/>
      </tp>
      <tp t="s">
        <v/>
        <stp/>
        <stp>ContractData</stp>
        <stp>NGE?42</stp>
        <stp>Open</stp>
        <stp/>
        <stp>T</stp>
        <tr r="P49" s="16"/>
      </tp>
      <tp t="s">
        <v/>
        <stp/>
        <stp>ContractData</stp>
        <stp>NGE?43</stp>
        <stp>Open</stp>
        <stp/>
        <stp>T</stp>
        <tr r="P50" s="16"/>
      </tp>
      <tp t="s">
        <v/>
        <stp/>
        <stp>ContractData</stp>
        <stp>NGE?40</stp>
        <stp>Open</stp>
        <stp/>
        <stp>T</stp>
        <tr r="P47" s="16"/>
      </tp>
      <tp t="s">
        <v/>
        <stp/>
        <stp>ContractData</stp>
        <stp>NGE?41</stp>
        <stp>Open</stp>
        <stp/>
        <stp>T</stp>
        <tr r="P48" s="16"/>
      </tp>
      <tp t="s">
        <v/>
        <stp/>
        <stp>ContractData</stp>
        <stp>NGE?48</stp>
        <stp>Open</stp>
        <stp/>
        <stp>T</stp>
        <tr r="P55" s="16"/>
      </tp>
      <tp t="s">
        <v/>
        <stp/>
        <stp>ContractData</stp>
        <stp>NGE?49</stp>
        <stp>Open</stp>
        <stp/>
        <stp>T</stp>
        <tr r="P56" s="16"/>
      </tp>
      <tp t="s">
        <v/>
        <stp/>
        <stp>ContractData</stp>
        <stp>NGE?96</stp>
        <stp>Open</stp>
        <stp/>
        <stp>T</stp>
        <tr r="P103" s="16"/>
      </tp>
      <tp t="s">
        <v/>
        <stp/>
        <stp>ContractData</stp>
        <stp>NGE?97</stp>
        <stp>Open</stp>
        <stp/>
        <stp>T</stp>
        <tr r="P104" s="16"/>
      </tp>
      <tp t="s">
        <v/>
        <stp/>
        <stp>ContractData</stp>
        <stp>NGE?94</stp>
        <stp>Open</stp>
        <stp/>
        <stp>T</stp>
        <tr r="P101" s="16"/>
      </tp>
      <tp t="s">
        <v/>
        <stp/>
        <stp>ContractData</stp>
        <stp>NGE?95</stp>
        <stp>Open</stp>
        <stp/>
        <stp>T</stp>
        <tr r="P102" s="16"/>
      </tp>
      <tp t="s">
        <v/>
        <stp/>
        <stp>ContractData</stp>
        <stp>NGE?92</stp>
        <stp>Open</stp>
        <stp/>
        <stp>T</stp>
        <tr r="P99" s="16"/>
      </tp>
      <tp t="s">
        <v/>
        <stp/>
        <stp>ContractData</stp>
        <stp>NGE?93</stp>
        <stp>Open</stp>
        <stp/>
        <stp>T</stp>
        <tr r="P100" s="16"/>
      </tp>
      <tp t="s">
        <v/>
        <stp/>
        <stp>ContractData</stp>
        <stp>NGE?90</stp>
        <stp>Open</stp>
        <stp/>
        <stp>T</stp>
        <tr r="P97" s="16"/>
      </tp>
      <tp t="s">
        <v/>
        <stp/>
        <stp>ContractData</stp>
        <stp>NGE?91</stp>
        <stp>Open</stp>
        <stp/>
        <stp>T</stp>
        <tr r="P98" s="16"/>
      </tp>
      <tp t="s">
        <v/>
        <stp/>
        <stp>ContractData</stp>
        <stp>NGE?98</stp>
        <stp>Open</stp>
        <stp/>
        <stp>T</stp>
        <tr r="P105" s="16"/>
      </tp>
      <tp t="s">
        <v/>
        <stp/>
        <stp>ContractData</stp>
        <stp>NGE?99</stp>
        <stp>Open</stp>
        <stp/>
        <stp>T</stp>
        <tr r="P106" s="16"/>
      </tp>
      <tp>
        <v>2.71828571</v>
        <stp/>
        <stp>StudyData</stp>
        <stp>Bar(((NGEJ19+NGEK19+NGEM19+NGEN19+NGEQ19+NGEU19+NGEV19)/7),1)</stp>
        <stp>Bar</stp>
        <stp/>
        <stp>Close</stp>
        <stp>D</stp>
        <stp>-43</stp>
        <stp/>
        <stp/>
        <stp/>
        <stp/>
        <stp>T</stp>
        <tr r="AN45" s="14"/>
      </tp>
      <tp>
        <v>2.8455714300000001</v>
        <stp/>
        <stp>StudyData</stp>
        <stp>Bar(((NGEJ18+NGEK18+NGEM18+NGEN18+NGEQ18+NGEU18+NGEV18)/7),1)</stp>
        <stp>Bar</stp>
        <stp/>
        <stp>Close</stp>
        <stp>D</stp>
        <stp>-43</stp>
        <stp/>
        <stp/>
        <stp/>
        <stp/>
        <stp>T</stp>
        <tr r="S45" s="14"/>
      </tp>
      <tp>
        <v>2.89942857</v>
        <stp/>
        <stp>StudyData</stp>
        <stp>Bar(((NGEJ18+NGEK18+NGEM18+NGEN18+NGEQ18+NGEU18+NGEV18)/7),1)</stp>
        <stp>Bar</stp>
        <stp/>
        <stp>Close</stp>
        <stp>D</stp>
        <stp>-33</stp>
        <stp/>
        <stp/>
        <stp/>
        <stp/>
        <stp>T</stp>
        <tr r="S35" s="14"/>
      </tp>
      <tp>
        <v>2.7294285700000001</v>
        <stp/>
        <stp>StudyData</stp>
        <stp>Bar(((NGEJ19+NGEK19+NGEM19+NGEN19+NGEQ19+NGEU19+NGEV19)/7),1)</stp>
        <stp>Bar</stp>
        <stp/>
        <stp>Close</stp>
        <stp>D</stp>
        <stp>-23</stp>
        <stp/>
        <stp/>
        <stp/>
        <stp/>
        <stp>T</stp>
        <tr r="AN25" s="14"/>
      </tp>
      <tp>
        <v>2.91128571</v>
        <stp/>
        <stp>StudyData</stp>
        <stp>Bar(((NGEJ18+NGEK18+NGEM18+NGEN18+NGEQ18+NGEU18+NGEV18)/7),1)</stp>
        <stp>Bar</stp>
        <stp/>
        <stp>Close</stp>
        <stp>D</stp>
        <stp>-23</stp>
        <stp/>
        <stp/>
        <stp/>
        <stp/>
        <stp>T</stp>
        <tr r="S25" s="14"/>
      </tp>
      <tp>
        <v>2.7238571399999998</v>
        <stp/>
        <stp>StudyData</stp>
        <stp>Bar(((NGEJ19+NGEK19+NGEM19+NGEN19+NGEQ19+NGEU19+NGEV19)/7),1)</stp>
        <stp>Bar</stp>
        <stp/>
        <stp>Close</stp>
        <stp>D</stp>
        <stp>-33</stp>
        <stp/>
        <stp/>
        <stp/>
        <stp/>
        <stp>T</stp>
        <tr r="AN35" s="14"/>
      </tp>
      <tp>
        <v>2.9742857100000002</v>
        <stp/>
        <stp>StudyData</stp>
        <stp>Bar(((NGEJ18+NGEK18+NGEM18+NGEN18+NGEQ18+NGEU18+NGEV18)/7),1)</stp>
        <stp>Bar</stp>
        <stp/>
        <stp>Close</stp>
        <stp>D</stp>
        <stp>-13</stp>
        <stp/>
        <stp/>
        <stp/>
        <stp/>
        <stp>T</stp>
        <tr r="S15" s="14"/>
      </tp>
      <tp>
        <v>2.7844285700000002</v>
        <stp/>
        <stp>StudyData</stp>
        <stp>Bar(((NGEJ19+NGEK19+NGEM19+NGEN19+NGEQ19+NGEU19+NGEV19)/7),1)</stp>
        <stp>Bar</stp>
        <stp/>
        <stp>Close</stp>
        <stp>D</stp>
        <stp>-13</stp>
        <stp/>
        <stp/>
        <stp/>
        <stp/>
        <stp>T</stp>
        <tr r="AN15" s="14"/>
      </tp>
      <tp t="s">
        <v/>
        <stp/>
        <stp>ContractData</stp>
        <stp>NGE?86</stp>
        <stp>Open</stp>
        <stp/>
        <stp>T</stp>
        <tr r="P93" s="16"/>
      </tp>
      <tp t="s">
        <v/>
        <stp/>
        <stp>ContractData</stp>
        <stp>NGE?87</stp>
        <stp>Open</stp>
        <stp/>
        <stp>T</stp>
        <tr r="P94" s="16"/>
      </tp>
      <tp t="s">
        <v/>
        <stp/>
        <stp>ContractData</stp>
        <stp>NGE?84</stp>
        <stp>Open</stp>
        <stp/>
        <stp>T</stp>
        <tr r="P91" s="16"/>
      </tp>
      <tp t="s">
        <v/>
        <stp/>
        <stp>ContractData</stp>
        <stp>NGE?85</stp>
        <stp>Open</stp>
        <stp/>
        <stp>T</stp>
        <tr r="P92" s="16"/>
      </tp>
      <tp t="s">
        <v/>
        <stp/>
        <stp>ContractData</stp>
        <stp>NGE?82</stp>
        <stp>Open</stp>
        <stp/>
        <stp>T</stp>
        <tr r="P89" s="16"/>
      </tp>
      <tp t="s">
        <v/>
        <stp/>
        <stp>ContractData</stp>
        <stp>NGE?83</stp>
        <stp>Open</stp>
        <stp/>
        <stp>T</stp>
        <tr r="P90" s="16"/>
      </tp>
      <tp t="s">
        <v/>
        <stp/>
        <stp>ContractData</stp>
        <stp>NGE?80</stp>
        <stp>Open</stp>
        <stp/>
        <stp>T</stp>
        <tr r="P87" s="16"/>
      </tp>
      <tp t="s">
        <v/>
        <stp/>
        <stp>ContractData</stp>
        <stp>NGE?81</stp>
        <stp>Open</stp>
        <stp/>
        <stp>T</stp>
        <tr r="P88" s="16"/>
      </tp>
      <tp t="s">
        <v/>
        <stp/>
        <stp>ContractData</stp>
        <stp>NGE?88</stp>
        <stp>Open</stp>
        <stp/>
        <stp>T</stp>
        <tr r="P95" s="16"/>
      </tp>
      <tp t="s">
        <v/>
        <stp/>
        <stp>ContractData</stp>
        <stp>NGE?89</stp>
        <stp>Open</stp>
        <stp/>
        <stp>T</stp>
        <tr r="P96" s="16"/>
      </tp>
      <tp>
        <v>2.71742857</v>
        <stp/>
        <stp>StudyData</stp>
        <stp>Bar(((NGEJ19+NGEK19+NGEM19+NGEN19+NGEQ19+NGEU19+NGEV19)/7),1)</stp>
        <stp>Bar</stp>
        <stp/>
        <stp>LOw</stp>
        <stp>D</stp>
        <stp>-42</stp>
        <stp/>
        <stp/>
        <stp/>
        <stp/>
        <stp>T</stp>
        <tr r="AM44" s="14"/>
      </tp>
      <tp>
        <v>2.7837142899999998</v>
        <stp/>
        <stp>StudyData</stp>
        <stp>Bar(((NGEJ19+NGEK19+NGEM19+NGEN19+NGEQ19+NGEU19+NGEV19)/7),1)</stp>
        <stp>Bar</stp>
        <stp/>
        <stp>LOw</stp>
        <stp>D</stp>
        <stp>-12</stp>
        <stp/>
        <stp/>
        <stp/>
        <stp/>
        <stp>T</stp>
        <tr r="AM14" s="14"/>
      </tp>
      <tp>
        <v>2.7294285700000001</v>
        <stp/>
        <stp>StudyData</stp>
        <stp>Bar(((NGEJ19+NGEK19+NGEM19+NGEN19+NGEQ19+NGEU19+NGEV19)/7),1)</stp>
        <stp>Bar</stp>
        <stp/>
        <stp>LOw</stp>
        <stp>D</stp>
        <stp>-22</stp>
        <stp/>
        <stp/>
        <stp/>
        <stp/>
        <stp>T</stp>
        <tr r="AM24" s="14"/>
      </tp>
      <tp>
        <v>2.7111428599999998</v>
        <stp/>
        <stp>StudyData</stp>
        <stp>Bar(((NGEJ19+NGEK19+NGEM19+NGEN19+NGEQ19+NGEU19+NGEV19)/7),1)</stp>
        <stp>Bar</stp>
        <stp/>
        <stp>LOw</stp>
        <stp>D</stp>
        <stp>-32</stp>
        <stp/>
        <stp/>
        <stp/>
        <stp/>
        <stp>T</stp>
        <tr r="AM34" s="14"/>
      </tp>
      <tp>
        <v>2.8408571399999998</v>
        <stp/>
        <stp>StudyData</stp>
        <stp>Bar(((NGEJ18+NGEK18+NGEM18+NGEN18+NGEQ18+NGEU18+NGEV18)/7),1)</stp>
        <stp>Bar</stp>
        <stp/>
        <stp>LOw</stp>
        <stp>D</stp>
        <stp>-42</stp>
        <stp/>
        <stp/>
        <stp/>
        <stp/>
        <stp>T</stp>
        <tr r="R44" s="14"/>
      </tp>
      <tp>
        <v>2.9731428599999998</v>
        <stp/>
        <stp>StudyData</stp>
        <stp>Bar(((NGEJ18+NGEK18+NGEM18+NGEN18+NGEQ18+NGEU18+NGEV18)/7),1)</stp>
        <stp>Bar</stp>
        <stp/>
        <stp>LOw</stp>
        <stp>D</stp>
        <stp>-12</stp>
        <stp/>
        <stp/>
        <stp/>
        <stp/>
        <stp>T</stp>
        <tr r="R14" s="14"/>
      </tp>
      <tp>
        <v>2.9085714299999998</v>
        <stp/>
        <stp>StudyData</stp>
        <stp>Bar(((NGEJ18+NGEK18+NGEM18+NGEN18+NGEQ18+NGEU18+NGEV18)/7),1)</stp>
        <stp>Bar</stp>
        <stp/>
        <stp>LOw</stp>
        <stp>D</stp>
        <stp>-22</stp>
        <stp/>
        <stp/>
        <stp/>
        <stp/>
        <stp>T</stp>
        <tr r="R24" s="14"/>
      </tp>
      <tp>
        <v>2.8985714300000001</v>
        <stp/>
        <stp>StudyData</stp>
        <stp>Bar(((NGEJ18+NGEK18+NGEM18+NGEN18+NGEQ18+NGEU18+NGEV18)/7),1)</stp>
        <stp>Bar</stp>
        <stp/>
        <stp>LOw</stp>
        <stp>D</stp>
        <stp>-32</stp>
        <stp/>
        <stp/>
        <stp/>
        <stp/>
        <stp>T</stp>
        <tr r="R34" s="14"/>
      </tp>
      <tp>
        <v>3.1698</v>
        <stp/>
        <stp>StudyData</stp>
        <stp>Bar(((NGEX17+NGEZ17+NGEF18+NGEG18+NGEH18)/5),1)</stp>
        <stp>Bar</stp>
        <stp/>
        <stp>Open</stp>
        <stp>D</stp>
        <stp>-28</stp>
        <stp/>
        <stp/>
        <stp/>
        <stp/>
        <stp>T</stp>
        <tr r="C30" s="14"/>
      </tp>
      <tp>
        <v>3.2452000000000001</v>
        <stp/>
        <stp>StudyData</stp>
        <stp>Bar(((NGEX17+NGEZ17+NGEF18+NGEG18+NGEH18)/5),1)</stp>
        <stp>Bar</stp>
        <stp/>
        <stp>Open</stp>
        <stp>D</stp>
        <stp>-38</stp>
        <stp/>
        <stp/>
        <stp/>
        <stp/>
        <stp>T</stp>
        <tr r="C40" s="14"/>
      </tp>
      <tp>
        <v>3.2044000000000001</v>
        <stp/>
        <stp>StudyData</stp>
        <stp>Bar(((NGEX17+NGEZ17+NGEF18+NGEG18+NGEH18)/5),1)</stp>
        <stp>Bar</stp>
        <stp/>
        <stp>Open</stp>
        <stp>D</stp>
        <stp>-18</stp>
        <stp/>
        <stp/>
        <stp/>
        <stp/>
        <stp>T</stp>
        <tr r="C20" s="14"/>
      </tp>
      <tp>
        <v>3.0977999999999999</v>
        <stp/>
        <stp>StudyData</stp>
        <stp>Bar(((NGEX18+NGEZ18+NGEF19+NGEG19+NGEH19)/5),1)</stp>
        <stp>Bar</stp>
        <stp/>
        <stp>Open</stp>
        <stp>D</stp>
        <stp>-37</stp>
        <stp/>
        <stp/>
        <stp/>
        <stp/>
        <stp>T</stp>
        <tr r="X39" s="14"/>
      </tp>
      <tp>
        <v>3.0920000000000001</v>
        <stp/>
        <stp>StudyData</stp>
        <stp>Bar(((NGEX18+NGEZ18+NGEF19+NGEG19+NGEH19)/5),1)</stp>
        <stp>Bar</stp>
        <stp/>
        <stp>Open</stp>
        <stp>D</stp>
        <stp>-27</stp>
        <stp/>
        <stp/>
        <stp/>
        <stp/>
        <stp>T</stp>
        <tr r="X29" s="14"/>
      </tp>
      <tp>
        <v>3.14</v>
        <stp/>
        <stp>StudyData</stp>
        <stp>Bar(((NGEX18+NGEZ18+NGEF19+NGEG19+NGEH19)/5),1)</stp>
        <stp>Bar</stp>
        <stp/>
        <stp>Open</stp>
        <stp>D</stp>
        <stp>-17</stp>
        <stp/>
        <stp/>
        <stp/>
        <stp/>
        <stp>T</stp>
        <tr r="X19" s="14"/>
      </tp>
      <tp>
        <v>2.7532857100000001</v>
        <stp/>
        <stp>StudyData</stp>
        <stp>Bar(((NGEJ19+NGEK19+NGEM19+NGEN19+NGEQ19+NGEU19+NGEV19)/7),1)</stp>
        <stp>Bar</stp>
        <stp/>
        <stp>Close</stp>
        <stp>D</stp>
        <stp>-1</stp>
        <stp/>
        <stp/>
        <stp/>
        <stp/>
        <stp>T</stp>
        <tr r="AN3" s="14"/>
      </tp>
      <tp>
        <v>0.16700000000000001</v>
        <stp/>
        <stp>StudyData</stp>
        <stp>Close(NGES5??1)when (LocalMonth(NGES5??1)=9 and LocalDay(NGES5??1)=14 and LocalYear(NGES5??1)=2017)</stp>
        <stp>Bar</stp>
        <stp/>
        <stp>Close</stp>
        <stp>D</stp>
        <stp>0</stp>
        <stp>ALL</stp>
        <stp/>
        <stp/>
        <stp>FALSE</stp>
        <stp>T</stp>
        <tr r="K16" s="10"/>
      </tp>
      <tp>
        <v>0.32500000000000001</v>
        <stp/>
        <stp>StudyData</stp>
        <stp>Close(NGES6??2)when (LocalMonth(NGES6??2)=9 and LocalDay(NGES6??2)=14 and LocalYear(NGES6??2)=2017)</stp>
        <stp>Bar</stp>
        <stp/>
        <stp>Close</stp>
        <stp>D</stp>
        <stp>0</stp>
        <stp>ALL</stp>
        <stp/>
        <stp/>
        <stp>FALSE</stp>
        <stp>T</stp>
        <tr r="K17" s="11"/>
      </tp>
      <tp>
        <v>0.36</v>
        <stp/>
        <stp>StudyData</stp>
        <stp>Close(NGES1??5)when (LocalMonth(NGES1??5)=9 and LocalDay(NGES1??5)=14 and LocalYear(NGES1??5)=2017)</stp>
        <stp>Bar</stp>
        <stp/>
        <stp>Close</stp>
        <stp>D</stp>
        <stp>0</stp>
        <stp>ALL</stp>
        <stp/>
        <stp/>
        <stp>FALSE</stp>
        <stp>T</stp>
        <tr r="K20" s="6"/>
      </tp>
      <tp>
        <v>1.4E-2</v>
        <stp/>
        <stp>StudyData</stp>
        <stp>Close(NGES2??6)when (LocalMonth(NGES2??6)=9 and LocalDay(NGES2??6)=14 and LocalYear(NGES2??6)=2017)</stp>
        <stp>Bar</stp>
        <stp/>
        <stp>Close</stp>
        <stp>D</stp>
        <stp>0</stp>
        <stp>ALL</stp>
        <stp/>
        <stp/>
        <stp>FALSE</stp>
        <stp>T</stp>
        <tr r="K21" s="7"/>
      </tp>
      <tp>
        <v>-5.0999999999999997E-2</v>
        <stp/>
        <stp>StudyData</stp>
        <stp>Close(NGES3??7)when (LocalMonth(NGES3??7)=9 and LocalDay(NGES3??7)=14 and LocalYear(NGES3??7)=2017)</stp>
        <stp>Bar</stp>
        <stp/>
        <stp>Close</stp>
        <stp>D</stp>
        <stp>0</stp>
        <stp>ALL</stp>
        <stp/>
        <stp/>
        <stp>FALSE</stp>
        <stp>T</stp>
        <tr r="K22" s="8"/>
      </tp>
      <tp t="s">
        <v>Natural Gas (Globex) Calendar Spread 6, Dec 17, Jun 18</v>
        <stp/>
        <stp>ContractData</stp>
        <stp>NGES6Z7</stp>
        <stp>LongDescription</stp>
        <tr r="B113" s="2"/>
      </tp>
      <tp t="s">
        <v>Natural Gas (Globex) Calendar Spread 6, Nov 17, May 18</v>
        <stp/>
        <stp>ContractData</stp>
        <stp>NGES6X7</stp>
        <stp>LongDescription</stp>
        <tr r="B112" s="2"/>
      </tp>
      <tp t="s">
        <v>Natural Gas (Globex) Calendar Spread 6, Aug 18, Feb 19</v>
        <stp/>
        <stp>ContractData</stp>
        <stp>NGES6Q8</stp>
        <stp>LongDescription</stp>
        <tr r="B121" s="2"/>
      </tp>
      <tp t="s">
        <v>Natural Gas (Globex) Calendar Spread 6, Oct 18, Apr 19</v>
        <stp/>
        <stp>ContractData</stp>
        <stp>NGES6V8</stp>
        <stp>LongDescription</stp>
        <tr r="B123" s="2"/>
      </tp>
      <tp t="s">
        <v>Natural Gas (Globex) Calendar Spread 6, Sep 18, Mar 19</v>
        <stp/>
        <stp>ContractData</stp>
        <stp>NGES6U8</stp>
        <stp>LongDescription</stp>
        <tr r="B122" s="2"/>
      </tp>
      <tp t="s">
        <v>Natural Gas (Globex) Calendar Spread 6, May 18, Nov 18</v>
        <stp/>
        <stp>ContractData</stp>
        <stp>NGES6K8</stp>
        <stp>LongDescription</stp>
        <tr r="B118" s="2"/>
      </tp>
      <tp t="s">
        <v>Natural Gas (Globex) Calendar Spread 6, Apr 18, Oct 18</v>
        <stp/>
        <stp>ContractData</stp>
        <stp>NGES6J8</stp>
        <stp>LongDescription</stp>
        <tr r="B117" s="2"/>
      </tp>
      <tp t="s">
        <v>Natural Gas (Globex) Calendar Spread 6, Mar 18, Sep 18</v>
        <stp/>
        <stp>ContractData</stp>
        <stp>NGES6H8</stp>
        <stp>LongDescription</stp>
        <tr r="B116" s="2"/>
      </tp>
      <tp t="s">
        <v>Natural Gas (Globex) Calendar Spread 6, Jul 18, Jan 19</v>
        <stp/>
        <stp>ContractData</stp>
        <stp>NGES6N8</stp>
        <stp>LongDescription</stp>
        <tr r="B120" s="2"/>
      </tp>
      <tp t="s">
        <v>Natural Gas (Globex) Calendar Spread 6, Jun 18, Dec 18</v>
        <stp/>
        <stp>ContractData</stp>
        <stp>NGES6M8</stp>
        <stp>LongDescription</stp>
        <tr r="B119" s="2"/>
      </tp>
      <tp t="s">
        <v>Natural Gas (Globex) Calendar Spread 6, Feb 18, Aug 18</v>
        <stp/>
        <stp>ContractData</stp>
        <stp>NGES6G8</stp>
        <stp>LongDescription</stp>
        <tr r="B115" s="2"/>
      </tp>
      <tp t="s">
        <v>Natural Gas (Globex) Calendar Spread 6, Jan 18, Jul 18</v>
        <stp/>
        <stp>ContractData</stp>
        <stp>NGES6F8</stp>
        <stp>LongDescription</stp>
        <tr r="B114" s="2"/>
      </tp>
      <tp>
        <v>2.7292857100000001</v>
        <stp/>
        <stp>StudyData</stp>
        <stp>Bar(((NGEJ19+NGEK19+NGEM19+NGEN19+NGEQ19+NGEU19+NGEV19)/7),1)</stp>
        <stp>Bar</stp>
        <stp/>
        <stp>Close</stp>
        <stp>D</stp>
        <stp>-42</stp>
        <stp/>
        <stp/>
        <stp/>
        <stp/>
        <stp>T</stp>
        <tr r="AN44" s="14"/>
      </tp>
      <tp>
        <v>2.86342857</v>
        <stp/>
        <stp>StudyData</stp>
        <stp>Bar(((NGEJ18+NGEK18+NGEM18+NGEN18+NGEQ18+NGEU18+NGEV18)/7),1)</stp>
        <stp>Bar</stp>
        <stp/>
        <stp>Close</stp>
        <stp>D</stp>
        <stp>-42</stp>
        <stp/>
        <stp/>
        <stp/>
        <stp/>
        <stp>T</stp>
        <tr r="S44" s="14"/>
      </tp>
      <tp>
        <v>2.9024285700000001</v>
        <stp/>
        <stp>StudyData</stp>
        <stp>Bar(((NGEJ18+NGEK18+NGEM18+NGEN18+NGEQ18+NGEU18+NGEV18)/7),1)</stp>
        <stp>Bar</stp>
        <stp/>
        <stp>Close</stp>
        <stp>D</stp>
        <stp>-32</stp>
        <stp/>
        <stp/>
        <stp/>
        <stp/>
        <stp>T</stp>
        <tr r="S34" s="14"/>
      </tp>
      <tp>
        <v>2.7344285699999999</v>
        <stp/>
        <stp>StudyData</stp>
        <stp>Bar(((NGEJ19+NGEK19+NGEM19+NGEN19+NGEQ19+NGEU19+NGEV19)/7),1)</stp>
        <stp>Bar</stp>
        <stp/>
        <stp>Close</stp>
        <stp>D</stp>
        <stp>-22</stp>
        <stp/>
        <stp/>
        <stp/>
        <stp/>
        <stp>T</stp>
        <tr r="AN24" s="14"/>
      </tp>
      <tp>
        <v>2.9267142900000001</v>
        <stp/>
        <stp>StudyData</stp>
        <stp>Bar(((NGEJ18+NGEK18+NGEM18+NGEN18+NGEQ18+NGEU18+NGEV18)/7),1)</stp>
        <stp>Bar</stp>
        <stp/>
        <stp>Close</stp>
        <stp>D</stp>
        <stp>-22</stp>
        <stp/>
        <stp/>
        <stp/>
        <stp/>
        <stp>T</stp>
        <tr r="S24" s="14"/>
      </tp>
      <tp>
        <v>2.7112857099999998</v>
        <stp/>
        <stp>StudyData</stp>
        <stp>Bar(((NGEJ19+NGEK19+NGEM19+NGEN19+NGEQ19+NGEU19+NGEV19)/7),1)</stp>
        <stp>Bar</stp>
        <stp/>
        <stp>Close</stp>
        <stp>D</stp>
        <stp>-32</stp>
        <stp/>
        <stp/>
        <stp/>
        <stp/>
        <stp>T</stp>
        <tr r="AN34" s="14"/>
      </tp>
      <tp>
        <v>2.9767142899999999</v>
        <stp/>
        <stp>StudyData</stp>
        <stp>Bar(((NGEJ18+NGEK18+NGEM18+NGEN18+NGEQ18+NGEU18+NGEV18)/7),1)</stp>
        <stp>Bar</stp>
        <stp/>
        <stp>Close</stp>
        <stp>D</stp>
        <stp>-12</stp>
        <stp/>
        <stp/>
        <stp/>
        <stp/>
        <stp>T</stp>
        <tr r="S14" s="14"/>
      </tp>
      <tp>
        <v>2.7837142899999998</v>
        <stp/>
        <stp>StudyData</stp>
        <stp>Bar(((NGEJ19+NGEK19+NGEM19+NGEN19+NGEQ19+NGEU19+NGEV19)/7),1)</stp>
        <stp>Bar</stp>
        <stp/>
        <stp>Close</stp>
        <stp>D</stp>
        <stp>-12</stp>
        <stp/>
        <stp/>
        <stp/>
        <stp/>
        <stp>T</stp>
        <tr r="AN14" s="14"/>
      </tp>
      <tp t="s">
        <v/>
        <stp/>
        <stp>ContractData</stp>
        <stp>NGE?26</stp>
        <stp>NetLastTradeToday</stp>
        <stp/>
        <stp>T</stp>
        <tr r="G33" s="16"/>
        <tr r="E33" s="16"/>
      </tp>
      <tp t="s">
        <v/>
        <stp/>
        <stp>ContractData</stp>
        <stp>NGE?27</stp>
        <stp>NetLastTradeToday</stp>
        <stp/>
        <stp>T</stp>
        <tr r="G34" s="16"/>
        <tr r="E34" s="16"/>
      </tp>
      <tp>
        <v>3.1865999999999999</v>
        <stp/>
        <stp>StudyData</stp>
        <stp>Bar(((NGEX17+NGEZ17+NGEF18+NGEG18+NGEH18)/5),1)</stp>
        <stp>Bar</stp>
        <stp/>
        <stp>Open</stp>
        <stp>D</stp>
        <stp>-27</stp>
        <stp/>
        <stp/>
        <stp/>
        <stp/>
        <stp>T</stp>
        <tr r="C29" s="14"/>
      </tp>
      <tp>
        <v>3.2136</v>
        <stp/>
        <stp>StudyData</stp>
        <stp>Bar(((NGEX17+NGEZ17+NGEF18+NGEG18+NGEH18)/5),1)</stp>
        <stp>Bar</stp>
        <stp/>
        <stp>Open</stp>
        <stp>D</stp>
        <stp>-37</stp>
        <stp/>
        <stp/>
        <stp/>
        <stp/>
        <stp>T</stp>
        <tr r="C39" s="14"/>
      </tp>
      <tp>
        <v>3.2412000000000001</v>
        <stp/>
        <stp>StudyData</stp>
        <stp>Bar(((NGEX17+NGEZ17+NGEF18+NGEG18+NGEH18)/5),1)</stp>
        <stp>Bar</stp>
        <stp/>
        <stp>Open</stp>
        <stp>D</stp>
        <stp>-17</stp>
        <stp/>
        <stp/>
        <stp/>
        <stp/>
        <stp>T</stp>
        <tr r="C19" s="14"/>
      </tp>
      <tp t="s">
        <v/>
        <stp/>
        <stp>ContractData</stp>
        <stp>NGE?24</stp>
        <stp>NetLastTradeToday</stp>
        <stp/>
        <stp>T</stp>
        <tr r="E31" s="16"/>
        <tr r="G31" s="16"/>
      </tp>
      <tp t="s">
        <v/>
        <stp/>
        <stp>ContractData</stp>
        <stp>NGE?25</stp>
        <stp>NetLastTradeToday</stp>
        <stp/>
        <stp>T</stp>
        <tr r="E32" s="16"/>
        <tr r="G32" s="16"/>
      </tp>
      <tp t="s">
        <v/>
        <stp/>
        <stp>ContractData</stp>
        <stp>NGE?22</stp>
        <stp>NetLastTradeToday</stp>
        <stp/>
        <stp>T</stp>
        <tr r="G29" s="16"/>
        <tr r="E29" s="16"/>
      </tp>
      <tp t="s">
        <v/>
        <stp/>
        <stp>ContractData</stp>
        <stp>NGE?23</stp>
        <stp>NetLastTradeToday</stp>
        <stp/>
        <stp>T</stp>
        <tr r="E30" s="16"/>
        <tr r="G30" s="16"/>
      </tp>
      <tp t="s">
        <v/>
        <stp/>
        <stp>ContractData</stp>
        <stp>NGE?20</stp>
        <stp>NetLastTradeToday</stp>
        <stp/>
        <stp>T</stp>
        <tr r="G27" s="16"/>
        <tr r="E27" s="16"/>
      </tp>
      <tp t="s">
        <v/>
        <stp/>
        <stp>ContractData</stp>
        <stp>NGE?21</stp>
        <stp>NetLastTradeToday</stp>
        <stp/>
        <stp>T</stp>
        <tr r="G28" s="16"/>
        <tr r="E28" s="16"/>
      </tp>
      <tp t="s">
        <v/>
        <stp/>
        <stp>ContractData</stp>
        <stp>NGE?28</stp>
        <stp>NetLastTradeToday</stp>
        <stp/>
        <stp>T</stp>
        <tr r="E35" s="16"/>
        <tr r="G35" s="16"/>
      </tp>
      <tp t="s">
        <v/>
        <stp/>
        <stp>ContractData</stp>
        <stp>NGE?29</stp>
        <stp>NetLastTradeToday</stp>
        <stp/>
        <stp>T</stp>
        <tr r="G36" s="16"/>
        <tr r="E36" s="16"/>
      </tp>
      <tp>
        <v>3.0935999999999999</v>
        <stp/>
        <stp>StudyData</stp>
        <stp>Bar(((NGEX18+NGEZ18+NGEF19+NGEG19+NGEH19)/5),1)</stp>
        <stp>Bar</stp>
        <stp/>
        <stp>Open</stp>
        <stp>D</stp>
        <stp>-38</stp>
        <stp/>
        <stp/>
        <stp/>
        <stp/>
        <stp>T</stp>
        <tr r="X40" s="14"/>
      </tp>
      <tp>
        <v>3.0785999999999998</v>
        <stp/>
        <stp>StudyData</stp>
        <stp>Bar(((NGEX18+NGEZ18+NGEF19+NGEG19+NGEH19)/5),1)</stp>
        <stp>Bar</stp>
        <stp/>
        <stp>Open</stp>
        <stp>D</stp>
        <stp>-28</stp>
        <stp/>
        <stp/>
        <stp/>
        <stp/>
        <stp>T</stp>
        <tr r="X30" s="14"/>
      </tp>
      <tp>
        <v>3.1316000000000002</v>
        <stp/>
        <stp>StudyData</stp>
        <stp>Bar(((NGEX18+NGEZ18+NGEF19+NGEG19+NGEH19)/5),1)</stp>
        <stp>Bar</stp>
        <stp/>
        <stp>Open</stp>
        <stp>D</stp>
        <stp>-18</stp>
        <stp/>
        <stp/>
        <stp/>
        <stp/>
        <stp>T</stp>
        <tr r="X20" s="14"/>
      </tp>
      <tp>
        <v>0.02</v>
        <stp/>
        <stp>StudyData</stp>
        <stp>Close(NGES2??9)when (LocalMonth(NGES2??9)=9 and LocalDay(NGES2??9)=14 and LocalYear(NGES2??9)=2017)</stp>
        <stp>Bar</stp>
        <stp/>
        <stp>Close</stp>
        <stp>D</stp>
        <stp>0</stp>
        <stp>ALL</stp>
        <stp/>
        <stp/>
        <stp>FALSE</stp>
        <stp>T</stp>
        <tr r="K24" s="7"/>
      </tp>
      <tp>
        <v>-4.0000000000000001E-3</v>
        <stp/>
        <stp>StudyData</stp>
        <stp>Close(NGES3??8)when (LocalMonth(NGES3??8)=9 and LocalDay(NGES3??8)=14 and LocalYear(NGES3??8)=2017)</stp>
        <stp>Bar</stp>
        <stp/>
        <stp>Close</stp>
        <stp>D</stp>
        <stp>0</stp>
        <stp>ALL</stp>
        <stp/>
        <stp/>
        <stp>FALSE</stp>
        <stp>T</stp>
        <tr r="K23" s="8"/>
      </tp>
      <tp>
        <v>-4.9000000000000002E-2</v>
        <stp/>
        <stp>StudyData</stp>
        <stp>Close(NGES1??12)when (LocalMonth(NGES1??12)=9 and LocalDay(NGES1??12)=14 and LocalYear(NGES1??12)=2017)</stp>
        <stp>Bar</stp>
        <stp/>
        <stp>Close</stp>
        <stp>D</stp>
        <stp>0</stp>
        <stp>ALL</stp>
        <stp/>
        <stp/>
        <stp>FALSE</stp>
        <stp>T</stp>
        <tr r="K27" s="6"/>
      </tp>
      <tp>
        <v>-7.0999999999999994E-2</v>
        <stp/>
        <stp>StudyData</stp>
        <stp>Close(NGES2??11)when (LocalMonth(NGES2??11)=9 and LocalDay(NGES2??11)=14 and LocalYear(NGES2??11)=2017)</stp>
        <stp>Bar</stp>
        <stp/>
        <stp>Close</stp>
        <stp>D</stp>
        <stp>0</stp>
        <stp>ALL</stp>
        <stp/>
        <stp/>
        <stp>FALSE</stp>
        <stp>T</stp>
        <tr r="K26" s="7"/>
      </tp>
      <tp>
        <v>-4.8000000000000001E-2</v>
        <stp/>
        <stp>StudyData</stp>
        <stp>Close(NGES3??10)when (LocalMonth(NGES3??10)=9 and LocalDay(NGES3??10)=14 and LocalYear(NGES3??10)=2017)</stp>
        <stp>Bar</stp>
        <stp/>
        <stp>Close</stp>
        <stp>D</stp>
        <stp>0</stp>
        <stp>ALL</stp>
        <stp/>
        <stp/>
        <stp>FALSE</stp>
        <stp>T</stp>
        <tr r="K25" s="8"/>
      </tp>
      <tp t="s">
        <v/>
        <stp/>
        <stp>ContractData</stp>
        <stp>NGE?36</stp>
        <stp>NetLastTradeToday</stp>
        <stp/>
        <stp>T</stp>
        <tr r="E43" s="16"/>
        <tr r="G43" s="16"/>
      </tp>
      <tp t="s">
        <v/>
        <stp/>
        <stp>ContractData</stp>
        <stp>NGE?37</stp>
        <stp>NetLastTradeToday</stp>
        <stp/>
        <stp>T</stp>
        <tr r="G44" s="16"/>
        <tr r="E44" s="16"/>
      </tp>
      <tp>
        <v>3.2058</v>
        <stp/>
        <stp>StudyData</stp>
        <stp>Bar(((NGEX17+NGEZ17+NGEF18+NGEG18+NGEH18)/5),1)</stp>
        <stp>Bar</stp>
        <stp/>
        <stp>Open</stp>
        <stp>D</stp>
        <stp>-26</stp>
        <stp/>
        <stp/>
        <stp/>
        <stp/>
        <stp>T</stp>
        <tr r="C28" s="14"/>
      </tp>
      <tp>
        <v>3.1840000000000002</v>
        <stp/>
        <stp>StudyData</stp>
        <stp>Bar(((NGEX17+NGEZ17+NGEF18+NGEG18+NGEH18)/5),1)</stp>
        <stp>Bar</stp>
        <stp/>
        <stp>Open</stp>
        <stp>D</stp>
        <stp>-36</stp>
        <stp/>
        <stp/>
        <stp/>
        <stp/>
        <stp>T</stp>
        <tr r="C38" s="14"/>
      </tp>
      <tp>
        <v>3.2867999999999999</v>
        <stp/>
        <stp>StudyData</stp>
        <stp>Bar(((NGEX17+NGEZ17+NGEF18+NGEG18+NGEH18)/5),1)</stp>
        <stp>Bar</stp>
        <stp/>
        <stp>Open</stp>
        <stp>D</stp>
        <stp>-16</stp>
        <stp/>
        <stp/>
        <stp/>
        <stp/>
        <stp>T</stp>
        <tr r="C18" s="14"/>
      </tp>
      <tp t="s">
        <v/>
        <stp/>
        <stp>ContractData</stp>
        <stp>NGE?34</stp>
        <stp>NetLastTradeToday</stp>
        <stp/>
        <stp>T</stp>
        <tr r="E41" s="16"/>
        <tr r="G41" s="16"/>
      </tp>
      <tp t="s">
        <v/>
        <stp/>
        <stp>ContractData</stp>
        <stp>NGE?35</stp>
        <stp>NetLastTradeToday</stp>
        <stp/>
        <stp>T</stp>
        <tr r="G42" s="16"/>
        <tr r="E42" s="16"/>
      </tp>
      <tp t="s">
        <v/>
        <stp/>
        <stp>ContractData</stp>
        <stp>NGE?32</stp>
        <stp>NetLastTradeToday</stp>
        <stp/>
        <stp>T</stp>
        <tr r="G39" s="16"/>
        <tr r="E39" s="16"/>
      </tp>
      <tp t="s">
        <v/>
        <stp/>
        <stp>ContractData</stp>
        <stp>NGE?33</stp>
        <stp>NetLastTradeToday</stp>
        <stp/>
        <stp>T</stp>
        <tr r="E40" s="16"/>
        <tr r="G40" s="16"/>
      </tp>
      <tp t="s">
        <v/>
        <stp/>
        <stp>ContractData</stp>
        <stp>NGE?30</stp>
        <stp>NetLastTradeToday</stp>
        <stp/>
        <stp>T</stp>
        <tr r="E37" s="16"/>
        <tr r="G37" s="16"/>
      </tp>
      <tp t="s">
        <v/>
        <stp/>
        <stp>ContractData</stp>
        <stp>NGE?31</stp>
        <stp>NetLastTradeToday</stp>
        <stp/>
        <stp>T</stp>
        <tr r="G38" s="16"/>
        <tr r="E38" s="16"/>
      </tp>
      <tp t="s">
        <v/>
        <stp/>
        <stp>ContractData</stp>
        <stp>NGE?38</stp>
        <stp>NetLastTradeToday</stp>
        <stp/>
        <stp>T</stp>
        <tr r="G45" s="16"/>
        <tr r="E45" s="16"/>
      </tp>
      <tp t="s">
        <v/>
        <stp/>
        <stp>ContractData</stp>
        <stp>NGE?39</stp>
        <stp>NetLastTradeToday</stp>
        <stp/>
        <stp>T</stp>
        <tr r="E46" s="16"/>
        <tr r="G46" s="16"/>
      </tp>
      <tp>
        <v>3.09</v>
        <stp/>
        <stp>StudyData</stp>
        <stp>Bar(((NGEX18+NGEZ18+NGEF19+NGEG19+NGEH19)/5),1)</stp>
        <stp>Bar</stp>
        <stp/>
        <stp>Open</stp>
        <stp>D</stp>
        <stp>-39</stp>
        <stp/>
        <stp/>
        <stp/>
        <stp/>
        <stp>T</stp>
        <tr r="X41" s="14"/>
      </tp>
      <tp>
        <v>3.0886</v>
        <stp/>
        <stp>StudyData</stp>
        <stp>Bar(((NGEX18+NGEZ18+NGEF19+NGEG19+NGEH19)/5),1)</stp>
        <stp>Bar</stp>
        <stp/>
        <stp>Open</stp>
        <stp>D</stp>
        <stp>-29</stp>
        <stp/>
        <stp/>
        <stp/>
        <stp/>
        <stp>T</stp>
        <tr r="X31" s="14"/>
      </tp>
      <tp>
        <v>3.1103999999999998</v>
        <stp/>
        <stp>StudyData</stp>
        <stp>Bar(((NGEX18+NGEZ18+NGEF19+NGEG19+NGEH19)/5),1)</stp>
        <stp>Bar</stp>
        <stp/>
        <stp>Open</stp>
        <stp>D</stp>
        <stp>-19</stp>
        <stp/>
        <stp/>
        <stp/>
        <stp/>
        <stp>T</stp>
        <tr r="X21" s="14"/>
      </tp>
      <tp>
        <v>2.8969999999999998</v>
        <stp/>
        <stp>ContractData</stp>
        <stp>NGE</stp>
        <stp>LastTradeToday</stp>
        <tr r="B2" s="13"/>
      </tp>
      <tp>
        <v>-2.7E-2</v>
        <stp/>
        <stp>StudyData</stp>
        <stp>Close(NGES2??8)when (LocalMonth(NGES2??8)=9 and LocalDay(NGES2??8)=14 and LocalYear(NGES2??8)=2017)</stp>
        <stp>Bar</stp>
        <stp/>
        <stp>Close</stp>
        <stp>D</stp>
        <stp>0</stp>
        <stp>ALL</stp>
        <stp/>
        <stp/>
        <stp>FALSE</stp>
        <stp>T</stp>
        <tr r="K23" s="7"/>
      </tp>
      <tp>
        <v>-2E-3</v>
        <stp/>
        <stp>StudyData</stp>
        <stp>Close(NGES3??9)when (LocalMonth(NGES3??9)=9 and LocalDay(NGES3??9)=14 and LocalYear(NGES3??9)=2017)</stp>
        <stp>Bar</stp>
        <stp/>
        <stp>Close</stp>
        <stp>D</stp>
        <stp>0</stp>
        <stp>ALL</stp>
        <stp/>
        <stp/>
        <stp>FALSE</stp>
        <stp>T</stp>
        <tr r="K24" s="8"/>
      </tp>
      <tp>
        <v>2.81</v>
        <stp/>
        <stp>ContractData</stp>
        <stp>NGE?92</stp>
        <stp>Y_Settlement</stp>
        <stp/>
        <stp>T</stp>
        <tr r="Z99" s="16"/>
      </tp>
      <tp>
        <v>2.8439999999999999</v>
        <stp/>
        <stp>ContractData</stp>
        <stp>NGE?93</stp>
        <stp>Y_Settlement</stp>
        <stp/>
        <stp>T</stp>
        <tr r="Z100" s="16"/>
      </tp>
      <tp>
        <v>2.798</v>
        <stp/>
        <stp>ContractData</stp>
        <stp>NGE?90</stp>
        <stp>Y_Settlement</stp>
        <stp/>
        <stp>T</stp>
        <tr r="Z97" s="16"/>
      </tp>
      <tp>
        <v>2.7800000000000002</v>
        <stp/>
        <stp>ContractData</stp>
        <stp>NGE?91</stp>
        <stp>Y_Settlement</stp>
        <stp/>
        <stp>T</stp>
        <tr r="Z98" s="16"/>
      </tp>
      <tp>
        <v>2.92</v>
        <stp/>
        <stp>ContractData</stp>
        <stp>NGE?96</stp>
        <stp>Y_Settlement</stp>
        <stp/>
        <stp>T</stp>
        <tr r="Z103" s="16"/>
      </tp>
      <tp>
        <v>2.996</v>
        <stp/>
        <stp>ContractData</stp>
        <stp>NGE?97</stp>
        <stp>Y_Settlement</stp>
        <stp/>
        <stp>T</stp>
        <tr r="Z104" s="16"/>
      </tp>
      <tp>
        <v>2.8770000000000002</v>
        <stp/>
        <stp>ContractData</stp>
        <stp>NGE?94</stp>
        <stp>Y_Settlement</stp>
        <stp/>
        <stp>T</stp>
        <tr r="Z101" s="16"/>
      </tp>
      <tp>
        <v>2.8820000000000001</v>
        <stp/>
        <stp>ContractData</stp>
        <stp>NGE?95</stp>
        <stp>Y_Settlement</stp>
        <stp/>
        <stp>T</stp>
        <tr r="Z102" s="16"/>
      </tp>
      <tp>
        <v>3.149</v>
        <stp/>
        <stp>ContractData</stp>
        <stp>NGE?98</stp>
        <stp>Y_Settlement</stp>
        <stp/>
        <stp>T</stp>
        <tr r="Z105" s="16"/>
      </tp>
      <tp>
        <v>3.274</v>
        <stp/>
        <stp>ContractData</stp>
        <stp>NGE?99</stp>
        <stp>Y_Settlement</stp>
        <stp/>
        <stp>T</stp>
        <tr r="Z106" s="16"/>
      </tp>
      <tp>
        <v>2.831</v>
        <stp/>
        <stp>ContractData</stp>
        <stp>NGE?82</stp>
        <stp>Y_Settlement</stp>
        <stp/>
        <stp>T</stp>
        <tr r="Z89" s="16"/>
      </tp>
      <tp>
        <v>2.835</v>
        <stp/>
        <stp>ContractData</stp>
        <stp>NGE?83</stp>
        <stp>Y_Settlement</stp>
        <stp/>
        <stp>T</stp>
        <tr r="Z90" s="16"/>
      </tp>
      <tp>
        <v>2.7770000000000001</v>
        <stp/>
        <stp>ContractData</stp>
        <stp>NGE?80</stp>
        <stp>Y_Settlement</stp>
        <stp/>
        <stp>T</stp>
        <tr r="Z87" s="16"/>
      </tp>
      <tp>
        <v>2.8050000000000002</v>
        <stp/>
        <stp>ContractData</stp>
        <stp>NGE?81</stp>
        <stp>Y_Settlement</stp>
        <stp/>
        <stp>T</stp>
        <tr r="Z88" s="16"/>
      </tp>
      <tp>
        <v>3.0990000000000002</v>
        <stp/>
        <stp>ContractData</stp>
        <stp>NGE?86</stp>
        <stp>Y_Settlement</stp>
        <stp/>
        <stp>T</stp>
        <tr r="Z93" s="16"/>
      </tp>
      <tp>
        <v>3.2240000000000002</v>
        <stp/>
        <stp>ContractData</stp>
        <stp>NGE?87</stp>
        <stp>Y_Settlement</stp>
        <stp/>
        <stp>T</stp>
        <tr r="Z94" s="16"/>
      </tp>
      <tp>
        <v>2.87</v>
        <stp/>
        <stp>ContractData</stp>
        <stp>NGE?84</stp>
        <stp>Y_Settlement</stp>
        <stp/>
        <stp>T</stp>
        <tr r="Z91" s="16"/>
      </tp>
      <tp>
        <v>2.9460000000000002</v>
        <stp/>
        <stp>ContractData</stp>
        <stp>NGE?85</stp>
        <stp>Y_Settlement</stp>
        <stp/>
        <stp>T</stp>
        <tr r="Z92" s="16"/>
      </tp>
      <tp>
        <v>3.194</v>
        <stp/>
        <stp>ContractData</stp>
        <stp>NGE?88</stp>
        <stp>Y_Settlement</stp>
        <stp/>
        <stp>T</stp>
        <tr r="Z95" s="16"/>
      </tp>
      <tp>
        <v>3.1259999999999999</v>
        <stp/>
        <stp>ContractData</stp>
        <stp>NGE?89</stp>
        <stp>Y_Settlement</stp>
        <stp/>
        <stp>T</stp>
        <tr r="Z96" s="16"/>
      </tp>
      <tp>
        <v>3.0910000000000002</v>
        <stp/>
        <stp>ContractData</stp>
        <stp>NGE?52</stp>
        <stp>Y_Settlement</stp>
        <stp/>
        <stp>T</stp>
        <tr r="Z59" s="16"/>
      </tp>
      <tp>
        <v>3.0329999999999999</v>
        <stp/>
        <stp>ContractData</stp>
        <stp>NGE?53</stp>
        <stp>Y_Settlement</stp>
        <stp/>
        <stp>T</stp>
        <tr r="Z60" s="16"/>
      </tp>
      <tp>
        <v>3</v>
        <stp/>
        <stp>ContractData</stp>
        <stp>NGE?50</stp>
        <stp>Y_Settlement</stp>
        <stp/>
        <stp>T</stp>
        <tr r="Z57" s="16"/>
      </tp>
      <tp>
        <v>3.1120000000000001</v>
        <stp/>
        <stp>ContractData</stp>
        <stp>NGE?51</stp>
        <stp>Y_Settlement</stp>
        <stp/>
        <stp>T</stp>
        <tr r="Z58" s="16"/>
      </tp>
      <tp>
        <v>2.7280000000000002</v>
        <stp/>
        <stp>ContractData</stp>
        <stp>NGE?56</stp>
        <stp>Y_Settlement</stp>
        <stp/>
        <stp>T</stp>
        <tr r="Z63" s="16"/>
      </tp>
      <tp>
        <v>2.7549999999999999</v>
        <stp/>
        <stp>ContractData</stp>
        <stp>NGE?57</stp>
        <stp>Y_Settlement</stp>
        <stp/>
        <stp>T</stp>
        <tr r="Z64" s="16"/>
      </tp>
      <tp>
        <v>2.7210000000000001</v>
        <stp/>
        <stp>ContractData</stp>
        <stp>NGE?54</stp>
        <stp>Y_Settlement</stp>
        <stp/>
        <stp>T</stp>
        <tr r="Z61" s="16"/>
      </tp>
      <tp>
        <v>2.7029999999999998</v>
        <stp/>
        <stp>ContractData</stp>
        <stp>NGE?55</stp>
        <stp>Y_Settlement</stp>
        <stp/>
        <stp>T</stp>
        <tr r="Z62" s="16"/>
      </tp>
      <tp>
        <v>2.778</v>
        <stp/>
        <stp>ContractData</stp>
        <stp>NGE?58</stp>
        <stp>Y_Settlement</stp>
        <stp/>
        <stp>T</stp>
        <tr r="Z65" s="16"/>
      </tp>
      <tp>
        <v>2.778</v>
        <stp/>
        <stp>ContractData</stp>
        <stp>NGE?59</stp>
        <stp>Y_Settlement</stp>
        <stp/>
        <stp>T</stp>
        <tr r="Z66" s="16"/>
      </tp>
      <tp>
        <v>2.7090000000000001</v>
        <stp/>
        <stp>ContractData</stp>
        <stp>NGE?42</stp>
        <stp>Y_Settlement</stp>
        <stp/>
        <stp>T</stp>
        <tr r="Z49" s="16"/>
      </tp>
      <tp>
        <v>2.6850000000000001</v>
        <stp/>
        <stp>ContractData</stp>
        <stp>NGE?43</stp>
        <stp>Y_Settlement</stp>
        <stp/>
        <stp>T</stp>
        <tr r="Z50" s="16"/>
      </tp>
      <tp>
        <v>3.0819999999999999</v>
        <stp/>
        <stp>ContractData</stp>
        <stp>NGE?40</stp>
        <stp>Y_Settlement</stp>
        <stp/>
        <stp>T</stp>
        <tr r="Z47" s="16"/>
      </tp>
      <tp>
        <v>3.024</v>
        <stp/>
        <stp>ContractData</stp>
        <stp>NGE?41</stp>
        <stp>Y_Settlement</stp>
        <stp/>
        <stp>T</stp>
        <tr r="Z48" s="16"/>
      </tp>
      <tp>
        <v>2.7490000000000001</v>
        <stp/>
        <stp>ContractData</stp>
        <stp>NGE?46</stp>
        <stp>Y_Settlement</stp>
        <stp/>
        <stp>T</stp>
        <tr r="Z53" s="16"/>
      </tp>
      <tp>
        <v>2.7469999999999999</v>
        <stp/>
        <stp>ContractData</stp>
        <stp>NGE?47</stp>
        <stp>Y_Settlement</stp>
        <stp/>
        <stp>T</stp>
        <tr r="Z54" s="16"/>
      </tp>
      <tp>
        <v>2.7069999999999999</v>
        <stp/>
        <stp>ContractData</stp>
        <stp>NGE?44</stp>
        <stp>Y_Settlement</stp>
        <stp/>
        <stp>T</stp>
        <tr r="Z51" s="16"/>
      </tp>
      <tp>
        <v>2.73</v>
        <stp/>
        <stp>ContractData</stp>
        <stp>NGE?45</stp>
        <stp>Y_Settlement</stp>
        <stp/>
        <stp>T</stp>
        <tr r="Z52" s="16"/>
      </tp>
      <tp>
        <v>2.7730000000000001</v>
        <stp/>
        <stp>ContractData</stp>
        <stp>NGE?48</stp>
        <stp>Y_Settlement</stp>
        <stp/>
        <stp>T</stp>
        <tr r="Z55" s="16"/>
      </tp>
      <tp>
        <v>2.847</v>
        <stp/>
        <stp>ContractData</stp>
        <stp>NGE?49</stp>
        <stp>Y_Settlement</stp>
        <stp/>
        <stp>T</stp>
        <tr r="Z56" s="16"/>
      </tp>
      <tp>
        <v>2.8380000000000001</v>
        <stp/>
        <stp>ContractData</stp>
        <stp>NGE?72</stp>
        <stp>Y_Settlement</stp>
        <stp/>
        <stp>T</stp>
        <tr r="Z79" s="16"/>
      </tp>
      <tp>
        <v>2.9130000000000003</v>
        <stp/>
        <stp>ContractData</stp>
        <stp>NGE?73</stp>
        <stp>Y_Settlement</stp>
        <stp/>
        <stp>T</stp>
        <tr r="Z80" s="16"/>
      </tp>
      <tp>
        <v>2.8010000000000002</v>
        <stp/>
        <stp>ContractData</stp>
        <stp>NGE?70</stp>
        <stp>Y_Settlement</stp>
        <stp/>
        <stp>T</stp>
        <tr r="Z77" s="16"/>
      </tp>
      <tp>
        <v>2.8040000000000003</v>
        <stp/>
        <stp>ContractData</stp>
        <stp>NGE?71</stp>
        <stp>Y_Settlement</stp>
        <stp/>
        <stp>T</stp>
        <tr r="Z78" s="16"/>
      </tp>
      <tp>
        <v>3.1619999999999999</v>
        <stp/>
        <stp>ContractData</stp>
        <stp>NGE?76</stp>
        <stp>Y_Settlement</stp>
        <stp/>
        <stp>T</stp>
        <tr r="Z83" s="16"/>
      </tp>
      <tp>
        <v>3.097</v>
        <stp/>
        <stp>ContractData</stp>
        <stp>NGE?77</stp>
        <stp>Y_Settlement</stp>
        <stp/>
        <stp>T</stp>
        <tr r="Z84" s="16"/>
      </tp>
      <tp>
        <v>3.0660000000000003</v>
        <stp/>
        <stp>ContractData</stp>
        <stp>NGE?74</stp>
        <stp>Y_Settlement</stp>
        <stp/>
        <stp>T</stp>
        <tr r="Z81" s="16"/>
      </tp>
      <tp>
        <v>3.19</v>
        <stp/>
        <stp>ContractData</stp>
        <stp>NGE?75</stp>
        <stp>Y_Settlement</stp>
        <stp/>
        <stp>T</stp>
        <tr r="Z82" s="16"/>
      </tp>
      <tp>
        <v>2.7690000000000001</v>
        <stp/>
        <stp>ContractData</stp>
        <stp>NGE?78</stp>
        <stp>Y_Settlement</stp>
        <stp/>
        <stp>T</stp>
        <tr r="Z85" s="16"/>
      </tp>
      <tp>
        <v>2.7509999999999999</v>
        <stp/>
        <stp>ContractData</stp>
        <stp>NGE?79</stp>
        <stp>Y_Settlement</stp>
        <stp/>
        <stp>T</stp>
        <tr r="Z86" s="16"/>
      </tp>
      <tp>
        <v>3.0310000000000001</v>
        <stp/>
        <stp>ContractData</stp>
        <stp>NGE?62</stp>
        <stp>Y_Settlement</stp>
        <stp/>
        <stp>T</stp>
        <tr r="Z69" s="16"/>
      </tp>
      <tp>
        <v>3.1430000000000002</v>
        <stp/>
        <stp>ContractData</stp>
        <stp>NGE?63</stp>
        <stp>Y_Settlement</stp>
        <stp/>
        <stp>T</stp>
        <tr r="Z70" s="16"/>
      </tp>
      <tp>
        <v>2.8040000000000003</v>
        <stp/>
        <stp>ContractData</stp>
        <stp>NGE?60</stp>
        <stp>Y_Settlement</stp>
        <stp/>
        <stp>T</stp>
        <tr r="Z67" s="16"/>
      </tp>
      <tp>
        <v>2.8780000000000001</v>
        <stp/>
        <stp>ContractData</stp>
        <stp>NGE?61</stp>
        <stp>Y_Settlement</stp>
        <stp/>
        <stp>T</stp>
        <tr r="Z68" s="16"/>
      </tp>
      <tp>
        <v>2.7410000000000001</v>
        <stp/>
        <stp>ContractData</stp>
        <stp>NGE?66</stp>
        <stp>Y_Settlement</stp>
        <stp/>
        <stp>T</stp>
        <tr r="Z73" s="16"/>
      </tp>
      <tp>
        <v>2.7229999999999999</v>
        <stp/>
        <stp>ContractData</stp>
        <stp>NGE?67</stp>
        <stp>Y_Settlement</stp>
        <stp/>
        <stp>T</stp>
        <tr r="Z74" s="16"/>
      </tp>
      <tp>
        <v>3.1160000000000001</v>
        <stp/>
        <stp>ContractData</stp>
        <stp>NGE?64</stp>
        <stp>Y_Settlement</stp>
        <stp/>
        <stp>T</stp>
        <tr r="Z71" s="16"/>
      </tp>
      <tp>
        <v>3.0540000000000003</v>
        <stp/>
        <stp>ContractData</stp>
        <stp>NGE?65</stp>
        <stp>Y_Settlement</stp>
        <stp/>
        <stp>T</stp>
        <tr r="Z72" s="16"/>
      </tp>
      <tp>
        <v>2.7480000000000002</v>
        <stp/>
        <stp>ContractData</stp>
        <stp>NGE?68</stp>
        <stp>Y_Settlement</stp>
        <stp/>
        <stp>T</stp>
        <tr r="Z75" s="16"/>
      </tp>
      <tp>
        <v>2.7749999999999999</v>
        <stp/>
        <stp>ContractData</stp>
        <stp>NGE?69</stp>
        <stp>Y_Settlement</stp>
        <stp/>
        <stp>T</stp>
        <tr r="Z76" s="16"/>
      </tp>
      <tp>
        <v>2.9740000000000002</v>
        <stp/>
        <stp>ContractData</stp>
        <stp>NGE?12</stp>
        <stp>Y_Settlement</stp>
        <stp/>
        <stp>T</stp>
        <tr r="Z19" s="16"/>
      </tp>
      <tp>
        <v>3.028</v>
        <stp/>
        <stp>ContractData</stp>
        <stp>NGE?13</stp>
        <stp>Y_Settlement</stp>
        <stp/>
        <stp>T</stp>
        <tr r="Z20" s="16"/>
      </tp>
      <tp>
        <v>2.9689999999999999</v>
        <stp/>
        <stp>ContractData</stp>
        <stp>NGE?10</stp>
        <stp>Y_Settlement</stp>
        <stp/>
        <stp>T</stp>
        <tr r="Z17" s="16"/>
      </tp>
      <tp>
        <v>2.9510000000000001</v>
        <stp/>
        <stp>ContractData</stp>
        <stp>NGE?11</stp>
        <stp>Y_Settlement</stp>
        <stp/>
        <stp>T</stp>
        <tr r="Z18" s="16"/>
      </tp>
      <tp>
        <v>3.2250000000000001</v>
        <stp/>
        <stp>ContractData</stp>
        <stp>NGE?16</stp>
        <stp>Y_Settlement</stp>
        <stp/>
        <stp>T</stp>
        <tr r="Z23" s="16"/>
      </tp>
      <tp>
        <v>3.153</v>
        <stp/>
        <stp>ContractData</stp>
        <stp>NGE?17</stp>
        <stp>Y_Settlement</stp>
        <stp/>
        <stp>T</stp>
        <tr r="Z24" s="16"/>
      </tp>
      <tp>
        <v>3.1640000000000001</v>
        <stp/>
        <stp>ContractData</stp>
        <stp>NGE?14</stp>
        <stp>Y_Settlement</stp>
        <stp/>
        <stp>T</stp>
        <tr r="Z21" s="16"/>
      </tp>
      <tp>
        <v>3.2480000000000002</v>
        <stp/>
        <stp>ContractData</stp>
        <stp>NGE?15</stp>
        <stp>Y_Settlement</stp>
        <stp/>
        <stp>T</stp>
        <tr r="Z22" s="16"/>
      </tp>
      <tp>
        <v>2.758</v>
        <stp/>
        <stp>ContractData</stp>
        <stp>NGE?18</stp>
        <stp>Y_Settlement</stp>
        <stp/>
        <stp>T</stp>
        <tr r="Z25" s="16"/>
      </tp>
      <tp>
        <v>2.7189999999999999</v>
        <stp/>
        <stp>ContractData</stp>
        <stp>NGE?19</stp>
        <stp>Y_Settlement</stp>
        <stp/>
        <stp>T</stp>
        <tr r="Z26" s="16"/>
      </tp>
      <tp>
        <v>2.7080000000000002</v>
        <stp/>
        <stp>ContractData</stp>
        <stp>NGE?32</stp>
        <stp>Y_Settlement</stp>
        <stp/>
        <stp>T</stp>
        <tr r="Z39" s="16"/>
      </tp>
      <tp>
        <v>2.734</v>
        <stp/>
        <stp>ContractData</stp>
        <stp>NGE?33</stp>
        <stp>Y_Settlement</stp>
        <stp/>
        <stp>T</stp>
        <tr r="Z40" s="16"/>
      </tp>
      <tp>
        <v>2.7120000000000002</v>
        <stp/>
        <stp>ContractData</stp>
        <stp>NGE?30</stp>
        <stp>Y_Settlement</stp>
        <stp/>
        <stp>T</stp>
        <tr r="Z37" s="16"/>
      </tp>
      <tp>
        <v>2.6850000000000001</v>
        <stp/>
        <stp>ContractData</stp>
        <stp>NGE?31</stp>
        <stp>Y_Settlement</stp>
        <stp/>
        <stp>T</stp>
        <tr r="Z38" s="16"/>
      </tp>
      <tp>
        <v>2.7680000000000002</v>
        <stp/>
        <stp>ContractData</stp>
        <stp>NGE?36</stp>
        <stp>Y_Settlement</stp>
        <stp/>
        <stp>T</stp>
        <tr r="Z43" s="16"/>
      </tp>
      <tp>
        <v>2.8420000000000001</v>
        <stp/>
        <stp>ContractData</stp>
        <stp>NGE?37</stp>
        <stp>Y_Settlement</stp>
        <stp/>
        <stp>T</stp>
        <tr r="Z44" s="16"/>
      </tp>
      <tp>
        <v>2.7440000000000002</v>
        <stp/>
        <stp>ContractData</stp>
        <stp>NGE?34</stp>
        <stp>Y_Settlement</stp>
        <stp/>
        <stp>T</stp>
        <tr r="Z41" s="16"/>
      </tp>
      <tp>
        <v>2.74</v>
        <stp/>
        <stp>ContractData</stp>
        <stp>NGE?35</stp>
        <stp>Y_Settlement</stp>
        <stp/>
        <stp>T</stp>
        <tr r="Z42" s="16"/>
      </tp>
      <tp>
        <v>2.992</v>
        <stp/>
        <stp>ContractData</stp>
        <stp>NGE?38</stp>
        <stp>Y_Settlement</stp>
        <stp/>
        <stp>T</stp>
        <tr r="Z45" s="16"/>
      </tp>
      <tp>
        <v>3.1030000000000002</v>
        <stp/>
        <stp>ContractData</stp>
        <stp>NGE?39</stp>
        <stp>Y_Settlement</stp>
        <stp/>
        <stp>T</stp>
        <tr r="Z46" s="16"/>
      </tp>
      <tp>
        <v>2.7669999999999999</v>
        <stp/>
        <stp>ContractData</stp>
        <stp>NGE?22</stp>
        <stp>Y_Settlement</stp>
        <stp/>
        <stp>T</stp>
        <tr r="Z29" s="16"/>
      </tp>
      <tp>
        <v>2.7530000000000001</v>
        <stp/>
        <stp>ContractData</stp>
        <stp>NGE?23</stp>
        <stp>Y_Settlement</stp>
        <stp/>
        <stp>T</stp>
        <tr r="Z30" s="16"/>
      </tp>
      <tp>
        <v>2.7410000000000001</v>
        <stp/>
        <stp>ContractData</stp>
        <stp>NGE?20</stp>
        <stp>Y_Settlement</stp>
        <stp/>
        <stp>T</stp>
        <tr r="Z27" s="16"/>
      </tp>
      <tp>
        <v>2.7629999999999999</v>
        <stp/>
        <stp>ContractData</stp>
        <stp>NGE?21</stp>
        <stp>Y_Settlement</stp>
        <stp/>
        <stp>T</stp>
        <tr r="Z28" s="16"/>
      </tp>
      <tp>
        <v>2.9980000000000002</v>
        <stp/>
        <stp>ContractData</stp>
        <stp>NGE?26</stp>
        <stp>Y_Settlement</stp>
        <stp/>
        <stp>T</stp>
        <tr r="Z33" s="16"/>
      </tp>
      <tp>
        <v>3.105</v>
        <stp/>
        <stp>ContractData</stp>
        <stp>NGE?27</stp>
        <stp>Y_Settlement</stp>
        <stp/>
        <stp>T</stp>
        <tr r="Z34" s="16"/>
      </tp>
      <tp>
        <v>2.7760000000000002</v>
        <stp/>
        <stp>ContractData</stp>
        <stp>NGE?24</stp>
        <stp>Y_Settlement</stp>
        <stp/>
        <stp>T</stp>
        <tr r="Z31" s="16"/>
      </tp>
      <tp>
        <v>2.8410000000000002</v>
        <stp/>
        <stp>ContractData</stp>
        <stp>NGE?25</stp>
        <stp>Y_Settlement</stp>
        <stp/>
        <stp>T</stp>
        <tr r="Z32" s="16"/>
      </tp>
      <tp>
        <v>3.085</v>
        <stp/>
        <stp>ContractData</stp>
        <stp>NGE?28</stp>
        <stp>Y_Settlement</stp>
        <stp/>
        <stp>T</stp>
        <tr r="Z35" s="16"/>
      </tp>
      <tp>
        <v>3.0300000000000002</v>
        <stp/>
        <stp>ContractData</stp>
        <stp>NGE?29</stp>
        <stp>Y_Settlement</stp>
        <stp/>
        <stp>T</stp>
        <tr r="Z36" s="16"/>
      </tp>
      <tp>
        <v>1E-3</v>
        <stp/>
        <stp>StudyData</stp>
        <stp>Close(NGES2??10)when (LocalMonth(NGES2??10)=9 and LocalDay(NGES2??10)=14 and LocalYear(NGES2??10)=2017)</stp>
        <stp>Bar</stp>
        <stp/>
        <stp>Close</stp>
        <stp>D</stp>
        <stp>0</stp>
        <stp>ALL</stp>
        <stp/>
        <stp/>
        <stp>FALSE</stp>
        <stp>T</stp>
        <tr r="K25" s="7"/>
      </tp>
      <tp>
        <v>-0.20200000000000001</v>
        <stp/>
        <stp>StudyData</stp>
        <stp>Close(NGES3??11)when (LocalMonth(NGES3??11)=9 and LocalDay(NGES3??11)=14 and LocalYear(NGES3??11)=2017)</stp>
        <stp>Bar</stp>
        <stp/>
        <stp>Close</stp>
        <stp>D</stp>
        <stp>0</stp>
        <stp>ALL</stp>
        <stp/>
        <stp/>
        <stp>FALSE</stp>
        <stp>T</stp>
        <tr r="K26" s="8"/>
      </tp>
      <tp>
        <v>3.1793999999999998</v>
        <stp/>
        <stp>StudyData</stp>
        <stp>Bar(((NGEX17+NGEZ17+NGEF18+NGEG18+NGEH18)/5),1)</stp>
        <stp>Bar</stp>
        <stp/>
        <stp>Open</stp>
        <stp>D</stp>
        <stp>-25</stp>
        <stp/>
        <stp/>
        <stp/>
        <stp/>
        <stp>T</stp>
        <tr r="C27" s="14"/>
      </tp>
      <tp>
        <v>3.1606000000000001</v>
        <stp/>
        <stp>StudyData</stp>
        <stp>Bar(((NGEX17+NGEZ17+NGEF18+NGEG18+NGEH18)/5),1)</stp>
        <stp>Bar</stp>
        <stp/>
        <stp>Open</stp>
        <stp>D</stp>
        <stp>-35</stp>
        <stp/>
        <stp/>
        <stp/>
        <stp/>
        <stp>T</stp>
        <tr r="C37" s="14"/>
      </tp>
      <tp>
        <v>3.2871999999999999</v>
        <stp/>
        <stp>StudyData</stp>
        <stp>Bar(((NGEX17+NGEZ17+NGEF18+NGEG18+NGEH18)/5),1)</stp>
        <stp>Bar</stp>
        <stp/>
        <stp>Open</stp>
        <stp>D</stp>
        <stp>-15</stp>
        <stp/>
        <stp/>
        <stp/>
        <stp/>
        <stp>T</stp>
        <tr r="C17" s="14"/>
      </tp>
      <tp>
        <v>-2.4E-2</v>
        <stp/>
        <stp>StudyData</stp>
        <stp>Close(NGES1??8)when (LocalMonth(NGES1??8)=9 and LocalDay(NGES1??8)=14 and LocalYear(NGES1??8)=2017)</stp>
        <stp>Bar</stp>
        <stp/>
        <stp>Close</stp>
        <stp>D</stp>
        <stp>0</stp>
        <stp>ALL</stp>
        <stp/>
        <stp/>
        <stp>FALSE</stp>
        <stp>T</stp>
        <tr r="K23" s="6"/>
      </tp>
      <tp>
        <v>2.3E-2</v>
        <stp/>
        <stp>StudyData</stp>
        <stp>Close(NGES1??10)when (LocalMonth(NGES1??10)=9 and LocalDay(NGES1??10)=14 and LocalYear(NGES1??10)=2017)</stp>
        <stp>Bar</stp>
        <stp/>
        <stp>Close</stp>
        <stp>D</stp>
        <stp>0</stp>
        <stp>ALL</stp>
        <stp/>
        <stp/>
        <stp>FALSE</stp>
        <stp>T</stp>
        <tr r="K25" s="6"/>
      </tp>
      <tp>
        <v>-0.26500000000000001</v>
        <stp/>
        <stp>StudyData</stp>
        <stp>Close(NGES3??12)when (LocalMonth(NGES3??12)=9 and LocalDay(NGES3??12)=14 and LocalYear(NGES3??12)=2017)</stp>
        <stp>Bar</stp>
        <stp/>
        <stp>Close</stp>
        <stp>D</stp>
        <stp>0</stp>
        <stp>ALL</stp>
        <stp/>
        <stp/>
        <stp>FALSE</stp>
        <stp>T</stp>
        <tr r="K27" s="8"/>
      </tp>
      <tp>
        <v>1</v>
        <stp/>
        <stp>ContractData</stp>
        <stp>NGE?6</stp>
        <stp>MT_LastAskVolume</stp>
        <stp/>
        <stp>T</stp>
        <tr r="N13" s="16"/>
        <tr r="N13" s="16"/>
      </tp>
      <tp>
        <v>2</v>
        <stp/>
        <stp>ContractData</stp>
        <stp>NGE?7</stp>
        <stp>MT_LastAskVolume</stp>
        <stp/>
        <stp>T</stp>
        <tr r="N14" s="16"/>
        <tr r="N14" s="16"/>
      </tp>
      <tp>
        <v>41</v>
        <stp/>
        <stp>ContractData</stp>
        <stp>NGE?4</stp>
        <stp>MT_LastAskVolume</stp>
        <stp/>
        <stp>T</stp>
        <tr r="N11" s="16"/>
        <tr r="N11" s="16"/>
      </tp>
      <tp>
        <v>3</v>
        <stp/>
        <stp>ContractData</stp>
        <stp>NGE?5</stp>
        <stp>MT_LastAskVolume</stp>
        <stp/>
        <stp>T</stp>
        <tr r="N12" s="16"/>
        <tr r="N12" s="16"/>
      </tp>
      <tp>
        <v>38</v>
        <stp/>
        <stp>ContractData</stp>
        <stp>NGE?2</stp>
        <stp>MT_LastAskVolume</stp>
        <stp/>
        <stp>T</stp>
        <tr r="N9" s="16"/>
        <tr r="N9" s="16"/>
      </tp>
      <tp>
        <v>5</v>
        <stp/>
        <stp>ContractData</stp>
        <stp>NGE?3</stp>
        <stp>MT_LastAskVolume</stp>
        <stp/>
        <stp>T</stp>
        <tr r="N10" s="16"/>
        <tr r="N10" s="16"/>
      </tp>
      <tp>
        <v>30</v>
        <stp/>
        <stp>ContractData</stp>
        <stp>NGE?1</stp>
        <stp>MT_LastAskVolume</stp>
        <stp/>
        <stp>T</stp>
        <tr r="N8" s="16"/>
        <tr r="N8" s="16"/>
      </tp>
      <tp>
        <v>3</v>
        <stp/>
        <stp>ContractData</stp>
        <stp>NGE?8</stp>
        <stp>MT_LastAskVolume</stp>
        <stp/>
        <stp>T</stp>
        <tr r="N15" s="16"/>
        <tr r="N15" s="16"/>
      </tp>
      <tp>
        <v>2</v>
        <stp/>
        <stp>ContractData</stp>
        <stp>NGE?9</stp>
        <stp>MT_LastAskVolume</stp>
        <stp/>
        <stp>T</stp>
        <tr r="N16" s="16"/>
        <tr r="N16" s="16"/>
      </tp>
      <tp t="s">
        <v/>
        <stp/>
        <stp>ContractData</stp>
        <stp>NGE?16</stp>
        <stp>NetLastTradeToday</stp>
        <stp/>
        <stp>T</stp>
        <tr r="G23" s="16"/>
        <tr r="E23" s="16"/>
      </tp>
      <tp t="s">
        <v/>
        <stp/>
        <stp>ContractData</stp>
        <stp>NGE?17</stp>
        <stp>NetLastTradeToday</stp>
        <stp/>
        <stp>T</stp>
        <tr r="E24" s="16"/>
        <tr r="G24" s="16"/>
      </tp>
      <tp>
        <v>3.0960000000000001</v>
        <stp/>
        <stp>StudyData</stp>
        <stp>Bar(((NGEX17+NGEZ17+NGEF18+NGEG18+NGEH18)/5),1)</stp>
        <stp>Bar</stp>
        <stp/>
        <stp>Open</stp>
        <stp>D</stp>
        <stp>-44</stp>
        <stp/>
        <stp/>
        <stp/>
        <stp/>
        <stp>T</stp>
        <tr r="C46" s="14"/>
      </tp>
      <tp>
        <v>3.2496</v>
        <stp/>
        <stp>StudyData</stp>
        <stp>Bar(((NGEX17+NGEZ17+NGEF18+NGEG18+NGEH18)/5),1)</stp>
        <stp>Bar</stp>
        <stp/>
        <stp>Open</stp>
        <stp>D</stp>
        <stp>-24</stp>
        <stp/>
        <stp/>
        <stp/>
        <stp/>
        <stp>T</stp>
        <tr r="C26" s="14"/>
      </tp>
      <tp>
        <v>3.1901999999999999</v>
        <stp/>
        <stp>StudyData</stp>
        <stp>Bar(((NGEX17+NGEZ17+NGEF18+NGEG18+NGEH18)/5),1)</stp>
        <stp>Bar</stp>
        <stp/>
        <stp>Open</stp>
        <stp>D</stp>
        <stp>-34</stp>
        <stp/>
        <stp/>
        <stp/>
        <stp/>
        <stp>T</stp>
        <tr r="C36" s="14"/>
      </tp>
      <tp>
        <v>3.2934000000000001</v>
        <stp/>
        <stp>StudyData</stp>
        <stp>Bar(((NGEX17+NGEZ17+NGEF18+NGEG18+NGEH18)/5),1)</stp>
        <stp>Bar</stp>
        <stp/>
        <stp>Open</stp>
        <stp>D</stp>
        <stp>-14</stp>
        <stp/>
        <stp/>
        <stp/>
        <stp/>
        <stp>T</stp>
        <tr r="C16" s="14"/>
      </tp>
      <tp>
        <v>-1.4E-2</v>
        <stp/>
        <stp>ContractData</stp>
        <stp>NGE?14</stp>
        <stp>NetLastTradeToday</stp>
        <stp/>
        <stp>T</stp>
        <tr r="G21" s="16"/>
        <tr r="E21" s="16"/>
      </tp>
      <tp>
        <v>-7.0000000000000001E-3</v>
        <stp/>
        <stp>ContractData</stp>
        <stp>NGE?15</stp>
        <stp>NetLastTradeToday</stp>
        <stp/>
        <stp>T</stp>
        <tr r="E22" s="16"/>
        <tr r="G22" s="16"/>
      </tp>
      <tp>
        <v>-7.0000000000000001E-3</v>
        <stp/>
        <stp>ContractData</stp>
        <stp>NGE?12</stp>
        <stp>NetLastTradeToday</stp>
        <stp/>
        <stp>T</stp>
        <tr r="G19" s="16"/>
        <tr r="E19" s="16"/>
      </tp>
      <tp>
        <v>-7.0000000000000001E-3</v>
        <stp/>
        <stp>ContractData</stp>
        <stp>NGE?13</stp>
        <stp>NetLastTradeToday</stp>
        <stp/>
        <stp>T</stp>
        <tr r="E20" s="16"/>
        <tr r="G20" s="16"/>
      </tp>
      <tp>
        <v>-9.0000000000000011E-3</v>
        <stp/>
        <stp>ContractData</stp>
        <stp>NGE?10</stp>
        <stp>NetLastTradeToday</stp>
        <stp/>
        <stp>T</stp>
        <tr r="G17" s="16"/>
        <tr r="E17" s="16"/>
      </tp>
      <tp>
        <v>-9.0000000000000011E-3</v>
        <stp/>
        <stp>ContractData</stp>
        <stp>NGE?11</stp>
        <stp>NetLastTradeToday</stp>
        <stp/>
        <stp>T</stp>
        <tr r="E18" s="16"/>
        <tr r="G18" s="16"/>
      </tp>
      <tp t="s">
        <v/>
        <stp/>
        <stp>ContractData</stp>
        <stp>NGE?18</stp>
        <stp>NetLastTradeToday</stp>
        <stp/>
        <stp>T</stp>
        <tr r="E25" s="16"/>
        <tr r="G25" s="16"/>
      </tp>
      <tp>
        <v>-8.0000000000000002E-3</v>
        <stp/>
        <stp>ContractData</stp>
        <stp>NGEN18</stp>
        <stp>NetLastTradeToday</stp>
        <stp/>
        <stp>T</stp>
        <tr r="H29" s="13"/>
        <tr r="G29" s="13"/>
      </tp>
      <tp>
        <v>-8.0000000000000002E-3</v>
        <stp/>
        <stp>ContractData</stp>
        <stp>NGEM18</stp>
        <stp>NetLastTradeToday</stp>
        <stp/>
        <stp>T</stp>
        <tr r="H28" s="13"/>
        <tr r="G28" s="13"/>
      </tp>
      <tp>
        <v>-1.4E-2</v>
        <stp/>
        <stp>ContractData</stp>
        <stp>NGEJ18</stp>
        <stp>NetLastTradeToday</stp>
        <stp/>
        <stp>T</stp>
        <tr r="G26" s="13"/>
        <tr r="H26" s="13"/>
      </tp>
      <tp>
        <v>-9.0000000000000011E-3</v>
        <stp/>
        <stp>ContractData</stp>
        <stp>NGEK18</stp>
        <stp>NetLastTradeToday</stp>
        <stp/>
        <stp>T</stp>
        <tr r="H27" s="13"/>
        <tr r="G27" s="13"/>
      </tp>
      <tp>
        <v>-7.0000000000000001E-3</v>
        <stp/>
        <stp>ContractData</stp>
        <stp>NGEV18</stp>
        <stp>NetLastTradeToday</stp>
        <stp/>
        <stp>T</stp>
        <tr r="G32" s="13"/>
        <tr r="H32" s="13"/>
      </tp>
      <tp>
        <v>-9.0000000000000011E-3</v>
        <stp/>
        <stp>ContractData</stp>
        <stp>NGEU18</stp>
        <stp>NetLastTradeToday</stp>
        <stp/>
        <stp>T</stp>
        <tr r="G31" s="13"/>
        <tr r="H31" s="13"/>
      </tp>
      <tp>
        <v>-9.0000000000000011E-3</v>
        <stp/>
        <stp>ContractData</stp>
        <stp>NGEQ18</stp>
        <stp>NetLastTradeToday</stp>
        <stp/>
        <stp>T</stp>
        <tr r="H30" s="13"/>
        <tr r="G30" s="13"/>
      </tp>
      <tp t="s">
        <v/>
        <stp/>
        <stp>ContractData</stp>
        <stp>NGE?19</stp>
        <stp>NetLastTradeToday</stp>
        <stp/>
        <stp>T</stp>
        <tr r="E26" s="16"/>
        <tr r="G26" s="16"/>
      </tp>
      <tp>
        <v>-3.0000000000000001E-3</v>
        <stp/>
        <stp>StudyData</stp>
        <stp>Close(NGES1??9)when (LocalMonth(NGES1??9)=9 and LocalDay(NGES1??9)=14 and LocalYear(NGES1??9)=2017)</stp>
        <stp>Bar</stp>
        <stp/>
        <stp>Close</stp>
        <stp>D</stp>
        <stp>0</stp>
        <stp>ALL</stp>
        <stp/>
        <stp/>
        <stp>FALSE</stp>
        <stp>T</stp>
        <tr r="K24" s="6"/>
      </tp>
      <tp>
        <v>-2.1999999999999999E-2</v>
        <stp/>
        <stp>StudyData</stp>
        <stp>Close(NGES1??11)when (LocalMonth(NGES1??11)=9 and LocalDay(NGES1??11)=14 and LocalYear(NGES1??11)=2017)</stp>
        <stp>Bar</stp>
        <stp/>
        <stp>Close</stp>
        <stp>D</stp>
        <stp>0</stp>
        <stp>ALL</stp>
        <stp/>
        <stp/>
        <stp>FALSE</stp>
        <stp>T</stp>
        <tr r="K26" s="6"/>
      </tp>
      <tp>
        <v>-0.18</v>
        <stp/>
        <stp>StudyData</stp>
        <stp>Close(NGES2??12)when (LocalMonth(NGES2??12)=9 and LocalDay(NGES2??12)=14 and LocalYear(NGES2??12)=2017)</stp>
        <stp>Bar</stp>
        <stp/>
        <stp>Close</stp>
        <stp>D</stp>
        <stp>0</stp>
        <stp>ALL</stp>
        <stp/>
        <stp/>
        <stp>FALSE</stp>
        <stp>T</stp>
        <tr r="K27" s="7"/>
      </tp>
      <tp>
        <v>71670</v>
        <stp/>
        <stp>StudyData</stp>
        <stp>NGE?7</stp>
        <stp>OI</stp>
        <stp>OIType=Contract</stp>
        <stp>OI</stp>
        <stp>D</stp>
        <stp>-1</stp>
        <stp>ALL</stp>
        <stp/>
        <stp/>
        <stp>TRUE</stp>
        <stp>T</stp>
        <tr r="V14" s="16"/>
        <tr r="V14" s="16"/>
      </tp>
      <tp>
        <v>126730</v>
        <stp/>
        <stp>StudyData</stp>
        <stp>NGE?6</stp>
        <stp>OI</stp>
        <stp>OIType=Contract</stp>
        <stp>OI</stp>
        <stp>D</stp>
        <stp>-1</stp>
        <stp>ALL</stp>
        <stp/>
        <stp/>
        <stp>TRUE</stp>
        <stp>T</stp>
        <tr r="V13" s="16"/>
        <tr r="V13" s="16"/>
      </tp>
      <tp>
        <v>132088</v>
        <stp/>
        <stp>StudyData</stp>
        <stp>NGE?5</stp>
        <stp>OI</stp>
        <stp>OIType=Contract</stp>
        <stp>OI</stp>
        <stp>D</stp>
        <stp>-1</stp>
        <stp>ALL</stp>
        <stp/>
        <stp/>
        <stp>TRUE</stp>
        <stp>T</stp>
        <tr r="V12" s="16"/>
        <tr r="V12" s="16"/>
      </tp>
      <tp>
        <v>87178</v>
        <stp/>
        <stp>StudyData</stp>
        <stp>NGE?4</stp>
        <stp>OI</stp>
        <stp>OIType=Contract</stp>
        <stp>OI</stp>
        <stp>D</stp>
        <stp>-1</stp>
        <stp>ALL</stp>
        <stp/>
        <stp/>
        <stp>TRUE</stp>
        <stp>T</stp>
        <tr r="V11" s="16"/>
        <tr r="V11" s="16"/>
      </tp>
      <tp>
        <v>162543</v>
        <stp/>
        <stp>StudyData</stp>
        <stp>NGE?3</stp>
        <stp>OI</stp>
        <stp>OIType=Contract</stp>
        <stp>OI</stp>
        <stp>D</stp>
        <stp>-1</stp>
        <stp>ALL</stp>
        <stp/>
        <stp/>
        <stp>TRUE</stp>
        <stp>T</stp>
        <tr r="V10" s="16"/>
        <tr r="V10" s="16"/>
      </tp>
      <tp>
        <v>137863</v>
        <stp/>
        <stp>StudyData</stp>
        <stp>NGE?2</stp>
        <stp>OI</stp>
        <stp>OIType=Contract</stp>
        <stp>OI</stp>
        <stp>D</stp>
        <stp>-1</stp>
        <stp>ALL</stp>
        <stp/>
        <stp/>
        <stp>TRUE</stp>
        <stp>T</stp>
        <tr r="V9" s="16"/>
        <tr r="V9" s="16"/>
      </tp>
      <tp>
        <v>336575</v>
        <stp/>
        <stp>StudyData</stp>
        <stp>NGE?1</stp>
        <stp>OI</stp>
        <stp>OIType=Contract</stp>
        <stp>OI</stp>
        <stp>D</stp>
        <stp>-1</stp>
        <stp>ALL</stp>
        <stp/>
        <stp/>
        <stp>TRUE</stp>
        <stp>T</stp>
        <tr r="V8" s="16"/>
        <tr r="V8" s="16"/>
      </tp>
      <tp>
        <v>32927</v>
        <stp/>
        <stp>StudyData</stp>
        <stp>NGE?9</stp>
        <stp>OI</stp>
        <stp>OIType=Contract</stp>
        <stp>OI</stp>
        <stp>D</stp>
        <stp>-1</stp>
        <stp>ALL</stp>
        <stp/>
        <stp/>
        <stp>TRUE</stp>
        <stp>T</stp>
        <tr r="V16" s="16"/>
        <tr r="V16" s="16"/>
      </tp>
      <tp>
        <v>37730</v>
        <stp/>
        <stp>StudyData</stp>
        <stp>NGE?8</stp>
        <stp>OI</stp>
        <stp>OIType=Contract</stp>
        <stp>OI</stp>
        <stp>D</stp>
        <stp>-1</stp>
        <stp>ALL</stp>
        <stp/>
        <stp/>
        <stp>TRUE</stp>
        <stp>T</stp>
        <tr r="V15" s="16"/>
        <tr r="V15" s="16"/>
      </tp>
      <tp>
        <v>72185</v>
        <stp/>
        <stp>StudyData</stp>
        <stp>NGE?7</stp>
        <stp>OI</stp>
        <stp>OIType=Contract</stp>
        <stp>OI</stp>
        <stp>D</stp>
        <stp>-2</stp>
        <stp>ALL</stp>
        <stp/>
        <stp/>
        <stp>TRUE</stp>
        <stp>T</stp>
        <tr r="W14" s="16"/>
        <tr r="W14" s="16"/>
      </tp>
      <tp>
        <v>127545</v>
        <stp/>
        <stp>StudyData</stp>
        <stp>NGE?6</stp>
        <stp>OI</stp>
        <stp>OIType=Contract</stp>
        <stp>OI</stp>
        <stp>D</stp>
        <stp>-2</stp>
        <stp>ALL</stp>
        <stp/>
        <stp/>
        <stp>TRUE</stp>
        <stp>T</stp>
        <tr r="W13" s="16"/>
        <tr r="W13" s="16"/>
      </tp>
      <tp>
        <v>130907</v>
        <stp/>
        <stp>StudyData</stp>
        <stp>NGE?5</stp>
        <stp>OI</stp>
        <stp>OIType=Contract</stp>
        <stp>OI</stp>
        <stp>D</stp>
        <stp>-2</stp>
        <stp>ALL</stp>
        <stp/>
        <stp/>
        <stp>TRUE</stp>
        <stp>T</stp>
        <tr r="W12" s="16"/>
        <tr r="W12" s="16"/>
      </tp>
      <tp>
        <v>86753</v>
        <stp/>
        <stp>StudyData</stp>
        <stp>NGE?4</stp>
        <stp>OI</stp>
        <stp>OIType=Contract</stp>
        <stp>OI</stp>
        <stp>D</stp>
        <stp>-2</stp>
        <stp>ALL</stp>
        <stp/>
        <stp/>
        <stp>TRUE</stp>
        <stp>T</stp>
        <tr r="W11" s="16"/>
        <tr r="W11" s="16"/>
      </tp>
      <tp>
        <v>157699</v>
        <stp/>
        <stp>StudyData</stp>
        <stp>NGE?3</stp>
        <stp>OI</stp>
        <stp>OIType=Contract</stp>
        <stp>OI</stp>
        <stp>D</stp>
        <stp>-2</stp>
        <stp>ALL</stp>
        <stp/>
        <stp/>
        <stp>TRUE</stp>
        <stp>T</stp>
        <tr r="W10" s="16"/>
        <tr r="W10" s="16"/>
      </tp>
      <tp>
        <v>134473</v>
        <stp/>
        <stp>StudyData</stp>
        <stp>NGE?2</stp>
        <stp>OI</stp>
        <stp>OIType=Contract</stp>
        <stp>OI</stp>
        <stp>D</stp>
        <stp>-2</stp>
        <stp>ALL</stp>
        <stp/>
        <stp/>
        <stp>TRUE</stp>
        <stp>T</stp>
        <tr r="W9" s="16"/>
        <tr r="W9" s="16"/>
      </tp>
      <tp>
        <v>340400</v>
        <stp/>
        <stp>StudyData</stp>
        <stp>NGE?1</stp>
        <stp>OI</stp>
        <stp>OIType=Contract</stp>
        <stp>OI</stp>
        <stp>D</stp>
        <stp>-2</stp>
        <stp>ALL</stp>
        <stp/>
        <stp/>
        <stp>TRUE</stp>
        <stp>T</stp>
        <tr r="W8" s="16"/>
        <tr r="W8" s="16"/>
      </tp>
      <tp>
        <v>33253</v>
        <stp/>
        <stp>StudyData</stp>
        <stp>NGE?9</stp>
        <stp>OI</stp>
        <stp>OIType=Contract</stp>
        <stp>OI</stp>
        <stp>D</stp>
        <stp>-2</stp>
        <stp>ALL</stp>
        <stp/>
        <stp/>
        <stp>TRUE</stp>
        <stp>T</stp>
        <tr r="W16" s="16"/>
        <tr r="W16" s="16"/>
      </tp>
      <tp>
        <v>38084</v>
        <stp/>
        <stp>StudyData</stp>
        <stp>NGE?8</stp>
        <stp>OI</stp>
        <stp>OIType=Contract</stp>
        <stp>OI</stp>
        <stp>D</stp>
        <stp>-2</stp>
        <stp>ALL</stp>
        <stp/>
        <stp/>
        <stp>TRUE</stp>
        <stp>T</stp>
        <tr r="W15" s="16"/>
        <tr r="W15" s="16"/>
      </tp>
      <tp>
        <v>2.923</v>
        <stp/>
        <stp>ContractData</stp>
        <stp>NGEX7</stp>
        <stp>Settlement</stp>
        <stp/>
        <stp>T</stp>
        <tr r="AJ2" s="6"/>
        <tr r="AJ2" s="9"/>
        <tr r="AJ2" s="8"/>
        <tr r="AJ2" s="10"/>
        <tr r="AJ2" s="7"/>
        <tr r="AJ2" s="11"/>
      </tp>
      <tp>
        <v>3.1030000000000002</v>
        <stp/>
        <stp>ContractData</stp>
        <stp>NGEZ7</stp>
        <stp>Settlement</stp>
        <stp/>
        <stp>T</stp>
        <tr r="AJ3" s="6"/>
        <tr r="AJ3" s="7"/>
        <tr r="AJ3" s="10"/>
        <tr r="AJ3" s="8"/>
        <tr r="AJ3" s="9"/>
        <tr r="AJ3" s="11"/>
      </tp>
      <tp>
        <v>2.7478571399999998</v>
        <stp/>
        <stp>StudyData</stp>
        <stp>Bar(((NGEJ19+NGEK19+NGEM19+NGEN19+NGEQ19+NGEU19+NGEV19)/7),1)</stp>
        <stp>Bar</stp>
        <stp/>
        <stp>LOw</stp>
        <stp>D</stp>
        <stp>-19</stp>
        <stp/>
        <stp/>
        <stp/>
        <stp/>
        <stp>T</stp>
        <tr r="AM21" s="14"/>
      </tp>
      <tp>
        <v>2.6970000000000001</v>
        <stp/>
        <stp>StudyData</stp>
        <stp>Bar(((NGEJ19+NGEK19+NGEM19+NGEN19+NGEQ19+NGEU19+NGEV19)/7),1)</stp>
        <stp>Bar</stp>
        <stp/>
        <stp>LOw</stp>
        <stp>D</stp>
        <stp>-29</stp>
        <stp/>
        <stp/>
        <stp/>
        <stp/>
        <stp>T</stp>
        <tr r="AM31" s="14"/>
      </tp>
      <tp>
        <v>2.7234285699999998</v>
        <stp/>
        <stp>StudyData</stp>
        <stp>Bar(((NGEJ19+NGEK19+NGEM19+NGEN19+NGEQ19+NGEU19+NGEV19)/7),1)</stp>
        <stp>Bar</stp>
        <stp/>
        <stp>LOw</stp>
        <stp>D</stp>
        <stp>-39</stp>
        <stp/>
        <stp/>
        <stp/>
        <stp/>
        <stp>T</stp>
        <tr r="AM41" s="14"/>
      </tp>
      <tp>
        <v>2.9159999999999999</v>
        <stp/>
        <stp>StudyData</stp>
        <stp>Bar(((NGEJ18+NGEK18+NGEM18+NGEN18+NGEQ18+NGEU18+NGEV18)/7),1)</stp>
        <stp>Bar</stp>
        <stp/>
        <stp>LOw</stp>
        <stp>D</stp>
        <stp>-19</stp>
        <stp/>
        <stp/>
        <stp/>
        <stp/>
        <stp>T</stp>
        <tr r="R21" s="14"/>
      </tp>
      <tp>
        <v>2.8755714299999999</v>
        <stp/>
        <stp>StudyData</stp>
        <stp>Bar(((NGEJ18+NGEK18+NGEM18+NGEN18+NGEQ18+NGEU18+NGEV18)/7),1)</stp>
        <stp>Bar</stp>
        <stp/>
        <stp>LOw</stp>
        <stp>D</stp>
        <stp>-29</stp>
        <stp/>
        <stp/>
        <stp/>
        <stp/>
        <stp>T</stp>
        <tr r="R31" s="14"/>
      </tp>
      <tp>
        <v>2.8924285699999999</v>
        <stp/>
        <stp>StudyData</stp>
        <stp>Bar(((NGEJ18+NGEK18+NGEM18+NGEN18+NGEQ18+NGEU18+NGEV18)/7),1)</stp>
        <stp>Bar</stp>
        <stp/>
        <stp>LOw</stp>
        <stp>D</stp>
        <stp>-39</stp>
        <stp/>
        <stp/>
        <stp/>
        <stp/>
        <stp>T</stp>
        <tr r="R41" s="14"/>
      </tp>
      <tp t="s">
        <v/>
        <stp/>
        <stp>ContractData</stp>
        <stp>NGE?66</stp>
        <stp>NetLastTradeToday</stp>
        <stp/>
        <stp>T</stp>
        <tr r="E73" s="16"/>
        <tr r="G73" s="16"/>
      </tp>
      <tp t="s">
        <v/>
        <stp/>
        <stp>ContractData</stp>
        <stp>NGE?67</stp>
        <stp>NetLastTradeToday</stp>
        <stp/>
        <stp>T</stp>
        <tr r="E74" s="16"/>
        <tr r="G74" s="16"/>
      </tp>
      <tp>
        <v>3.0771999999999999</v>
        <stp/>
        <stp>StudyData</stp>
        <stp>Bar(((NGEX17+NGEZ17+NGEF18+NGEG18+NGEH18)/5),1)</stp>
        <stp>Bar</stp>
        <stp/>
        <stp>Open</stp>
        <stp>D</stp>
        <stp>-43</stp>
        <stp/>
        <stp/>
        <stp/>
        <stp/>
        <stp>T</stp>
        <tr r="C45" s="14"/>
      </tp>
      <tp>
        <v>3.2570000000000001</v>
        <stp/>
        <stp>StudyData</stp>
        <stp>Bar(((NGEX17+NGEZ17+NGEF18+NGEG18+NGEH18)/5),1)</stp>
        <stp>Bar</stp>
        <stp/>
        <stp>Open</stp>
        <stp>D</stp>
        <stp>-23</stp>
        <stp/>
        <stp/>
        <stp/>
        <stp/>
        <stp>T</stp>
        <tr r="C25" s="14"/>
      </tp>
      <tp>
        <v>3.1854</v>
        <stp/>
        <stp>StudyData</stp>
        <stp>Bar(((NGEX17+NGEZ17+NGEF18+NGEG18+NGEH18)/5),1)</stp>
        <stp>Bar</stp>
        <stp/>
        <stp>Open</stp>
        <stp>D</stp>
        <stp>-33</stp>
        <stp/>
        <stp/>
        <stp/>
        <stp/>
        <stp>T</stp>
        <tr r="C35" s="14"/>
      </tp>
      <tp>
        <v>3.3540000000000001</v>
        <stp/>
        <stp>StudyData</stp>
        <stp>Bar(((NGEX17+NGEZ17+NGEF18+NGEG18+NGEH18)/5),1)</stp>
        <stp>Bar</stp>
        <stp/>
        <stp>Open</stp>
        <stp>D</stp>
        <stp>-13</stp>
        <stp/>
        <stp/>
        <stp/>
        <stp/>
        <stp>T</stp>
        <tr r="C15" s="14"/>
      </tp>
      <tp t="s">
        <v/>
        <stp/>
        <stp>ContractData</stp>
        <stp>NGE?64</stp>
        <stp>NetLastTradeToday</stp>
        <stp/>
        <stp>T</stp>
        <tr r="E71" s="16"/>
        <tr r="G71" s="16"/>
      </tp>
      <tp t="s">
        <v/>
        <stp/>
        <stp>ContractData</stp>
        <stp>NGE?65</stp>
        <stp>NetLastTradeToday</stp>
        <stp/>
        <stp>T</stp>
        <tr r="G72" s="16"/>
        <tr r="E72" s="16"/>
      </tp>
      <tp t="s">
        <v/>
        <stp/>
        <stp>ContractData</stp>
        <stp>NGE?62</stp>
        <stp>NetLastTradeToday</stp>
        <stp/>
        <stp>T</stp>
        <tr r="E69" s="16"/>
        <tr r="G69" s="16"/>
      </tp>
      <tp t="s">
        <v/>
        <stp/>
        <stp>ContractData</stp>
        <stp>NGE?63</stp>
        <stp>NetLastTradeToday</stp>
        <stp/>
        <stp>T</stp>
        <tr r="G70" s="16"/>
        <tr r="E70" s="16"/>
      </tp>
      <tp t="s">
        <v/>
        <stp/>
        <stp>ContractData</stp>
        <stp>NGE?60</stp>
        <stp>NetLastTradeToday</stp>
        <stp/>
        <stp>T</stp>
        <tr r="E67" s="16"/>
        <tr r="G67" s="16"/>
      </tp>
      <tp t="s">
        <v/>
        <stp/>
        <stp>ContractData</stp>
        <stp>NGE?61</stp>
        <stp>NetLastTradeToday</stp>
        <stp/>
        <stp>T</stp>
        <tr r="E68" s="16"/>
        <tr r="G68" s="16"/>
      </tp>
      <tp>
        <v>3.4329999999999998</v>
        <stp/>
        <stp>StudyData</stp>
        <stp>Close(NGEG18)when (LocalMonth(NGEG18)=9 and LocalDay(NGEG18)=18 and LocalYear(NGEG18)=2017)</stp>
        <stp>Bar</stp>
        <stp/>
        <stp>Close</stp>
        <stp>D</stp>
        <stp>0</stp>
        <stp>ALL</stp>
        <stp/>
        <stp/>
        <stp>FALSE</stp>
        <stp>T</stp>
        <tr r="E6" s="15"/>
      </tp>
      <tp>
        <v>3.2440000000000002</v>
        <stp/>
        <stp>StudyData</stp>
        <stp>Close(NGEG19)when (LocalMonth(NGEG19)=9 and LocalDay(NGEG19)=18 and LocalYear(NGEG19)=2017)</stp>
        <stp>Bar</stp>
        <stp/>
        <stp>Close</stp>
        <stp>D</stp>
        <stp>0</stp>
        <stp>ALL</stp>
        <stp/>
        <stp/>
        <stp>FALSE</stp>
        <stp>T</stp>
        <tr r="E31" s="15"/>
      </tp>
      <tp t="s">
        <v/>
        <stp/>
        <stp>ContractData</stp>
        <stp>NGE?68</stp>
        <stp>NetLastTradeToday</stp>
        <stp/>
        <stp>T</stp>
        <tr r="E75" s="16"/>
        <tr r="G75" s="16"/>
      </tp>
      <tp t="s">
        <v/>
        <stp/>
        <stp>ContractData</stp>
        <stp>NGE?69</stp>
        <stp>NetLastTradeToday</stp>
        <stp/>
        <stp>T</stp>
        <tr r="G76" s="16"/>
        <tr r="E76" s="16"/>
      </tp>
      <tp>
        <v>-0.26700000000000002</v>
        <stp/>
        <stp>StudyData</stp>
        <stp>Close(NGES6??9)when (LocalMonth(NGES6??9)=9 and LocalDay(NGES6??9)=14 and LocalYear(NGES6??9)=2017)</stp>
        <stp>Bar</stp>
        <stp/>
        <stp>Close</stp>
        <stp>D</stp>
        <stp>0</stp>
        <stp>ALL</stp>
        <stp/>
        <stp/>
        <stp>FALSE</stp>
        <stp>T</stp>
        <tr r="K24" s="11"/>
      </tp>
      <tp>
        <v>-0.17599999999999999</v>
        <stp/>
        <stp>StudyData</stp>
        <stp>Close(NGES5??12)when (LocalMonth(NGES5??12)=9 and LocalDay(NGES5??12)=14 and LocalYear(NGES5??12)=2017)</stp>
        <stp>Bar</stp>
        <stp/>
        <stp>Close</stp>
        <stp>D</stp>
        <stp>0</stp>
        <stp>ALL</stp>
        <stp/>
        <stp/>
        <stp>FALSE</stp>
        <stp>T</stp>
        <tr r="K27" s="10"/>
      </tp>
      <tp>
        <v>-0.19800000000000001</v>
        <stp/>
        <stp>StudyData</stp>
        <stp>Close(NGES6??11)when (LocalMonth(NGES6??11)=9 and LocalDay(NGES6??11)=14 and LocalYear(NGES6??11)=2017)</stp>
        <stp>Bar</stp>
        <stp/>
        <stp>Close</stp>
        <stp>D</stp>
        <stp>0</stp>
        <stp>ALL</stp>
        <stp/>
        <stp/>
        <stp>FALSE</stp>
        <stp>T</stp>
        <tr r="K26" s="11"/>
      </tp>
      <tp>
        <v>2.9021428600000001</v>
        <stp/>
        <stp>StudyData</stp>
        <stp>Bar(((NGEJ18+NGEK18+NGEM18+NGEN18+NGEQ18+NGEU18+NGEV18)/7),1)</stp>
        <stp>Bar</stp>
        <stp/>
        <stp>Close</stp>
        <stp>D</stp>
        <stp>-39</stp>
        <stp/>
        <stp/>
        <stp/>
        <stp/>
        <stp>T</stp>
        <tr r="S41" s="14"/>
      </tp>
      <tp>
        <v>2.6989999999999998</v>
        <stp/>
        <stp>StudyData</stp>
        <stp>Bar(((NGEJ19+NGEK19+NGEM19+NGEN19+NGEQ19+NGEU19+NGEV19)/7),1)</stp>
        <stp>Bar</stp>
        <stp/>
        <stp>Close</stp>
        <stp>D</stp>
        <stp>-29</stp>
        <stp/>
        <stp/>
        <stp/>
        <stp/>
        <stp>T</stp>
        <tr r="AN31" s="14"/>
      </tp>
      <tp>
        <v>2.8888571399999998</v>
        <stp/>
        <stp>StudyData</stp>
        <stp>Bar(((NGEJ18+NGEK18+NGEM18+NGEN18+NGEQ18+NGEU18+NGEV18)/7),1)</stp>
        <stp>Bar</stp>
        <stp/>
        <stp>Close</stp>
        <stp>D</stp>
        <stp>-29</stp>
        <stp/>
        <stp/>
        <stp/>
        <stp/>
        <stp>T</stp>
        <tr r="S31" s="14"/>
      </tp>
      <tp>
        <v>2.7237142900000002</v>
        <stp/>
        <stp>StudyData</stp>
        <stp>Bar(((NGEJ19+NGEK19+NGEM19+NGEN19+NGEQ19+NGEU19+NGEV19)/7),1)</stp>
        <stp>Bar</stp>
        <stp/>
        <stp>Close</stp>
        <stp>D</stp>
        <stp>-39</stp>
        <stp/>
        <stp/>
        <stp/>
        <stp/>
        <stp>T</stp>
        <tr r="AN41" s="14"/>
      </tp>
      <tp>
        <v>2.9378571400000002</v>
        <stp/>
        <stp>StudyData</stp>
        <stp>Bar(((NGEJ18+NGEK18+NGEM18+NGEN18+NGEQ18+NGEU18+NGEV18)/7),1)</stp>
        <stp>Bar</stp>
        <stp/>
        <stp>Close</stp>
        <stp>D</stp>
        <stp>-19</stp>
        <stp/>
        <stp/>
        <stp/>
        <stp/>
        <stp>T</stp>
        <tr r="S21" s="14"/>
      </tp>
      <tp>
        <v>2.7634285699999999</v>
        <stp/>
        <stp>StudyData</stp>
        <stp>Bar(((NGEJ19+NGEK19+NGEM19+NGEN19+NGEQ19+NGEU19+NGEV19)/7),1)</stp>
        <stp>Bar</stp>
        <stp/>
        <stp>Close</stp>
        <stp>D</stp>
        <stp>-19</stp>
        <stp/>
        <stp/>
        <stp/>
        <stp/>
        <stp>T</stp>
        <tr r="AN21" s="14"/>
      </tp>
      <tp>
        <v>2.7634285699999999</v>
        <stp/>
        <stp>StudyData</stp>
        <stp>Bar(((NGEJ19+NGEK19+NGEM19+NGEN19+NGEQ19+NGEU19+NGEV19)/7),1)</stp>
        <stp>Bar</stp>
        <stp/>
        <stp>LOw</stp>
        <stp>D</stp>
        <stp>-18</stp>
        <stp/>
        <stp/>
        <stp/>
        <stp/>
        <stp>T</stp>
        <tr r="AM20" s="14"/>
      </tp>
      <tp>
        <v>2.6988571399999999</v>
        <stp/>
        <stp>StudyData</stp>
        <stp>Bar(((NGEJ19+NGEK19+NGEM19+NGEN19+NGEQ19+NGEU19+NGEV19)/7),1)</stp>
        <stp>Bar</stp>
        <stp/>
        <stp>LOw</stp>
        <stp>D</stp>
        <stp>-28</stp>
        <stp/>
        <stp/>
        <stp/>
        <stp/>
        <stp>T</stp>
        <tr r="AM30" s="14"/>
      </tp>
      <tp>
        <v>2.7237142900000002</v>
        <stp/>
        <stp>StudyData</stp>
        <stp>Bar(((NGEJ19+NGEK19+NGEM19+NGEN19+NGEQ19+NGEU19+NGEV19)/7),1)</stp>
        <stp>Bar</stp>
        <stp/>
        <stp>LOw</stp>
        <stp>D</stp>
        <stp>-38</stp>
        <stp/>
        <stp/>
        <stp/>
        <stp/>
        <stp>T</stp>
        <tr r="AM40" s="14"/>
      </tp>
      <tp>
        <v>2.9345714300000001</v>
        <stp/>
        <stp>StudyData</stp>
        <stp>Bar(((NGEJ18+NGEK18+NGEM18+NGEN18+NGEQ18+NGEU18+NGEV18)/7),1)</stp>
        <stp>Bar</stp>
        <stp/>
        <stp>LOw</stp>
        <stp>D</stp>
        <stp>-18</stp>
        <stp/>
        <stp/>
        <stp/>
        <stp/>
        <stp>T</stp>
        <tr r="R20" s="14"/>
      </tp>
      <tp>
        <v>2.8759999999999999</v>
        <stp/>
        <stp>StudyData</stp>
        <stp>Bar(((NGEJ18+NGEK18+NGEM18+NGEN18+NGEQ18+NGEU18+NGEV18)/7),1)</stp>
        <stp>Bar</stp>
        <stp/>
        <stp>LOw</stp>
        <stp>D</stp>
        <stp>-28</stp>
        <stp/>
        <stp/>
        <stp/>
        <stp/>
        <stp>T</stp>
        <tr r="R30" s="14"/>
      </tp>
      <tp>
        <v>2.8902857100000001</v>
        <stp/>
        <stp>StudyData</stp>
        <stp>Bar(((NGEJ18+NGEK18+NGEM18+NGEN18+NGEQ18+NGEU18+NGEV18)/7),1)</stp>
        <stp>Bar</stp>
        <stp/>
        <stp>LOw</stp>
        <stp>D</stp>
        <stp>-38</stp>
        <stp/>
        <stp/>
        <stp/>
        <stp/>
        <stp>T</stp>
        <tr r="R40" s="14"/>
      </tp>
      <tp t="s">
        <v/>
        <stp/>
        <stp>ContractData</stp>
        <stp>NGE?76</stp>
        <stp>NetLastTradeToday</stp>
        <stp/>
        <stp>T</stp>
        <tr r="E83" s="16"/>
        <tr r="G83" s="16"/>
      </tp>
      <tp t="s">
        <v/>
        <stp/>
        <stp>ContractData</stp>
        <stp>NGE?77</stp>
        <stp>NetLastTradeToday</stp>
        <stp/>
        <stp>T</stp>
        <tr r="G84" s="16"/>
        <tr r="E84" s="16"/>
      </tp>
      <tp>
        <v>3.0948000000000002</v>
        <stp/>
        <stp>StudyData</stp>
        <stp>Bar(((NGEX17+NGEZ17+NGEF18+NGEG18+NGEH18)/5),1)</stp>
        <stp>Bar</stp>
        <stp/>
        <stp>Open</stp>
        <stp>D</stp>
        <stp>-42</stp>
        <stp/>
        <stp/>
        <stp/>
        <stp/>
        <stp>T</stp>
        <tr r="C44" s="14"/>
      </tp>
      <tp>
        <v>3.2092000000000001</v>
        <stp/>
        <stp>StudyData</stp>
        <stp>Bar(((NGEX17+NGEZ17+NGEF18+NGEG18+NGEH18)/5),1)</stp>
        <stp>Bar</stp>
        <stp/>
        <stp>Open</stp>
        <stp>D</stp>
        <stp>-22</stp>
        <stp/>
        <stp/>
        <stp/>
        <stp/>
        <stp>T</stp>
        <tr r="C24" s="14"/>
      </tp>
      <tp>
        <v>3.2170000000000001</v>
        <stp/>
        <stp>StudyData</stp>
        <stp>Bar(((NGEX17+NGEZ17+NGEF18+NGEG18+NGEH18)/5),1)</stp>
        <stp>Bar</stp>
        <stp/>
        <stp>Open</stp>
        <stp>D</stp>
        <stp>-32</stp>
        <stp/>
        <stp/>
        <stp/>
        <stp/>
        <stp>T</stp>
        <tr r="C34" s="14"/>
      </tp>
      <tp>
        <v>3.3353999999999999</v>
        <stp/>
        <stp>StudyData</stp>
        <stp>Bar(((NGEX17+NGEZ17+NGEF18+NGEG18+NGEH18)/5),1)</stp>
        <stp>Bar</stp>
        <stp/>
        <stp>Open</stp>
        <stp>D</stp>
        <stp>-12</stp>
        <stp/>
        <stp/>
        <stp/>
        <stp/>
        <stp>T</stp>
        <tr r="C14" s="14"/>
      </tp>
      <tp t="s">
        <v/>
        <stp/>
        <stp>ContractData</stp>
        <stp>NGE?74</stp>
        <stp>NetLastTradeToday</stp>
        <stp/>
        <stp>T</stp>
        <tr r="E81" s="16"/>
        <tr r="G81" s="16"/>
      </tp>
      <tp t="s">
        <v/>
        <stp/>
        <stp>ContractData</stp>
        <stp>NGE?75</stp>
        <stp>NetLastTradeToday</stp>
        <stp/>
        <stp>T</stp>
        <tr r="G82" s="16"/>
        <tr r="E82" s="16"/>
      </tp>
      <tp t="s">
        <v/>
        <stp/>
        <stp>ContractData</stp>
        <stp>NGE?72</stp>
        <stp>NetLastTradeToday</stp>
        <stp/>
        <stp>T</stp>
        <tr r="G79" s="16"/>
        <tr r="E79" s="16"/>
      </tp>
      <tp t="s">
        <v/>
        <stp/>
        <stp>ContractData</stp>
        <stp>NGE?73</stp>
        <stp>NetLastTradeToday</stp>
        <stp/>
        <stp>T</stp>
        <tr r="E80" s="16"/>
        <tr r="G80" s="16"/>
      </tp>
      <tp t="s">
        <v/>
        <stp/>
        <stp>ContractData</stp>
        <stp>NGE?70</stp>
        <stp>NetLastTradeToday</stp>
        <stp/>
        <stp>T</stp>
        <tr r="E77" s="16"/>
        <tr r="G77" s="16"/>
      </tp>
      <tp t="s">
        <v/>
        <stp/>
        <stp>ContractData</stp>
        <stp>NGE?71</stp>
        <stp>NetLastTradeToday</stp>
        <stp/>
        <stp>T</stp>
        <tr r="G78" s="16"/>
        <tr r="E78" s="16"/>
      </tp>
      <tp>
        <v>3.4359999999999999</v>
        <stp/>
        <stp>StudyData</stp>
        <stp>Close(NGEF18)when (LocalMonth(NGEF18)=9 and LocalDay(NGEF18)=18 and LocalYear(NGEF18)=2017)</stp>
        <stp>Bar</stp>
        <stp/>
        <stp>Close</stp>
        <stp>D</stp>
        <stp>0</stp>
        <stp>ALL</stp>
        <stp/>
        <stp/>
        <stp>FALSE</stp>
        <stp>T</stp>
        <tr r="E5" s="15"/>
      </tp>
      <tp>
        <v>3.2639999999999998</v>
        <stp/>
        <stp>StudyData</stp>
        <stp>Close(NGEF19)when (LocalMonth(NGEF19)=9 and LocalDay(NGEF19)=18 and LocalYear(NGEF19)=2017)</stp>
        <stp>Bar</stp>
        <stp/>
        <stp>Close</stp>
        <stp>D</stp>
        <stp>0</stp>
        <stp>ALL</stp>
        <stp/>
        <stp/>
        <stp>FALSE</stp>
        <stp>T</stp>
        <tr r="E30" s="15"/>
      </tp>
      <tp t="s">
        <v/>
        <stp/>
        <stp>ContractData</stp>
        <stp>NGE?78</stp>
        <stp>NetLastTradeToday</stp>
        <stp/>
        <stp>T</stp>
        <tr r="E85" s="16"/>
        <tr r="G85" s="16"/>
      </tp>
      <tp t="s">
        <v/>
        <stp/>
        <stp>ContractData</stp>
        <stp>NGE?79</stp>
        <stp>NetLastTradeToday</stp>
        <stp/>
        <stp>T</stp>
        <tr r="G86" s="16"/>
        <tr r="E86" s="16"/>
      </tp>
      <tp>
        <v>-0.20599999999999999</v>
        <stp/>
        <stp>StudyData</stp>
        <stp>Close(NGES6??8)when (LocalMonth(NGES6??8)=9 and LocalDay(NGES6??8)=14 and LocalYear(NGES6??8)=2017)</stp>
        <stp>Bar</stp>
        <stp/>
        <stp>Close</stp>
        <stp>D</stp>
        <stp>0</stp>
        <stp>ALL</stp>
        <stp/>
        <stp/>
        <stp>FALSE</stp>
        <stp>T</stp>
        <tr r="K23" s="11"/>
      </tp>
      <tp t="s">
        <v/>
        <stp/>
        <stp>StudyData</stp>
        <stp>NGE?99</stp>
        <stp>OI</stp>
        <stp>OIType=Contract</stp>
        <stp>OI</stp>
        <stp>D</stp>
        <stp>-2</stp>
        <stp>ALL</stp>
        <stp/>
        <stp/>
        <stp>TRUE</stp>
        <stp>T</stp>
        <tr r="W106" s="16"/>
        <tr r="W106" s="16"/>
      </tp>
      <tp t="s">
        <v/>
        <stp/>
        <stp>StudyData</stp>
        <stp>NGE?98</stp>
        <stp>OI</stp>
        <stp>OIType=Contract</stp>
        <stp>OI</stp>
        <stp>D</stp>
        <stp>-2</stp>
        <stp>ALL</stp>
        <stp/>
        <stp/>
        <stp>TRUE</stp>
        <stp>T</stp>
        <tr r="W105" s="16"/>
        <tr r="W105" s="16"/>
      </tp>
      <tp t="s">
        <v/>
        <stp/>
        <stp>StudyData</stp>
        <stp>NGE?93</stp>
        <stp>OI</stp>
        <stp>OIType=Contract</stp>
        <stp>OI</stp>
        <stp>D</stp>
        <stp>-2</stp>
        <stp>ALL</stp>
        <stp/>
        <stp/>
        <stp>TRUE</stp>
        <stp>T</stp>
        <tr r="W100" s="16"/>
        <tr r="W100" s="16"/>
      </tp>
      <tp t="s">
        <v/>
        <stp/>
        <stp>StudyData</stp>
        <stp>NGE?92</stp>
        <stp>OI</stp>
        <stp>OIType=Contract</stp>
        <stp>OI</stp>
        <stp>D</stp>
        <stp>-2</stp>
        <stp>ALL</stp>
        <stp/>
        <stp/>
        <stp>TRUE</stp>
        <stp>T</stp>
        <tr r="W99" s="16"/>
        <tr r="W99" s="16"/>
      </tp>
      <tp>
        <v>1</v>
        <stp/>
        <stp>StudyData</stp>
        <stp>NGE?91</stp>
        <stp>OI</stp>
        <stp>OIType=Contract</stp>
        <stp>OI</stp>
        <stp>D</stp>
        <stp>-2</stp>
        <stp>ALL</stp>
        <stp/>
        <stp/>
        <stp>TRUE</stp>
        <stp>T</stp>
        <tr r="W98" s="16"/>
        <tr r="W98" s="16"/>
      </tp>
      <tp t="s">
        <v/>
        <stp/>
        <stp>StudyData</stp>
        <stp>NGE?90</stp>
        <stp>OI</stp>
        <stp>OIType=Contract</stp>
        <stp>OI</stp>
        <stp>D</stp>
        <stp>-2</stp>
        <stp>ALL</stp>
        <stp/>
        <stp/>
        <stp>TRUE</stp>
        <stp>T</stp>
        <tr r="W97" s="16"/>
        <tr r="W97" s="16"/>
      </tp>
      <tp t="s">
        <v/>
        <stp/>
        <stp>StudyData</stp>
        <stp>NGE?97</stp>
        <stp>OI</stp>
        <stp>OIType=Contract</stp>
        <stp>OI</stp>
        <stp>D</stp>
        <stp>-2</stp>
        <stp>ALL</stp>
        <stp/>
        <stp/>
        <stp>TRUE</stp>
        <stp>T</stp>
        <tr r="W104" s="16"/>
        <tr r="W104" s="16"/>
      </tp>
      <tp t="s">
        <v/>
        <stp/>
        <stp>StudyData</stp>
        <stp>NGE?96</stp>
        <stp>OI</stp>
        <stp>OIType=Contract</stp>
        <stp>OI</stp>
        <stp>D</stp>
        <stp>-2</stp>
        <stp>ALL</stp>
        <stp/>
        <stp/>
        <stp>TRUE</stp>
        <stp>T</stp>
        <tr r="W103" s="16"/>
        <tr r="W103" s="16"/>
      </tp>
      <tp t="s">
        <v/>
        <stp/>
        <stp>StudyData</stp>
        <stp>NGE?95</stp>
        <stp>OI</stp>
        <stp>OIType=Contract</stp>
        <stp>OI</stp>
        <stp>D</stp>
        <stp>-2</stp>
        <stp>ALL</stp>
        <stp/>
        <stp/>
        <stp>TRUE</stp>
        <stp>T</stp>
        <tr r="W102" s="16"/>
        <tr r="W102" s="16"/>
      </tp>
      <tp t="s">
        <v/>
        <stp/>
        <stp>StudyData</stp>
        <stp>NGE?94</stp>
        <stp>OI</stp>
        <stp>OIType=Contract</stp>
        <stp>OI</stp>
        <stp>D</stp>
        <stp>-2</stp>
        <stp>ALL</stp>
        <stp/>
        <stp/>
        <stp>TRUE</stp>
        <stp>T</stp>
        <tr r="W101" s="16"/>
        <tr r="W101" s="16"/>
      </tp>
      <tp t="s">
        <v/>
        <stp/>
        <stp>StudyData</stp>
        <stp>NGE?89</stp>
        <stp>OI</stp>
        <stp>OIType=Contract</stp>
        <stp>OI</stp>
        <stp>D</stp>
        <stp>-2</stp>
        <stp>ALL</stp>
        <stp/>
        <stp/>
        <stp>TRUE</stp>
        <stp>T</stp>
        <tr r="W96" s="16"/>
        <tr r="W96" s="16"/>
      </tp>
      <tp t="s">
        <v/>
        <stp/>
        <stp>StudyData</stp>
        <stp>NGE?88</stp>
        <stp>OI</stp>
        <stp>OIType=Contract</stp>
        <stp>OI</stp>
        <stp>D</stp>
        <stp>-2</stp>
        <stp>ALL</stp>
        <stp/>
        <stp/>
        <stp>TRUE</stp>
        <stp>T</stp>
        <tr r="W95" s="16"/>
        <tr r="W95" s="16"/>
      </tp>
      <tp t="s">
        <v/>
        <stp/>
        <stp>StudyData</stp>
        <stp>NGE?83</stp>
        <stp>OI</stp>
        <stp>OIType=Contract</stp>
        <stp>OI</stp>
        <stp>D</stp>
        <stp>-2</stp>
        <stp>ALL</stp>
        <stp/>
        <stp/>
        <stp>TRUE</stp>
        <stp>T</stp>
        <tr r="W90" s="16"/>
        <tr r="W90" s="16"/>
      </tp>
      <tp t="s">
        <v/>
        <stp/>
        <stp>StudyData</stp>
        <stp>NGE?82</stp>
        <stp>OI</stp>
        <stp>OIType=Contract</stp>
        <stp>OI</stp>
        <stp>D</stp>
        <stp>-2</stp>
        <stp>ALL</stp>
        <stp/>
        <stp/>
        <stp>TRUE</stp>
        <stp>T</stp>
        <tr r="W89" s="16"/>
        <tr r="W89" s="16"/>
      </tp>
      <tp t="s">
        <v/>
        <stp/>
        <stp>StudyData</stp>
        <stp>NGE?81</stp>
        <stp>OI</stp>
        <stp>OIType=Contract</stp>
        <stp>OI</stp>
        <stp>D</stp>
        <stp>-2</stp>
        <stp>ALL</stp>
        <stp/>
        <stp/>
        <stp>TRUE</stp>
        <stp>T</stp>
        <tr r="W88" s="16"/>
        <tr r="W88" s="16"/>
      </tp>
      <tp t="s">
        <v/>
        <stp/>
        <stp>StudyData</stp>
        <stp>NGE?80</stp>
        <stp>OI</stp>
        <stp>OIType=Contract</stp>
        <stp>OI</stp>
        <stp>D</stp>
        <stp>-2</stp>
        <stp>ALL</stp>
        <stp/>
        <stp/>
        <stp>TRUE</stp>
        <stp>T</stp>
        <tr r="W87" s="16"/>
        <tr r="W87" s="16"/>
      </tp>
      <tp t="s">
        <v/>
        <stp/>
        <stp>StudyData</stp>
        <stp>NGE?87</stp>
        <stp>OI</stp>
        <stp>OIType=Contract</stp>
        <stp>OI</stp>
        <stp>D</stp>
        <stp>-2</stp>
        <stp>ALL</stp>
        <stp/>
        <stp/>
        <stp>TRUE</stp>
        <stp>T</stp>
        <tr r="W94" s="16"/>
        <tr r="W94" s="16"/>
      </tp>
      <tp t="s">
        <v/>
        <stp/>
        <stp>StudyData</stp>
        <stp>NGE?86</stp>
        <stp>OI</stp>
        <stp>OIType=Contract</stp>
        <stp>OI</stp>
        <stp>D</stp>
        <stp>-2</stp>
        <stp>ALL</stp>
        <stp/>
        <stp/>
        <stp>TRUE</stp>
        <stp>T</stp>
        <tr r="W93" s="16"/>
        <tr r="W93" s="16"/>
      </tp>
      <tp t="s">
        <v/>
        <stp/>
        <stp>StudyData</stp>
        <stp>NGE?85</stp>
        <stp>OI</stp>
        <stp>OIType=Contract</stp>
        <stp>OI</stp>
        <stp>D</stp>
        <stp>-2</stp>
        <stp>ALL</stp>
        <stp/>
        <stp/>
        <stp>TRUE</stp>
        <stp>T</stp>
        <tr r="W92" s="16"/>
        <tr r="W92" s="16"/>
      </tp>
      <tp t="s">
        <v/>
        <stp/>
        <stp>StudyData</stp>
        <stp>NGE?84</stp>
        <stp>OI</stp>
        <stp>OIType=Contract</stp>
        <stp>OI</stp>
        <stp>D</stp>
        <stp>-2</stp>
        <stp>ALL</stp>
        <stp/>
        <stp/>
        <stp>TRUE</stp>
        <stp>T</stp>
        <tr r="W91" s="16"/>
        <tr r="W91" s="16"/>
      </tp>
      <tp t="s">
        <v/>
        <stp/>
        <stp>StudyData</stp>
        <stp>NGE?89</stp>
        <stp>OI</stp>
        <stp>OIType=Contract</stp>
        <stp>OI</stp>
        <stp>D</stp>
        <stp>-1</stp>
        <stp>ALL</stp>
        <stp/>
        <stp/>
        <stp>TRUE</stp>
        <stp>T</stp>
        <tr r="V96" s="16"/>
        <tr r="V96" s="16"/>
      </tp>
      <tp t="s">
        <v/>
        <stp/>
        <stp>StudyData</stp>
        <stp>NGE?88</stp>
        <stp>OI</stp>
        <stp>OIType=Contract</stp>
        <stp>OI</stp>
        <stp>D</stp>
        <stp>-1</stp>
        <stp>ALL</stp>
        <stp/>
        <stp/>
        <stp>TRUE</stp>
        <stp>T</stp>
        <tr r="V95" s="16"/>
        <tr r="V95" s="16"/>
      </tp>
      <tp t="s">
        <v/>
        <stp/>
        <stp>StudyData</stp>
        <stp>NGE?83</stp>
        <stp>OI</stp>
        <stp>OIType=Contract</stp>
        <stp>OI</stp>
        <stp>D</stp>
        <stp>-1</stp>
        <stp>ALL</stp>
        <stp/>
        <stp/>
        <stp>TRUE</stp>
        <stp>T</stp>
        <tr r="V90" s="16"/>
        <tr r="V90" s="16"/>
      </tp>
      <tp t="s">
        <v/>
        <stp/>
        <stp>StudyData</stp>
        <stp>NGE?82</stp>
        <stp>OI</stp>
        <stp>OIType=Contract</stp>
        <stp>OI</stp>
        <stp>D</stp>
        <stp>-1</stp>
        <stp>ALL</stp>
        <stp/>
        <stp/>
        <stp>TRUE</stp>
        <stp>T</stp>
        <tr r="V89" s="16"/>
        <tr r="V89" s="16"/>
      </tp>
      <tp t="s">
        <v/>
        <stp/>
        <stp>StudyData</stp>
        <stp>NGE?81</stp>
        <stp>OI</stp>
        <stp>OIType=Contract</stp>
        <stp>OI</stp>
        <stp>D</stp>
        <stp>-1</stp>
        <stp>ALL</stp>
        <stp/>
        <stp/>
        <stp>TRUE</stp>
        <stp>T</stp>
        <tr r="V88" s="16"/>
        <tr r="V88" s="16"/>
      </tp>
      <tp t="s">
        <v/>
        <stp/>
        <stp>StudyData</stp>
        <stp>NGE?80</stp>
        <stp>OI</stp>
        <stp>OIType=Contract</stp>
        <stp>OI</stp>
        <stp>D</stp>
        <stp>-1</stp>
        <stp>ALL</stp>
        <stp/>
        <stp/>
        <stp>TRUE</stp>
        <stp>T</stp>
        <tr r="V87" s="16"/>
        <tr r="V87" s="16"/>
      </tp>
      <tp t="s">
        <v/>
        <stp/>
        <stp>StudyData</stp>
        <stp>NGE?87</stp>
        <stp>OI</stp>
        <stp>OIType=Contract</stp>
        <stp>OI</stp>
        <stp>D</stp>
        <stp>-1</stp>
        <stp>ALL</stp>
        <stp/>
        <stp/>
        <stp>TRUE</stp>
        <stp>T</stp>
        <tr r="V94" s="16"/>
        <tr r="V94" s="16"/>
      </tp>
      <tp t="s">
        <v/>
        <stp/>
        <stp>StudyData</stp>
        <stp>NGE?86</stp>
        <stp>OI</stp>
        <stp>OIType=Contract</stp>
        <stp>OI</stp>
        <stp>D</stp>
        <stp>-1</stp>
        <stp>ALL</stp>
        <stp/>
        <stp/>
        <stp>TRUE</stp>
        <stp>T</stp>
        <tr r="V93" s="16"/>
        <tr r="V93" s="16"/>
      </tp>
      <tp t="s">
        <v/>
        <stp/>
        <stp>StudyData</stp>
        <stp>NGE?85</stp>
        <stp>OI</stp>
        <stp>OIType=Contract</stp>
        <stp>OI</stp>
        <stp>D</stp>
        <stp>-1</stp>
        <stp>ALL</stp>
        <stp/>
        <stp/>
        <stp>TRUE</stp>
        <stp>T</stp>
        <tr r="V92" s="16"/>
        <tr r="V92" s="16"/>
      </tp>
      <tp t="s">
        <v/>
        <stp/>
        <stp>StudyData</stp>
        <stp>NGE?84</stp>
        <stp>OI</stp>
        <stp>OIType=Contract</stp>
        <stp>OI</stp>
        <stp>D</stp>
        <stp>-1</stp>
        <stp>ALL</stp>
        <stp/>
        <stp/>
        <stp>TRUE</stp>
        <stp>T</stp>
        <tr r="V91" s="16"/>
        <tr r="V91" s="16"/>
      </tp>
      <tp t="s">
        <v/>
        <stp/>
        <stp>StudyData</stp>
        <stp>NGE?99</stp>
        <stp>OI</stp>
        <stp>OIType=Contract</stp>
        <stp>OI</stp>
        <stp>D</stp>
        <stp>-1</stp>
        <stp>ALL</stp>
        <stp/>
        <stp/>
        <stp>TRUE</stp>
        <stp>T</stp>
        <tr r="V106" s="16"/>
        <tr r="V106" s="16"/>
      </tp>
      <tp t="s">
        <v/>
        <stp/>
        <stp>StudyData</stp>
        <stp>NGE?98</stp>
        <stp>OI</stp>
        <stp>OIType=Contract</stp>
        <stp>OI</stp>
        <stp>D</stp>
        <stp>-1</stp>
        <stp>ALL</stp>
        <stp/>
        <stp/>
        <stp>TRUE</stp>
        <stp>T</stp>
        <tr r="V105" s="16"/>
        <tr r="V105" s="16"/>
      </tp>
      <tp t="s">
        <v/>
        <stp/>
        <stp>StudyData</stp>
        <stp>NGE?93</stp>
        <stp>OI</stp>
        <stp>OIType=Contract</stp>
        <stp>OI</stp>
        <stp>D</stp>
        <stp>-1</stp>
        <stp>ALL</stp>
        <stp/>
        <stp/>
        <stp>TRUE</stp>
        <stp>T</stp>
        <tr r="V100" s="16"/>
        <tr r="V100" s="16"/>
      </tp>
      <tp t="s">
        <v/>
        <stp/>
        <stp>StudyData</stp>
        <stp>NGE?92</stp>
        <stp>OI</stp>
        <stp>OIType=Contract</stp>
        <stp>OI</stp>
        <stp>D</stp>
        <stp>-1</stp>
        <stp>ALL</stp>
        <stp/>
        <stp/>
        <stp>TRUE</stp>
        <stp>T</stp>
        <tr r="V99" s="16"/>
        <tr r="V99" s="16"/>
      </tp>
      <tp>
        <v>1</v>
        <stp/>
        <stp>StudyData</stp>
        <stp>NGE?91</stp>
        <stp>OI</stp>
        <stp>OIType=Contract</stp>
        <stp>OI</stp>
        <stp>D</stp>
        <stp>-1</stp>
        <stp>ALL</stp>
        <stp/>
        <stp/>
        <stp>TRUE</stp>
        <stp>T</stp>
        <tr r="V98" s="16"/>
        <tr r="V98" s="16"/>
      </tp>
      <tp t="s">
        <v/>
        <stp/>
        <stp>StudyData</stp>
        <stp>NGE?90</stp>
        <stp>OI</stp>
        <stp>OIType=Contract</stp>
        <stp>OI</stp>
        <stp>D</stp>
        <stp>-1</stp>
        <stp>ALL</stp>
        <stp/>
        <stp/>
        <stp>TRUE</stp>
        <stp>T</stp>
        <tr r="V97" s="16"/>
        <tr r="V97" s="16"/>
      </tp>
      <tp t="s">
        <v/>
        <stp/>
        <stp>StudyData</stp>
        <stp>NGE?97</stp>
        <stp>OI</stp>
        <stp>OIType=Contract</stp>
        <stp>OI</stp>
        <stp>D</stp>
        <stp>-1</stp>
        <stp>ALL</stp>
        <stp/>
        <stp/>
        <stp>TRUE</stp>
        <stp>T</stp>
        <tr r="V104" s="16"/>
        <tr r="V104" s="16"/>
      </tp>
      <tp t="s">
        <v/>
        <stp/>
        <stp>StudyData</stp>
        <stp>NGE?96</stp>
        <stp>OI</stp>
        <stp>OIType=Contract</stp>
        <stp>OI</stp>
        <stp>D</stp>
        <stp>-1</stp>
        <stp>ALL</stp>
        <stp/>
        <stp/>
        <stp>TRUE</stp>
        <stp>T</stp>
        <tr r="V103" s="16"/>
        <tr r="V103" s="16"/>
      </tp>
      <tp t="s">
        <v/>
        <stp/>
        <stp>StudyData</stp>
        <stp>NGE?95</stp>
        <stp>OI</stp>
        <stp>OIType=Contract</stp>
        <stp>OI</stp>
        <stp>D</stp>
        <stp>-1</stp>
        <stp>ALL</stp>
        <stp/>
        <stp/>
        <stp>TRUE</stp>
        <stp>T</stp>
        <tr r="V102" s="16"/>
        <tr r="V102" s="16"/>
      </tp>
      <tp t="s">
        <v/>
        <stp/>
        <stp>StudyData</stp>
        <stp>NGE?94</stp>
        <stp>OI</stp>
        <stp>OIType=Contract</stp>
        <stp>OI</stp>
        <stp>D</stp>
        <stp>-1</stp>
        <stp>ALL</stp>
        <stp/>
        <stp/>
        <stp>TRUE</stp>
        <stp>T</stp>
        <tr r="V101" s="16"/>
        <tr r="V101" s="16"/>
      </tp>
      <tp>
        <v>3316</v>
        <stp/>
        <stp>StudyData</stp>
        <stp>NGE?19</stp>
        <stp>OI</stp>
        <stp>OIType=Contract</stp>
        <stp>OI</stp>
        <stp>D</stp>
        <stp>-2</stp>
        <stp>ALL</stp>
        <stp/>
        <stp/>
        <stp>TRUE</stp>
        <stp>T</stp>
        <tr r="W26" s="16"/>
        <tr r="W26" s="16"/>
      </tp>
      <tp>
        <v>788</v>
        <stp/>
        <stp>StudyData</stp>
        <stp>NGE?29</stp>
        <stp>OI</stp>
        <stp>OIType=Contract</stp>
        <stp>OI</stp>
        <stp>D</stp>
        <stp>-1</stp>
        <stp>ALL</stp>
        <stp/>
        <stp/>
        <stp>TRUE</stp>
        <stp>T</stp>
        <tr r="V36" s="16"/>
        <tr r="V36" s="16"/>
      </tp>
      <tp>
        <v>15066</v>
        <stp/>
        <stp>StudyData</stp>
        <stp>NGE?18</stp>
        <stp>OI</stp>
        <stp>OIType=Contract</stp>
        <stp>OI</stp>
        <stp>D</stp>
        <stp>-2</stp>
        <stp>ALL</stp>
        <stp/>
        <stp/>
        <stp>TRUE</stp>
        <stp>T</stp>
        <tr r="W25" s="16"/>
        <tr r="W25" s="16"/>
      </tp>
      <tp>
        <v>564</v>
        <stp/>
        <stp>StudyData</stp>
        <stp>NGE?28</stp>
        <stp>OI</stp>
        <stp>OIType=Contract</stp>
        <stp>OI</stp>
        <stp>D</stp>
        <stp>-1</stp>
        <stp>ALL</stp>
        <stp/>
        <stp/>
        <stp>TRUE</stp>
        <stp>T</stp>
        <tr r="V35" s="16"/>
        <tr r="V35" s="16"/>
      </tp>
      <tp>
        <v>27375</v>
        <stp/>
        <stp>StudyData</stp>
        <stp>NGE?13</stp>
        <stp>OI</stp>
        <stp>OIType=Contract</stp>
        <stp>OI</stp>
        <stp>D</stp>
        <stp>-2</stp>
        <stp>ALL</stp>
        <stp/>
        <stp/>
        <stp>TRUE</stp>
        <stp>T</stp>
        <tr r="W20" s="16"/>
        <tr r="W20" s="16"/>
      </tp>
      <tp>
        <v>2354</v>
        <stp/>
        <stp>StudyData</stp>
        <stp>NGE?23</stp>
        <stp>OI</stp>
        <stp>OIType=Contract</stp>
        <stp>OI</stp>
        <stp>D</stp>
        <stp>-1</stp>
        <stp>ALL</stp>
        <stp/>
        <stp/>
        <stp>TRUE</stp>
        <stp>T</stp>
        <tr r="V30" s="16"/>
        <tr r="V30" s="16"/>
      </tp>
      <tp>
        <v>60969</v>
        <stp/>
        <stp>StudyData</stp>
        <stp>NGE?12</stp>
        <stp>OI</stp>
        <stp>OIType=Contract</stp>
        <stp>OI</stp>
        <stp>D</stp>
        <stp>-2</stp>
        <stp>ALL</stp>
        <stp/>
        <stp/>
        <stp>TRUE</stp>
        <stp>T</stp>
        <tr r="W19" s="16"/>
        <tr r="W19" s="16"/>
      </tp>
      <tp>
        <v>2456</v>
        <stp/>
        <stp>StudyData</stp>
        <stp>NGE?22</stp>
        <stp>OI</stp>
        <stp>OIType=Contract</stp>
        <stp>OI</stp>
        <stp>D</stp>
        <stp>-1</stp>
        <stp>ALL</stp>
        <stp/>
        <stp/>
        <stp>TRUE</stp>
        <stp>T</stp>
        <tr r="V29" s="16"/>
        <tr r="V29" s="16"/>
      </tp>
      <tp>
        <v>31753</v>
        <stp/>
        <stp>StudyData</stp>
        <stp>NGE?11</stp>
        <stp>OI</stp>
        <stp>OIType=Contract</stp>
        <stp>OI</stp>
        <stp>D</stp>
        <stp>-2</stp>
        <stp>ALL</stp>
        <stp/>
        <stp/>
        <stp>TRUE</stp>
        <stp>T</stp>
        <tr r="W18" s="16"/>
        <tr r="W18" s="16"/>
      </tp>
      <tp>
        <v>2645</v>
        <stp/>
        <stp>StudyData</stp>
        <stp>NGE?21</stp>
        <stp>OI</stp>
        <stp>OIType=Contract</stp>
        <stp>OI</stp>
        <stp>D</stp>
        <stp>-1</stp>
        <stp>ALL</stp>
        <stp/>
        <stp/>
        <stp>TRUE</stp>
        <stp>T</stp>
        <tr r="V28" s="16"/>
        <tr r="V28" s="16"/>
      </tp>
      <tp>
        <v>30492</v>
        <stp/>
        <stp>StudyData</stp>
        <stp>NGE?10</stp>
        <stp>OI</stp>
        <stp>OIType=Contract</stp>
        <stp>OI</stp>
        <stp>D</stp>
        <stp>-2</stp>
        <stp>ALL</stp>
        <stp/>
        <stp/>
        <stp>TRUE</stp>
        <stp>T</stp>
        <tr r="W17" s="16"/>
        <tr r="W17" s="16"/>
      </tp>
      <tp>
        <v>3834</v>
        <stp/>
        <stp>StudyData</stp>
        <stp>NGE?20</stp>
        <stp>OI</stp>
        <stp>OIType=Contract</stp>
        <stp>OI</stp>
        <stp>D</stp>
        <stp>-1</stp>
        <stp>ALL</stp>
        <stp/>
        <stp/>
        <stp>TRUE</stp>
        <stp>T</stp>
        <tr r="V27" s="16"/>
        <tr r="V27" s="16"/>
      </tp>
      <tp>
        <v>15130</v>
        <stp/>
        <stp>StudyData</stp>
        <stp>NGE?17</stp>
        <stp>OI</stp>
        <stp>OIType=Contract</stp>
        <stp>OI</stp>
        <stp>D</stp>
        <stp>-2</stp>
        <stp>ALL</stp>
        <stp/>
        <stp/>
        <stp>TRUE</stp>
        <stp>T</stp>
        <tr r="W24" s="16"/>
        <tr r="W24" s="16"/>
      </tp>
      <tp>
        <v>1448</v>
        <stp/>
        <stp>StudyData</stp>
        <stp>NGE?27</stp>
        <stp>OI</stp>
        <stp>OIType=Contract</stp>
        <stp>OI</stp>
        <stp>D</stp>
        <stp>-1</stp>
        <stp>ALL</stp>
        <stp/>
        <stp/>
        <stp>TRUE</stp>
        <stp>T</stp>
        <tr r="V34" s="16"/>
        <tr r="V34" s="16"/>
      </tp>
      <tp>
        <v>7012</v>
        <stp/>
        <stp>StudyData</stp>
        <stp>NGE?16</stp>
        <stp>OI</stp>
        <stp>OIType=Contract</stp>
        <stp>OI</stp>
        <stp>D</stp>
        <stp>-2</stp>
        <stp>ALL</stp>
        <stp/>
        <stp/>
        <stp>TRUE</stp>
        <stp>T</stp>
        <tr r="W23" s="16"/>
        <tr r="W23" s="16"/>
      </tp>
      <tp>
        <v>2319</v>
        <stp/>
        <stp>StudyData</stp>
        <stp>NGE?26</stp>
        <stp>OI</stp>
        <stp>OIType=Contract</stp>
        <stp>OI</stp>
        <stp>D</stp>
        <stp>-1</stp>
        <stp>ALL</stp>
        <stp/>
        <stp/>
        <stp>TRUE</stp>
        <stp>T</stp>
        <tr r="V33" s="16"/>
        <tr r="V33" s="16"/>
      </tp>
      <tp>
        <v>19252</v>
        <stp/>
        <stp>StudyData</stp>
        <stp>NGE?15</stp>
        <stp>OI</stp>
        <stp>OIType=Contract</stp>
        <stp>OI</stp>
        <stp>D</stp>
        <stp>-2</stp>
        <stp>ALL</stp>
        <stp/>
        <stp/>
        <stp>TRUE</stp>
        <stp>T</stp>
        <tr r="W22" s="16"/>
        <tr r="W22" s="16"/>
      </tp>
      <tp>
        <v>2107</v>
        <stp/>
        <stp>StudyData</stp>
        <stp>NGE?25</stp>
        <stp>OI</stp>
        <stp>OIType=Contract</stp>
        <stp>OI</stp>
        <stp>D</stp>
        <stp>-1</stp>
        <stp>ALL</stp>
        <stp/>
        <stp/>
        <stp>TRUE</stp>
        <stp>T</stp>
        <tr r="V32" s="16"/>
        <tr r="V32" s="16"/>
      </tp>
      <tp>
        <v>28761</v>
        <stp/>
        <stp>StudyData</stp>
        <stp>NGE?14</stp>
        <stp>OI</stp>
        <stp>OIType=Contract</stp>
        <stp>OI</stp>
        <stp>D</stp>
        <stp>-2</stp>
        <stp>ALL</stp>
        <stp/>
        <stp/>
        <stp>TRUE</stp>
        <stp>T</stp>
        <tr r="W21" s="16"/>
        <tr r="W21" s="16"/>
      </tp>
      <tp>
        <v>3324</v>
        <stp/>
        <stp>StudyData</stp>
        <stp>NGE?24</stp>
        <stp>OI</stp>
        <stp>OIType=Contract</stp>
        <stp>OI</stp>
        <stp>D</stp>
        <stp>-1</stp>
        <stp>ALL</stp>
        <stp/>
        <stp/>
        <stp>TRUE</stp>
        <stp>T</stp>
        <tr r="V31" s="16"/>
        <tr r="V31" s="16"/>
      </tp>
      <tp>
        <v>251</v>
        <stp/>
        <stp>StudyData</stp>
        <stp>NGE?39</stp>
        <stp>OI</stp>
        <stp>OIType=Contract</stp>
        <stp>OI</stp>
        <stp>D</stp>
        <stp>-1</stp>
        <stp>ALL</stp>
        <stp/>
        <stp/>
        <stp>TRUE</stp>
        <stp>T</stp>
        <tr r="V46" s="16"/>
        <tr r="V46" s="16"/>
      </tp>
      <tp>
        <v>795</v>
        <stp/>
        <stp>StudyData</stp>
        <stp>NGE?38</stp>
        <stp>OI</stp>
        <stp>OIType=Contract</stp>
        <stp>OI</stp>
        <stp>D</stp>
        <stp>-1</stp>
        <stp>ALL</stp>
        <stp/>
        <stp/>
        <stp>TRUE</stp>
        <stp>T</stp>
        <tr r="V45" s="16"/>
        <tr r="V45" s="16"/>
      </tp>
      <tp>
        <v>505</v>
        <stp/>
        <stp>StudyData</stp>
        <stp>NGE?33</stp>
        <stp>OI</stp>
        <stp>OIType=Contract</stp>
        <stp>OI</stp>
        <stp>D</stp>
        <stp>-1</stp>
        <stp>ALL</stp>
        <stp/>
        <stp/>
        <stp>TRUE</stp>
        <stp>T</stp>
        <tr r="V40" s="16"/>
        <tr r="V40" s="16"/>
      </tp>
      <tp>
        <v>561</v>
        <stp/>
        <stp>StudyData</stp>
        <stp>NGE?32</stp>
        <stp>OI</stp>
        <stp>OIType=Contract</stp>
        <stp>OI</stp>
        <stp>D</stp>
        <stp>-1</stp>
        <stp>ALL</stp>
        <stp/>
        <stp/>
        <stp>TRUE</stp>
        <stp>T</stp>
        <tr r="V39" s="16"/>
        <tr r="V39" s="16"/>
      </tp>
      <tp>
        <v>627</v>
        <stp/>
        <stp>StudyData</stp>
        <stp>NGE?31</stp>
        <stp>OI</stp>
        <stp>OIType=Contract</stp>
        <stp>OI</stp>
        <stp>D</stp>
        <stp>-1</stp>
        <stp>ALL</stp>
        <stp/>
        <stp/>
        <stp>TRUE</stp>
        <stp>T</stp>
        <tr r="V38" s="16"/>
        <tr r="V38" s="16"/>
      </tp>
      <tp>
        <v>947</v>
        <stp/>
        <stp>StudyData</stp>
        <stp>NGE?30</stp>
        <stp>OI</stp>
        <stp>OIType=Contract</stp>
        <stp>OI</stp>
        <stp>D</stp>
        <stp>-1</stp>
        <stp>ALL</stp>
        <stp/>
        <stp/>
        <stp>TRUE</stp>
        <stp>T</stp>
        <tr r="V37" s="16"/>
        <tr r="V37" s="16"/>
      </tp>
      <tp>
        <v>501</v>
        <stp/>
        <stp>StudyData</stp>
        <stp>NGE?37</stp>
        <stp>OI</stp>
        <stp>OIType=Contract</stp>
        <stp>OI</stp>
        <stp>D</stp>
        <stp>-1</stp>
        <stp>ALL</stp>
        <stp/>
        <stp/>
        <stp>TRUE</stp>
        <stp>T</stp>
        <tr r="V44" s="16"/>
        <tr r="V44" s="16"/>
      </tp>
      <tp>
        <v>517</v>
        <stp/>
        <stp>StudyData</stp>
        <stp>NGE?36</stp>
        <stp>OI</stp>
        <stp>OIType=Contract</stp>
        <stp>OI</stp>
        <stp>D</stp>
        <stp>-1</stp>
        <stp>ALL</stp>
        <stp/>
        <stp/>
        <stp>TRUE</stp>
        <stp>T</stp>
        <tr r="V43" s="16"/>
        <tr r="V43" s="16"/>
      </tp>
      <tp>
        <v>469</v>
        <stp/>
        <stp>StudyData</stp>
        <stp>NGE?35</stp>
        <stp>OI</stp>
        <stp>OIType=Contract</stp>
        <stp>OI</stp>
        <stp>D</stp>
        <stp>-1</stp>
        <stp>ALL</stp>
        <stp/>
        <stp/>
        <stp>TRUE</stp>
        <stp>T</stp>
        <tr r="V42" s="16"/>
        <tr r="V42" s="16"/>
      </tp>
      <tp>
        <v>468</v>
        <stp/>
        <stp>StudyData</stp>
        <stp>NGE?34</stp>
        <stp>OI</stp>
        <stp>OIType=Contract</stp>
        <stp>OI</stp>
        <stp>D</stp>
        <stp>-1</stp>
        <stp>ALL</stp>
        <stp/>
        <stp/>
        <stp>TRUE</stp>
        <stp>T</stp>
        <tr r="V41" s="16"/>
        <tr r="V41" s="16"/>
      </tp>
      <tp>
        <v>251</v>
        <stp/>
        <stp>StudyData</stp>
        <stp>NGE?39</stp>
        <stp>OI</stp>
        <stp>OIType=Contract</stp>
        <stp>OI</stp>
        <stp>D</stp>
        <stp>-2</stp>
        <stp>ALL</stp>
        <stp/>
        <stp/>
        <stp>TRUE</stp>
        <stp>T</stp>
        <tr r="W46" s="16"/>
        <tr r="W46" s="16"/>
      </tp>
      <tp>
        <v>795</v>
        <stp/>
        <stp>StudyData</stp>
        <stp>NGE?38</stp>
        <stp>OI</stp>
        <stp>OIType=Contract</stp>
        <stp>OI</stp>
        <stp>D</stp>
        <stp>-2</stp>
        <stp>ALL</stp>
        <stp/>
        <stp/>
        <stp>TRUE</stp>
        <stp>T</stp>
        <tr r="W45" s="16"/>
        <tr r="W45" s="16"/>
      </tp>
      <tp>
        <v>505</v>
        <stp/>
        <stp>StudyData</stp>
        <stp>NGE?33</stp>
        <stp>OI</stp>
        <stp>OIType=Contract</stp>
        <stp>OI</stp>
        <stp>D</stp>
        <stp>-2</stp>
        <stp>ALL</stp>
        <stp/>
        <stp/>
        <stp>TRUE</stp>
        <stp>T</stp>
        <tr r="W40" s="16"/>
        <tr r="W40" s="16"/>
      </tp>
      <tp>
        <v>561</v>
        <stp/>
        <stp>StudyData</stp>
        <stp>NGE?32</stp>
        <stp>OI</stp>
        <stp>OIType=Contract</stp>
        <stp>OI</stp>
        <stp>D</stp>
        <stp>-2</stp>
        <stp>ALL</stp>
        <stp/>
        <stp/>
        <stp>TRUE</stp>
        <stp>T</stp>
        <tr r="W39" s="16"/>
        <tr r="W39" s="16"/>
      </tp>
      <tp>
        <v>627</v>
        <stp/>
        <stp>StudyData</stp>
        <stp>NGE?31</stp>
        <stp>OI</stp>
        <stp>OIType=Contract</stp>
        <stp>OI</stp>
        <stp>D</stp>
        <stp>-2</stp>
        <stp>ALL</stp>
        <stp/>
        <stp/>
        <stp>TRUE</stp>
        <stp>T</stp>
        <tr r="W38" s="16"/>
        <tr r="W38" s="16"/>
      </tp>
      <tp>
        <v>947</v>
        <stp/>
        <stp>StudyData</stp>
        <stp>NGE?30</stp>
        <stp>OI</stp>
        <stp>OIType=Contract</stp>
        <stp>OI</stp>
        <stp>D</stp>
        <stp>-2</stp>
        <stp>ALL</stp>
        <stp/>
        <stp/>
        <stp>TRUE</stp>
        <stp>T</stp>
        <tr r="W37" s="16"/>
        <tr r="W37" s="16"/>
      </tp>
      <tp>
        <v>501</v>
        <stp/>
        <stp>StudyData</stp>
        <stp>NGE?37</stp>
        <stp>OI</stp>
        <stp>OIType=Contract</stp>
        <stp>OI</stp>
        <stp>D</stp>
        <stp>-2</stp>
        <stp>ALL</stp>
        <stp/>
        <stp/>
        <stp>TRUE</stp>
        <stp>T</stp>
        <tr r="W44" s="16"/>
        <tr r="W44" s="16"/>
      </tp>
      <tp>
        <v>517</v>
        <stp/>
        <stp>StudyData</stp>
        <stp>NGE?36</stp>
        <stp>OI</stp>
        <stp>OIType=Contract</stp>
        <stp>OI</stp>
        <stp>D</stp>
        <stp>-2</stp>
        <stp>ALL</stp>
        <stp/>
        <stp/>
        <stp>TRUE</stp>
        <stp>T</stp>
        <tr r="W43" s="16"/>
        <tr r="W43" s="16"/>
      </tp>
      <tp>
        <v>469</v>
        <stp/>
        <stp>StudyData</stp>
        <stp>NGE?35</stp>
        <stp>OI</stp>
        <stp>OIType=Contract</stp>
        <stp>OI</stp>
        <stp>D</stp>
        <stp>-2</stp>
        <stp>ALL</stp>
        <stp/>
        <stp/>
        <stp>TRUE</stp>
        <stp>T</stp>
        <tr r="W42" s="16"/>
        <tr r="W42" s="16"/>
      </tp>
      <tp>
        <v>468</v>
        <stp/>
        <stp>StudyData</stp>
        <stp>NGE?34</stp>
        <stp>OI</stp>
        <stp>OIType=Contract</stp>
        <stp>OI</stp>
        <stp>D</stp>
        <stp>-2</stp>
        <stp>ALL</stp>
        <stp/>
        <stp/>
        <stp>TRUE</stp>
        <stp>T</stp>
        <tr r="W41" s="16"/>
        <tr r="W41" s="16"/>
      </tp>
      <tp>
        <v>3426</v>
        <stp/>
        <stp>StudyData</stp>
        <stp>NGE?19</stp>
        <stp>OI</stp>
        <stp>OIType=Contract</stp>
        <stp>OI</stp>
        <stp>D</stp>
        <stp>-1</stp>
        <stp>ALL</stp>
        <stp/>
        <stp/>
        <stp>TRUE</stp>
        <stp>T</stp>
        <tr r="V26" s="16"/>
        <tr r="V26" s="16"/>
      </tp>
      <tp>
        <v>788</v>
        <stp/>
        <stp>StudyData</stp>
        <stp>NGE?29</stp>
        <stp>OI</stp>
        <stp>OIType=Contract</stp>
        <stp>OI</stp>
        <stp>D</stp>
        <stp>-2</stp>
        <stp>ALL</stp>
        <stp/>
        <stp/>
        <stp>TRUE</stp>
        <stp>T</stp>
        <tr r="W36" s="16"/>
        <tr r="W36" s="16"/>
      </tp>
      <tp>
        <v>14990</v>
        <stp/>
        <stp>StudyData</stp>
        <stp>NGE?18</stp>
        <stp>OI</stp>
        <stp>OIType=Contract</stp>
        <stp>OI</stp>
        <stp>D</stp>
        <stp>-1</stp>
        <stp>ALL</stp>
        <stp/>
        <stp/>
        <stp>TRUE</stp>
        <stp>T</stp>
        <tr r="V25" s="16"/>
        <tr r="V25" s="16"/>
      </tp>
      <tp>
        <v>564</v>
        <stp/>
        <stp>StudyData</stp>
        <stp>NGE?28</stp>
        <stp>OI</stp>
        <stp>OIType=Contract</stp>
        <stp>OI</stp>
        <stp>D</stp>
        <stp>-2</stp>
        <stp>ALL</stp>
        <stp/>
        <stp/>
        <stp>TRUE</stp>
        <stp>T</stp>
        <tr r="W35" s="16"/>
        <tr r="W35" s="16"/>
      </tp>
      <tp>
        <v>27449</v>
        <stp/>
        <stp>StudyData</stp>
        <stp>NGE?13</stp>
        <stp>OI</stp>
        <stp>OIType=Contract</stp>
        <stp>OI</stp>
        <stp>D</stp>
        <stp>-1</stp>
        <stp>ALL</stp>
        <stp/>
        <stp/>
        <stp>TRUE</stp>
        <stp>T</stp>
        <tr r="V20" s="16"/>
        <tr r="V20" s="16"/>
      </tp>
      <tp>
        <v>2316</v>
        <stp/>
        <stp>StudyData</stp>
        <stp>NGE?23</stp>
        <stp>OI</stp>
        <stp>OIType=Contract</stp>
        <stp>OI</stp>
        <stp>D</stp>
        <stp>-2</stp>
        <stp>ALL</stp>
        <stp/>
        <stp/>
        <stp>TRUE</stp>
        <stp>T</stp>
        <tr r="W30" s="16"/>
        <tr r="W30" s="16"/>
      </tp>
      <tp>
        <v>61467</v>
        <stp/>
        <stp>StudyData</stp>
        <stp>NGE?12</stp>
        <stp>OI</stp>
        <stp>OIType=Contract</stp>
        <stp>OI</stp>
        <stp>D</stp>
        <stp>-1</stp>
        <stp>ALL</stp>
        <stp/>
        <stp/>
        <stp>TRUE</stp>
        <stp>T</stp>
        <tr r="V19" s="16"/>
        <tr r="V19" s="16"/>
      </tp>
      <tp>
        <v>2436</v>
        <stp/>
        <stp>StudyData</stp>
        <stp>NGE?22</stp>
        <stp>OI</stp>
        <stp>OIType=Contract</stp>
        <stp>OI</stp>
        <stp>D</stp>
        <stp>-2</stp>
        <stp>ALL</stp>
        <stp/>
        <stp/>
        <stp>TRUE</stp>
        <stp>T</stp>
        <tr r="W29" s="16"/>
        <tr r="W29" s="16"/>
      </tp>
      <tp>
        <v>31482</v>
        <stp/>
        <stp>StudyData</stp>
        <stp>NGE?11</stp>
        <stp>OI</stp>
        <stp>OIType=Contract</stp>
        <stp>OI</stp>
        <stp>D</stp>
        <stp>-1</stp>
        <stp>ALL</stp>
        <stp/>
        <stp/>
        <stp>TRUE</stp>
        <stp>T</stp>
        <tr r="V18" s="16"/>
        <tr r="V18" s="16"/>
      </tp>
      <tp>
        <v>2304</v>
        <stp/>
        <stp>StudyData</stp>
        <stp>NGE?21</stp>
        <stp>OI</stp>
        <stp>OIType=Contract</stp>
        <stp>OI</stp>
        <stp>D</stp>
        <stp>-2</stp>
        <stp>ALL</stp>
        <stp/>
        <stp/>
        <stp>TRUE</stp>
        <stp>T</stp>
        <tr r="W28" s="16"/>
        <tr r="W28" s="16"/>
      </tp>
      <tp>
        <v>30787</v>
        <stp/>
        <stp>StudyData</stp>
        <stp>NGE?10</stp>
        <stp>OI</stp>
        <stp>OIType=Contract</stp>
        <stp>OI</stp>
        <stp>D</stp>
        <stp>-1</stp>
        <stp>ALL</stp>
        <stp/>
        <stp/>
        <stp>TRUE</stp>
        <stp>T</stp>
        <tr r="V17" s="16"/>
        <tr r="V17" s="16"/>
      </tp>
      <tp>
        <v>3497</v>
        <stp/>
        <stp>StudyData</stp>
        <stp>NGE?20</stp>
        <stp>OI</stp>
        <stp>OIType=Contract</stp>
        <stp>OI</stp>
        <stp>D</stp>
        <stp>-2</stp>
        <stp>ALL</stp>
        <stp/>
        <stp/>
        <stp>TRUE</stp>
        <stp>T</stp>
        <tr r="W27" s="16"/>
        <tr r="W27" s="16"/>
      </tp>
      <tp>
        <v>15414</v>
        <stp/>
        <stp>StudyData</stp>
        <stp>NGE?17</stp>
        <stp>OI</stp>
        <stp>OIType=Contract</stp>
        <stp>OI</stp>
        <stp>D</stp>
        <stp>-1</stp>
        <stp>ALL</stp>
        <stp/>
        <stp/>
        <stp>TRUE</stp>
        <stp>T</stp>
        <tr r="V24" s="16"/>
        <tr r="V24" s="16"/>
      </tp>
      <tp>
        <v>1447</v>
        <stp/>
        <stp>StudyData</stp>
        <stp>NGE?27</stp>
        <stp>OI</stp>
        <stp>OIType=Contract</stp>
        <stp>OI</stp>
        <stp>D</stp>
        <stp>-2</stp>
        <stp>ALL</stp>
        <stp/>
        <stp/>
        <stp>TRUE</stp>
        <stp>T</stp>
        <tr r="W34" s="16"/>
        <tr r="W34" s="16"/>
      </tp>
      <tp>
        <v>6985</v>
        <stp/>
        <stp>StudyData</stp>
        <stp>NGE?16</stp>
        <stp>OI</stp>
        <stp>OIType=Contract</stp>
        <stp>OI</stp>
        <stp>D</stp>
        <stp>-1</stp>
        <stp>ALL</stp>
        <stp/>
        <stp/>
        <stp>TRUE</stp>
        <stp>T</stp>
        <tr r="V23" s="16"/>
        <tr r="V23" s="16"/>
      </tp>
      <tp>
        <v>2309</v>
        <stp/>
        <stp>StudyData</stp>
        <stp>NGE?26</stp>
        <stp>OI</stp>
        <stp>OIType=Contract</stp>
        <stp>OI</stp>
        <stp>D</stp>
        <stp>-2</stp>
        <stp>ALL</stp>
        <stp/>
        <stp/>
        <stp>TRUE</stp>
        <stp>T</stp>
        <tr r="W33" s="16"/>
        <tr r="W33" s="16"/>
      </tp>
      <tp>
        <v>19292</v>
        <stp/>
        <stp>StudyData</stp>
        <stp>NGE?15</stp>
        <stp>OI</stp>
        <stp>OIType=Contract</stp>
        <stp>OI</stp>
        <stp>D</stp>
        <stp>-1</stp>
        <stp>ALL</stp>
        <stp/>
        <stp/>
        <stp>TRUE</stp>
        <stp>T</stp>
        <tr r="V22" s="16"/>
        <tr r="V22" s="16"/>
      </tp>
      <tp>
        <v>2106</v>
        <stp/>
        <stp>StudyData</stp>
        <stp>NGE?25</stp>
        <stp>OI</stp>
        <stp>OIType=Contract</stp>
        <stp>OI</stp>
        <stp>D</stp>
        <stp>-2</stp>
        <stp>ALL</stp>
        <stp/>
        <stp/>
        <stp>TRUE</stp>
        <stp>T</stp>
        <tr r="W32" s="16"/>
        <tr r="W32" s="16"/>
      </tp>
      <tp>
        <v>28664</v>
        <stp/>
        <stp>StudyData</stp>
        <stp>NGE?14</stp>
        <stp>OI</stp>
        <stp>OIType=Contract</stp>
        <stp>OI</stp>
        <stp>D</stp>
        <stp>-1</stp>
        <stp>ALL</stp>
        <stp/>
        <stp/>
        <stp>TRUE</stp>
        <stp>T</stp>
        <tr r="V21" s="16"/>
        <tr r="V21" s="16"/>
      </tp>
      <tp>
        <v>3358</v>
        <stp/>
        <stp>StudyData</stp>
        <stp>NGE?24</stp>
        <stp>OI</stp>
        <stp>OIType=Contract</stp>
        <stp>OI</stp>
        <stp>D</stp>
        <stp>-2</stp>
        <stp>ALL</stp>
        <stp/>
        <stp/>
        <stp>TRUE</stp>
        <stp>T</stp>
        <tr r="W31" s="16"/>
        <tr r="W31" s="16"/>
      </tp>
      <tp>
        <v>14</v>
        <stp/>
        <stp>StudyData</stp>
        <stp>NGE?59</stp>
        <stp>OI</stp>
        <stp>OIType=Contract</stp>
        <stp>OI</stp>
        <stp>D</stp>
        <stp>-2</stp>
        <stp>ALL</stp>
        <stp/>
        <stp/>
        <stp>TRUE</stp>
        <stp>T</stp>
        <tr r="W66" s="16"/>
        <tr r="W66" s="16"/>
      </tp>
      <tp>
        <v>12</v>
        <stp/>
        <stp>StudyData</stp>
        <stp>NGE?69</stp>
        <stp>OI</stp>
        <stp>OIType=Contract</stp>
        <stp>OI</stp>
        <stp>D</stp>
        <stp>-1</stp>
        <stp>ALL</stp>
        <stp/>
        <stp/>
        <stp>TRUE</stp>
        <stp>T</stp>
        <tr r="V76" s="16"/>
        <tr r="V76" s="16"/>
      </tp>
      <tp>
        <v>15</v>
        <stp/>
        <stp>StudyData</stp>
        <stp>NGE?58</stp>
        <stp>OI</stp>
        <stp>OIType=Contract</stp>
        <stp>OI</stp>
        <stp>D</stp>
        <stp>-2</stp>
        <stp>ALL</stp>
        <stp/>
        <stp/>
        <stp>TRUE</stp>
        <stp>T</stp>
        <tr r="W65" s="16"/>
        <tr r="W65" s="16"/>
      </tp>
      <tp>
        <v>12</v>
        <stp/>
        <stp>StudyData</stp>
        <stp>NGE?68</stp>
        <stp>OI</stp>
        <stp>OIType=Contract</stp>
        <stp>OI</stp>
        <stp>D</stp>
        <stp>-1</stp>
        <stp>ALL</stp>
        <stp/>
        <stp/>
        <stp>TRUE</stp>
        <stp>T</stp>
        <tr r="V75" s="16"/>
        <tr r="V75" s="16"/>
      </tp>
      <tp>
        <v>19</v>
        <stp/>
        <stp>StudyData</stp>
        <stp>NGE?53</stp>
        <stp>OI</stp>
        <stp>OIType=Contract</stp>
        <stp>OI</stp>
        <stp>D</stp>
        <stp>-2</stp>
        <stp>ALL</stp>
        <stp/>
        <stp/>
        <stp>TRUE</stp>
        <stp>T</stp>
        <tr r="W60" s="16"/>
        <tr r="W60" s="16"/>
      </tp>
      <tp>
        <v>4</v>
        <stp/>
        <stp>StudyData</stp>
        <stp>NGE?63</stp>
        <stp>OI</stp>
        <stp>OIType=Contract</stp>
        <stp>OI</stp>
        <stp>D</stp>
        <stp>-1</stp>
        <stp>ALL</stp>
        <stp/>
        <stp/>
        <stp>TRUE</stp>
        <stp>T</stp>
        <tr r="V70" s="16"/>
        <tr r="V70" s="16"/>
      </tp>
      <tp>
        <v>22</v>
        <stp/>
        <stp>StudyData</stp>
        <stp>NGE?52</stp>
        <stp>OI</stp>
        <stp>OIType=Contract</stp>
        <stp>OI</stp>
        <stp>D</stp>
        <stp>-2</stp>
        <stp>ALL</stp>
        <stp/>
        <stp/>
        <stp>TRUE</stp>
        <stp>T</stp>
        <tr r="W59" s="16"/>
        <tr r="W59" s="16"/>
      </tp>
      <tp>
        <v>19</v>
        <stp/>
        <stp>StudyData</stp>
        <stp>NGE?62</stp>
        <stp>OI</stp>
        <stp>OIType=Contract</stp>
        <stp>OI</stp>
        <stp>D</stp>
        <stp>-1</stp>
        <stp>ALL</stp>
        <stp/>
        <stp/>
        <stp>TRUE</stp>
        <stp>T</stp>
        <tr r="V69" s="16"/>
        <tr r="V69" s="16"/>
      </tp>
      <tp>
        <v>18</v>
        <stp/>
        <stp>StudyData</stp>
        <stp>NGE?51</stp>
        <stp>OI</stp>
        <stp>OIType=Contract</stp>
        <stp>OI</stp>
        <stp>D</stp>
        <stp>-2</stp>
        <stp>ALL</stp>
        <stp/>
        <stp/>
        <stp>TRUE</stp>
        <stp>T</stp>
        <tr r="W58" s="16"/>
        <tr r="W58" s="16"/>
      </tp>
      <tp>
        <v>14</v>
        <stp/>
        <stp>StudyData</stp>
        <stp>NGE?61</stp>
        <stp>OI</stp>
        <stp>OIType=Contract</stp>
        <stp>OI</stp>
        <stp>D</stp>
        <stp>-1</stp>
        <stp>ALL</stp>
        <stp/>
        <stp/>
        <stp>TRUE</stp>
        <stp>T</stp>
        <tr r="V68" s="16"/>
        <tr r="V68" s="16"/>
      </tp>
      <tp>
        <v>103</v>
        <stp/>
        <stp>StudyData</stp>
        <stp>NGE?50</stp>
        <stp>OI</stp>
        <stp>OIType=Contract</stp>
        <stp>OI</stp>
        <stp>D</stp>
        <stp>-2</stp>
        <stp>ALL</stp>
        <stp/>
        <stp/>
        <stp>TRUE</stp>
        <stp>T</stp>
        <tr r="W57" s="16"/>
        <tr r="W57" s="16"/>
      </tp>
      <tp>
        <v>14</v>
        <stp/>
        <stp>StudyData</stp>
        <stp>NGE?60</stp>
        <stp>OI</stp>
        <stp>OIType=Contract</stp>
        <stp>OI</stp>
        <stp>D</stp>
        <stp>-1</stp>
        <stp>ALL</stp>
        <stp/>
        <stp/>
        <stp>TRUE</stp>
        <stp>T</stp>
        <tr r="V67" s="16"/>
        <tr r="V67" s="16"/>
      </tp>
      <tp>
        <v>15</v>
        <stp/>
        <stp>StudyData</stp>
        <stp>NGE?57</stp>
        <stp>OI</stp>
        <stp>OIType=Contract</stp>
        <stp>OI</stp>
        <stp>D</stp>
        <stp>-2</stp>
        <stp>ALL</stp>
        <stp/>
        <stp/>
        <stp>TRUE</stp>
        <stp>T</stp>
        <tr r="W64" s="16"/>
        <tr r="W64" s="16"/>
      </tp>
      <tp>
        <v>19</v>
        <stp/>
        <stp>StudyData</stp>
        <stp>NGE?67</stp>
        <stp>OI</stp>
        <stp>OIType=Contract</stp>
        <stp>OI</stp>
        <stp>D</stp>
        <stp>-1</stp>
        <stp>ALL</stp>
        <stp/>
        <stp/>
        <stp>TRUE</stp>
        <stp>T</stp>
        <tr r="V74" s="16"/>
        <tr r="V74" s="16"/>
      </tp>
      <tp>
        <v>14</v>
        <stp/>
        <stp>StudyData</stp>
        <stp>NGE?56</stp>
        <stp>OI</stp>
        <stp>OIType=Contract</stp>
        <stp>OI</stp>
        <stp>D</stp>
        <stp>-2</stp>
        <stp>ALL</stp>
        <stp/>
        <stp/>
        <stp>TRUE</stp>
        <stp>T</stp>
        <tr r="W63" s="16"/>
        <tr r="W63" s="16"/>
      </tp>
      <tp>
        <v>12</v>
        <stp/>
        <stp>StudyData</stp>
        <stp>NGE?66</stp>
        <stp>OI</stp>
        <stp>OIType=Contract</stp>
        <stp>OI</stp>
        <stp>D</stp>
        <stp>-1</stp>
        <stp>ALL</stp>
        <stp/>
        <stp/>
        <stp>TRUE</stp>
        <stp>T</stp>
        <tr r="V73" s="16"/>
        <tr r="V73" s="16"/>
      </tp>
      <tp>
        <v>20</v>
        <stp/>
        <stp>StudyData</stp>
        <stp>NGE?55</stp>
        <stp>OI</stp>
        <stp>OIType=Contract</stp>
        <stp>OI</stp>
        <stp>D</stp>
        <stp>-2</stp>
        <stp>ALL</stp>
        <stp/>
        <stp/>
        <stp>TRUE</stp>
        <stp>T</stp>
        <tr r="W62" s="16"/>
        <tr r="W62" s="16"/>
      </tp>
      <tp>
        <v>12</v>
        <stp/>
        <stp>StudyData</stp>
        <stp>NGE?65</stp>
        <stp>OI</stp>
        <stp>OIType=Contract</stp>
        <stp>OI</stp>
        <stp>D</stp>
        <stp>-1</stp>
        <stp>ALL</stp>
        <stp/>
        <stp/>
        <stp>TRUE</stp>
        <stp>T</stp>
        <tr r="V72" s="16"/>
        <tr r="V72" s="16"/>
      </tp>
      <tp>
        <v>14</v>
        <stp/>
        <stp>StudyData</stp>
        <stp>NGE?54</stp>
        <stp>OI</stp>
        <stp>OIType=Contract</stp>
        <stp>OI</stp>
        <stp>D</stp>
        <stp>-2</stp>
        <stp>ALL</stp>
        <stp/>
        <stp/>
        <stp>TRUE</stp>
        <stp>T</stp>
        <tr r="W61" s="16"/>
        <tr r="W61" s="16"/>
      </tp>
      <tp>
        <v>1</v>
        <stp/>
        <stp>StudyData</stp>
        <stp>NGE?64</stp>
        <stp>OI</stp>
        <stp>OIType=Contract</stp>
        <stp>OI</stp>
        <stp>D</stp>
        <stp>-1</stp>
        <stp>ALL</stp>
        <stp/>
        <stp/>
        <stp>TRUE</stp>
        <stp>T</stp>
        <tr r="V71" s="16"/>
        <tr r="V71" s="16"/>
      </tp>
      <tp>
        <v>72</v>
        <stp/>
        <stp>StudyData</stp>
        <stp>NGE?49</stp>
        <stp>OI</stp>
        <stp>OIType=Contract</stp>
        <stp>OI</stp>
        <stp>D</stp>
        <stp>-2</stp>
        <stp>ALL</stp>
        <stp/>
        <stp/>
        <stp>TRUE</stp>
        <stp>T</stp>
        <tr r="W56" s="16"/>
        <tr r="W56" s="16"/>
      </tp>
      <tp>
        <v>2</v>
        <stp/>
        <stp>StudyData</stp>
        <stp>NGE?79</stp>
        <stp>OI</stp>
        <stp>OIType=Contract</stp>
        <stp>OI</stp>
        <stp>D</stp>
        <stp>-1</stp>
        <stp>ALL</stp>
        <stp/>
        <stp/>
        <stp>TRUE</stp>
        <stp>T</stp>
        <tr r="V86" s="16"/>
        <tr r="V86" s="16"/>
      </tp>
      <tp>
        <v>73</v>
        <stp/>
        <stp>StudyData</stp>
        <stp>NGE?48</stp>
        <stp>OI</stp>
        <stp>OIType=Contract</stp>
        <stp>OI</stp>
        <stp>D</stp>
        <stp>-2</stp>
        <stp>ALL</stp>
        <stp/>
        <stp/>
        <stp>TRUE</stp>
        <stp>T</stp>
        <tr r="W55" s="16"/>
        <tr r="W55" s="16"/>
      </tp>
      <tp t="s">
        <v/>
        <stp/>
        <stp>StudyData</stp>
        <stp>NGE?78</stp>
        <stp>OI</stp>
        <stp>OIType=Contract</stp>
        <stp>OI</stp>
        <stp>D</stp>
        <stp>-1</stp>
        <stp>ALL</stp>
        <stp/>
        <stp/>
        <stp>TRUE</stp>
        <stp>T</stp>
        <tr r="V85" s="16"/>
        <tr r="V85" s="16"/>
      </tp>
      <tp>
        <v>102</v>
        <stp/>
        <stp>StudyData</stp>
        <stp>NGE?43</stp>
        <stp>OI</stp>
        <stp>OIType=Contract</stp>
        <stp>OI</stp>
        <stp>D</stp>
        <stp>-2</stp>
        <stp>ALL</stp>
        <stp/>
        <stp/>
        <stp>TRUE</stp>
        <stp>T</stp>
        <tr r="W50" s="16"/>
        <tr r="W50" s="16"/>
      </tp>
      <tp>
        <v>1</v>
        <stp/>
        <stp>StudyData</stp>
        <stp>NGE?73</stp>
        <stp>OI</stp>
        <stp>OIType=Contract</stp>
        <stp>OI</stp>
        <stp>D</stp>
        <stp>-1</stp>
        <stp>ALL</stp>
        <stp/>
        <stp/>
        <stp>TRUE</stp>
        <stp>T</stp>
        <tr r="V80" s="16"/>
        <tr r="V80" s="16"/>
      </tp>
      <tp>
        <v>110</v>
        <stp/>
        <stp>StudyData</stp>
        <stp>NGE?42</stp>
        <stp>OI</stp>
        <stp>OIType=Contract</stp>
        <stp>OI</stp>
        <stp>D</stp>
        <stp>-2</stp>
        <stp>ALL</stp>
        <stp/>
        <stp/>
        <stp>TRUE</stp>
        <stp>T</stp>
        <tr r="W49" s="16"/>
        <tr r="W49" s="16"/>
      </tp>
      <tp>
        <v>16</v>
        <stp/>
        <stp>StudyData</stp>
        <stp>NGE?72</stp>
        <stp>OI</stp>
        <stp>OIType=Contract</stp>
        <stp>OI</stp>
        <stp>D</stp>
        <stp>-1</stp>
        <stp>ALL</stp>
        <stp/>
        <stp/>
        <stp>TRUE</stp>
        <stp>T</stp>
        <tr r="V79" s="16"/>
        <tr r="V79" s="16"/>
      </tp>
      <tp>
        <v>184</v>
        <stp/>
        <stp>StudyData</stp>
        <stp>NGE?41</stp>
        <stp>OI</stp>
        <stp>OIType=Contract</stp>
        <stp>OI</stp>
        <stp>D</stp>
        <stp>-2</stp>
        <stp>ALL</stp>
        <stp/>
        <stp/>
        <stp>TRUE</stp>
        <stp>T</stp>
        <tr r="W48" s="16"/>
        <tr r="W48" s="16"/>
      </tp>
      <tp>
        <v>1</v>
        <stp/>
        <stp>StudyData</stp>
        <stp>NGE?71</stp>
        <stp>OI</stp>
        <stp>OIType=Contract</stp>
        <stp>OI</stp>
        <stp>D</stp>
        <stp>-1</stp>
        <stp>ALL</stp>
        <stp/>
        <stp/>
        <stp>TRUE</stp>
        <stp>T</stp>
        <tr r="V78" s="16"/>
        <tr r="V78" s="16"/>
      </tp>
      <tp>
        <v>186</v>
        <stp/>
        <stp>StudyData</stp>
        <stp>NGE?40</stp>
        <stp>OI</stp>
        <stp>OIType=Contract</stp>
        <stp>OI</stp>
        <stp>D</stp>
        <stp>-2</stp>
        <stp>ALL</stp>
        <stp/>
        <stp/>
        <stp>TRUE</stp>
        <stp>T</stp>
        <tr r="W47" s="16"/>
        <tr r="W47" s="16"/>
      </tp>
      <tp>
        <v>23</v>
        <stp/>
        <stp>StudyData</stp>
        <stp>NGE?70</stp>
        <stp>OI</stp>
        <stp>OIType=Contract</stp>
        <stp>OI</stp>
        <stp>D</stp>
        <stp>-1</stp>
        <stp>ALL</stp>
        <stp/>
        <stp/>
        <stp>TRUE</stp>
        <stp>T</stp>
        <tr r="V77" s="16"/>
        <tr r="V77" s="16"/>
      </tp>
      <tp>
        <v>96</v>
        <stp/>
        <stp>StudyData</stp>
        <stp>NGE?47</stp>
        <stp>OI</stp>
        <stp>OIType=Contract</stp>
        <stp>OI</stp>
        <stp>D</stp>
        <stp>-2</stp>
        <stp>ALL</stp>
        <stp/>
        <stp/>
        <stp>TRUE</stp>
        <stp>T</stp>
        <tr r="W54" s="16"/>
        <tr r="W54" s="16"/>
      </tp>
      <tp t="s">
        <v/>
        <stp/>
        <stp>StudyData</stp>
        <stp>NGE?77</stp>
        <stp>OI</stp>
        <stp>OIType=Contract</stp>
        <stp>OI</stp>
        <stp>D</stp>
        <stp>-1</stp>
        <stp>ALL</stp>
        <stp/>
        <stp/>
        <stp>TRUE</stp>
        <stp>T</stp>
        <tr r="V84" s="16"/>
        <tr r="V84" s="16"/>
      </tp>
      <tp>
        <v>92</v>
        <stp/>
        <stp>StudyData</stp>
        <stp>NGE?46</stp>
        <stp>OI</stp>
        <stp>OIType=Contract</stp>
        <stp>OI</stp>
        <stp>D</stp>
        <stp>-2</stp>
        <stp>ALL</stp>
        <stp/>
        <stp/>
        <stp>TRUE</stp>
        <stp>T</stp>
        <tr r="W53" s="16"/>
        <tr r="W53" s="16"/>
      </tp>
      <tp t="s">
        <v/>
        <stp/>
        <stp>StudyData</stp>
        <stp>NGE?76</stp>
        <stp>OI</stp>
        <stp>OIType=Contract</stp>
        <stp>OI</stp>
        <stp>D</stp>
        <stp>-1</stp>
        <stp>ALL</stp>
        <stp/>
        <stp/>
        <stp>TRUE</stp>
        <stp>T</stp>
        <tr r="V83" s="16"/>
        <tr r="V83" s="16"/>
      </tp>
      <tp>
        <v>89</v>
        <stp/>
        <stp>StudyData</stp>
        <stp>NGE?45</stp>
        <stp>OI</stp>
        <stp>OIType=Contract</stp>
        <stp>OI</stp>
        <stp>D</stp>
        <stp>-2</stp>
        <stp>ALL</stp>
        <stp/>
        <stp/>
        <stp>TRUE</stp>
        <stp>T</stp>
        <tr r="W52" s="16"/>
        <tr r="W52" s="16"/>
      </tp>
      <tp t="s">
        <v/>
        <stp/>
        <stp>StudyData</stp>
        <stp>NGE?75</stp>
        <stp>OI</stp>
        <stp>OIType=Contract</stp>
        <stp>OI</stp>
        <stp>D</stp>
        <stp>-1</stp>
        <stp>ALL</stp>
        <stp/>
        <stp/>
        <stp>TRUE</stp>
        <stp>T</stp>
        <tr r="V82" s="16"/>
        <tr r="V82" s="16"/>
      </tp>
      <tp>
        <v>89</v>
        <stp/>
        <stp>StudyData</stp>
        <stp>NGE?44</stp>
        <stp>OI</stp>
        <stp>OIType=Contract</stp>
        <stp>OI</stp>
        <stp>D</stp>
        <stp>-2</stp>
        <stp>ALL</stp>
        <stp/>
        <stp/>
        <stp>TRUE</stp>
        <stp>T</stp>
        <tr r="W51" s="16"/>
        <tr r="W51" s="16"/>
      </tp>
      <tp>
        <v>1</v>
        <stp/>
        <stp>StudyData</stp>
        <stp>NGE?74</stp>
        <stp>OI</stp>
        <stp>OIType=Contract</stp>
        <stp>OI</stp>
        <stp>D</stp>
        <stp>-1</stp>
        <stp>ALL</stp>
        <stp/>
        <stp/>
        <stp>TRUE</stp>
        <stp>T</stp>
        <tr r="V81" s="16"/>
        <tr r="V81" s="16"/>
      </tp>
      <tp>
        <v>72</v>
        <stp/>
        <stp>StudyData</stp>
        <stp>NGE?49</stp>
        <stp>OI</stp>
        <stp>OIType=Contract</stp>
        <stp>OI</stp>
        <stp>D</stp>
        <stp>-1</stp>
        <stp>ALL</stp>
        <stp/>
        <stp/>
        <stp>TRUE</stp>
        <stp>T</stp>
        <tr r="V56" s="16"/>
        <tr r="V56" s="16"/>
      </tp>
      <tp>
        <v>2</v>
        <stp/>
        <stp>StudyData</stp>
        <stp>NGE?79</stp>
        <stp>OI</stp>
        <stp>OIType=Contract</stp>
        <stp>OI</stp>
        <stp>D</stp>
        <stp>-2</stp>
        <stp>ALL</stp>
        <stp/>
        <stp/>
        <stp>TRUE</stp>
        <stp>T</stp>
        <tr r="W86" s="16"/>
        <tr r="W86" s="16"/>
      </tp>
      <tp>
        <v>73</v>
        <stp/>
        <stp>StudyData</stp>
        <stp>NGE?48</stp>
        <stp>OI</stp>
        <stp>OIType=Contract</stp>
        <stp>OI</stp>
        <stp>D</stp>
        <stp>-1</stp>
        <stp>ALL</stp>
        <stp/>
        <stp/>
        <stp>TRUE</stp>
        <stp>T</stp>
        <tr r="V55" s="16"/>
        <tr r="V55" s="16"/>
      </tp>
      <tp t="s">
        <v/>
        <stp/>
        <stp>StudyData</stp>
        <stp>NGE?78</stp>
        <stp>OI</stp>
        <stp>OIType=Contract</stp>
        <stp>OI</stp>
        <stp>D</stp>
        <stp>-2</stp>
        <stp>ALL</stp>
        <stp/>
        <stp/>
        <stp>TRUE</stp>
        <stp>T</stp>
        <tr r="W85" s="16"/>
        <tr r="W85" s="16"/>
      </tp>
      <tp>
        <v>102</v>
        <stp/>
        <stp>StudyData</stp>
        <stp>NGE?43</stp>
        <stp>OI</stp>
        <stp>OIType=Contract</stp>
        <stp>OI</stp>
        <stp>D</stp>
        <stp>-1</stp>
        <stp>ALL</stp>
        <stp/>
        <stp/>
        <stp>TRUE</stp>
        <stp>T</stp>
        <tr r="V50" s="16"/>
        <tr r="V50" s="16"/>
      </tp>
      <tp>
        <v>1</v>
        <stp/>
        <stp>StudyData</stp>
        <stp>NGE?73</stp>
        <stp>OI</stp>
        <stp>OIType=Contract</stp>
        <stp>OI</stp>
        <stp>D</stp>
        <stp>-2</stp>
        <stp>ALL</stp>
        <stp/>
        <stp/>
        <stp>TRUE</stp>
        <stp>T</stp>
        <tr r="W80" s="16"/>
        <tr r="W80" s="16"/>
      </tp>
      <tp>
        <v>110</v>
        <stp/>
        <stp>StudyData</stp>
        <stp>NGE?42</stp>
        <stp>OI</stp>
        <stp>OIType=Contract</stp>
        <stp>OI</stp>
        <stp>D</stp>
        <stp>-1</stp>
        <stp>ALL</stp>
        <stp/>
        <stp/>
        <stp>TRUE</stp>
        <stp>T</stp>
        <tr r="V49" s="16"/>
        <tr r="V49" s="16"/>
      </tp>
      <tp>
        <v>16</v>
        <stp/>
        <stp>StudyData</stp>
        <stp>NGE?72</stp>
        <stp>OI</stp>
        <stp>OIType=Contract</stp>
        <stp>OI</stp>
        <stp>D</stp>
        <stp>-2</stp>
        <stp>ALL</stp>
        <stp/>
        <stp/>
        <stp>TRUE</stp>
        <stp>T</stp>
        <tr r="W79" s="16"/>
        <tr r="W79" s="16"/>
      </tp>
      <tp>
        <v>184</v>
        <stp/>
        <stp>StudyData</stp>
        <stp>NGE?41</stp>
        <stp>OI</stp>
        <stp>OIType=Contract</stp>
        <stp>OI</stp>
        <stp>D</stp>
        <stp>-1</stp>
        <stp>ALL</stp>
        <stp/>
        <stp/>
        <stp>TRUE</stp>
        <stp>T</stp>
        <tr r="V48" s="16"/>
        <tr r="V48" s="16"/>
      </tp>
      <tp>
        <v>1</v>
        <stp/>
        <stp>StudyData</stp>
        <stp>NGE?71</stp>
        <stp>OI</stp>
        <stp>OIType=Contract</stp>
        <stp>OI</stp>
        <stp>D</stp>
        <stp>-2</stp>
        <stp>ALL</stp>
        <stp/>
        <stp/>
        <stp>TRUE</stp>
        <stp>T</stp>
        <tr r="W78" s="16"/>
        <tr r="W78" s="16"/>
      </tp>
      <tp>
        <v>186</v>
        <stp/>
        <stp>StudyData</stp>
        <stp>NGE?40</stp>
        <stp>OI</stp>
        <stp>OIType=Contract</stp>
        <stp>OI</stp>
        <stp>D</stp>
        <stp>-1</stp>
        <stp>ALL</stp>
        <stp/>
        <stp/>
        <stp>TRUE</stp>
        <stp>T</stp>
        <tr r="V47" s="16"/>
        <tr r="V47" s="16"/>
      </tp>
      <tp>
        <v>23</v>
        <stp/>
        <stp>StudyData</stp>
        <stp>NGE?70</stp>
        <stp>OI</stp>
        <stp>OIType=Contract</stp>
        <stp>OI</stp>
        <stp>D</stp>
        <stp>-2</stp>
        <stp>ALL</stp>
        <stp/>
        <stp/>
        <stp>TRUE</stp>
        <stp>T</stp>
        <tr r="W77" s="16"/>
        <tr r="W77" s="16"/>
      </tp>
      <tp>
        <v>96</v>
        <stp/>
        <stp>StudyData</stp>
        <stp>NGE?47</stp>
        <stp>OI</stp>
        <stp>OIType=Contract</stp>
        <stp>OI</stp>
        <stp>D</stp>
        <stp>-1</stp>
        <stp>ALL</stp>
        <stp/>
        <stp/>
        <stp>TRUE</stp>
        <stp>T</stp>
        <tr r="V54" s="16"/>
        <tr r="V54" s="16"/>
      </tp>
      <tp t="s">
        <v/>
        <stp/>
        <stp>StudyData</stp>
        <stp>NGE?77</stp>
        <stp>OI</stp>
        <stp>OIType=Contract</stp>
        <stp>OI</stp>
        <stp>D</stp>
        <stp>-2</stp>
        <stp>ALL</stp>
        <stp/>
        <stp/>
        <stp>TRUE</stp>
        <stp>T</stp>
        <tr r="W84" s="16"/>
        <tr r="W84" s="16"/>
      </tp>
      <tp>
        <v>92</v>
        <stp/>
        <stp>StudyData</stp>
        <stp>NGE?46</stp>
        <stp>OI</stp>
        <stp>OIType=Contract</stp>
        <stp>OI</stp>
        <stp>D</stp>
        <stp>-1</stp>
        <stp>ALL</stp>
        <stp/>
        <stp/>
        <stp>TRUE</stp>
        <stp>T</stp>
        <tr r="V53" s="16"/>
        <tr r="V53" s="16"/>
      </tp>
      <tp t="s">
        <v/>
        <stp/>
        <stp>StudyData</stp>
        <stp>NGE?76</stp>
        <stp>OI</stp>
        <stp>OIType=Contract</stp>
        <stp>OI</stp>
        <stp>D</stp>
        <stp>-2</stp>
        <stp>ALL</stp>
        <stp/>
        <stp/>
        <stp>TRUE</stp>
        <stp>T</stp>
        <tr r="W83" s="16"/>
        <tr r="W83" s="16"/>
      </tp>
      <tp>
        <v>89</v>
        <stp/>
        <stp>StudyData</stp>
        <stp>NGE?45</stp>
        <stp>OI</stp>
        <stp>OIType=Contract</stp>
        <stp>OI</stp>
        <stp>D</stp>
        <stp>-1</stp>
        <stp>ALL</stp>
        <stp/>
        <stp/>
        <stp>TRUE</stp>
        <stp>T</stp>
        <tr r="V52" s="16"/>
        <tr r="V52" s="16"/>
      </tp>
      <tp t="s">
        <v/>
        <stp/>
        <stp>StudyData</stp>
        <stp>NGE?75</stp>
        <stp>OI</stp>
        <stp>OIType=Contract</stp>
        <stp>OI</stp>
        <stp>D</stp>
        <stp>-2</stp>
        <stp>ALL</stp>
        <stp/>
        <stp/>
        <stp>TRUE</stp>
        <stp>T</stp>
        <tr r="W82" s="16"/>
        <tr r="W82" s="16"/>
      </tp>
      <tp>
        <v>89</v>
        <stp/>
        <stp>StudyData</stp>
        <stp>NGE?44</stp>
        <stp>OI</stp>
        <stp>OIType=Contract</stp>
        <stp>OI</stp>
        <stp>D</stp>
        <stp>-1</stp>
        <stp>ALL</stp>
        <stp/>
        <stp/>
        <stp>TRUE</stp>
        <stp>T</stp>
        <tr r="V51" s="16"/>
        <tr r="V51" s="16"/>
      </tp>
      <tp>
        <v>1</v>
        <stp/>
        <stp>StudyData</stp>
        <stp>NGE?74</stp>
        <stp>OI</stp>
        <stp>OIType=Contract</stp>
        <stp>OI</stp>
        <stp>D</stp>
        <stp>-2</stp>
        <stp>ALL</stp>
        <stp/>
        <stp/>
        <stp>TRUE</stp>
        <stp>T</stp>
        <tr r="W81" s="16"/>
        <tr r="W81" s="16"/>
      </tp>
      <tp>
        <v>14</v>
        <stp/>
        <stp>StudyData</stp>
        <stp>NGE?59</stp>
        <stp>OI</stp>
        <stp>OIType=Contract</stp>
        <stp>OI</stp>
        <stp>D</stp>
        <stp>-1</stp>
        <stp>ALL</stp>
        <stp/>
        <stp/>
        <stp>TRUE</stp>
        <stp>T</stp>
        <tr r="V66" s="16"/>
        <tr r="V66" s="16"/>
      </tp>
      <tp>
        <v>12</v>
        <stp/>
        <stp>StudyData</stp>
        <stp>NGE?69</stp>
        <stp>OI</stp>
        <stp>OIType=Contract</stp>
        <stp>OI</stp>
        <stp>D</stp>
        <stp>-2</stp>
        <stp>ALL</stp>
        <stp/>
        <stp/>
        <stp>TRUE</stp>
        <stp>T</stp>
        <tr r="W76" s="16"/>
        <tr r="W76" s="16"/>
      </tp>
      <tp>
        <v>15</v>
        <stp/>
        <stp>StudyData</stp>
        <stp>NGE?58</stp>
        <stp>OI</stp>
        <stp>OIType=Contract</stp>
        <stp>OI</stp>
        <stp>D</stp>
        <stp>-1</stp>
        <stp>ALL</stp>
        <stp/>
        <stp/>
        <stp>TRUE</stp>
        <stp>T</stp>
        <tr r="V65" s="16"/>
        <tr r="V65" s="16"/>
      </tp>
      <tp>
        <v>12</v>
        <stp/>
        <stp>StudyData</stp>
        <stp>NGE?68</stp>
        <stp>OI</stp>
        <stp>OIType=Contract</stp>
        <stp>OI</stp>
        <stp>D</stp>
        <stp>-2</stp>
        <stp>ALL</stp>
        <stp/>
        <stp/>
        <stp>TRUE</stp>
        <stp>T</stp>
        <tr r="W75" s="16"/>
        <tr r="W75" s="16"/>
      </tp>
      <tp>
        <v>19</v>
        <stp/>
        <stp>StudyData</stp>
        <stp>NGE?53</stp>
        <stp>OI</stp>
        <stp>OIType=Contract</stp>
        <stp>OI</stp>
        <stp>D</stp>
        <stp>-1</stp>
        <stp>ALL</stp>
        <stp/>
        <stp/>
        <stp>TRUE</stp>
        <stp>T</stp>
        <tr r="V60" s="16"/>
        <tr r="V60" s="16"/>
      </tp>
      <tp>
        <v>4</v>
        <stp/>
        <stp>StudyData</stp>
        <stp>NGE?63</stp>
        <stp>OI</stp>
        <stp>OIType=Contract</stp>
        <stp>OI</stp>
        <stp>D</stp>
        <stp>-2</stp>
        <stp>ALL</stp>
        <stp/>
        <stp/>
        <stp>TRUE</stp>
        <stp>T</stp>
        <tr r="W70" s="16"/>
        <tr r="W70" s="16"/>
      </tp>
      <tp>
        <v>22</v>
        <stp/>
        <stp>StudyData</stp>
        <stp>NGE?52</stp>
        <stp>OI</stp>
        <stp>OIType=Contract</stp>
        <stp>OI</stp>
        <stp>D</stp>
        <stp>-1</stp>
        <stp>ALL</stp>
        <stp/>
        <stp/>
        <stp>TRUE</stp>
        <stp>T</stp>
        <tr r="V59" s="16"/>
        <tr r="V59" s="16"/>
      </tp>
      <tp>
        <v>19</v>
        <stp/>
        <stp>StudyData</stp>
        <stp>NGE?62</stp>
        <stp>OI</stp>
        <stp>OIType=Contract</stp>
        <stp>OI</stp>
        <stp>D</stp>
        <stp>-2</stp>
        <stp>ALL</stp>
        <stp/>
        <stp/>
        <stp>TRUE</stp>
        <stp>T</stp>
        <tr r="W69" s="16"/>
        <tr r="W69" s="16"/>
      </tp>
      <tp>
        <v>18</v>
        <stp/>
        <stp>StudyData</stp>
        <stp>NGE?51</stp>
        <stp>OI</stp>
        <stp>OIType=Contract</stp>
        <stp>OI</stp>
        <stp>D</stp>
        <stp>-1</stp>
        <stp>ALL</stp>
        <stp/>
        <stp/>
        <stp>TRUE</stp>
        <stp>T</stp>
        <tr r="V58" s="16"/>
        <tr r="V58" s="16"/>
      </tp>
      <tp>
        <v>14</v>
        <stp/>
        <stp>StudyData</stp>
        <stp>NGE?61</stp>
        <stp>OI</stp>
        <stp>OIType=Contract</stp>
        <stp>OI</stp>
        <stp>D</stp>
        <stp>-2</stp>
        <stp>ALL</stp>
        <stp/>
        <stp/>
        <stp>TRUE</stp>
        <stp>T</stp>
        <tr r="W68" s="16"/>
        <tr r="W68" s="16"/>
      </tp>
      <tp>
        <v>103</v>
        <stp/>
        <stp>StudyData</stp>
        <stp>NGE?50</stp>
        <stp>OI</stp>
        <stp>OIType=Contract</stp>
        <stp>OI</stp>
        <stp>D</stp>
        <stp>-1</stp>
        <stp>ALL</stp>
        <stp/>
        <stp/>
        <stp>TRUE</stp>
        <stp>T</stp>
        <tr r="V57" s="16"/>
        <tr r="V57" s="16"/>
      </tp>
      <tp>
        <v>14</v>
        <stp/>
        <stp>StudyData</stp>
        <stp>NGE?60</stp>
        <stp>OI</stp>
        <stp>OIType=Contract</stp>
        <stp>OI</stp>
        <stp>D</stp>
        <stp>-2</stp>
        <stp>ALL</stp>
        <stp/>
        <stp/>
        <stp>TRUE</stp>
        <stp>T</stp>
        <tr r="W67" s="16"/>
        <tr r="W67" s="16"/>
      </tp>
      <tp>
        <v>15</v>
        <stp/>
        <stp>StudyData</stp>
        <stp>NGE?57</stp>
        <stp>OI</stp>
        <stp>OIType=Contract</stp>
        <stp>OI</stp>
        <stp>D</stp>
        <stp>-1</stp>
        <stp>ALL</stp>
        <stp/>
        <stp/>
        <stp>TRUE</stp>
        <stp>T</stp>
        <tr r="V64" s="16"/>
        <tr r="V64" s="16"/>
      </tp>
      <tp>
        <v>19</v>
        <stp/>
        <stp>StudyData</stp>
        <stp>NGE?67</stp>
        <stp>OI</stp>
        <stp>OIType=Contract</stp>
        <stp>OI</stp>
        <stp>D</stp>
        <stp>-2</stp>
        <stp>ALL</stp>
        <stp/>
        <stp/>
        <stp>TRUE</stp>
        <stp>T</stp>
        <tr r="W74" s="16"/>
        <tr r="W74" s="16"/>
      </tp>
      <tp>
        <v>14</v>
        <stp/>
        <stp>StudyData</stp>
        <stp>NGE?56</stp>
        <stp>OI</stp>
        <stp>OIType=Contract</stp>
        <stp>OI</stp>
        <stp>D</stp>
        <stp>-1</stp>
        <stp>ALL</stp>
        <stp/>
        <stp/>
        <stp>TRUE</stp>
        <stp>T</stp>
        <tr r="V63" s="16"/>
        <tr r="V63" s="16"/>
      </tp>
      <tp>
        <v>12</v>
        <stp/>
        <stp>StudyData</stp>
        <stp>NGE?66</stp>
        <stp>OI</stp>
        <stp>OIType=Contract</stp>
        <stp>OI</stp>
        <stp>D</stp>
        <stp>-2</stp>
        <stp>ALL</stp>
        <stp/>
        <stp/>
        <stp>TRUE</stp>
        <stp>T</stp>
        <tr r="W73" s="16"/>
        <tr r="W73" s="16"/>
      </tp>
      <tp>
        <v>20</v>
        <stp/>
        <stp>StudyData</stp>
        <stp>NGE?55</stp>
        <stp>OI</stp>
        <stp>OIType=Contract</stp>
        <stp>OI</stp>
        <stp>D</stp>
        <stp>-1</stp>
        <stp>ALL</stp>
        <stp/>
        <stp/>
        <stp>TRUE</stp>
        <stp>T</stp>
        <tr r="V62" s="16"/>
        <tr r="V62" s="16"/>
      </tp>
      <tp>
        <v>12</v>
        <stp/>
        <stp>StudyData</stp>
        <stp>NGE?65</stp>
        <stp>OI</stp>
        <stp>OIType=Contract</stp>
        <stp>OI</stp>
        <stp>D</stp>
        <stp>-2</stp>
        <stp>ALL</stp>
        <stp/>
        <stp/>
        <stp>TRUE</stp>
        <stp>T</stp>
        <tr r="W72" s="16"/>
        <tr r="W72" s="16"/>
      </tp>
      <tp>
        <v>14</v>
        <stp/>
        <stp>StudyData</stp>
        <stp>NGE?54</stp>
        <stp>OI</stp>
        <stp>OIType=Contract</stp>
        <stp>OI</stp>
        <stp>D</stp>
        <stp>-1</stp>
        <stp>ALL</stp>
        <stp/>
        <stp/>
        <stp>TRUE</stp>
        <stp>T</stp>
        <tr r="V61" s="16"/>
        <tr r="V61" s="16"/>
      </tp>
      <tp>
        <v>1</v>
        <stp/>
        <stp>StudyData</stp>
        <stp>NGE?64</stp>
        <stp>OI</stp>
        <stp>OIType=Contract</stp>
        <stp>OI</stp>
        <stp>D</stp>
        <stp>-2</stp>
        <stp>ALL</stp>
        <stp/>
        <stp/>
        <stp>TRUE</stp>
        <stp>T</stp>
        <tr r="W71" s="16"/>
        <tr r="W71" s="16"/>
      </tp>
      <tp>
        <v>-0.24299999999999999</v>
        <stp/>
        <stp>StudyData</stp>
        <stp>Close(NGES4??12)when (LocalMonth(NGES4??12)=9 and LocalDay(NGES4??12)=14 and LocalYear(NGES4??12)=2017)</stp>
        <stp>Bar</stp>
        <stp/>
        <stp>Close</stp>
        <stp>D</stp>
        <stp>0</stp>
        <stp>ALL</stp>
        <stp/>
        <stp/>
        <stp>FALSE</stp>
        <stp>T</stp>
        <tr r="K27" s="9"/>
      </tp>
      <tp>
        <v>-0.24199999999999999</v>
        <stp/>
        <stp>StudyData</stp>
        <stp>Close(NGES6??10)when (LocalMonth(NGES6??10)=9 and LocalDay(NGES6??10)=14 and LocalYear(NGES6??10)=2017)</stp>
        <stp>Bar</stp>
        <stp/>
        <stp>Close</stp>
        <stp>D</stp>
        <stp>0</stp>
        <stp>ALL</stp>
        <stp/>
        <stp/>
        <stp>FALSE</stp>
        <stp>T</stp>
        <tr r="K25" s="11"/>
      </tp>
      <tp>
        <v>2.90357143</v>
        <stp/>
        <stp>StudyData</stp>
        <stp>Bar(((NGEJ18+NGEK18+NGEM18+NGEN18+NGEQ18+NGEU18+NGEV18)/7),1)</stp>
        <stp>Bar</stp>
        <stp/>
        <stp>Close</stp>
        <stp>D</stp>
        <stp>-38</stp>
        <stp/>
        <stp/>
        <stp/>
        <stp/>
        <stp>T</stp>
        <tr r="S40" s="14"/>
      </tp>
      <tp>
        <v>2.70914286</v>
        <stp/>
        <stp>StudyData</stp>
        <stp>Bar(((NGEJ19+NGEK19+NGEM19+NGEN19+NGEQ19+NGEU19+NGEV19)/7),1)</stp>
        <stp>Bar</stp>
        <stp/>
        <stp>Close</stp>
        <stp>D</stp>
        <stp>-28</stp>
        <stp/>
        <stp/>
        <stp/>
        <stp/>
        <stp>T</stp>
        <tr r="AN30" s="14"/>
      </tp>
      <tp>
        <v>2.90357143</v>
        <stp/>
        <stp>StudyData</stp>
        <stp>Bar(((NGEJ18+NGEK18+NGEM18+NGEN18+NGEQ18+NGEU18+NGEV18)/7),1)</stp>
        <stp>Bar</stp>
        <stp/>
        <stp>Close</stp>
        <stp>D</stp>
        <stp>-28</stp>
        <stp/>
        <stp/>
        <stp/>
        <stp/>
        <stp>T</stp>
        <tr r="S30" s="14"/>
      </tp>
      <tp>
        <v>2.72571429</v>
        <stp/>
        <stp>StudyData</stp>
        <stp>Bar(((NGEJ19+NGEK19+NGEM19+NGEN19+NGEQ19+NGEU19+NGEV19)/7),1)</stp>
        <stp>Bar</stp>
        <stp/>
        <stp>Close</stp>
        <stp>D</stp>
        <stp>-38</stp>
        <stp/>
        <stp/>
        <stp/>
        <stp/>
        <stp>T</stp>
        <tr r="AN40" s="14"/>
      </tp>
      <tp>
        <v>2.9467142900000001</v>
        <stp/>
        <stp>StudyData</stp>
        <stp>Bar(((NGEJ18+NGEK18+NGEM18+NGEN18+NGEQ18+NGEU18+NGEV18)/7),1)</stp>
        <stp>Bar</stp>
        <stp/>
        <stp>Close</stp>
        <stp>D</stp>
        <stp>-18</stp>
        <stp/>
        <stp/>
        <stp/>
        <stp/>
        <stp>T</stp>
        <tr r="S20" s="14"/>
      </tp>
      <tp>
        <v>2.7717142899999998</v>
        <stp/>
        <stp>StudyData</stp>
        <stp>Bar(((NGEJ19+NGEK19+NGEM19+NGEN19+NGEQ19+NGEU19+NGEV19)/7),1)</stp>
        <stp>Bar</stp>
        <stp/>
        <stp>Close</stp>
        <stp>D</stp>
        <stp>-18</stp>
        <stp/>
        <stp/>
        <stp/>
        <stp/>
        <stp>T</stp>
        <tr r="AN20" s="14"/>
      </tp>
      <tp t="s">
        <v/>
        <stp/>
        <stp>ContractData</stp>
        <stp>NGE?46</stp>
        <stp>NetLastTradeToday</stp>
        <stp/>
        <stp>T</stp>
        <tr r="E53" s="16"/>
        <tr r="G53" s="16"/>
      </tp>
      <tp t="s">
        <v/>
        <stp/>
        <stp>ContractData</stp>
        <stp>NGE?47</stp>
        <stp>NetLastTradeToday</stp>
        <stp/>
        <stp>T</stp>
        <tr r="E54" s="16"/>
        <tr r="G54" s="16"/>
      </tp>
      <tp>
        <v>3.0996000000000001</v>
        <stp/>
        <stp>StudyData</stp>
        <stp>Bar(((NGEX17+NGEZ17+NGEF18+NGEG18+NGEH18)/5),1)</stp>
        <stp>Bar</stp>
        <stp/>
        <stp>Open</stp>
        <stp>D</stp>
        <stp>-41</stp>
        <stp/>
        <stp/>
        <stp/>
        <stp/>
        <stp>T</stp>
        <tr r="C43" s="14"/>
      </tp>
      <tp>
        <v>3.2416</v>
        <stp/>
        <stp>StudyData</stp>
        <stp>Bar(((NGEX17+NGEZ17+NGEF18+NGEG18+NGEH18)/5),1)</stp>
        <stp>Bar</stp>
        <stp/>
        <stp>Open</stp>
        <stp>D</stp>
        <stp>-21</stp>
        <stp/>
        <stp/>
        <stp/>
        <stp/>
        <stp>T</stp>
        <tr r="C23" s="14"/>
      </tp>
      <tp>
        <v>3.1932</v>
        <stp/>
        <stp>StudyData</stp>
        <stp>Bar(((NGEX17+NGEZ17+NGEF18+NGEG18+NGEH18)/5),1)</stp>
        <stp>Bar</stp>
        <stp/>
        <stp>Open</stp>
        <stp>D</stp>
        <stp>-31</stp>
        <stp/>
        <stp/>
        <stp/>
        <stp/>
        <stp>T</stp>
        <tr r="C33" s="14"/>
      </tp>
      <tp>
        <v>3.3071999999999999</v>
        <stp/>
        <stp>StudyData</stp>
        <stp>Bar(((NGEX17+NGEZ17+NGEF18+NGEG18+NGEH18)/5),1)</stp>
        <stp>Bar</stp>
        <stp/>
        <stp>Open</stp>
        <stp>D</stp>
        <stp>-11</stp>
        <stp/>
        <stp/>
        <stp/>
        <stp/>
        <stp>T</stp>
        <tr r="C13" s="14"/>
      </tp>
      <tp t="s">
        <v/>
        <stp/>
        <stp>ContractData</stp>
        <stp>NGE?44</stp>
        <stp>NetLastTradeToday</stp>
        <stp/>
        <stp>T</stp>
        <tr r="G51" s="16"/>
        <tr r="E51" s="16"/>
      </tp>
      <tp t="s">
        <v/>
        <stp/>
        <stp>ContractData</stp>
        <stp>NGE?45</stp>
        <stp>NetLastTradeToday</stp>
        <stp/>
        <stp>T</stp>
        <tr r="E52" s="16"/>
        <tr r="G52" s="16"/>
      </tp>
      <tp t="s">
        <v/>
        <stp/>
        <stp>ContractData</stp>
        <stp>NGE?42</stp>
        <stp>NetLastTradeToday</stp>
        <stp/>
        <stp>T</stp>
        <tr r="G49" s="16"/>
        <tr r="E49" s="16"/>
      </tp>
      <tp t="s">
        <v/>
        <stp/>
        <stp>ContractData</stp>
        <stp>NGE?43</stp>
        <stp>NetLastTradeToday</stp>
        <stp/>
        <stp>T</stp>
        <tr r="G50" s="16"/>
        <tr r="E50" s="16"/>
      </tp>
      <tp t="s">
        <v/>
        <stp/>
        <stp>ContractData</stp>
        <stp>NGE?40</stp>
        <stp>NetLastTradeToday</stp>
        <stp/>
        <stp>T</stp>
        <tr r="G47" s="16"/>
        <tr r="E47" s="16"/>
      </tp>
      <tp t="s">
        <v/>
        <stp/>
        <stp>ContractData</stp>
        <stp>NGE?41</stp>
        <stp>NetLastTradeToday</stp>
        <stp/>
        <stp>T</stp>
        <tr r="E48" s="16"/>
        <tr r="G48" s="16"/>
      </tp>
      <tp t="s">
        <v/>
        <stp/>
        <stp>ContractData</stp>
        <stp>NGE?48</stp>
        <stp>NetLastTradeToday</stp>
        <stp/>
        <stp>T</stp>
        <tr r="G55" s="16"/>
        <tr r="E55" s="16"/>
      </tp>
      <tp t="s">
        <v/>
        <stp/>
        <stp>ContractData</stp>
        <stp>NGE?49</stp>
        <stp>NetLastTradeToday</stp>
        <stp/>
        <stp>T</stp>
        <tr r="E56" s="16"/>
        <tr r="G56" s="16"/>
      </tp>
      <tp>
        <v>2.9331428599999998</v>
        <stp/>
        <stp>StudyData</stp>
        <stp>Bar(((NGEJ18+NGEK18+NGEM18+NGEN18+NGEQ18+NGEU18+NGEV18)/7),1)</stp>
        <stp>Bar</stp>
        <stp/>
        <stp>Close</stp>
        <stp>D</stp>
        <stp>-9</stp>
        <stp/>
        <stp/>
        <stp/>
        <stp/>
        <stp>T</stp>
        <tr r="S11" s="14"/>
      </tp>
      <tp>
        <v>2.77042857</v>
        <stp/>
        <stp>StudyData</stp>
        <stp>Bar(((NGEJ19+NGEK19+NGEM19+NGEN19+NGEQ19+NGEU19+NGEV19)/7),1)</stp>
        <stp>Bar</stp>
        <stp/>
        <stp>Close</stp>
        <stp>D</stp>
        <stp>-8</stp>
        <stp/>
        <stp/>
        <stp/>
        <stp/>
        <stp>T</stp>
        <tr r="AN10" s="14"/>
      </tp>
      <tp>
        <v>-5.0999999999999997E-2</v>
        <stp/>
        <stp>StudyData</stp>
        <stp>Close(NGES4??9)when (LocalMonth(NGES4??9)=9 and LocalDay(NGES4??9)=14 and LocalYear(NGES4??9)=2017)</stp>
        <stp>Bar</stp>
        <stp/>
        <stp>Close</stp>
        <stp>D</stp>
        <stp>0</stp>
        <stp>ALL</stp>
        <stp/>
        <stp/>
        <stp>FALSE</stp>
        <stp>T</stp>
        <tr r="K24" s="9"/>
      </tp>
      <tp>
        <v>-7.4999999999999997E-2</v>
        <stp/>
        <stp>StudyData</stp>
        <stp>Close(NGES5??8)when (LocalMonth(NGES5??8)=9 and LocalDay(NGES5??8)=14 and LocalYear(NGES5??8)=2017)</stp>
        <stp>Bar</stp>
        <stp/>
        <stp>Close</stp>
        <stp>D</stp>
        <stp>0</stp>
        <stp>ALL</stp>
        <stp/>
        <stp/>
        <stp>FALSE</stp>
        <stp>T</stp>
        <tr r="K23" s="10"/>
      </tp>
      <tp t="s">
        <v>2.759 A</v>
        <stp/>
        <stp>ContractData</stp>
        <stp>SPREAD((NGEJ19+NGEK19+NGEM19+NGEN19+NGEQ19+NGEU19+NGEV19)/7)</stp>
        <stp>LastQuoteToday</stp>
        <stp/>
        <stp>B</stp>
        <tr r="F49" s="13"/>
      </tp>
      <tp t="s">
        <v>2.941 A</v>
        <stp/>
        <stp>ContractData</stp>
        <stp>SPREAD((NGEJ18+NGEK18+NGEM18+NGEN18+NGEQ18+NGEU18+NGEV18)/7)</stp>
        <stp>LastQuoteToday</stp>
        <stp/>
        <stp>B</stp>
        <tr r="F21" s="13"/>
      </tp>
      <tp>
        <v>-0.28699999999999998</v>
        <stp/>
        <stp>StudyData</stp>
        <stp>Close(NGES4??11)when (LocalMonth(NGES4??11)=9 and LocalDay(NGES4??11)=14 and LocalYear(NGES4??11)=2017)</stp>
        <stp>Bar</stp>
        <stp/>
        <stp>Close</stp>
        <stp>D</stp>
        <stp>0</stp>
        <stp>ALL</stp>
        <stp/>
        <stp/>
        <stp>FALSE</stp>
        <stp>T</stp>
        <tr r="K26" s="9"/>
      </tp>
      <tp>
        <v>-0.26400000000000001</v>
        <stp/>
        <stp>StudyData</stp>
        <stp>Close(NGES5??10)when (LocalMonth(NGES5??10)=9 and LocalDay(NGES5??10)=14 and LocalYear(NGES5??10)=2017)</stp>
        <stp>Bar</stp>
        <stp/>
        <stp>Close</stp>
        <stp>D</stp>
        <stp>0</stp>
        <stp>ALL</stp>
        <stp/>
        <stp/>
        <stp>FALSE</stp>
        <stp>T</stp>
        <tr r="K25" s="10"/>
      </tp>
      <tp t="s">
        <v/>
        <stp/>
        <stp>ContractData</stp>
        <stp>NGE?56</stp>
        <stp>NetLastTradeToday</stp>
        <stp/>
        <stp>T</stp>
        <tr r="E63" s="16"/>
        <tr r="G63" s="16"/>
      </tp>
      <tp t="s">
        <v/>
        <stp/>
        <stp>ContractData</stp>
        <stp>NGE?57</stp>
        <stp>NetLastTradeToday</stp>
        <stp/>
        <stp>T</stp>
        <tr r="E64" s="16"/>
        <tr r="G64" s="16"/>
      </tp>
      <tp>
        <v>3.1524000000000001</v>
        <stp/>
        <stp>StudyData</stp>
        <stp>Bar(((NGEX17+NGEZ17+NGEF18+NGEG18+NGEH18)/5),1)</stp>
        <stp>Bar</stp>
        <stp/>
        <stp>Open</stp>
        <stp>D</stp>
        <stp>-40</stp>
        <stp/>
        <stp/>
        <stp/>
        <stp/>
        <stp>T</stp>
        <tr r="C42" s="14"/>
      </tp>
      <tp>
        <v>3.2134</v>
        <stp/>
        <stp>StudyData</stp>
        <stp>Bar(((NGEX17+NGEZ17+NGEF18+NGEG18+NGEH18)/5),1)</stp>
        <stp>Bar</stp>
        <stp/>
        <stp>Open</stp>
        <stp>D</stp>
        <stp>-20</stp>
        <stp/>
        <stp/>
        <stp/>
        <stp/>
        <stp>T</stp>
        <tr r="C22" s="14"/>
      </tp>
      <tp>
        <v>3.1932</v>
        <stp/>
        <stp>StudyData</stp>
        <stp>Bar(((NGEX17+NGEZ17+NGEF18+NGEG18+NGEH18)/5),1)</stp>
        <stp>Bar</stp>
        <stp/>
        <stp>Open</stp>
        <stp>D</stp>
        <stp>-30</stp>
        <stp/>
        <stp/>
        <stp/>
        <stp/>
        <stp>T</stp>
        <tr r="C32" s="14"/>
      </tp>
      <tp>
        <v>3.2082000000000002</v>
        <stp/>
        <stp>StudyData</stp>
        <stp>Bar(((NGEX17+NGEZ17+NGEF18+NGEG18+NGEH18)/5),1)</stp>
        <stp>Bar</stp>
        <stp/>
        <stp>Open</stp>
        <stp>D</stp>
        <stp>-10</stp>
        <stp/>
        <stp/>
        <stp/>
        <stp/>
        <stp>T</stp>
        <tr r="C12" s="14"/>
      </tp>
      <tp t="s">
        <v/>
        <stp/>
        <stp>ContractData</stp>
        <stp>NGE?54</stp>
        <stp>NetLastTradeToday</stp>
        <stp/>
        <stp>T</stp>
        <tr r="E61" s="16"/>
        <tr r="G61" s="16"/>
      </tp>
      <tp t="s">
        <v/>
        <stp/>
        <stp>ContractData</stp>
        <stp>NGE?55</stp>
        <stp>NetLastTradeToday</stp>
        <stp/>
        <stp>T</stp>
        <tr r="G62" s="16"/>
        <tr r="E62" s="16"/>
      </tp>
      <tp t="s">
        <v/>
        <stp/>
        <stp>ContractData</stp>
        <stp>NGE?52</stp>
        <stp>NetLastTradeToday</stp>
        <stp/>
        <stp>T</stp>
        <tr r="G59" s="16"/>
        <tr r="E59" s="16"/>
      </tp>
      <tp t="s">
        <v/>
        <stp/>
        <stp>ContractData</stp>
        <stp>NGE?53</stp>
        <stp>NetLastTradeToday</stp>
        <stp/>
        <stp>T</stp>
        <tr r="E60" s="16"/>
        <tr r="G60" s="16"/>
      </tp>
      <tp t="s">
        <v/>
        <stp/>
        <stp>ContractData</stp>
        <stp>NGE?50</stp>
        <stp>NetLastTradeToday</stp>
        <stp/>
        <stp>T</stp>
        <tr r="G57" s="16"/>
        <tr r="E57" s="16"/>
      </tp>
      <tp t="s">
        <v/>
        <stp/>
        <stp>ContractData</stp>
        <stp>NGE?51</stp>
        <stp>NetLastTradeToday</stp>
        <stp/>
        <stp>T</stp>
        <tr r="E58" s="16"/>
        <tr r="G58" s="16"/>
      </tp>
      <tp>
        <v>1</v>
        <stp/>
        <stp>ContractData</stp>
        <stp>NGEJ18</stp>
        <stp>MT_LastAskVolume</stp>
        <stp/>
        <stp>T</stp>
        <tr r="C19" s="13"/>
      </tp>
      <tp t="s">
        <v/>
        <stp/>
        <stp>ContractData</stp>
        <stp>NGE?58</stp>
        <stp>NetLastTradeToday</stp>
        <stp/>
        <stp>T</stp>
        <tr r="E65" s="16"/>
        <tr r="G65" s="16"/>
      </tp>
      <tp t="s">
        <v/>
        <stp/>
        <stp>ContractData</stp>
        <stp>NGE?59</stp>
        <stp>NetLastTradeToday</stp>
        <stp/>
        <stp>T</stp>
        <tr r="G66" s="16"/>
        <tr r="E66" s="16"/>
      </tp>
      <tp>
        <v>2.9374285699999998</v>
        <stp/>
        <stp>StudyData</stp>
        <stp>Bar(((NGEJ18+NGEK18+NGEM18+NGEN18+NGEQ18+NGEU18+NGEV18)/7),1)</stp>
        <stp>Bar</stp>
        <stp/>
        <stp>Close</stp>
        <stp>D</stp>
        <stp>-8</stp>
        <stp/>
        <stp/>
        <stp/>
        <stp/>
        <stp>T</stp>
        <tr r="S10" s="14"/>
      </tp>
      <tp>
        <v>2.766</v>
        <stp/>
        <stp>StudyData</stp>
        <stp>Bar(((NGEJ19+NGEK19+NGEM19+NGEN19+NGEQ19+NGEU19+NGEV19)/7),1)</stp>
        <stp>Bar</stp>
        <stp/>
        <stp>Close</stp>
        <stp>D</stp>
        <stp>-9</stp>
        <stp/>
        <stp/>
        <stp/>
        <stp/>
        <stp>T</stp>
        <tr r="AN11" s="14"/>
      </tp>
      <tp>
        <v>-2.6000000000000002E-2</v>
        <stp/>
        <stp>ContractData</stp>
        <stp>NGE</stp>
        <stp>NetLastTradeToday</stp>
        <stp/>
        <stp>T</stp>
        <tr r="B2" s="13"/>
        <tr r="B2" s="13"/>
      </tp>
      <tp>
        <v>-2.5999999999999999E-2</v>
        <stp/>
        <stp>StudyData</stp>
        <stp>Close(NGES4??8)when (LocalMonth(NGES4??8)=9 and LocalDay(NGES4??8)=14 and LocalYear(NGES4??8)=2017)</stp>
        <stp>Bar</stp>
        <stp/>
        <stp>Close</stp>
        <stp>D</stp>
        <stp>0</stp>
        <stp>ALL</stp>
        <stp/>
        <stp/>
        <stp>FALSE</stp>
        <stp>T</stp>
        <tr r="K23" s="9"/>
      </tp>
      <tp>
        <v>-0.182</v>
        <stp/>
        <stp>StudyData</stp>
        <stp>Close(NGES5??9)when (LocalMonth(NGES5??9)=9 and LocalDay(NGES5??9)=14 and LocalYear(NGES5??9)=2017)</stp>
        <stp>Bar</stp>
        <stp/>
        <stp>Close</stp>
        <stp>D</stp>
        <stp>0</stp>
        <stp>ALL</stp>
        <stp/>
        <stp/>
        <stp>FALSE</stp>
        <stp>T</stp>
        <tr r="K24" s="10"/>
      </tp>
      <tp>
        <v>3.1558000000000002</v>
        <stp/>
        <stp>StudyData</stp>
        <stp>Bar(((NGEX18+NGEZ18+NGEF19+NGEG19+NGEH19)/5),1)</stp>
        <stp>Bar</stp>
        <stp/>
        <stp>LOw</stp>
        <stp>D</stp>
        <stp>0</stp>
        <stp/>
        <stp/>
        <stp/>
        <stp/>
        <stp>T</stp>
        <tr r="Z2" s="14"/>
      </tp>
      <tp>
        <v>3.1558000000000002</v>
        <stp/>
        <stp>StudyData</stp>
        <stp>Bar(((NGEX18+NGEZ18+NGEF19+NGEG19+NGEH19)/5),1)</stp>
        <stp>Bar</stp>
        <stp/>
        <stp>Low</stp>
        <stp>D</stp>
        <stp>0</stp>
        <stp/>
        <stp/>
        <stp/>
        <stp/>
        <stp>T</stp>
        <tr r="E40" s="13"/>
      </tp>
      <tp>
        <v>-0.17899999999999999</v>
        <stp/>
        <stp>StudyData</stp>
        <stp>Close(NGES4??10)when (LocalMonth(NGES4??10)=9 and LocalDay(NGES4??10)=14 and LocalYear(NGES4??10)=2017)</stp>
        <stp>Bar</stp>
        <stp/>
        <stp>Close</stp>
        <stp>D</stp>
        <stp>0</stp>
        <stp>ALL</stp>
        <stp/>
        <stp/>
        <stp>FALSE</stp>
        <stp>T</stp>
        <tr r="K25" s="9"/>
      </tp>
      <tp>
        <v>-0.26500000000000001</v>
        <stp/>
        <stp>StudyData</stp>
        <stp>Close(NGES5??11)when (LocalMonth(NGES5??11)=9 and LocalDay(NGES5??11)=14 and LocalYear(NGES5??11)=2017)</stp>
        <stp>Bar</stp>
        <stp/>
        <stp>Close</stp>
        <stp>D</stp>
        <stp>0</stp>
        <stp>ALL</stp>
        <stp/>
        <stp/>
        <stp>FALSE</stp>
        <stp>T</stp>
        <tr r="K26" s="10"/>
      </tp>
      <tp>
        <v>0.20200000000000001</v>
        <stp/>
        <stp>StudyData</stp>
        <stp>Close(NGES6??12)when (LocalMonth(NGES6??12)=9 and LocalDay(NGES6??12)=14 and LocalYear(NGES6??12)=2017)</stp>
        <stp>Bar</stp>
        <stp/>
        <stp>Close</stp>
        <stp>D</stp>
        <stp>0</stp>
        <stp>ALL</stp>
        <stp/>
        <stp/>
        <stp>FALSE</stp>
        <stp>T</stp>
        <tr r="K27" s="11"/>
      </tp>
      <tp>
        <v>43014.384722222225</v>
        <stp/>
        <stp>ContractData</stp>
        <stp>NGE?9</stp>
        <stp>DTLastTrade</stp>
        <stp/>
        <stp>T</stp>
        <tr r="H16" s="16"/>
      </tp>
      <tp>
        <v>43014.384722222225</v>
        <stp/>
        <stp>ContractData</stp>
        <stp>NGE?8</stp>
        <stp>DTLastTrade</stp>
        <stp/>
        <stp>T</stp>
        <tr r="H15" s="16"/>
      </tp>
      <tp>
        <v>43014.384722222225</v>
        <stp/>
        <stp>ContractData</stp>
        <stp>NGE?7</stp>
        <stp>DTLastTrade</stp>
        <stp/>
        <stp>T</stp>
        <tr r="H14" s="16"/>
      </tp>
      <tp>
        <v>43014.384722222225</v>
        <stp/>
        <stp>ContractData</stp>
        <stp>NGE?6</stp>
        <stp>DTLastTrade</stp>
        <stp/>
        <stp>T</stp>
        <tr r="H13" s="16"/>
      </tp>
      <tp>
        <v>43014.384722222225</v>
        <stp/>
        <stp>ContractData</stp>
        <stp>NGE?5</stp>
        <stp>DTLastTrade</stp>
        <stp/>
        <stp>T</stp>
        <tr r="H12" s="16"/>
      </tp>
      <tp>
        <v>43014.384722222225</v>
        <stp/>
        <stp>ContractData</stp>
        <stp>NGE?4</stp>
        <stp>DTLastTrade</stp>
        <stp/>
        <stp>T</stp>
        <tr r="H11" s="16"/>
      </tp>
      <tp>
        <v>43014.384722222225</v>
        <stp/>
        <stp>ContractData</stp>
        <stp>NGE?3</stp>
        <stp>DTLastTrade</stp>
        <stp/>
        <stp>T</stp>
        <tr r="H10" s="16"/>
      </tp>
      <tp>
        <v>43014.384722222225</v>
        <stp/>
        <stp>ContractData</stp>
        <stp>NGE?2</stp>
        <stp>DTLastTrade</stp>
        <stp/>
        <stp>T</stp>
        <tr r="H9" s="16"/>
      </tp>
      <tp>
        <v>43014.384722222225</v>
        <stp/>
        <stp>ContractData</stp>
        <stp>NGE?1</stp>
        <stp>DTLastTrade</stp>
        <stp/>
        <stp>T</stp>
        <tr r="H8" s="16"/>
      </tp>
      <tp>
        <v>3.319</v>
        <stp/>
        <stp>StudyData</stp>
        <stp>Bar(((NGEX17+NGEZ17+NGEF18+NGEG18+NGEH18)/5),1)</stp>
        <stp>Bar</stp>
        <stp/>
        <stp>High</stp>
        <stp>D</stp>
        <stp>-16</stp>
        <stp/>
        <stp/>
        <stp/>
        <stp/>
        <stp>T</stp>
        <tr r="D18" s="14"/>
      </tp>
      <tp>
        <v>3.1970000000000001</v>
        <stp/>
        <stp>StudyData</stp>
        <stp>Bar(((NGEX17+NGEZ17+NGEF18+NGEG18+NGEH18)/5),1)</stp>
        <stp>Bar</stp>
        <stp/>
        <stp>High</stp>
        <stp>D</stp>
        <stp>-36</stp>
        <stp/>
        <stp/>
        <stp/>
        <stp/>
        <stp>T</stp>
        <tr r="D38" s="14"/>
      </tp>
      <tp>
        <v>3.2073999999999998</v>
        <stp/>
        <stp>StudyData</stp>
        <stp>Bar(((NGEX17+NGEZ17+NGEF18+NGEG18+NGEH18)/5),1)</stp>
        <stp>Bar</stp>
        <stp/>
        <stp>High</stp>
        <stp>D</stp>
        <stp>-26</stp>
        <stp/>
        <stp/>
        <stp/>
        <stp/>
        <stp>T</stp>
        <tr r="D28" s="14"/>
      </tp>
      <tp>
        <v>42989</v>
        <stp/>
        <stp>StudyData</stp>
        <stp>Bar(((NGEX18+NGEZ18+NGEF19+NGEG19+NGEH19)/5),1)</stp>
        <stp>Bar</stp>
        <stp/>
        <stp>Time</stp>
        <stp>D</stp>
        <stp>-19</stp>
        <stp/>
        <stp/>
        <stp/>
        <stp/>
        <stp>T</stp>
        <tr r="W21" s="14"/>
      </tp>
      <tp>
        <v>42972</v>
        <stp/>
        <stp>StudyData</stp>
        <stp>Bar(((NGEX18+NGEZ18+NGEF19+NGEG19+NGEH19)/5),1)</stp>
        <stp>Bar</stp>
        <stp/>
        <stp>Time</stp>
        <stp>D</stp>
        <stp>-29</stp>
        <stp/>
        <stp/>
        <stp/>
        <stp/>
        <stp>T</stp>
        <tr r="W31" s="14"/>
      </tp>
      <tp>
        <v>42958</v>
        <stp/>
        <stp>StudyData</stp>
        <stp>Bar(((NGEX18+NGEZ18+NGEF19+NGEG19+NGEH19)/5),1)</stp>
        <stp>Bar</stp>
        <stp/>
        <stp>Time</stp>
        <stp>D</stp>
        <stp>-39</stp>
        <stp/>
        <stp/>
        <stp/>
        <stp/>
        <stp>T</stp>
        <tr r="W41" s="14"/>
      </tp>
      <tp>
        <v>42992</v>
        <stp/>
        <stp>StudyData</stp>
        <stp>Bar(((NGEX17+NGEZ17+NGEF18+NGEG18+NGEH18)/5),1)</stp>
        <stp>Bar</stp>
        <stp/>
        <stp>Time</stp>
        <stp>D</stp>
        <stp>-16</stp>
        <stp/>
        <stp/>
        <stp/>
        <stp/>
        <stp>T</stp>
        <tr r="B18" s="14"/>
      </tp>
      <tp>
        <v>42963</v>
        <stp/>
        <stp>StudyData</stp>
        <stp>Bar(((NGEX17+NGEZ17+NGEF18+NGEG18+NGEH18)/5),1)</stp>
        <stp>Bar</stp>
        <stp/>
        <stp>Time</stp>
        <stp>D</stp>
        <stp>-36</stp>
        <stp/>
        <stp/>
        <stp/>
        <stp/>
        <stp>T</stp>
        <tr r="B38" s="14"/>
      </tp>
      <tp>
        <v>42977</v>
        <stp/>
        <stp>StudyData</stp>
        <stp>Bar(((NGEX17+NGEZ17+NGEF18+NGEG18+NGEH18)/5),1)</stp>
        <stp>Bar</stp>
        <stp/>
        <stp>Time</stp>
        <stp>D</stp>
        <stp>-26</stp>
        <stp/>
        <stp/>
        <stp/>
        <stp/>
        <stp>T</stp>
        <tr r="B28" s="14"/>
      </tp>
      <tp>
        <v>3.1394000000000002</v>
        <stp/>
        <stp>StudyData</stp>
        <stp>Bar(((NGEX18+NGEZ18+NGEF19+NGEG19+NGEH19)/5),1)</stp>
        <stp>Bar</stp>
        <stp/>
        <stp>High</stp>
        <stp>D</stp>
        <stp>-19</stp>
        <stp/>
        <stp/>
        <stp/>
        <stp/>
        <stp>T</stp>
        <tr r="Y21" s="14"/>
      </tp>
      <tp>
        <v>3.0886</v>
        <stp/>
        <stp>StudyData</stp>
        <stp>Bar(((NGEX18+NGEZ18+NGEF19+NGEG19+NGEH19)/5),1)</stp>
        <stp>Bar</stp>
        <stp/>
        <stp>High</stp>
        <stp>D</stp>
        <stp>-29</stp>
        <stp/>
        <stp/>
        <stp/>
        <stp/>
        <stp>T</stp>
        <tr r="Y31" s="14"/>
      </tp>
      <tp>
        <v>3.0958000000000001</v>
        <stp/>
        <stp>StudyData</stp>
        <stp>Bar(((NGEX18+NGEZ18+NGEF19+NGEG19+NGEH19)/5),1)</stp>
        <stp>Bar</stp>
        <stp/>
        <stp>High</stp>
        <stp>D</stp>
        <stp>-39</stp>
        <stp/>
        <stp/>
        <stp/>
        <stp/>
        <stp>T</stp>
        <tr r="Y41" s="14"/>
      </tp>
      <tp>
        <v>2.972</v>
        <stp/>
        <stp>StudyData</stp>
        <stp>Close(NGE?12)when (LocalMonth(NGE?12)=9 and LocalDay(NGE?12)=14 and LocalYear(NGEV8)=2017)</stp>
        <stp>Bar</stp>
        <stp/>
        <stp>Close</stp>
        <stp>D</stp>
        <stp>0</stp>
        <stp>ALL</stp>
        <stp/>
        <stp/>
        <stp>FALSE</stp>
        <stp>T</stp>
        <tr r="E27" s="10"/>
      </tp>
      <tp>
        <v>2.95</v>
        <stp/>
        <stp>StudyData</stp>
        <stp>Close(NGE?11)when (LocalMonth(NGE?11)=9 and LocalDay(NGE?11)=14 and LocalYear(NGEU8)=2017)</stp>
        <stp>Bar</stp>
        <stp/>
        <stp>Close</stp>
        <stp>D</stp>
        <stp>0</stp>
        <stp>ALL</stp>
        <stp/>
        <stp/>
        <stp>FALSE</stp>
        <stp>T</stp>
        <tr r="E26" s="10"/>
      </tp>
      <tp>
        <v>2.9729999999999999</v>
        <stp/>
        <stp>StudyData</stp>
        <stp>Close(NGE?10)when (LocalMonth(NGE?10)=9 and LocalDay(NGE?10)=14 and LocalYear(NGEQ8)=2017)</stp>
        <stp>Bar</stp>
        <stp/>
        <stp>Close</stp>
        <stp>D</stp>
        <stp>0</stp>
        <stp>ALL</stp>
        <stp/>
        <stp/>
        <stp>FALSE</stp>
        <stp>T</stp>
        <tr r="E25" s="10"/>
      </tp>
      <tp>
        <v>15</v>
        <stp/>
        <stp>ContractData</stp>
        <stp>NGE?6</stp>
        <stp>MT_LastBidVolume</stp>
        <stp/>
        <stp>T</stp>
        <tr r="J13" s="16"/>
        <tr r="J13" s="16"/>
      </tp>
      <tp>
        <v>4</v>
        <stp/>
        <stp>ContractData</stp>
        <stp>NGE?7</stp>
        <stp>MT_LastBidVolume</stp>
        <stp/>
        <stp>T</stp>
        <tr r="J14" s="16"/>
        <tr r="J14" s="16"/>
      </tp>
      <tp>
        <v>40</v>
        <stp/>
        <stp>ContractData</stp>
        <stp>NGE?4</stp>
        <stp>MT_LastBidVolume</stp>
        <stp/>
        <stp>T</stp>
        <tr r="J11" s="16"/>
        <tr r="J11" s="16"/>
      </tp>
      <tp>
        <v>18</v>
        <stp/>
        <stp>ContractData</stp>
        <stp>NGE?5</stp>
        <stp>MT_LastBidVolume</stp>
        <stp/>
        <stp>T</stp>
        <tr r="J12" s="16"/>
        <tr r="J12" s="16"/>
      </tp>
      <tp>
        <v>51</v>
        <stp/>
        <stp>ContractData</stp>
        <stp>NGE?2</stp>
        <stp>MT_LastBidVolume</stp>
        <stp/>
        <stp>T</stp>
        <tr r="J9" s="16"/>
        <tr r="J9" s="16"/>
      </tp>
      <tp>
        <v>5</v>
        <stp/>
        <stp>ContractData</stp>
        <stp>NGE?3</stp>
        <stp>MT_LastBidVolume</stp>
        <stp/>
        <stp>T</stp>
        <tr r="J10" s="16"/>
        <tr r="J10" s="16"/>
      </tp>
      <tp>
        <v>31</v>
        <stp/>
        <stp>ContractData</stp>
        <stp>NGE?1</stp>
        <stp>MT_LastBidVolume</stp>
        <stp/>
        <stp>T</stp>
        <tr r="J8" s="16"/>
        <tr r="J8" s="16"/>
      </tp>
      <tp>
        <v>8</v>
        <stp/>
        <stp>ContractData</stp>
        <stp>NGE?8</stp>
        <stp>MT_LastBidVolume</stp>
        <stp/>
        <stp>T</stp>
        <tr r="J15" s="16"/>
        <tr r="J15" s="16"/>
      </tp>
      <tp>
        <v>17</v>
        <stp/>
        <stp>ContractData</stp>
        <stp>NGE?9</stp>
        <stp>MT_LastBidVolume</stp>
        <stp/>
        <stp>T</stp>
        <tr r="J16" s="16"/>
        <tr r="J16" s="16"/>
      </tp>
      <tp>
        <v>3.3370000000000002</v>
        <stp/>
        <stp>StudyData</stp>
        <stp>Close(NGEZ17)when (LocalMonth(NGEZ17)=9 and LocalDay(NGEZ17)=18 and LocalYear(NGEZ17)=2017)</stp>
        <stp>Bar</stp>
        <stp/>
        <stp>Close</stp>
        <stp>D</stp>
        <stp>0</stp>
        <stp>ALL</stp>
        <stp/>
        <stp/>
        <stp>FALSE</stp>
        <stp>T</stp>
        <tr r="E4" s="15"/>
      </tp>
      <tp>
        <v>3.3026</v>
        <stp/>
        <stp>StudyData</stp>
        <stp>Bar(((NGEX17+NGEZ17+NGEF18+NGEG18+NGEH18)/5),1)</stp>
        <stp>Bar</stp>
        <stp/>
        <stp>High</stp>
        <stp>D</stp>
        <stp>-17</stp>
        <stp/>
        <stp/>
        <stp/>
        <stp/>
        <stp>T</stp>
        <tr r="D19" s="14"/>
      </tp>
      <tp>
        <v>3.2229999999999999</v>
        <stp/>
        <stp>StudyData</stp>
        <stp>Bar(((NGEX17+NGEZ17+NGEF18+NGEG18+NGEH18)/5),1)</stp>
        <stp>Bar</stp>
        <stp/>
        <stp>High</stp>
        <stp>D</stp>
        <stp>-37</stp>
        <stp/>
        <stp/>
        <stp/>
        <stp/>
        <stp>T</stp>
        <tr r="D39" s="14"/>
      </tp>
      <tp>
        <v>3.2147999999999999</v>
        <stp/>
        <stp>StudyData</stp>
        <stp>Bar(((NGEX17+NGEZ17+NGEF18+NGEG18+NGEH18)/5),1)</stp>
        <stp>Bar</stp>
        <stp/>
        <stp>High</stp>
        <stp>D</stp>
        <stp>-27</stp>
        <stp/>
        <stp/>
        <stp/>
        <stp/>
        <stp>T</stp>
        <tr r="D29" s="14"/>
      </tp>
      <tp>
        <v>42990</v>
        <stp/>
        <stp>StudyData</stp>
        <stp>Bar(((NGEX18+NGEZ18+NGEF19+NGEG19+NGEH19)/5),1)</stp>
        <stp>Bar</stp>
        <stp/>
        <stp>Time</stp>
        <stp>D</stp>
        <stp>-18</stp>
        <stp/>
        <stp/>
        <stp/>
        <stp/>
        <stp>T</stp>
        <tr r="W20" s="14"/>
      </tp>
      <tp>
        <v>42975</v>
        <stp/>
        <stp>StudyData</stp>
        <stp>Bar(((NGEX18+NGEZ18+NGEF19+NGEG19+NGEH19)/5),1)</stp>
        <stp>Bar</stp>
        <stp/>
        <stp>Time</stp>
        <stp>D</stp>
        <stp>-28</stp>
        <stp/>
        <stp/>
        <stp/>
        <stp/>
        <stp>T</stp>
        <tr r="W30" s="14"/>
      </tp>
      <tp>
        <v>42961</v>
        <stp/>
        <stp>StudyData</stp>
        <stp>Bar(((NGEX18+NGEZ18+NGEF19+NGEG19+NGEH19)/5),1)</stp>
        <stp>Bar</stp>
        <stp/>
        <stp>Time</stp>
        <stp>D</stp>
        <stp>-38</stp>
        <stp/>
        <stp/>
        <stp/>
        <stp/>
        <stp>T</stp>
        <tr r="W40" s="14"/>
      </tp>
      <tp>
        <v>42991</v>
        <stp/>
        <stp>StudyData</stp>
        <stp>Bar(((NGEX17+NGEZ17+NGEF18+NGEG18+NGEH18)/5),1)</stp>
        <stp>Bar</stp>
        <stp/>
        <stp>Time</stp>
        <stp>D</stp>
        <stp>-17</stp>
        <stp/>
        <stp/>
        <stp/>
        <stp/>
        <stp>T</stp>
        <tr r="B19" s="14"/>
      </tp>
      <tp>
        <v>42962</v>
        <stp/>
        <stp>StudyData</stp>
        <stp>Bar(((NGEX17+NGEZ17+NGEF18+NGEG18+NGEH18)/5),1)</stp>
        <stp>Bar</stp>
        <stp/>
        <stp>Time</stp>
        <stp>D</stp>
        <stp>-37</stp>
        <stp/>
        <stp/>
        <stp/>
        <stp/>
        <stp>T</stp>
        <tr r="B39" s="14"/>
      </tp>
      <tp>
        <v>42976</v>
        <stp/>
        <stp>StudyData</stp>
        <stp>Bar(((NGEX17+NGEZ17+NGEF18+NGEG18+NGEH18)/5),1)</stp>
        <stp>Bar</stp>
        <stp/>
        <stp>Time</stp>
        <stp>D</stp>
        <stp>-27</stp>
        <stp/>
        <stp/>
        <stp/>
        <stp/>
        <stp>T</stp>
        <tr r="B29" s="14"/>
      </tp>
      <tp>
        <v>3.177</v>
        <stp/>
        <stp>StudyData</stp>
        <stp>Close(NGEZ18)when (LocalMonth(NGEZ18)=9 and LocalDay(NGEZ18)=18 and LocalYear(NGEZ18)=2017)</stp>
        <stp>Bar</stp>
        <stp/>
        <stp>Close</stp>
        <stp>D</stp>
        <stp>0</stp>
        <stp>ALL</stp>
        <stp/>
        <stp/>
        <stp>FALSE</stp>
        <stp>T</stp>
        <tr r="E29" s="15"/>
      </tp>
      <tp>
        <v>3.1545999999999998</v>
        <stp/>
        <stp>StudyData</stp>
        <stp>Bar(((NGEX18+NGEZ18+NGEF19+NGEG19+NGEH19)/5),1)</stp>
        <stp>Bar</stp>
        <stp/>
        <stp>High</stp>
        <stp>D</stp>
        <stp>-18</stp>
        <stp/>
        <stp/>
        <stp/>
        <stp/>
        <stp>T</stp>
        <tr r="Y20" s="14"/>
      </tp>
      <tp>
        <v>3.0926</v>
        <stp/>
        <stp>StudyData</stp>
        <stp>Bar(((NGEX18+NGEZ18+NGEF19+NGEG19+NGEH19)/5),1)</stp>
        <stp>Bar</stp>
        <stp/>
        <stp>High</stp>
        <stp>D</stp>
        <stp>-28</stp>
        <stp/>
        <stp/>
        <stp/>
        <stp/>
        <stp>T</stp>
        <tr r="Y30" s="14"/>
      </tp>
      <tp>
        <v>3.1013999999999999</v>
        <stp/>
        <stp>StudyData</stp>
        <stp>Bar(((NGEX18+NGEZ18+NGEF19+NGEG19+NGEH19)/5),1)</stp>
        <stp>Bar</stp>
        <stp/>
        <stp>High</stp>
        <stp>D</stp>
        <stp>-38</stp>
        <stp/>
        <stp/>
        <stp/>
        <stp/>
        <stp>T</stp>
        <tr r="Y40" s="14"/>
      </tp>
      <tp>
        <v>3.3639999999999999</v>
        <stp/>
        <stp>StudyData</stp>
        <stp>Bar(((NGEX17+NGEZ17+NGEF18+NGEG18+NGEH18)/5),1)</stp>
        <stp>Bar</stp>
        <stp/>
        <stp>High</stp>
        <stp>D</stp>
        <stp>-14</stp>
        <stp/>
        <stp/>
        <stp/>
        <stp/>
        <stp>T</stp>
        <tr r="D16" s="14"/>
      </tp>
      <tp>
        <v>3.1991999999999998</v>
        <stp/>
        <stp>StudyData</stp>
        <stp>Bar(((NGEX17+NGEZ17+NGEF18+NGEG18+NGEH18)/5),1)</stp>
        <stp>Bar</stp>
        <stp/>
        <stp>High</stp>
        <stp>D</stp>
        <stp>-34</stp>
        <stp/>
        <stp/>
        <stp/>
        <stp/>
        <stp>T</stp>
        <tr r="D36" s="14"/>
      </tp>
      <tp>
        <v>3.3010000000000002</v>
        <stp/>
        <stp>StudyData</stp>
        <stp>Bar(((NGEX17+NGEZ17+NGEF18+NGEG18+NGEH18)/5),1)</stp>
        <stp>Bar</stp>
        <stp/>
        <stp>High</stp>
        <stp>D</stp>
        <stp>-24</stp>
        <stp/>
        <stp/>
        <stp/>
        <stp/>
        <stp>T</stp>
        <tr r="D26" s="14"/>
      </tp>
      <tp>
        <v>3.0962000000000001</v>
        <stp/>
        <stp>StudyData</stp>
        <stp>Bar(((NGEX17+NGEZ17+NGEF18+NGEG18+NGEH18)/5),1)</stp>
        <stp>Bar</stp>
        <stp/>
        <stp>High</stp>
        <stp>D</stp>
        <stp>-44</stp>
        <stp/>
        <stp/>
        <stp/>
        <stp/>
        <stp>T</stp>
        <tr r="D46" s="14"/>
      </tp>
      <tp>
        <v>42951</v>
        <stp/>
        <stp>StudyData</stp>
        <stp>Bar(((NGEX17+NGEZ17+NGEF18+NGEG18+NGEH18)/5),1)</stp>
        <stp>Bar</stp>
        <stp/>
        <stp>Time</stp>
        <stp>D</stp>
        <stp>-44</stp>
        <stp/>
        <stp/>
        <stp/>
        <stp/>
        <stp>T</stp>
        <tr r="B46" s="14"/>
      </tp>
      <tp>
        <v>42996</v>
        <stp/>
        <stp>StudyData</stp>
        <stp>Bar(((NGEX17+NGEZ17+NGEF18+NGEG18+NGEH18)/5),1)</stp>
        <stp>Bar</stp>
        <stp/>
        <stp>Time</stp>
        <stp>D</stp>
        <stp>-14</stp>
        <stp/>
        <stp/>
        <stp/>
        <stp/>
        <stp>T</stp>
        <tr r="B16" s="14"/>
      </tp>
      <tp>
        <v>42965</v>
        <stp/>
        <stp>StudyData</stp>
        <stp>Bar(((NGEX17+NGEZ17+NGEF18+NGEG18+NGEH18)/5),1)</stp>
        <stp>Bar</stp>
        <stp/>
        <stp>Time</stp>
        <stp>D</stp>
        <stp>-34</stp>
        <stp/>
        <stp/>
        <stp/>
        <stp/>
        <stp>T</stp>
        <tr r="B36" s="14"/>
      </tp>
      <tp>
        <v>42979</v>
        <stp/>
        <stp>StudyData</stp>
        <stp>Bar(((NGEX17+NGEZ17+NGEF18+NGEG18+NGEH18)/5),1)</stp>
        <stp>Bar</stp>
        <stp/>
        <stp>Time</stp>
        <stp>D</stp>
        <stp>-24</stp>
        <stp/>
        <stp/>
        <stp/>
        <stp/>
        <stp>T</stp>
        <tr r="B26" s="14"/>
      </tp>
      <tp>
        <v>3.1949999999999998</v>
        <stp/>
        <stp>StudyData</stp>
        <stp>Close(NGEX17)when (LocalMonth(NGEX17)=9 and LocalDay(NGEX17)=18 and LocalYear(NGEX17)=2017)</stp>
        <stp>Bar</stp>
        <stp/>
        <stp>Close</stp>
        <stp>D</stp>
        <stp>0</stp>
        <stp>ALL</stp>
        <stp/>
        <stp/>
        <stp>FALSE</stp>
        <stp>T</stp>
        <tr r="E3" s="15"/>
      </tp>
      <tp>
        <v>3.2955999999999999</v>
        <stp/>
        <stp>StudyData</stp>
        <stp>Bar(((NGEX17+NGEZ17+NGEF18+NGEG18+NGEH18)/5),1)</stp>
        <stp>Bar</stp>
        <stp/>
        <stp>High</stp>
        <stp>D</stp>
        <stp>-15</stp>
        <stp/>
        <stp/>
        <stp/>
        <stp/>
        <stp>T</stp>
        <tr r="D17" s="14"/>
      </tp>
      <tp>
        <v>3.2069999999999999</v>
        <stp/>
        <stp>StudyData</stp>
        <stp>Bar(((NGEX17+NGEZ17+NGEF18+NGEG18+NGEH18)/5),1)</stp>
        <stp>Bar</stp>
        <stp/>
        <stp>High</stp>
        <stp>D</stp>
        <stp>-35</stp>
        <stp/>
        <stp/>
        <stp/>
        <stp/>
        <stp>T</stp>
        <tr r="D37" s="14"/>
      </tp>
      <tp>
        <v>3.2555999999999998</v>
        <stp/>
        <stp>StudyData</stp>
        <stp>Bar(((NGEX17+NGEZ17+NGEF18+NGEG18+NGEH18)/5),1)</stp>
        <stp>Bar</stp>
        <stp/>
        <stp>High</stp>
        <stp>D</stp>
        <stp>-25</stp>
        <stp/>
        <stp/>
        <stp/>
        <stp/>
        <stp>T</stp>
        <tr r="D27" s="14"/>
      </tp>
      <tp>
        <v>42993</v>
        <stp/>
        <stp>StudyData</stp>
        <stp>Bar(((NGEX17+NGEZ17+NGEF18+NGEG18+NGEH18)/5),1)</stp>
        <stp>Bar</stp>
        <stp/>
        <stp>Time</stp>
        <stp>D</stp>
        <stp>-15</stp>
        <stp/>
        <stp/>
        <stp/>
        <stp/>
        <stp>T</stp>
        <tr r="B17" s="14"/>
      </tp>
      <tp>
        <v>42964</v>
        <stp/>
        <stp>StudyData</stp>
        <stp>Bar(((NGEX17+NGEZ17+NGEF18+NGEG18+NGEH18)/5),1)</stp>
        <stp>Bar</stp>
        <stp/>
        <stp>Time</stp>
        <stp>D</stp>
        <stp>-35</stp>
        <stp/>
        <stp/>
        <stp/>
        <stp/>
        <stp>T</stp>
        <tr r="B37" s="14"/>
      </tp>
      <tp>
        <v>42978</v>
        <stp/>
        <stp>StudyData</stp>
        <stp>Bar(((NGEX17+NGEZ17+NGEF18+NGEG18+NGEH18)/5),1)</stp>
        <stp>Bar</stp>
        <stp/>
        <stp>Time</stp>
        <stp>D</stp>
        <stp>-25</stp>
        <stp/>
        <stp/>
        <stp/>
        <stp/>
        <stp>T</stp>
        <tr r="B27" s="14"/>
      </tp>
      <tp>
        <v>3.044</v>
        <stp/>
        <stp>StudyData</stp>
        <stp>Close(NGEX18)when (LocalMonth(NGEX18)=9 and LocalDay(NGEX18)=18 and LocalYear(NGEX18)=2017)</stp>
        <stp>Bar</stp>
        <stp/>
        <stp>Close</stp>
        <stp>D</stp>
        <stp>0</stp>
        <stp>ALL</stp>
        <stp/>
        <stp/>
        <stp>FALSE</stp>
        <stp>T</stp>
        <tr r="E28" s="15"/>
      </tp>
      <tp>
        <v>30</v>
        <stp/>
        <stp>ContractData</stp>
        <stp>NGEX7</stp>
        <stp>MT_LastAskVolume</stp>
        <tr r="C7" s="2"/>
      </tp>
      <tp>
        <v>3.3584000000000001</v>
        <stp/>
        <stp>StudyData</stp>
        <stp>Bar(((NGEX17+NGEZ17+NGEF18+NGEG18+NGEH18)/5),1)</stp>
        <stp>Bar</stp>
        <stp/>
        <stp>High</stp>
        <stp>D</stp>
        <stp>-12</stp>
        <stp/>
        <stp/>
        <stp/>
        <stp/>
        <stp>T</stp>
        <tr r="D14" s="14"/>
      </tp>
      <tp>
        <v>3.2492000000000001</v>
        <stp/>
        <stp>StudyData</stp>
        <stp>Bar(((NGEX17+NGEZ17+NGEF18+NGEG18+NGEH18)/5),1)</stp>
        <stp>Bar</stp>
        <stp/>
        <stp>High</stp>
        <stp>D</stp>
        <stp>-32</stp>
        <stp/>
        <stp/>
        <stp/>
        <stp/>
        <stp>T</stp>
        <tr r="D34" s="14"/>
      </tp>
      <tp>
        <v>3.2513999999999998</v>
        <stp/>
        <stp>StudyData</stp>
        <stp>Bar(((NGEX17+NGEZ17+NGEF18+NGEG18+NGEH18)/5),1)</stp>
        <stp>Bar</stp>
        <stp/>
        <stp>High</stp>
        <stp>D</stp>
        <stp>-22</stp>
        <stp/>
        <stp/>
        <stp/>
        <stp/>
        <stp>T</stp>
        <tr r="D24" s="14"/>
      </tp>
      <tp>
        <v>3.1164000000000001</v>
        <stp/>
        <stp>StudyData</stp>
        <stp>Bar(((NGEX17+NGEZ17+NGEF18+NGEG18+NGEH18)/5),1)</stp>
        <stp>Bar</stp>
        <stp/>
        <stp>High</stp>
        <stp>D</stp>
        <stp>-42</stp>
        <stp/>
        <stp/>
        <stp/>
        <stp/>
        <stp>T</stp>
        <tr r="D44" s="14"/>
      </tp>
      <tp>
        <v>42955</v>
        <stp/>
        <stp>StudyData</stp>
        <stp>Bar(((NGEX17+NGEZ17+NGEF18+NGEG18+NGEH18)/5),1)</stp>
        <stp>Bar</stp>
        <stp/>
        <stp>Time</stp>
        <stp>D</stp>
        <stp>-42</stp>
        <stp/>
        <stp/>
        <stp/>
        <stp/>
        <stp>T</stp>
        <tr r="B44" s="14"/>
      </tp>
      <tp>
        <v>42998</v>
        <stp/>
        <stp>StudyData</stp>
        <stp>Bar(((NGEX17+NGEZ17+NGEF18+NGEG18+NGEH18)/5),1)</stp>
        <stp>Bar</stp>
        <stp/>
        <stp>Time</stp>
        <stp>D</stp>
        <stp>-12</stp>
        <stp/>
        <stp/>
        <stp/>
        <stp/>
        <stp>T</stp>
        <tr r="B14" s="14"/>
      </tp>
      <tp>
        <v>42969</v>
        <stp/>
        <stp>StudyData</stp>
        <stp>Bar(((NGEX17+NGEZ17+NGEF18+NGEG18+NGEH18)/5),1)</stp>
        <stp>Bar</stp>
        <stp/>
        <stp>Time</stp>
        <stp>D</stp>
        <stp>-32</stp>
        <stp/>
        <stp/>
        <stp/>
        <stp/>
        <stp>T</stp>
        <tr r="B34" s="14"/>
      </tp>
      <tp>
        <v>42984</v>
        <stp/>
        <stp>StudyData</stp>
        <stp>Bar(((NGEX17+NGEZ17+NGEF18+NGEG18+NGEH18)/5),1)</stp>
        <stp>Bar</stp>
        <stp/>
        <stp>Time</stp>
        <stp>D</stp>
        <stp>-22</stp>
        <stp/>
        <stp/>
        <stp/>
        <stp/>
        <stp>T</stp>
        <tr r="B24" s="14"/>
      </tp>
      <tp t="s">
        <v/>
        <stp/>
        <stp>ContractData</stp>
        <stp>NGEN9</stp>
        <stp>Low</stp>
        <stp/>
        <stp>T</stp>
        <tr r="E57" s="13"/>
      </tp>
      <tp>
        <v>2.9510000000000001</v>
        <stp/>
        <stp>ContractData</stp>
        <stp>NGEN8</stp>
        <stp>Low</stp>
        <stp/>
        <stp>T</stp>
        <tr r="E21" s="2"/>
      </tp>
      <tp t="s">
        <v/>
        <stp/>
        <stp>ContractData</stp>
        <stp>NGEM9</stp>
        <stp>Low</stp>
        <stp/>
        <stp>T</stp>
        <tr r="E56" s="13"/>
      </tp>
      <tp>
        <v>2.9260000000000002</v>
        <stp/>
        <stp>ContractData</stp>
        <stp>NGEM8</stp>
        <stp>Low</stp>
        <stp/>
        <stp>T</stp>
        <tr r="E20" s="2"/>
      </tp>
      <tp t="s">
        <v/>
        <stp/>
        <stp>ContractData</stp>
        <stp>NGEJ9</stp>
        <stp>Low</stp>
        <stp/>
        <stp>T</stp>
        <tr r="E54" s="13"/>
      </tp>
      <tp>
        <v>2.9180000000000001</v>
        <stp/>
        <stp>ContractData</stp>
        <stp>NGEJ8</stp>
        <stp>Low</stp>
        <stp/>
        <stp>T</stp>
        <tr r="E18" s="2"/>
      </tp>
      <tp t="s">
        <v/>
        <stp/>
        <stp>ContractData</stp>
        <stp>NGEK9</stp>
        <stp>Low</stp>
        <stp/>
        <stp>T</stp>
        <tr r="E55" s="13"/>
      </tp>
      <tp>
        <v>2.8940000000000001</v>
        <stp/>
        <stp>ContractData</stp>
        <stp>NGEK8</stp>
        <stp>Low</stp>
        <stp/>
        <stp>T</stp>
        <tr r="E19" s="2"/>
      </tp>
      <tp t="s">
        <v/>
        <stp/>
        <stp>ContractData</stp>
        <stp>NGEH9</stp>
        <stp>Low</stp>
        <stp/>
        <stp>T</stp>
        <tr r="E45" s="13"/>
      </tp>
      <tp>
        <v>3.1560000000000001</v>
        <stp/>
        <stp>ContractData</stp>
        <stp>NGEH8</stp>
        <stp>Low</stp>
        <stp/>
        <stp>T</stp>
        <tr r="E17" s="13"/>
        <tr r="E17" s="2"/>
      </tp>
      <tp>
        <v>3.234</v>
        <stp/>
        <stp>ContractData</stp>
        <stp>NGEF9</stp>
        <stp>Low</stp>
        <stp/>
        <stp>T</stp>
        <tr r="E43" s="13"/>
      </tp>
      <tp>
        <v>3.19</v>
        <stp/>
        <stp>ContractData</stp>
        <stp>NGEF8</stp>
        <stp>Low</stp>
        <stp/>
        <stp>T</stp>
        <tr r="E15" s="13"/>
        <tr r="E15" s="2"/>
      </tp>
      <tp t="s">
        <v/>
        <stp/>
        <stp>ContractData</stp>
        <stp>NGEG9</stp>
        <stp>Low</stp>
        <stp/>
        <stp>T</stp>
        <tr r="E44" s="13"/>
      </tp>
      <tp>
        <v>3.1960000000000002</v>
        <stp/>
        <stp>ContractData</stp>
        <stp>NGEG8</stp>
        <stp>Low</stp>
        <stp/>
        <stp>T</stp>
        <tr r="E16" s="13"/>
        <tr r="E16" s="2"/>
      </tp>
      <tp>
        <v>3.0640000000000001</v>
        <stp/>
        <stp>ContractData</stp>
        <stp>NGEZ7</stp>
        <stp>Low</stp>
        <stp/>
        <stp>T</stp>
        <tr r="E14" s="13"/>
        <tr r="E14" s="2"/>
      </tp>
      <tp>
        <v>3.15</v>
        <stp/>
        <stp>ContractData</stp>
        <stp>NGEZ8</stp>
        <stp>Low</stp>
        <stp/>
        <stp>T</stp>
        <tr r="E42" s="13"/>
      </tp>
      <tp>
        <v>2.887</v>
        <stp/>
        <stp>ContractData</stp>
        <stp>NGEX7</stp>
        <stp>Low</stp>
        <stp/>
        <stp>T</stp>
        <tr r="E13" s="13"/>
        <tr r="E13" s="2"/>
      </tp>
      <tp>
        <v>3.016</v>
        <stp/>
        <stp>ContractData</stp>
        <stp>NGEX8</stp>
        <stp>Low</stp>
        <stp/>
        <stp>T</stp>
        <tr r="E41" s="13"/>
      </tp>
      <tp t="s">
        <v/>
        <stp/>
        <stp>ContractData</stp>
        <stp>NGEV9</stp>
        <stp>Low</stp>
        <stp/>
        <stp>T</stp>
        <tr r="E60" s="13"/>
      </tp>
      <tp>
        <v>2.9580000000000002</v>
        <stp/>
        <stp>ContractData</stp>
        <stp>NGEV8</stp>
        <stp>Low</stp>
        <stp/>
        <stp>T</stp>
        <tr r="E24" s="2"/>
      </tp>
      <tp t="s">
        <v/>
        <stp/>
        <stp>ContractData</stp>
        <stp>NGEU9</stp>
        <stp>Low</stp>
        <stp/>
        <stp>T</stp>
        <tr r="E59" s="13"/>
      </tp>
      <tp>
        <v>2.9350000000000001</v>
        <stp/>
        <stp>ContractData</stp>
        <stp>NGEU8</stp>
        <stp>Low</stp>
        <stp/>
        <stp>T</stp>
        <tr r="E23" s="2"/>
      </tp>
      <tp t="s">
        <v/>
        <stp/>
        <stp>ContractData</stp>
        <stp>NGEQ9</stp>
        <stp>Low</stp>
        <stp/>
        <stp>T</stp>
        <tr r="E58" s="13"/>
      </tp>
      <tp>
        <v>2.9529999999999998</v>
        <stp/>
        <stp>ContractData</stp>
        <stp>NGEQ8</stp>
        <stp>Low</stp>
        <stp/>
        <stp>T</stp>
        <tr r="E22" s="2"/>
      </tp>
      <tp>
        <v>3.1560000000000001</v>
        <stp/>
        <stp>ContractData</stp>
        <stp>NGE?5</stp>
        <stp>Low</stp>
        <stp/>
        <stp>T</stp>
        <tr r="R12" s="16"/>
      </tp>
      <tp>
        <v>3.1960000000000002</v>
        <stp/>
        <stp>ContractData</stp>
        <stp>NGE?4</stp>
        <stp>Low</stp>
        <stp/>
        <stp>T</stp>
        <tr r="R11" s="16"/>
      </tp>
      <tp>
        <v>2.8940000000000001</v>
        <stp/>
        <stp>ContractData</stp>
        <stp>NGE?7</stp>
        <stp>Low</stp>
        <stp/>
        <stp>T</stp>
        <tr r="R14" s="16"/>
      </tp>
      <tp>
        <v>2.9180000000000001</v>
        <stp/>
        <stp>ContractData</stp>
        <stp>NGE?6</stp>
        <stp>Low</stp>
        <stp/>
        <stp>T</stp>
        <tr r="R13" s="16"/>
      </tp>
      <tp>
        <v>2.887</v>
        <stp/>
        <stp>ContractData</stp>
        <stp>NGE?1</stp>
        <stp>Low</stp>
        <stp/>
        <stp>T</stp>
        <tr r="R8" s="16"/>
      </tp>
      <tp>
        <v>3.19</v>
        <stp/>
        <stp>ContractData</stp>
        <stp>NGE?3</stp>
        <stp>Low</stp>
        <stp/>
        <stp>T</stp>
        <tr r="R10" s="16"/>
      </tp>
      <tp>
        <v>3.0640000000000001</v>
        <stp/>
        <stp>ContractData</stp>
        <stp>NGE?2</stp>
        <stp>Low</stp>
        <stp/>
        <stp>T</stp>
        <tr r="R9" s="16"/>
      </tp>
      <tp>
        <v>2.9510000000000001</v>
        <stp/>
        <stp>ContractData</stp>
        <stp>NGE?9</stp>
        <stp>Low</stp>
        <stp/>
        <stp>T</stp>
        <tr r="R16" s="16"/>
      </tp>
      <tp>
        <v>2.9260000000000002</v>
        <stp/>
        <stp>ContractData</stp>
        <stp>NGE?8</stp>
        <stp>Low</stp>
        <stp/>
        <stp>T</stp>
        <tr r="R15" s="16"/>
      </tp>
      <tp>
        <v>2.7760000000000002</v>
        <stp/>
        <stp>ContractData</stp>
        <stp>NGEQ9</stp>
        <stp>Ask</stp>
        <stp/>
        <stp>T</stp>
        <tr r="O48" s="13"/>
        <tr r="AA48" s="13"/>
      </tp>
      <tp>
        <v>2.9609999999999999</v>
        <stp/>
        <stp>ContractData</stp>
        <stp>NGEQ8</stp>
        <stp>Ask</stp>
        <stp/>
        <stp>T</stp>
        <tr r="O20" s="13"/>
        <tr r="AA20" s="13"/>
        <tr r="T8" s="2"/>
        <tr r="T11" s="6"/>
        <tr r="T11" s="10"/>
        <tr r="T11" s="8"/>
        <tr r="T11" s="7"/>
        <tr r="T11" s="9"/>
        <tr r="T11" s="11"/>
      </tp>
      <tp>
        <v>2.7749999999999999</v>
        <stp/>
        <stp>ContractData</stp>
        <stp>NGEV9</stp>
        <stp>Ask</stp>
        <stp/>
        <stp>T</stp>
        <tr r="Q48" s="13"/>
        <tr r="AC48" s="13"/>
      </tp>
      <tp>
        <v>2.9660000000000002</v>
        <stp/>
        <stp>ContractData</stp>
        <stp>NGEV8</stp>
        <stp>Ask</stp>
        <stp/>
        <stp>T</stp>
        <tr r="Q20" s="13"/>
        <tr r="AC20" s="13"/>
        <tr r="V8" s="2"/>
        <tr r="T13" s="6"/>
        <tr r="T13" s="8"/>
        <tr r="T13" s="7"/>
        <tr r="T13" s="9"/>
        <tr r="T13" s="10"/>
        <tr r="T13" s="11"/>
      </tp>
      <tp>
        <v>2.7530000000000001</v>
        <stp/>
        <stp>ContractData</stp>
        <stp>NGEU9</stp>
        <stp>Ask</stp>
        <stp/>
        <stp>T</stp>
        <tr r="P48" s="13"/>
        <tr r="AB48" s="13"/>
      </tp>
      <tp>
        <v>2.944</v>
        <stp/>
        <stp>ContractData</stp>
        <stp>NGEU8</stp>
        <stp>Ask</stp>
        <stp/>
        <stp>T</stp>
        <tr r="P20" s="13"/>
        <tr r="AB20" s="13"/>
        <tr r="U8" s="2"/>
        <tr r="T12" s="6"/>
        <tr r="T12" s="9"/>
        <tr r="T12" s="7"/>
        <tr r="T12" s="8"/>
        <tr r="T12" s="10"/>
        <tr r="T12" s="11"/>
      </tp>
      <tp>
        <v>3.157</v>
        <stp/>
        <stp>ContractData</stp>
        <stp>NGEZ8</stp>
        <stp>Ask</stp>
        <stp/>
        <stp>T</stp>
        <tr r="L35" s="13"/>
        <tr r="X35" s="13"/>
      </tp>
      <tp>
        <v>3.0710000000000002</v>
        <stp/>
        <stp>ContractData</stp>
        <stp>NGEZ7</stp>
        <stp>Ask</stp>
        <stp/>
        <stp>T</stp>
        <tr r="L7" s="13"/>
        <tr r="X7" s="13"/>
        <tr r="L8" s="2"/>
        <tr r="T3" s="6"/>
        <tr r="T3" s="10"/>
        <tr r="T3" s="8"/>
        <tr r="T3" s="9"/>
        <tr r="T3" s="7"/>
        <tr r="T3" s="11"/>
      </tp>
      <tp>
        <v>3.02</v>
        <stp/>
        <stp>ContractData</stp>
        <stp>NGEX8</stp>
        <stp>Ask</stp>
        <stp/>
        <stp>T</stp>
        <tr r="K35" s="13"/>
        <tr r="W35" s="13"/>
      </tp>
      <tp>
        <v>2.8970000000000002</v>
        <stp/>
        <stp>ContractData</stp>
        <stp>NGEX7</stp>
        <stp>Ask</stp>
        <stp/>
        <stp>T</stp>
        <tr r="K7" s="13"/>
        <tr r="W7" s="13"/>
        <tr r="K8" s="2"/>
        <tr r="D7" s="2"/>
        <tr r="T2" s="6"/>
        <tr r="T2" s="9"/>
        <tr r="T2" s="10"/>
        <tr r="T2" s="7"/>
        <tr r="T2" s="8"/>
        <tr r="T2" s="11"/>
      </tp>
      <tp>
        <v>3.242</v>
        <stp/>
        <stp>ContractData</stp>
        <stp>NGEF9</stp>
        <stp>Ask</stp>
        <stp/>
        <stp>T</stp>
        <tr r="M35" s="13"/>
        <tr r="Y35" s="13"/>
      </tp>
      <tp>
        <v>3.1970000000000001</v>
        <stp/>
        <stp>ContractData</stp>
        <stp>NGEF8</stp>
        <stp>Ask</stp>
        <stp/>
        <stp>T</stp>
        <tr r="M7" s="13"/>
        <tr r="Y7" s="13"/>
        <tr r="M8" s="2"/>
        <tr r="T4" s="6"/>
        <tr r="T4" s="8"/>
        <tr r="T4" s="10"/>
        <tr r="T4" s="9"/>
        <tr r="T4" s="7"/>
        <tr r="T4" s="11"/>
      </tp>
      <tp>
        <v>3.2189999999999999</v>
        <stp/>
        <stp>ContractData</stp>
        <stp>NGEG9</stp>
        <stp>Ask</stp>
        <stp/>
        <stp>T</stp>
        <tr r="N35" s="13"/>
        <tr r="Z35" s="13"/>
      </tp>
      <tp>
        <v>3.2029999999999998</v>
        <stp/>
        <stp>ContractData</stp>
        <stp>NGEG8</stp>
        <stp>Ask</stp>
        <stp/>
        <stp>T</stp>
        <tr r="N7" s="13"/>
        <tr r="Z7" s="13"/>
        <tr r="N8" s="2"/>
        <tr r="T5" s="6"/>
        <tr r="T5" s="9"/>
        <tr r="T5" s="7"/>
        <tr r="T5" s="10"/>
        <tr r="T5" s="8"/>
        <tr r="T5" s="11"/>
      </tp>
      <tp>
        <v>2.7610000000000001</v>
        <stp/>
        <stp>ContractData</stp>
        <stp>NGEJ9</stp>
        <stp>Ask</stp>
        <stp/>
        <stp>T</stp>
        <tr r="K48" s="13"/>
        <tr r="W48" s="13"/>
      </tp>
      <tp>
        <v>2.9250000000000003</v>
        <stp/>
        <stp>ContractData</stp>
        <stp>NGEJ8</stp>
        <stp>Ask</stp>
        <stp/>
        <stp>T</stp>
        <tr r="K20" s="13"/>
        <tr r="W20" s="13"/>
        <tr r="P8" s="2"/>
        <tr r="T7" s="6"/>
        <tr r="T7" s="9"/>
        <tr r="T7" s="7"/>
        <tr r="T7" s="8"/>
        <tr r="T7" s="10"/>
        <tr r="T7" s="11"/>
      </tp>
      <tp>
        <v>2.7250000000000001</v>
        <stp/>
        <stp>ContractData</stp>
        <stp>NGEK9</stp>
        <stp>Ask</stp>
        <stp/>
        <stp>T</stp>
        <tr r="L48" s="13"/>
        <tr r="X48" s="13"/>
      </tp>
      <tp>
        <v>2.9010000000000002</v>
        <stp/>
        <stp>ContractData</stp>
        <stp>NGEK8</stp>
        <stp>Ask</stp>
        <stp/>
        <stp>T</stp>
        <tr r="L20" s="13"/>
        <tr r="X20" s="13"/>
        <tr r="Q8" s="2"/>
        <tr r="T8" s="6"/>
        <tr r="T8" s="7"/>
        <tr r="T8" s="9"/>
        <tr r="T8" s="8"/>
        <tr r="T8" s="10"/>
        <tr r="T8" s="11"/>
      </tp>
      <tp>
        <v>3.1470000000000002</v>
        <stp/>
        <stp>ContractData</stp>
        <stp>NGEH9</stp>
        <stp>Ask</stp>
        <stp/>
        <stp>T</stp>
        <tr r="O35" s="13"/>
        <tr r="AA35" s="13"/>
      </tp>
      <tp>
        <v>3.1630000000000003</v>
        <stp/>
        <stp>ContractData</stp>
        <stp>NGEH8</stp>
        <stp>Ask</stp>
        <stp/>
        <stp>T</stp>
        <tr r="O7" s="13"/>
        <tr r="AA7" s="13"/>
        <tr r="O8" s="2"/>
        <tr r="T6" s="6"/>
        <tr r="T6" s="9"/>
        <tr r="T6" s="10"/>
        <tr r="T6" s="7"/>
        <tr r="T6" s="8"/>
        <tr r="T6" s="11"/>
      </tp>
      <tp>
        <v>2.7709999999999999</v>
        <stp/>
        <stp>ContractData</stp>
        <stp>NGEN9</stp>
        <stp>Ask</stp>
        <stp/>
        <stp>T</stp>
        <tr r="N48" s="13"/>
        <tr r="Z48" s="13"/>
      </tp>
      <tp>
        <v>2.9580000000000002</v>
        <stp/>
        <stp>ContractData</stp>
        <stp>NGEN8</stp>
        <stp>Ask</stp>
        <stp/>
        <stp>T</stp>
        <tr r="N20" s="13"/>
        <tr r="Z20" s="13"/>
        <tr r="S8" s="2"/>
        <tr r="T10" s="6"/>
        <tr r="T10" s="8"/>
        <tr r="T10" s="9"/>
        <tr r="T10" s="7"/>
        <tr r="T10" s="10"/>
        <tr r="T10" s="11"/>
      </tp>
      <tp>
        <v>2.7480000000000002</v>
        <stp/>
        <stp>ContractData</stp>
        <stp>NGEM9</stp>
        <stp>Ask</stp>
        <stp/>
        <stp>T</stp>
        <tr r="M48" s="13"/>
        <tr r="Y48" s="13"/>
      </tp>
      <tp>
        <v>2.931</v>
        <stp/>
        <stp>ContractData</stp>
        <stp>NGEM8</stp>
        <stp>Ask</stp>
        <stp/>
        <stp>T</stp>
        <tr r="M20" s="13"/>
        <tr r="Y20" s="13"/>
        <tr r="R8" s="2"/>
        <tr r="T9" s="6"/>
        <tr r="T9" s="7"/>
        <tr r="T9" s="9"/>
        <tr r="T9" s="10"/>
        <tr r="T9" s="8"/>
        <tr r="T9" s="11"/>
      </tp>
      <tp>
        <v>2.9580000000000002</v>
        <stp/>
        <stp>ContractData</stp>
        <stp>NGE?9</stp>
        <stp>Ask</stp>
        <stp/>
        <stp>T</stp>
        <tr r="M16" s="16"/>
      </tp>
      <tp>
        <v>2.931</v>
        <stp/>
        <stp>ContractData</stp>
        <stp>NGE?8</stp>
        <stp>Ask</stp>
        <stp/>
        <stp>T</stp>
        <tr r="M15" s="16"/>
      </tp>
      <tp>
        <v>2.8970000000000002</v>
        <stp/>
        <stp>ContractData</stp>
        <stp>NGE?1</stp>
        <stp>Ask</stp>
        <stp/>
        <stp>T</stp>
        <tr r="M8" s="16"/>
      </tp>
      <tp>
        <v>3.1970000000000001</v>
        <stp/>
        <stp>ContractData</stp>
        <stp>NGE?3</stp>
        <stp>Ask</stp>
        <stp/>
        <stp>T</stp>
        <tr r="M10" s="16"/>
      </tp>
      <tp>
        <v>3.0710000000000002</v>
        <stp/>
        <stp>ContractData</stp>
        <stp>NGE?2</stp>
        <stp>Ask</stp>
        <stp/>
        <stp>T</stp>
        <tr r="M9" s="16"/>
      </tp>
      <tp>
        <v>3.1630000000000003</v>
        <stp/>
        <stp>ContractData</stp>
        <stp>NGE?5</stp>
        <stp>Ask</stp>
        <stp/>
        <stp>T</stp>
        <tr r="M12" s="16"/>
      </tp>
      <tp>
        <v>3.2029999999999998</v>
        <stp/>
        <stp>ContractData</stp>
        <stp>NGE?4</stp>
        <stp>Ask</stp>
        <stp/>
        <stp>T</stp>
        <tr r="M11" s="16"/>
      </tp>
      <tp>
        <v>2.9010000000000002</v>
        <stp/>
        <stp>ContractData</stp>
        <stp>NGE?7</stp>
        <stp>Ask</stp>
        <stp/>
        <stp>T</stp>
        <tr r="M14" s="16"/>
      </tp>
      <tp>
        <v>2.9250000000000003</v>
        <stp/>
        <stp>ContractData</stp>
        <stp>NGE?6</stp>
        <stp>Ask</stp>
        <stp/>
        <stp>T</stp>
        <tr r="M13" s="16"/>
      </tp>
      <tp>
        <v>3.1619999999999999</v>
        <stp/>
        <stp>ContractData</stp>
        <stp>NGEH8</stp>
        <stp>Bid</stp>
        <stp/>
        <stp>T</stp>
        <tr r="O8" s="13"/>
        <tr r="AA8" s="13"/>
        <tr r="O9" s="2"/>
        <tr r="S6" s="6"/>
        <tr r="S6" s="9"/>
        <tr r="S6" s="7"/>
        <tr r="S6" s="10"/>
        <tr r="S6" s="8"/>
        <tr r="S6" s="11"/>
      </tp>
      <tp>
        <v>3.14</v>
        <stp/>
        <stp>ContractData</stp>
        <stp>NGEH9</stp>
        <stp>Bid</stp>
        <stp/>
        <stp>T</stp>
        <tr r="O36" s="13"/>
        <tr r="AA36" s="13"/>
      </tp>
      <tp>
        <v>2.9239999999999999</v>
        <stp/>
        <stp>ContractData</stp>
        <stp>NGEJ8</stp>
        <stp>Bid</stp>
        <stp/>
        <stp>T</stp>
        <tr r="K21" s="13"/>
        <tr r="W21" s="13"/>
        <tr r="P9" s="2"/>
        <tr r="S7" s="6"/>
        <tr r="S7" s="9"/>
        <tr r="S7" s="7"/>
        <tr r="S7" s="10"/>
        <tr r="S7" s="8"/>
        <tr r="S7" s="11"/>
      </tp>
      <tp>
        <v>2.7450000000000001</v>
        <stp/>
        <stp>ContractData</stp>
        <stp>NGEJ9</stp>
        <stp>Bid</stp>
        <stp/>
        <stp>T</stp>
        <tr r="K49" s="13"/>
        <tr r="W49" s="13"/>
      </tp>
      <tp>
        <v>2.9</v>
        <stp/>
        <stp>ContractData</stp>
        <stp>NGEK8</stp>
        <stp>Bid</stp>
        <stp/>
        <stp>T</stp>
        <tr r="L21" s="13"/>
        <tr r="X21" s="13"/>
        <tr r="Q9" s="2"/>
        <tr r="S8" s="6"/>
        <tr r="S8" s="7"/>
        <tr r="S8" s="10"/>
        <tr r="S8" s="9"/>
        <tr r="S8" s="8"/>
        <tr r="S8" s="11"/>
      </tp>
      <tp>
        <v>2.702</v>
        <stp/>
        <stp>ContractData</stp>
        <stp>NGEK9</stp>
        <stp>Bid</stp>
        <stp/>
        <stp>T</stp>
        <tr r="L49" s="13"/>
        <tr r="X49" s="13"/>
      </tp>
      <tp>
        <v>2.9290000000000003</v>
        <stp/>
        <stp>ContractData</stp>
        <stp>NGEM8</stp>
        <stp>Bid</stp>
        <stp/>
        <stp>T</stp>
        <tr r="M21" s="13"/>
        <tr r="Y21" s="13"/>
        <tr r="R9" s="2"/>
        <tr r="S9" s="6"/>
        <tr r="S9" s="10"/>
        <tr r="S9" s="9"/>
        <tr r="S9" s="8"/>
        <tr r="S9" s="7"/>
        <tr r="S9" s="11"/>
      </tp>
      <tp>
        <v>2.7229999999999999</v>
        <stp/>
        <stp>ContractData</stp>
        <stp>NGEM9</stp>
        <stp>Bid</stp>
        <stp/>
        <stp>T</stp>
        <tr r="M49" s="13"/>
        <tr r="Y49" s="13"/>
      </tp>
      <tp>
        <v>2.956</v>
        <stp/>
        <stp>ContractData</stp>
        <stp>NGEN8</stp>
        <stp>Bid</stp>
        <stp/>
        <stp>T</stp>
        <tr r="N21" s="13"/>
        <tr r="Z21" s="13"/>
        <tr r="S9" s="2"/>
        <tr r="S10" s="6"/>
        <tr r="S10" s="10"/>
        <tr r="S10" s="7"/>
        <tr r="S10" s="9"/>
        <tr r="S10" s="8"/>
        <tr r="S10" s="11"/>
      </tp>
      <tp>
        <v>2.7429999999999999</v>
        <stp/>
        <stp>ContractData</stp>
        <stp>NGEN9</stp>
        <stp>Bid</stp>
        <stp/>
        <stp>T</stp>
        <tr r="N49" s="13"/>
        <tr r="Z49" s="13"/>
      </tp>
      <tp>
        <v>3.1960000000000002</v>
        <stp/>
        <stp>ContractData</stp>
        <stp>NGEF8</stp>
        <stp>Bid</stp>
        <stp/>
        <stp>T</stp>
        <tr r="M8" s="13"/>
        <tr r="Y8" s="13"/>
        <tr r="M9" s="2"/>
        <tr r="S4" s="6"/>
        <tr r="S4" s="9"/>
        <tr r="S4" s="8"/>
        <tr r="S4" s="10"/>
        <tr r="S4" s="7"/>
        <tr r="S4" s="11"/>
      </tp>
      <tp>
        <v>3.238</v>
        <stp/>
        <stp>ContractData</stp>
        <stp>NGEF9</stp>
        <stp>Bid</stp>
        <stp/>
        <stp>T</stp>
        <tr r="M36" s="13"/>
        <tr r="Y36" s="13"/>
      </tp>
      <tp>
        <v>3.2010000000000001</v>
        <stp/>
        <stp>ContractData</stp>
        <stp>NGEG8</stp>
        <stp>Bid</stp>
        <stp/>
        <stp>T</stp>
        <tr r="N8" s="13"/>
        <tr r="Z8" s="13"/>
        <tr r="N9" s="2"/>
        <tr r="S5" s="6"/>
        <tr r="S5" s="10"/>
        <tr r="S5" s="9"/>
        <tr r="S5" s="7"/>
        <tr r="S5" s="8"/>
        <tr r="S5" s="11"/>
      </tp>
      <tp>
        <v>3.2120000000000002</v>
        <stp/>
        <stp>ContractData</stp>
        <stp>NGEG9</stp>
        <stp>Bid</stp>
        <stp/>
        <stp>T</stp>
        <tr r="N36" s="13"/>
        <tr r="Z36" s="13"/>
      </tp>
      <tp>
        <v>2.8959999999999999</v>
        <stp/>
        <stp>ContractData</stp>
        <stp>NGEX7</stp>
        <stp>Bid</stp>
        <stp/>
        <stp>T</stp>
        <tr r="K8" s="13"/>
        <tr r="W8" s="13"/>
        <tr r="K9" s="2"/>
        <tr r="D9" s="2"/>
        <tr r="S2" s="6"/>
        <tr r="S2" s="10"/>
        <tr r="S2" s="8"/>
        <tr r="S2" s="9"/>
        <tr r="S2" s="7"/>
        <tr r="S2" s="11"/>
      </tp>
      <tp>
        <v>3.0169999999999999</v>
        <stp/>
        <stp>ContractData</stp>
        <stp>NGEX8</stp>
        <stp>Bid</stp>
        <stp/>
        <stp>T</stp>
        <tr r="K36" s="13"/>
        <tr r="W36" s="13"/>
      </tp>
      <tp>
        <v>3.069</v>
        <stp/>
        <stp>ContractData</stp>
        <stp>NGEZ7</stp>
        <stp>Bid</stp>
        <stp/>
        <stp>T</stp>
        <tr r="L8" s="13"/>
        <tr r="X8" s="13"/>
        <tr r="L9" s="2"/>
        <tr r="S3" s="6"/>
        <tr r="S3" s="9"/>
        <tr r="S3" s="7"/>
        <tr r="S3" s="10"/>
        <tr r="S3" s="8"/>
        <tr r="S3" s="11"/>
      </tp>
      <tp>
        <v>3.153</v>
        <stp/>
        <stp>ContractData</stp>
        <stp>NGEZ8</stp>
        <stp>Bid</stp>
        <stp/>
        <stp>T</stp>
        <tr r="L36" s="13"/>
        <tr r="X36" s="13"/>
      </tp>
      <tp>
        <v>2.9590000000000001</v>
        <stp/>
        <stp>ContractData</stp>
        <stp>NGEQ8</stp>
        <stp>Bid</stp>
        <stp/>
        <stp>T</stp>
        <tr r="O21" s="13"/>
        <tr r="AA21" s="13"/>
        <tr r="T9" s="2"/>
        <tr r="S11" s="6"/>
        <tr r="S11" s="10"/>
        <tr r="S11" s="8"/>
        <tr r="S11" s="7"/>
        <tr r="S11" s="9"/>
        <tr r="S11" s="11"/>
      </tp>
      <tp>
        <v>2.7469999999999999</v>
        <stp/>
        <stp>ContractData</stp>
        <stp>NGEQ9</stp>
        <stp>Bid</stp>
        <stp/>
        <stp>T</stp>
        <tr r="O49" s="13"/>
        <tr r="AA49" s="13"/>
      </tp>
      <tp>
        <v>2.9420000000000002</v>
        <stp/>
        <stp>ContractData</stp>
        <stp>NGEU8</stp>
        <stp>Bid</stp>
        <stp/>
        <stp>T</stp>
        <tr r="P21" s="13"/>
        <tr r="AB21" s="13"/>
        <tr r="U9" s="2"/>
        <tr r="S12" s="6"/>
        <tr r="S12" s="9"/>
        <tr r="S12" s="8"/>
        <tr r="S12" s="7"/>
        <tr r="S12" s="10"/>
        <tr r="S12" s="11"/>
      </tp>
      <tp>
        <v>2.7309999999999999</v>
        <stp/>
        <stp>ContractData</stp>
        <stp>NGEU9</stp>
        <stp>Bid</stp>
        <stp/>
        <stp>T</stp>
        <tr r="P49" s="13"/>
        <tr r="AB49" s="13"/>
      </tp>
      <tp>
        <v>2.964</v>
        <stp/>
        <stp>ContractData</stp>
        <stp>NGEV8</stp>
        <stp>Bid</stp>
        <stp/>
        <stp>T</stp>
        <tr r="Q21" s="13"/>
        <tr r="AC21" s="13"/>
        <tr r="V9" s="2"/>
        <tr r="S13" s="6"/>
        <tr r="S13" s="8"/>
        <tr r="S13" s="7"/>
        <tr r="S13" s="9"/>
        <tr r="S13" s="10"/>
        <tr r="S13" s="11"/>
      </tp>
      <tp>
        <v>2.762</v>
        <stp/>
        <stp>ContractData</stp>
        <stp>NGEV9</stp>
        <stp>Bid</stp>
        <stp/>
        <stp>T</stp>
        <tr r="Q49" s="13"/>
        <tr r="AC49" s="13"/>
      </tp>
      <tp>
        <v>2.9239999999999999</v>
        <stp/>
        <stp>ContractData</stp>
        <stp>NGE?6</stp>
        <stp>Bid</stp>
        <stp/>
        <stp>T</stp>
        <tr r="K13" s="16"/>
      </tp>
      <tp>
        <v>2.9</v>
        <stp/>
        <stp>ContractData</stp>
        <stp>NGE?7</stp>
        <stp>Bid</stp>
        <stp/>
        <stp>T</stp>
        <tr r="K14" s="16"/>
      </tp>
      <tp>
        <v>3.2010000000000001</v>
        <stp/>
        <stp>ContractData</stp>
        <stp>NGE?4</stp>
        <stp>Bid</stp>
        <stp/>
        <stp>T</stp>
        <tr r="K11" s="16"/>
      </tp>
      <tp>
        <v>3.1619999999999999</v>
        <stp/>
        <stp>ContractData</stp>
        <stp>NGE?5</stp>
        <stp>Bid</stp>
        <stp/>
        <stp>T</stp>
        <tr r="K12" s="16"/>
      </tp>
      <tp>
        <v>3.069</v>
        <stp/>
        <stp>ContractData</stp>
        <stp>NGE?2</stp>
        <stp>Bid</stp>
        <stp/>
        <stp>T</stp>
        <tr r="K9" s="16"/>
      </tp>
      <tp>
        <v>3.1960000000000002</v>
        <stp/>
        <stp>ContractData</stp>
        <stp>NGE?3</stp>
        <stp>Bid</stp>
        <stp/>
        <stp>T</stp>
        <tr r="K10" s="16"/>
      </tp>
      <tp>
        <v>2.8959999999999999</v>
        <stp/>
        <stp>ContractData</stp>
        <stp>NGE?1</stp>
        <stp>Bid</stp>
        <stp/>
        <stp>T</stp>
        <tr r="K8" s="16"/>
      </tp>
      <tp>
        <v>2.9290000000000003</v>
        <stp/>
        <stp>ContractData</stp>
        <stp>NGE?8</stp>
        <stp>Bid</stp>
        <stp/>
        <stp>T</stp>
        <tr r="K15" s="16"/>
      </tp>
      <tp>
        <v>2.956</v>
        <stp/>
        <stp>ContractData</stp>
        <stp>NGE?9</stp>
        <stp>Bid</stp>
        <stp/>
        <stp>T</stp>
        <tr r="K16" s="16"/>
      </tp>
      <tp>
        <v>-8.0000000000000002E-3</v>
        <stp/>
        <stp>ContractData</stp>
        <stp>F.NGE?12</stp>
        <stp>NetLastQuoteToday</stp>
        <stp/>
        <stp>T</stp>
        <tr r="U13" s="6"/>
        <tr r="U13" s="10"/>
        <tr r="U13" s="7"/>
        <tr r="U13" s="9"/>
        <tr r="U13" s="8"/>
        <tr r="U13" s="11"/>
      </tp>
      <tp>
        <v>-0.01</v>
        <stp/>
        <stp>ContractData</stp>
        <stp>F.NGE?10</stp>
        <stp>NetLastQuoteToday</stp>
        <stp/>
        <stp>T</stp>
        <tr r="U11" s="6"/>
        <tr r="U11" s="7"/>
        <tr r="U11" s="8"/>
        <tr r="U11" s="10"/>
        <tr r="U11" s="9"/>
        <tr r="U11" s="11"/>
      </tp>
      <tp>
        <v>-7.0000000000000001E-3</v>
        <stp/>
        <stp>ContractData</stp>
        <stp>F.NGE?11</stp>
        <stp>NetLastQuoteToday</stp>
        <stp/>
        <stp>T</stp>
        <tr r="U12" s="6"/>
        <tr r="U12" s="10"/>
        <tr r="U12" s="7"/>
        <tr r="U12" s="8"/>
        <tr r="U12" s="9"/>
        <tr r="U12" s="11"/>
      </tp>
      <tp>
        <v>3.3696000000000002</v>
        <stp/>
        <stp>StudyData</stp>
        <stp>Bar(((NGEX17+NGEZ17+NGEF18+NGEG18+NGEH18)/5),1)</stp>
        <stp>Bar</stp>
        <stp/>
        <stp>High</stp>
        <stp>D</stp>
        <stp>-13</stp>
        <stp/>
        <stp/>
        <stp/>
        <stp/>
        <stp>T</stp>
        <tr r="D15" s="14"/>
      </tp>
      <tp>
        <v>3.2355999999999998</v>
        <stp/>
        <stp>StudyData</stp>
        <stp>Bar(((NGEX17+NGEZ17+NGEF18+NGEG18+NGEH18)/5),1)</stp>
        <stp>Bar</stp>
        <stp/>
        <stp>High</stp>
        <stp>D</stp>
        <stp>-33</stp>
        <stp/>
        <stp/>
        <stp/>
        <stp/>
        <stp>T</stp>
        <tr r="D35" s="14"/>
      </tp>
      <tp>
        <v>3.2696000000000001</v>
        <stp/>
        <stp>StudyData</stp>
        <stp>Bar(((NGEX17+NGEZ17+NGEF18+NGEG18+NGEH18)/5),1)</stp>
        <stp>Bar</stp>
        <stp/>
        <stp>High</stp>
        <stp>D</stp>
        <stp>-23</stp>
        <stp/>
        <stp/>
        <stp/>
        <stp/>
        <stp>T</stp>
        <tr r="D25" s="14"/>
      </tp>
      <tp>
        <v>3.1072000000000002</v>
        <stp/>
        <stp>StudyData</stp>
        <stp>Bar(((NGEX17+NGEZ17+NGEF18+NGEG18+NGEH18)/5),1)</stp>
        <stp>Bar</stp>
        <stp/>
        <stp>High</stp>
        <stp>D</stp>
        <stp>-43</stp>
        <stp/>
        <stp/>
        <stp/>
        <stp/>
        <stp>T</stp>
        <tr r="D45" s="14"/>
      </tp>
      <tp>
        <v>15</v>
        <stp/>
        <stp>ContractData</stp>
        <stp>NGEJ18</stp>
        <stp>MT_LastBidVolume</stp>
        <stp/>
        <stp>T</stp>
        <tr r="C21" s="13"/>
      </tp>
      <tp>
        <v>42954</v>
        <stp/>
        <stp>StudyData</stp>
        <stp>Bar(((NGEX17+NGEZ17+NGEF18+NGEG18+NGEH18)/5),1)</stp>
        <stp>Bar</stp>
        <stp/>
        <stp>Time</stp>
        <stp>D</stp>
        <stp>-43</stp>
        <stp/>
        <stp/>
        <stp/>
        <stp/>
        <stp>T</stp>
        <tr r="B45" s="14"/>
      </tp>
      <tp>
        <v>42997</v>
        <stp/>
        <stp>StudyData</stp>
        <stp>Bar(((NGEX17+NGEZ17+NGEF18+NGEG18+NGEH18)/5),1)</stp>
        <stp>Bar</stp>
        <stp/>
        <stp>Time</stp>
        <stp>D</stp>
        <stp>-13</stp>
        <stp/>
        <stp/>
        <stp/>
        <stp/>
        <stp>T</stp>
        <tr r="B15" s="14"/>
      </tp>
      <tp>
        <v>42968</v>
        <stp/>
        <stp>StudyData</stp>
        <stp>Bar(((NGEX17+NGEZ17+NGEF18+NGEG18+NGEH18)/5),1)</stp>
        <stp>Bar</stp>
        <stp/>
        <stp>Time</stp>
        <stp>D</stp>
        <stp>-33</stp>
        <stp/>
        <stp/>
        <stp/>
        <stp/>
        <stp>T</stp>
        <tr r="B35" s="14"/>
      </tp>
      <tp>
        <v>42983</v>
        <stp/>
        <stp>StudyData</stp>
        <stp>Bar(((NGEX17+NGEZ17+NGEF18+NGEG18+NGEH18)/5),1)</stp>
        <stp>Bar</stp>
        <stp/>
        <stp>Time</stp>
        <stp>D</stp>
        <stp>-23</stp>
        <stp/>
        <stp/>
        <stp/>
        <stp/>
        <stp>T</stp>
        <tr r="B25" s="14"/>
      </tp>
      <tp>
        <v>3.2178</v>
        <stp/>
        <stp>StudyData</stp>
        <stp>Bar(((NGEX17+NGEZ17+NGEF18+NGEG18+NGEH18)/5),1)</stp>
        <stp>Bar</stp>
        <stp/>
        <stp>High</stp>
        <stp>D</stp>
        <stp>-10</stp>
        <stp/>
        <stp/>
        <stp/>
        <stp/>
        <stp>T</stp>
        <tr r="D12" s="14"/>
      </tp>
      <tp>
        <v>3.2263999999999999</v>
        <stp/>
        <stp>StudyData</stp>
        <stp>Bar(((NGEX17+NGEZ17+NGEF18+NGEG18+NGEH18)/5),1)</stp>
        <stp>Bar</stp>
        <stp/>
        <stp>High</stp>
        <stp>D</stp>
        <stp>-30</stp>
        <stp/>
        <stp/>
        <stp/>
        <stp/>
        <stp>T</stp>
        <tr r="D32" s="14"/>
      </tp>
      <tp>
        <v>3.2185999999999999</v>
        <stp/>
        <stp>StudyData</stp>
        <stp>Bar(((NGEX17+NGEZ17+NGEF18+NGEG18+NGEH18)/5),1)</stp>
        <stp>Bar</stp>
        <stp/>
        <stp>High</stp>
        <stp>D</stp>
        <stp>-20</stp>
        <stp/>
        <stp/>
        <stp/>
        <stp/>
        <stp>T</stp>
        <tr r="D22" s="14"/>
      </tp>
      <tp>
        <v>3.242</v>
        <stp/>
        <stp>StudyData</stp>
        <stp>Bar(((NGEX17+NGEZ17+NGEF18+NGEG18+NGEH18)/5),1)</stp>
        <stp>Bar</stp>
        <stp/>
        <stp>High</stp>
        <stp>D</stp>
        <stp>-40</stp>
        <stp/>
        <stp/>
        <stp/>
        <stp/>
        <stp>T</stp>
        <tr r="D42" s="14"/>
      </tp>
      <tp>
        <v>42957</v>
        <stp/>
        <stp>StudyData</stp>
        <stp>Bar(((NGEX17+NGEZ17+NGEF18+NGEG18+NGEH18)/5),1)</stp>
        <stp>Bar</stp>
        <stp/>
        <stp>Time</stp>
        <stp>D</stp>
        <stp>-40</stp>
        <stp/>
        <stp/>
        <stp/>
        <stp/>
        <stp>T</stp>
        <tr r="B42" s="14"/>
      </tp>
      <tp>
        <v>43000</v>
        <stp/>
        <stp>StudyData</stp>
        <stp>Bar(((NGEX17+NGEZ17+NGEF18+NGEG18+NGEH18)/5),1)</stp>
        <stp>Bar</stp>
        <stp/>
        <stp>Time</stp>
        <stp>D</stp>
        <stp>-10</stp>
        <stp/>
        <stp/>
        <stp/>
        <stp/>
        <stp>T</stp>
        <tr r="B12" s="14"/>
      </tp>
      <tp>
        <v>42971</v>
        <stp/>
        <stp>StudyData</stp>
        <stp>Bar(((NGEX17+NGEZ17+NGEF18+NGEG18+NGEH18)/5),1)</stp>
        <stp>Bar</stp>
        <stp/>
        <stp>Time</stp>
        <stp>D</stp>
        <stp>-30</stp>
        <stp/>
        <stp/>
        <stp/>
        <stp/>
        <stp>T</stp>
        <tr r="B32" s="14"/>
      </tp>
      <tp>
        <v>42986</v>
        <stp/>
        <stp>StudyData</stp>
        <stp>Bar(((NGEX17+NGEZ17+NGEF18+NGEG18+NGEH18)/5),1)</stp>
        <stp>Bar</stp>
        <stp/>
        <stp>Time</stp>
        <stp>D</stp>
        <stp>-20</stp>
        <stp/>
        <stp/>
        <stp/>
        <stp/>
        <stp>T</stp>
        <tr r="B22" s="14"/>
      </tp>
      <tp>
        <v>3.3146</v>
        <stp/>
        <stp>StudyData</stp>
        <stp>Bar(((NGEX17+NGEZ17+NGEF18+NGEG18+NGEH18)/5),1)</stp>
        <stp>Bar</stp>
        <stp/>
        <stp>High</stp>
        <stp>D</stp>
        <stp>-11</stp>
        <stp/>
        <stp/>
        <stp/>
        <stp/>
        <stp>T</stp>
        <tr r="D13" s="14"/>
      </tp>
      <tp>
        <v>3.2096</v>
        <stp/>
        <stp>StudyData</stp>
        <stp>Bar(((NGEX17+NGEZ17+NGEF18+NGEG18+NGEH18)/5),1)</stp>
        <stp>Bar</stp>
        <stp/>
        <stp>High</stp>
        <stp>D</stp>
        <stp>-31</stp>
        <stp/>
        <stp/>
        <stp/>
        <stp/>
        <stp>T</stp>
        <tr r="D33" s="14"/>
      </tp>
      <tp>
        <v>3.2557999999999998</v>
        <stp/>
        <stp>StudyData</stp>
        <stp>Bar(((NGEX17+NGEZ17+NGEF18+NGEG18+NGEH18)/5),1)</stp>
        <stp>Bar</stp>
        <stp/>
        <stp>High</stp>
        <stp>D</stp>
        <stp>-21</stp>
        <stp/>
        <stp/>
        <stp/>
        <stp/>
        <stp>T</stp>
        <tr r="D23" s="14"/>
      </tp>
      <tp>
        <v>3.1707999999999998</v>
        <stp/>
        <stp>StudyData</stp>
        <stp>Bar(((NGEX17+NGEZ17+NGEF18+NGEG18+NGEH18)/5),1)</stp>
        <stp>Bar</stp>
        <stp/>
        <stp>High</stp>
        <stp>D</stp>
        <stp>-41</stp>
        <stp/>
        <stp/>
        <stp/>
        <stp/>
        <stp>T</stp>
        <tr r="D43" s="14"/>
      </tp>
      <tp>
        <v>42956</v>
        <stp/>
        <stp>StudyData</stp>
        <stp>Bar(((NGEX17+NGEZ17+NGEF18+NGEG18+NGEH18)/5),1)</stp>
        <stp>Bar</stp>
        <stp/>
        <stp>Time</stp>
        <stp>D</stp>
        <stp>-41</stp>
        <stp/>
        <stp/>
        <stp/>
        <stp/>
        <stp>T</stp>
        <tr r="B43" s="14"/>
      </tp>
      <tp>
        <v>42999</v>
        <stp/>
        <stp>StudyData</stp>
        <stp>Bar(((NGEX17+NGEZ17+NGEF18+NGEG18+NGEH18)/5),1)</stp>
        <stp>Bar</stp>
        <stp/>
        <stp>Time</stp>
        <stp>D</stp>
        <stp>-11</stp>
        <stp/>
        <stp/>
        <stp/>
        <stp/>
        <stp>T</stp>
        <tr r="B13" s="14"/>
      </tp>
      <tp>
        <v>42970</v>
        <stp/>
        <stp>StudyData</stp>
        <stp>Bar(((NGEX17+NGEZ17+NGEF18+NGEG18+NGEH18)/5),1)</stp>
        <stp>Bar</stp>
        <stp/>
        <stp>Time</stp>
        <stp>D</stp>
        <stp>-31</stp>
        <stp/>
        <stp/>
        <stp/>
        <stp/>
        <stp>T</stp>
        <tr r="B33" s="14"/>
      </tp>
      <tp>
        <v>42985</v>
        <stp/>
        <stp>StudyData</stp>
        <stp>Bar(((NGEX17+NGEZ17+NGEF18+NGEG18+NGEH18)/5),1)</stp>
        <stp>Bar</stp>
        <stp/>
        <stp>Time</stp>
        <stp>D</stp>
        <stp>-21</stp>
        <stp/>
        <stp/>
        <stp/>
        <stp/>
        <stp>T</stp>
        <tr r="B23" s="14"/>
      </tp>
      <tp>
        <v>0.16400000000000001</v>
        <stp/>
        <stp>ContractData</stp>
        <stp>NGES6Z7</stp>
        <stp>Settlement</stp>
        <stp/>
        <stp>T</stp>
        <tr r="AK3" s="11"/>
      </tp>
      <tp>
        <v>1.2E-2</v>
        <stp/>
        <stp>ContractData</stp>
        <stp>NGES6X7</stp>
        <stp>Settlement</stp>
        <stp/>
        <stp>T</stp>
        <tr r="AK2" s="11"/>
      </tp>
      <tp>
        <v>0.192</v>
        <stp/>
        <stp>ContractData</stp>
        <stp>NGES5Z7</stp>
        <stp>Settlement</stp>
        <stp/>
        <stp>T</stp>
        <tr r="AK3" s="10"/>
      </tp>
      <tp>
        <v>-1.6E-2</v>
        <stp/>
        <stp>ContractData</stp>
        <stp>NGES5X7</stp>
        <stp>Settlement</stp>
        <stp/>
        <stp>T</stp>
        <tr r="AK2" s="10"/>
      </tp>
      <tp>
        <v>0.16400000000000001</v>
        <stp/>
        <stp>ContractData</stp>
        <stp>NGES4Z7</stp>
        <stp>Settlement</stp>
        <stp/>
        <stp>T</stp>
        <tr r="AK3" s="9"/>
      </tp>
      <tp>
        <v>-0.27</v>
        <stp/>
        <stp>ContractData</stp>
        <stp>NGES4X7</stp>
        <stp>Settlement</stp>
        <stp/>
        <stp>T</stp>
        <tr r="AK2" s="9"/>
      </tp>
      <tp>
        <v>-0.09</v>
        <stp/>
        <stp>ContractData</stp>
        <stp>NGES3Z7</stp>
        <stp>Settlement</stp>
        <stp/>
        <stp>T</stp>
        <tr r="AK3" s="8"/>
      </tp>
      <tp>
        <v>-0.312</v>
        <stp/>
        <stp>ContractData</stp>
        <stp>NGES3X7</stp>
        <stp>Settlement</stp>
        <stp/>
        <stp>T</stp>
        <tr r="AK2" s="8"/>
      </tp>
      <tp>
        <v>-0.13200000000000001</v>
        <stp/>
        <stp>ContractData</stp>
        <stp>NGES2Z7</stp>
        <stp>Settlement</stp>
        <stp/>
        <stp>T</stp>
        <tr r="AK3" s="7"/>
      </tp>
      <tp>
        <v>-0.307</v>
        <stp/>
        <stp>ContractData</stp>
        <stp>NGES2X7</stp>
        <stp>Settlement</stp>
        <stp/>
        <stp>T</stp>
        <tr r="AK2" s="7"/>
      </tp>
      <tp>
        <v>-0.127</v>
        <stp/>
        <stp>ContractData</stp>
        <stp>NGES1Z7</stp>
        <stp>Settlement</stp>
        <stp/>
        <stp>T</stp>
        <tr r="AK3" s="6"/>
      </tp>
      <tp>
        <v>-0.18</v>
        <stp/>
        <stp>ContractData</stp>
        <stp>NGES1X7</stp>
        <stp>Settlement</stp>
        <stp/>
        <stp>T</stp>
        <tr r="AK2" s="6"/>
      </tp>
      <tp>
        <v>42956</v>
        <stp/>
        <stp>StudyData</stp>
        <stp>Bar(((NGEX18+NGEZ18+NGEF19+NGEG19+NGEH19)/5),1)</stp>
        <stp>Bar</stp>
        <stp/>
        <stp>Time</stp>
        <stp>D</stp>
        <stp>-41</stp>
        <stp/>
        <stp/>
        <stp/>
        <stp/>
        <stp>T</stp>
        <tr r="W43" s="14"/>
      </tp>
      <tp>
        <v>42999</v>
        <stp/>
        <stp>StudyData</stp>
        <stp>Bar(((NGEX18+NGEZ18+NGEF19+NGEG19+NGEH19)/5),1)</stp>
        <stp>Bar</stp>
        <stp/>
        <stp>Time</stp>
        <stp>D</stp>
        <stp>-11</stp>
        <stp/>
        <stp/>
        <stp/>
        <stp/>
        <stp>T</stp>
        <tr r="W13" s="14"/>
      </tp>
      <tp>
        <v>42985</v>
        <stp/>
        <stp>StudyData</stp>
        <stp>Bar(((NGEX18+NGEZ18+NGEF19+NGEG19+NGEH19)/5),1)</stp>
        <stp>Bar</stp>
        <stp/>
        <stp>Time</stp>
        <stp>D</stp>
        <stp>-21</stp>
        <stp/>
        <stp/>
        <stp/>
        <stp/>
        <stp>T</stp>
        <tr r="W23" s="14"/>
      </tp>
      <tp>
        <v>42970</v>
        <stp/>
        <stp>StudyData</stp>
        <stp>Bar(((NGEX18+NGEZ18+NGEF19+NGEG19+NGEH19)/5),1)</stp>
        <stp>Bar</stp>
        <stp/>
        <stp>Time</stp>
        <stp>D</stp>
        <stp>-31</stp>
        <stp/>
        <stp/>
        <stp/>
        <stp/>
        <stp>T</stp>
        <tr r="W33" s="14"/>
      </tp>
      <tp>
        <v>3.1829999999999998</v>
        <stp/>
        <stp>StudyData</stp>
        <stp>Bar(((NGEX18+NGEZ18+NGEF19+NGEG19+NGEH19)/5),1)</stp>
        <stp>Bar</stp>
        <stp/>
        <stp>High</stp>
        <stp>D</stp>
        <stp>-11</stp>
        <stp/>
        <stp/>
        <stp/>
        <stp/>
        <stp>T</stp>
        <tr r="Y13" s="14"/>
      </tp>
      <tp>
        <v>3.1236000000000002</v>
        <stp/>
        <stp>StudyData</stp>
        <stp>Bar(((NGEX18+NGEZ18+NGEF19+NGEG19+NGEH19)/5),1)</stp>
        <stp>Bar</stp>
        <stp/>
        <stp>High</stp>
        <stp>D</stp>
        <stp>-21</stp>
        <stp/>
        <stp/>
        <stp/>
        <stp/>
        <stp>T</stp>
        <tr r="Y23" s="14"/>
      </tp>
      <tp>
        <v>3.0931999999999999</v>
        <stp/>
        <stp>StudyData</stp>
        <stp>Bar(((NGEX18+NGEZ18+NGEF19+NGEG19+NGEH19)/5),1)</stp>
        <stp>Bar</stp>
        <stp/>
        <stp>High</stp>
        <stp>D</stp>
        <stp>-31</stp>
        <stp/>
        <stp/>
        <stp/>
        <stp/>
        <stp>T</stp>
        <tr r="Y33" s="14"/>
      </tp>
      <tp>
        <v>3.0792000000000002</v>
        <stp/>
        <stp>StudyData</stp>
        <stp>Bar(((NGEX18+NGEZ18+NGEF19+NGEG19+NGEH19)/5),1)</stp>
        <stp>Bar</stp>
        <stp/>
        <stp>High</stp>
        <stp>D</stp>
        <stp>-41</stp>
        <stp/>
        <stp/>
        <stp/>
        <stp/>
        <stp>T</stp>
        <tr r="Y43" s="14"/>
      </tp>
      <tp>
        <v>0.26600000000000001</v>
        <stp/>
        <stp>ContractData</stp>
        <stp>NGES6G8</stp>
        <stp>Settlement</stp>
        <stp/>
        <stp>T</stp>
        <tr r="AK5" s="11"/>
      </tp>
      <tp>
        <v>0.26400000000000001</v>
        <stp/>
        <stp>ContractData</stp>
        <stp>NGES6F8</stp>
        <stp>Settlement</stp>
        <stp/>
        <stp>T</stp>
        <tr r="AK4" s="11"/>
      </tp>
      <tp>
        <v>-0.11700000000000001</v>
        <stp/>
        <stp>ContractData</stp>
        <stp>NGES6K8</stp>
        <stp>Settlement</stp>
        <stp/>
        <stp>T</stp>
        <tr r="AK8" s="11"/>
      </tp>
      <tp>
        <v>-3.5000000000000003E-2</v>
        <stp/>
        <stp>ContractData</stp>
        <stp>NGES6J8</stp>
        <stp>Settlement</stp>
        <stp/>
        <stp>T</stp>
        <tr r="AK7" s="11"/>
      </tp>
      <tp>
        <v>0.24199999999999999</v>
        <stp/>
        <stp>ContractData</stp>
        <stp>NGES6H8</stp>
        <stp>Settlement</stp>
        <stp/>
        <stp>T</stp>
        <tr r="AK6" s="11"/>
      </tp>
      <tp>
        <v>-0.28200000000000003</v>
        <stp/>
        <stp>ContractData</stp>
        <stp>NGES6N8</stp>
        <stp>Settlement</stp>
        <stp/>
        <stp>T</stp>
        <tr r="AK10" s="11"/>
      </tp>
      <tp>
        <v>-0.22500000000000001</v>
        <stp/>
        <stp>ContractData</stp>
        <stp>NGES6M8</stp>
        <stp>Settlement</stp>
        <stp/>
        <stp>T</stp>
        <tr r="AK9" s="11"/>
      </tp>
      <tp>
        <v>-0.25600000000000001</v>
        <stp/>
        <stp>ContractData</stp>
        <stp>NGES6Q8</stp>
        <stp>Settlement</stp>
        <stp/>
        <stp>T</stp>
        <tr r="AK11" s="11"/>
      </tp>
      <tp>
        <v>0.216</v>
        <stp/>
        <stp>ContractData</stp>
        <stp>NGES6V8</stp>
        <stp>Settlement</stp>
        <stp/>
        <stp>T</stp>
        <tr r="AK13" s="11"/>
      </tp>
      <tp>
        <v>-0.20200000000000001</v>
        <stp/>
        <stp>ContractData</stp>
        <stp>NGES6U8</stp>
        <stp>Settlement</stp>
        <stp/>
        <stp>T</stp>
        <tr r="AK12" s="11"/>
      </tp>
      <tp>
        <v>0.26900000000000002</v>
        <stp/>
        <stp>ContractData</stp>
        <stp>NGES5G8</stp>
        <stp>Settlement</stp>
        <stp/>
        <stp>T</stp>
        <tr r="AK5" s="10"/>
      </tp>
      <tp>
        <v>0.29099999999999998</v>
        <stp/>
        <stp>ContractData</stp>
        <stp>NGES5F8</stp>
        <stp>Settlement</stp>
        <stp/>
        <stp>T</stp>
        <tr r="AK4" s="10"/>
      </tp>
      <tp>
        <v>-6.3E-2</v>
        <stp/>
        <stp>ContractData</stp>
        <stp>NGES5K8</stp>
        <stp>Settlement</stp>
        <stp/>
        <stp>T</stp>
        <tr r="AK8" s="10"/>
      </tp>
      <tp>
        <v>-1.2E-2</v>
        <stp/>
        <stp>ContractData</stp>
        <stp>NGES5J8</stp>
        <stp>Settlement</stp>
        <stp/>
        <stp>T</stp>
        <tr r="AK7" s="10"/>
      </tp>
      <tp>
        <v>0.224</v>
        <stp/>
        <stp>ContractData</stp>
        <stp>NGES5H8</stp>
        <stp>Settlement</stp>
        <stp/>
        <stp>T</stp>
        <tr r="AK6" s="10"/>
      </tp>
      <tp>
        <v>-0.19800000000000001</v>
        <stp/>
        <stp>ContractData</stp>
        <stp>NGES5N8</stp>
        <stp>Settlement</stp>
        <stp/>
        <stp>T</stp>
        <tr r="AK10" s="10"/>
      </tp>
      <tp>
        <v>-8.8999999999999996E-2</v>
        <stp/>
        <stp>ContractData</stp>
        <stp>NGES5M8</stp>
        <stp>Settlement</stp>
        <stp/>
        <stp>T</stp>
        <tr r="AK9" s="10"/>
      </tp>
      <tp>
        <v>-0.27900000000000003</v>
        <stp/>
        <stp>ContractData</stp>
        <stp>NGES5Q8</stp>
        <stp>Settlement</stp>
        <stp/>
        <stp>T</stp>
        <tr r="AK11" s="10"/>
      </tp>
      <tp>
        <v>-0.17899999999999999</v>
        <stp/>
        <stp>ContractData</stp>
        <stp>NGES5V8</stp>
        <stp>Settlement</stp>
        <stp/>
        <stp>T</stp>
        <tr r="AK13" s="10"/>
      </tp>
      <tp>
        <v>-0.27400000000000002</v>
        <stp/>
        <stp>ContractData</stp>
        <stp>NGES5U8</stp>
        <stp>Settlement</stp>
        <stp/>
        <stp>T</stp>
        <tr r="AK12" s="10"/>
      </tp>
      <tp>
        <v>0.29599999999999999</v>
        <stp/>
        <stp>ContractData</stp>
        <stp>NGES4G8</stp>
        <stp>Settlement</stp>
        <stp/>
        <stp>T</stp>
        <tr r="AK5" s="9"/>
      </tp>
      <tp>
        <v>0.31900000000000001</v>
        <stp/>
        <stp>ContractData</stp>
        <stp>NGES4F8</stp>
        <stp>Settlement</stp>
        <stp/>
        <stp>T</stp>
        <tr r="AK4" s="9"/>
      </tp>
      <tp>
        <v>-0.04</v>
        <stp/>
        <stp>ContractData</stp>
        <stp>NGES4K8</stp>
        <stp>Settlement</stp>
        <stp/>
        <stp>T</stp>
        <tr r="AK8" s="9"/>
      </tp>
      <tp>
        <v>-0.03</v>
        <stp/>
        <stp>ContractData</stp>
        <stp>NGES4J8</stp>
        <stp>Settlement</stp>
        <stp/>
        <stp>T</stp>
        <tr r="AK7" s="9"/>
      </tp>
      <tp>
        <v>0.22700000000000001</v>
        <stp/>
        <stp>ContractData</stp>
        <stp>NGES4H8</stp>
        <stp>Settlement</stp>
        <stp/>
        <stp>T</stp>
        <tr r="AK6" s="9"/>
      </tp>
      <tp>
        <v>-6.2E-2</v>
        <stp/>
        <stp>ContractData</stp>
        <stp>NGES4N8</stp>
        <stp>Settlement</stp>
        <stp/>
        <stp>T</stp>
        <tr r="AK10" s="9"/>
      </tp>
      <tp>
        <v>-3.5000000000000003E-2</v>
        <stp/>
        <stp>ContractData</stp>
        <stp>NGES4M8</stp>
        <stp>Settlement</stp>
        <stp/>
        <stp>T</stp>
        <tr r="AK9" s="9"/>
      </tp>
      <tp>
        <v>-0.19500000000000001</v>
        <stp/>
        <stp>ContractData</stp>
        <stp>NGES4Q8</stp>
        <stp>Settlement</stp>
        <stp/>
        <stp>T</stp>
        <tr r="AK11" s="9"/>
      </tp>
      <tp>
        <v>-0.251</v>
        <stp/>
        <stp>ContractData</stp>
        <stp>NGES4V8</stp>
        <stp>Settlement</stp>
        <stp/>
        <stp>T</stp>
        <tr r="AK13" s="9"/>
      </tp>
      <tp>
        <v>-0.29699999999999999</v>
        <stp/>
        <stp>ContractData</stp>
        <stp>NGES4U8</stp>
        <stp>Settlement</stp>
        <stp/>
        <stp>T</stp>
        <tr r="AK12" s="9"/>
      </tp>
      <tp>
        <v>0.32400000000000001</v>
        <stp/>
        <stp>ContractData</stp>
        <stp>NGES3G8</stp>
        <stp>Settlement</stp>
        <stp/>
        <stp>T</stp>
        <tr r="AK5" s="8"/>
      </tp>
      <tp>
        <v>0.29099999999999998</v>
        <stp/>
        <stp>ContractData</stp>
        <stp>NGES3F8</stp>
        <stp>Settlement</stp>
        <stp/>
        <stp>T</stp>
        <tr r="AK4" s="8"/>
      </tp>
      <tp>
        <v>-5.8000000000000003E-2</v>
        <stp/>
        <stp>ContractData</stp>
        <stp>NGES3K8</stp>
        <stp>Settlement</stp>
        <stp/>
        <stp>T</stp>
        <tr r="AK8" s="8"/>
      </tp>
      <tp>
        <v>-2.7E-2</v>
        <stp/>
        <stp>ContractData</stp>
        <stp>NGES3J8</stp>
        <stp>Settlement</stp>
        <stp/>
        <stp>T</stp>
        <tr r="AK7" s="8"/>
      </tp>
      <tp>
        <v>0.254</v>
        <stp/>
        <stp>ContractData</stp>
        <stp>NGES3H8</stp>
        <stp>Settlement</stp>
        <stp/>
        <stp>T</stp>
        <tr r="AK6" s="8"/>
      </tp>
      <tp>
        <v>-8.0000000000000002E-3</v>
        <stp/>
        <stp>ContractData</stp>
        <stp>NGES3N8</stp>
        <stp>Settlement</stp>
        <stp/>
        <stp>T</stp>
        <tr r="AK10" s="8"/>
      </tp>
      <tp>
        <v>-1.2E-2</v>
        <stp/>
        <stp>ContractData</stp>
        <stp>NGES3M8</stp>
        <stp>Settlement</stp>
        <stp/>
        <stp>T</stp>
        <tr r="AK9" s="8"/>
      </tp>
      <tp>
        <v>-5.9000000000000004E-2</v>
        <stp/>
        <stp>ContractData</stp>
        <stp>NGES3Q8</stp>
        <stp>Settlement</stp>
        <stp/>
        <stp>T</stp>
        <tr r="AK11" s="8"/>
      </tp>
      <tp>
        <v>-0.27400000000000002</v>
        <stp/>
        <stp>ContractData</stp>
        <stp>NGES3V8</stp>
        <stp>Settlement</stp>
        <stp/>
        <stp>T</stp>
        <tr r="AK13" s="8"/>
      </tp>
      <tp>
        <v>-0.21299999999999999</v>
        <stp/>
        <stp>ContractData</stp>
        <stp>NGES3U8</stp>
        <stp>Settlement</stp>
        <stp/>
        <stp>T</stp>
        <tr r="AK12" s="8"/>
      </tp>
      <tp>
        <v>0.29599999999999999</v>
        <stp/>
        <stp>ContractData</stp>
        <stp>NGES2G8</stp>
        <stp>Settlement</stp>
        <stp/>
        <stp>T</stp>
        <tr r="AK5" s="7"/>
      </tp>
      <tp>
        <v>3.6999999999999998E-2</v>
        <stp/>
        <stp>ContractData</stp>
        <stp>NGES2F8</stp>
        <stp>Settlement</stp>
        <stp/>
        <stp>T</stp>
        <tr r="AK4" s="7"/>
      </tp>
      <tp>
        <v>-5.5E-2</v>
        <stp/>
        <stp>ContractData</stp>
        <stp>NGES2K8</stp>
        <stp>Settlement</stp>
        <stp/>
        <stp>T</stp>
        <tr r="AK8" s="7"/>
      </tp>
      <tp>
        <v>0</v>
        <stp/>
        <stp>ContractData</stp>
        <stp>NGES2J8</stp>
        <stp>Settlement</stp>
        <stp/>
        <stp>T</stp>
        <tr r="AK7" s="7"/>
      </tp>
      <tp>
        <v>0.28200000000000003</v>
        <stp/>
        <stp>ContractData</stp>
        <stp>NGES2H8</stp>
        <stp>Settlement</stp>
        <stp/>
        <stp>T</stp>
        <tr r="AK6" s="7"/>
      </tp>
      <tp>
        <v>1.4999999999999999E-2</v>
        <stp/>
        <stp>ContractData</stp>
        <stp>NGES2N8</stp>
        <stp>Settlement</stp>
        <stp/>
        <stp>T</stp>
        <tr r="AK10" s="7"/>
      </tp>
      <tp>
        <v>-0.03</v>
        <stp/>
        <stp>ContractData</stp>
        <stp>NGES2M8</stp>
        <stp>Settlement</stp>
        <stp/>
        <stp>T</stp>
        <tr r="AK9" s="7"/>
      </tp>
      <tp>
        <v>-5.0000000000000001E-3</v>
        <stp/>
        <stp>ContractData</stp>
        <stp>NGES2Q8</stp>
        <stp>Settlement</stp>
        <stp/>
        <stp>T</stp>
        <tr r="AK11" s="7"/>
      </tp>
      <tp>
        <v>-0.19</v>
        <stp/>
        <stp>ContractData</stp>
        <stp>NGES2V8</stp>
        <stp>Settlement</stp>
        <stp/>
        <stp>T</stp>
        <tr r="AK13" s="7"/>
      </tp>
      <tp>
        <v>-7.6999999999999999E-2</v>
        <stp/>
        <stp>ContractData</stp>
        <stp>NGES2U8</stp>
        <stp>Settlement</stp>
        <stp/>
        <stp>T</stp>
        <tr r="AK12" s="7"/>
      </tp>
      <tp>
        <v>4.2000000000000003E-2</v>
        <stp/>
        <stp>ContractData</stp>
        <stp>NGES1G8</stp>
        <stp>Settlement</stp>
        <stp/>
        <stp>T</stp>
        <tr r="AK5" s="6"/>
      </tp>
      <tp>
        <v>-5.0000000000000001E-3</v>
        <stp/>
        <stp>ContractData</stp>
        <stp>NGES1F8</stp>
        <stp>Settlement</stp>
        <stp/>
        <stp>T</stp>
        <tr r="AK4" s="6"/>
      </tp>
      <tp>
        <v>-2.8000000000000001E-2</v>
        <stp/>
        <stp>ContractData</stp>
        <stp>NGES1K8</stp>
        <stp>Settlement</stp>
        <stp/>
        <stp>T</stp>
        <tr r="AK8" s="6"/>
      </tp>
      <tp>
        <v>2.8000000000000001E-2</v>
        <stp/>
        <stp>ContractData</stp>
        <stp>NGES1J8</stp>
        <stp>Settlement</stp>
        <stp/>
        <stp>T</stp>
        <tr r="AK7" s="6"/>
      </tp>
      <tp>
        <v>0.254</v>
        <stp/>
        <stp>ContractData</stp>
        <stp>NGES1H8</stp>
        <stp>Settlement</stp>
        <stp/>
        <stp>T</stp>
        <tr r="AK6" s="6"/>
      </tp>
      <tp>
        <v>-3.0000000000000001E-3</v>
        <stp/>
        <stp>ContractData</stp>
        <stp>NGES1N8</stp>
        <stp>Settlement</stp>
        <stp/>
        <stp>T</stp>
        <tr r="AK10" s="6"/>
      </tp>
      <tp>
        <v>-2.7E-2</v>
        <stp/>
        <stp>ContractData</stp>
        <stp>NGES1M8</stp>
        <stp>Settlement</stp>
        <stp/>
        <stp>T</stp>
        <tr r="AK9" s="6"/>
      </tp>
      <tp>
        <v>1.8000000000000002E-2</v>
        <stp/>
        <stp>ContractData</stp>
        <stp>NGES1Q8</stp>
        <stp>Settlement</stp>
        <stp/>
        <stp>T</stp>
        <tr r="AK11" s="6"/>
      </tp>
      <tp>
        <v>-5.3999999999999999E-2</v>
        <stp/>
        <stp>ContractData</stp>
        <stp>NGES1V8</stp>
        <stp>Settlement</stp>
        <stp/>
        <stp>T</stp>
        <tr r="AK13" s="6"/>
      </tp>
      <tp>
        <v>-2.3E-2</v>
        <stp/>
        <stp>ContractData</stp>
        <stp>NGES1U8</stp>
        <stp>Settlement</stp>
        <stp/>
        <stp>T</stp>
        <tr r="AK12" s="6"/>
      </tp>
      <tp>
        <v>42957</v>
        <stp/>
        <stp>StudyData</stp>
        <stp>Bar(((NGEX18+NGEZ18+NGEF19+NGEG19+NGEH19)/5),1)</stp>
        <stp>Bar</stp>
        <stp/>
        <stp>Time</stp>
        <stp>D</stp>
        <stp>-40</stp>
        <stp/>
        <stp/>
        <stp/>
        <stp/>
        <stp>T</stp>
        <tr r="W42" s="14"/>
      </tp>
      <tp>
        <v>43000</v>
        <stp/>
        <stp>StudyData</stp>
        <stp>Bar(((NGEX18+NGEZ18+NGEF19+NGEG19+NGEH19)/5),1)</stp>
        <stp>Bar</stp>
        <stp/>
        <stp>Time</stp>
        <stp>D</stp>
        <stp>-10</stp>
        <stp/>
        <stp/>
        <stp/>
        <stp/>
        <stp>T</stp>
        <tr r="W12" s="14"/>
      </tp>
      <tp>
        <v>42986</v>
        <stp/>
        <stp>StudyData</stp>
        <stp>Bar(((NGEX18+NGEZ18+NGEF19+NGEG19+NGEH19)/5),1)</stp>
        <stp>Bar</stp>
        <stp/>
        <stp>Time</stp>
        <stp>D</stp>
        <stp>-20</stp>
        <stp/>
        <stp/>
        <stp/>
        <stp/>
        <stp>T</stp>
        <tr r="W22" s="14"/>
      </tp>
      <tp>
        <v>42971</v>
        <stp/>
        <stp>StudyData</stp>
        <stp>Bar(((NGEX18+NGEZ18+NGEF19+NGEG19+NGEH19)/5),1)</stp>
        <stp>Bar</stp>
        <stp/>
        <stp>Time</stp>
        <stp>D</stp>
        <stp>-30</stp>
        <stp/>
        <stp/>
        <stp/>
        <stp/>
        <stp>T</stp>
        <tr r="W32" s="14"/>
      </tp>
      <tp>
        <v>3.1596000000000002</v>
        <stp/>
        <stp>StudyData</stp>
        <stp>Bar(((NGEX18+NGEZ18+NGEF19+NGEG19+NGEH19)/5),1)</stp>
        <stp>Bar</stp>
        <stp/>
        <stp>High</stp>
        <stp>D</stp>
        <stp>-10</stp>
        <stp/>
        <stp/>
        <stp/>
        <stp/>
        <stp>T</stp>
        <tr r="Y12" s="14"/>
      </tp>
      <tp>
        <v>3.1242000000000001</v>
        <stp/>
        <stp>StudyData</stp>
        <stp>Bar(((NGEX18+NGEZ18+NGEF19+NGEG19+NGEH19)/5),1)</stp>
        <stp>Bar</stp>
        <stp/>
        <stp>High</stp>
        <stp>D</stp>
        <stp>-20</stp>
        <stp/>
        <stp/>
        <stp/>
        <stp/>
        <stp>T</stp>
        <tr r="Y22" s="14"/>
      </tp>
      <tp>
        <v>3.0973999999999999</v>
        <stp/>
        <stp>StudyData</stp>
        <stp>Bar(((NGEX18+NGEZ18+NGEF19+NGEG19+NGEH19)/5),1)</stp>
        <stp>Bar</stp>
        <stp/>
        <stp>High</stp>
        <stp>D</stp>
        <stp>-30</stp>
        <stp/>
        <stp/>
        <stp/>
        <stp/>
        <stp>T</stp>
        <tr r="Y32" s="14"/>
      </tp>
      <tp>
        <v>3.0920000000000001</v>
        <stp/>
        <stp>StudyData</stp>
        <stp>Bar(((NGEX18+NGEZ18+NGEF19+NGEG19+NGEH19)/5),1)</stp>
        <stp>Bar</stp>
        <stp/>
        <stp>High</stp>
        <stp>D</stp>
        <stp>-40</stp>
        <stp/>
        <stp/>
        <stp/>
        <stp/>
        <stp>T</stp>
        <tr r="Y42" s="14"/>
      </tp>
      <tp>
        <v>42954</v>
        <stp/>
        <stp>StudyData</stp>
        <stp>Bar(((NGEX18+NGEZ18+NGEF19+NGEG19+NGEH19)/5),1)</stp>
        <stp>Bar</stp>
        <stp/>
        <stp>Time</stp>
        <stp>D</stp>
        <stp>-43</stp>
        <stp/>
        <stp/>
        <stp/>
        <stp/>
        <stp>T</stp>
        <tr r="W45" s="14"/>
      </tp>
      <tp>
        <v>42997</v>
        <stp/>
        <stp>StudyData</stp>
        <stp>Bar(((NGEX18+NGEZ18+NGEF19+NGEG19+NGEH19)/5),1)</stp>
        <stp>Bar</stp>
        <stp/>
        <stp>Time</stp>
        <stp>D</stp>
        <stp>-13</stp>
        <stp/>
        <stp/>
        <stp/>
        <stp/>
        <stp>T</stp>
        <tr r="W15" s="14"/>
      </tp>
      <tp>
        <v>42983</v>
        <stp/>
        <stp>StudyData</stp>
        <stp>Bar(((NGEX18+NGEZ18+NGEF19+NGEG19+NGEH19)/5),1)</stp>
        <stp>Bar</stp>
        <stp/>
        <stp>Time</stp>
        <stp>D</stp>
        <stp>-23</stp>
        <stp/>
        <stp/>
        <stp/>
        <stp/>
        <stp>T</stp>
        <tr r="W25" s="14"/>
      </tp>
      <tp>
        <v>42968</v>
        <stp/>
        <stp>StudyData</stp>
        <stp>Bar(((NGEX18+NGEZ18+NGEF19+NGEG19+NGEH19)/5),1)</stp>
        <stp>Bar</stp>
        <stp/>
        <stp>Time</stp>
        <stp>D</stp>
        <stp>-33</stp>
        <stp/>
        <stp/>
        <stp/>
        <stp/>
        <stp>T</stp>
        <tr r="W35" s="14"/>
      </tp>
      <tp>
        <v>2.9950000000000001</v>
        <stp/>
        <stp>StudyData</stp>
        <stp>Close(NGEQ18)when (LocalMonth(NGEQ18)=9 and LocalDay(NGEQ18)=18 and LocalYear(NGEQ18)=2017)</stp>
        <stp>Bar</stp>
        <stp/>
        <stp>Close</stp>
        <stp>D</stp>
        <stp>0</stp>
        <stp>ALL</stp>
        <stp/>
        <stp/>
        <stp>FALSE</stp>
        <stp>T</stp>
        <tr r="E20" s="15"/>
      </tp>
      <tp>
        <v>2.7989999999999999</v>
        <stp/>
        <stp>StudyData</stp>
        <stp>Close(NGEQ19)when (LocalMonth(NGEQ19)=9 and LocalDay(NGEQ19)=18 and LocalYear(NGEQ19)=2017)</stp>
        <stp>Bar</stp>
        <stp/>
        <stp>Close</stp>
        <stp>D</stp>
        <stp>0</stp>
        <stp>ALL</stp>
        <stp/>
        <stp/>
        <stp>FALSE</stp>
        <stp>T</stp>
        <tr r="E42" s="15"/>
      </tp>
      <tp>
        <v>3.1838000000000002</v>
        <stp/>
        <stp>StudyData</stp>
        <stp>Bar(((NGEX18+NGEZ18+NGEF19+NGEG19+NGEH19)/5),1)</stp>
        <stp>Bar</stp>
        <stp/>
        <stp>High</stp>
        <stp>D</stp>
        <stp>-13</stp>
        <stp/>
        <stp/>
        <stp/>
        <stp/>
        <stp>T</stp>
        <tr r="Y15" s="14"/>
      </tp>
      <tp>
        <v>3.1225999999999998</v>
        <stp/>
        <stp>StudyData</stp>
        <stp>Bar(((NGEX18+NGEZ18+NGEF19+NGEG19+NGEH19)/5),1)</stp>
        <stp>Bar</stp>
        <stp/>
        <stp>High</stp>
        <stp>D</stp>
        <stp>-23</stp>
        <stp/>
        <stp/>
        <stp/>
        <stp/>
        <stp>T</stp>
        <tr r="Y25" s="14"/>
      </tp>
      <tp>
        <v>3.0928</v>
        <stp/>
        <stp>StudyData</stp>
        <stp>Bar(((NGEX18+NGEZ18+NGEF19+NGEG19+NGEH19)/5),1)</stp>
        <stp>Bar</stp>
        <stp/>
        <stp>High</stp>
        <stp>D</stp>
        <stp>-33</stp>
        <stp/>
        <stp/>
        <stp/>
        <stp/>
        <stp>T</stp>
        <tr r="Y35" s="14"/>
      </tp>
      <tp>
        <v>3.0602</v>
        <stp/>
        <stp>StudyData</stp>
        <stp>Bar(((NGEX18+NGEZ18+NGEF19+NGEG19+NGEH19)/5),1)</stp>
        <stp>Bar</stp>
        <stp/>
        <stp>High</stp>
        <stp>D</stp>
        <stp>-43</stp>
        <stp/>
        <stp/>
        <stp/>
        <stp/>
        <stp>T</stp>
        <tr r="Y45" s="14"/>
      </tp>
      <tp>
        <v>31</v>
        <stp/>
        <stp>ContractData</stp>
        <stp>NGEX7</stp>
        <stp>MT_LastBidVolume</stp>
        <tr r="C9" s="2"/>
      </tp>
      <tp>
        <v>42955</v>
        <stp/>
        <stp>StudyData</stp>
        <stp>Bar(((NGEX18+NGEZ18+NGEF19+NGEG19+NGEH19)/5),1)</stp>
        <stp>Bar</stp>
        <stp/>
        <stp>Time</stp>
        <stp>D</stp>
        <stp>-42</stp>
        <stp/>
        <stp/>
        <stp/>
        <stp/>
        <stp>T</stp>
        <tr r="W44" s="14"/>
      </tp>
      <tp>
        <v>42998</v>
        <stp/>
        <stp>StudyData</stp>
        <stp>Bar(((NGEX18+NGEZ18+NGEF19+NGEG19+NGEH19)/5),1)</stp>
        <stp>Bar</stp>
        <stp/>
        <stp>Time</stp>
        <stp>D</stp>
        <stp>-12</stp>
        <stp/>
        <stp/>
        <stp/>
        <stp/>
        <stp>T</stp>
        <tr r="W14" s="14"/>
      </tp>
      <tp>
        <v>42984</v>
        <stp/>
        <stp>StudyData</stp>
        <stp>Bar(((NGEX18+NGEZ18+NGEF19+NGEG19+NGEH19)/5),1)</stp>
        <stp>Bar</stp>
        <stp/>
        <stp>Time</stp>
        <stp>D</stp>
        <stp>-22</stp>
        <stp/>
        <stp/>
        <stp/>
        <stp/>
        <stp>T</stp>
        <tr r="W24" s="14"/>
      </tp>
      <tp>
        <v>42969</v>
        <stp/>
        <stp>StudyData</stp>
        <stp>Bar(((NGEX18+NGEZ18+NGEF19+NGEG19+NGEH19)/5),1)</stp>
        <stp>Bar</stp>
        <stp/>
        <stp>Time</stp>
        <stp>D</stp>
        <stp>-32</stp>
        <stp/>
        <stp/>
        <stp/>
        <stp/>
        <stp>T</stp>
        <tr r="W34" s="14"/>
      </tp>
      <tp>
        <v>3.1829999999999998</v>
        <stp/>
        <stp>StudyData</stp>
        <stp>Bar(((NGEX18+NGEZ18+NGEF19+NGEG19+NGEH19)/5),1)</stp>
        <stp>Bar</stp>
        <stp/>
        <stp>High</stp>
        <stp>D</stp>
        <stp>-12</stp>
        <stp/>
        <stp/>
        <stp/>
        <stp/>
        <stp>T</stp>
        <tr r="Y14" s="14"/>
      </tp>
      <tp>
        <v>3.1173999999999999</v>
        <stp/>
        <stp>StudyData</stp>
        <stp>Bar(((NGEX18+NGEZ18+NGEF19+NGEG19+NGEH19)/5),1)</stp>
        <stp>Bar</stp>
        <stp/>
        <stp>High</stp>
        <stp>D</stp>
        <stp>-22</stp>
        <stp/>
        <stp/>
        <stp/>
        <stp/>
        <stp>T</stp>
        <tr r="Y24" s="14"/>
      </tp>
      <tp>
        <v>3.0985999999999998</v>
        <stp/>
        <stp>StudyData</stp>
        <stp>Bar(((NGEX18+NGEZ18+NGEF19+NGEG19+NGEH19)/5),1)</stp>
        <stp>Bar</stp>
        <stp/>
        <stp>High</stp>
        <stp>D</stp>
        <stp>-32</stp>
        <stp/>
        <stp/>
        <stp/>
        <stp/>
        <stp>T</stp>
        <tr r="Y34" s="14"/>
      </tp>
      <tp>
        <v>3.0720000000000001</v>
        <stp/>
        <stp>StudyData</stp>
        <stp>Bar(((NGEX18+NGEZ18+NGEF19+NGEG19+NGEH19)/5),1)</stp>
        <stp>Bar</stp>
        <stp/>
        <stp>High</stp>
        <stp>D</stp>
        <stp>-42</stp>
        <stp/>
        <stp/>
        <stp/>
        <stp/>
        <stp>T</stp>
        <tr r="Y44" s="14"/>
      </tp>
      <tp>
        <v>2.9020000000000001</v>
        <stp/>
        <stp>ContractData</stp>
        <stp>NGEK18</stp>
        <stp>LastTradeorSettle</stp>
        <stp/>
        <stp>T</stp>
        <tr r="F27" s="13"/>
      </tp>
      <tp>
        <v>2.9250000000000003</v>
        <stp/>
        <stp>ContractData</stp>
        <stp>NGEJ18</stp>
        <stp>LastTradeorSettle</stp>
        <stp/>
        <stp>T</stp>
        <tr r="F26" s="13"/>
      </tp>
      <tp>
        <v>2.9580000000000002</v>
        <stp/>
        <stp>ContractData</stp>
        <stp>NGEN18</stp>
        <stp>LastTradeorSettle</stp>
        <stp/>
        <stp>T</stp>
        <tr r="F29" s="13"/>
      </tp>
      <tp>
        <v>2.931</v>
        <stp/>
        <stp>ContractData</stp>
        <stp>NGEM18</stp>
        <stp>LastTradeorSettle</stp>
        <stp/>
        <stp>T</stp>
        <tr r="F28" s="13"/>
      </tp>
      <tp>
        <v>2.96</v>
        <stp/>
        <stp>ContractData</stp>
        <stp>NGEQ18</stp>
        <stp>LastTradeorSettle</stp>
        <stp/>
        <stp>T</stp>
        <tr r="F30" s="13"/>
      </tp>
      <tp>
        <v>2.9670000000000001</v>
        <stp/>
        <stp>ContractData</stp>
        <stp>NGEV18</stp>
        <stp>LastTradeorSettle</stp>
        <stp/>
        <stp>T</stp>
        <tr r="F32" s="13"/>
      </tp>
      <tp>
        <v>2.9420000000000002</v>
        <stp/>
        <stp>ContractData</stp>
        <stp>NGEU18</stp>
        <stp>LastTradeorSettle</stp>
        <stp/>
        <stp>T</stp>
        <tr r="F31" s="13"/>
      </tp>
      <tp>
        <v>42993</v>
        <stp/>
        <stp>StudyData</stp>
        <stp>Bar(((NGEX18+NGEZ18+NGEF19+NGEG19+NGEH19)/5),1)</stp>
        <stp>Bar</stp>
        <stp/>
        <stp>Time</stp>
        <stp>D</stp>
        <stp>-15</stp>
        <stp/>
        <stp/>
        <stp/>
        <stp/>
        <stp>T</stp>
        <tr r="W17" s="14"/>
      </tp>
      <tp>
        <v>42978</v>
        <stp/>
        <stp>StudyData</stp>
        <stp>Bar(((NGEX18+NGEZ18+NGEF19+NGEG19+NGEH19)/5),1)</stp>
        <stp>Bar</stp>
        <stp/>
        <stp>Time</stp>
        <stp>D</stp>
        <stp>-25</stp>
        <stp/>
        <stp/>
        <stp/>
        <stp/>
        <stp>T</stp>
        <tr r="W27" s="14"/>
      </tp>
      <tp>
        <v>42964</v>
        <stp/>
        <stp>StudyData</stp>
        <stp>Bar(((NGEX18+NGEZ18+NGEF19+NGEG19+NGEH19)/5),1)</stp>
        <stp>Bar</stp>
        <stp/>
        <stp>Time</stp>
        <stp>D</stp>
        <stp>-35</stp>
        <stp/>
        <stp/>
        <stp/>
        <stp/>
        <stp>T</stp>
        <tr r="W37" s="14"/>
      </tp>
      <tp>
        <v>3.1692</v>
        <stp/>
        <stp>StudyData</stp>
        <stp>Bar(((NGEX18+NGEZ18+NGEF19+NGEG19+NGEH19)/5),1)</stp>
        <stp>Bar</stp>
        <stp/>
        <stp>High</stp>
        <stp>D</stp>
        <stp>-15</stp>
        <stp/>
        <stp/>
        <stp/>
        <stp/>
        <stp>T</stp>
        <tr r="Y17" s="14"/>
      </tp>
      <tp>
        <v>3.1105999999999998</v>
        <stp/>
        <stp>StudyData</stp>
        <stp>Bar(((NGEX18+NGEZ18+NGEF19+NGEG19+NGEH19)/5),1)</stp>
        <stp>Bar</stp>
        <stp/>
        <stp>High</stp>
        <stp>D</stp>
        <stp>-25</stp>
        <stp/>
        <stp/>
        <stp/>
        <stp/>
        <stp>T</stp>
        <tr r="Y27" s="14"/>
      </tp>
      <tp>
        <v>3.0796000000000001</v>
        <stp/>
        <stp>StudyData</stp>
        <stp>Bar(((NGEX18+NGEZ18+NGEF19+NGEG19+NGEH19)/5),1)</stp>
        <stp>Bar</stp>
        <stp/>
        <stp>High</stp>
        <stp>D</stp>
        <stp>-35</stp>
        <stp/>
        <stp/>
        <stp/>
        <stp/>
        <stp>T</stp>
        <tr r="Y37" s="14"/>
      </tp>
      <tp>
        <v>42951</v>
        <stp/>
        <stp>StudyData</stp>
        <stp>Bar(((NGEX18+NGEZ18+NGEF19+NGEG19+NGEH19)/5),1)</stp>
        <stp>Bar</stp>
        <stp/>
        <stp>Time</stp>
        <stp>D</stp>
        <stp>-44</stp>
        <stp/>
        <stp/>
        <stp/>
        <stp/>
        <stp>T</stp>
        <tr r="W46" s="14"/>
      </tp>
      <tp>
        <v>42996</v>
        <stp/>
        <stp>StudyData</stp>
        <stp>Bar(((NGEX18+NGEZ18+NGEF19+NGEG19+NGEH19)/5),1)</stp>
        <stp>Bar</stp>
        <stp/>
        <stp>Time</stp>
        <stp>D</stp>
        <stp>-14</stp>
        <stp/>
        <stp/>
        <stp/>
        <stp/>
        <stp>T</stp>
        <tr r="W16" s="14"/>
      </tp>
      <tp>
        <v>42979</v>
        <stp/>
        <stp>StudyData</stp>
        <stp>Bar(((NGEX18+NGEZ18+NGEF19+NGEG19+NGEH19)/5),1)</stp>
        <stp>Bar</stp>
        <stp/>
        <stp>Time</stp>
        <stp>D</stp>
        <stp>-24</stp>
        <stp/>
        <stp/>
        <stp/>
        <stp/>
        <stp>T</stp>
        <tr r="W26" s="14"/>
      </tp>
      <tp>
        <v>42965</v>
        <stp/>
        <stp>StudyData</stp>
        <stp>Bar(((NGEX18+NGEZ18+NGEF19+NGEG19+NGEH19)/5),1)</stp>
        <stp>Bar</stp>
        <stp/>
        <stp>Time</stp>
        <stp>D</stp>
        <stp>-34</stp>
        <stp/>
        <stp/>
        <stp/>
        <stp/>
        <stp>T</stp>
        <tr r="W36" s="14"/>
      </tp>
      <tp>
        <v>2.9950000000000001</v>
        <stp/>
        <stp>StudyData</stp>
        <stp>Close(NGEV18)when (LocalMonth(NGEV18)=9 and LocalDay(NGEV18)=18 and LocalYear(NGEV18)=2017)</stp>
        <stp>Bar</stp>
        <stp/>
        <stp>Close</stp>
        <stp>D</stp>
        <stp>0</stp>
        <stp>ALL</stp>
        <stp/>
        <stp/>
        <stp>FALSE</stp>
        <stp>T</stp>
        <tr r="E22" s="15"/>
      </tp>
      <tp>
        <v>2.81</v>
        <stp/>
        <stp>StudyData</stp>
        <stp>Close(NGEV19)when (LocalMonth(NGEV19)=9 and LocalDay(NGEV19)=18 and LocalYear(NGEV19)=2017)</stp>
        <stp>Bar</stp>
        <stp/>
        <stp>Close</stp>
        <stp>D</stp>
        <stp>0</stp>
        <stp>ALL</stp>
        <stp/>
        <stp/>
        <stp>FALSE</stp>
        <stp>T</stp>
        <tr r="E44" s="15"/>
      </tp>
      <tp>
        <v>3.1848000000000001</v>
        <stp/>
        <stp>StudyData</stp>
        <stp>Bar(((NGEX18+NGEZ18+NGEF19+NGEG19+NGEH19)/5),1)</stp>
        <stp>Bar</stp>
        <stp/>
        <stp>High</stp>
        <stp>D</stp>
        <stp>-14</stp>
        <stp/>
        <stp/>
        <stp/>
        <stp/>
        <stp>T</stp>
        <tr r="Y16" s="14"/>
      </tp>
      <tp>
        <v>3.1225999999999998</v>
        <stp/>
        <stp>StudyData</stp>
        <stp>Bar(((NGEX18+NGEZ18+NGEF19+NGEG19+NGEH19)/5),1)</stp>
        <stp>Bar</stp>
        <stp/>
        <stp>High</stp>
        <stp>D</stp>
        <stp>-24</stp>
        <stp/>
        <stp/>
        <stp/>
        <stp/>
        <stp>T</stp>
        <tr r="Y26" s="14"/>
      </tp>
      <tp>
        <v>3.0806</v>
        <stp/>
        <stp>StudyData</stp>
        <stp>Bar(((NGEX18+NGEZ18+NGEF19+NGEG19+NGEH19)/5),1)</stp>
        <stp>Bar</stp>
        <stp/>
        <stp>High</stp>
        <stp>D</stp>
        <stp>-34</stp>
        <stp/>
        <stp/>
        <stp/>
        <stp/>
        <stp>T</stp>
        <tr r="Y36" s="14"/>
      </tp>
      <tp>
        <v>3.0594000000000001</v>
        <stp/>
        <stp>StudyData</stp>
        <stp>Bar(((NGEX18+NGEZ18+NGEF19+NGEG19+NGEH19)/5),1)</stp>
        <stp>Bar</stp>
        <stp/>
        <stp>High</stp>
        <stp>D</stp>
        <stp>-44</stp>
        <stp/>
        <stp/>
        <stp/>
        <stp/>
        <stp>T</stp>
        <tr r="Y46" s="14"/>
      </tp>
      <tp>
        <v>3.2879999999999998</v>
        <stp/>
        <stp>StudyData</stp>
        <stp>Bar(((NGEX17+NGEZ17+NGEF18+NGEG18+NGEH18)/5),1)</stp>
        <stp>Bar</stp>
        <stp/>
        <stp>High</stp>
        <stp>D</stp>
        <stp>-18</stp>
        <stp/>
        <stp/>
        <stp/>
        <stp/>
        <stp>T</stp>
        <tr r="D20" s="14"/>
      </tp>
      <tp>
        <v>3.25</v>
        <stp/>
        <stp>StudyData</stp>
        <stp>Bar(((NGEX17+NGEZ17+NGEF18+NGEG18+NGEH18)/5),1)</stp>
        <stp>Bar</stp>
        <stp/>
        <stp>High</stp>
        <stp>D</stp>
        <stp>-38</stp>
        <stp/>
        <stp/>
        <stp/>
        <stp/>
        <stp>T</stp>
        <tr r="D40" s="14"/>
      </tp>
      <tp>
        <v>3.2054</v>
        <stp/>
        <stp>StudyData</stp>
        <stp>Bar(((NGEX17+NGEZ17+NGEF18+NGEG18+NGEH18)/5),1)</stp>
        <stp>Bar</stp>
        <stp/>
        <stp>High</stp>
        <stp>D</stp>
        <stp>-28</stp>
        <stp/>
        <stp/>
        <stp/>
        <stp/>
        <stp>T</stp>
        <tr r="D30" s="14"/>
      </tp>
      <tp>
        <v>42991</v>
        <stp/>
        <stp>StudyData</stp>
        <stp>Bar(((NGEX18+NGEZ18+NGEF19+NGEG19+NGEH19)/5),1)</stp>
        <stp>Bar</stp>
        <stp/>
        <stp>Time</stp>
        <stp>D</stp>
        <stp>-17</stp>
        <stp/>
        <stp/>
        <stp/>
        <stp/>
        <stp>T</stp>
        <tr r="W19" s="14"/>
      </tp>
      <tp>
        <v>42976</v>
        <stp/>
        <stp>StudyData</stp>
        <stp>Bar(((NGEX18+NGEZ18+NGEF19+NGEG19+NGEH19)/5),1)</stp>
        <stp>Bar</stp>
        <stp/>
        <stp>Time</stp>
        <stp>D</stp>
        <stp>-27</stp>
        <stp/>
        <stp/>
        <stp/>
        <stp/>
        <stp>T</stp>
        <tr r="W29" s="14"/>
      </tp>
      <tp>
        <v>42962</v>
        <stp/>
        <stp>StudyData</stp>
        <stp>Bar(((NGEX18+NGEZ18+NGEF19+NGEG19+NGEH19)/5),1)</stp>
        <stp>Bar</stp>
        <stp/>
        <stp>Time</stp>
        <stp>D</stp>
        <stp>-37</stp>
        <stp/>
        <stp/>
        <stp/>
        <stp/>
        <stp>T</stp>
        <tr r="W39" s="14"/>
      </tp>
      <tp>
        <v>42990</v>
        <stp/>
        <stp>StudyData</stp>
        <stp>Bar(((NGEX17+NGEZ17+NGEF18+NGEG18+NGEH18)/5),1)</stp>
        <stp>Bar</stp>
        <stp/>
        <stp>Time</stp>
        <stp>D</stp>
        <stp>-18</stp>
        <stp/>
        <stp/>
        <stp/>
        <stp/>
        <stp>T</stp>
        <tr r="B20" s="14"/>
      </tp>
      <tp>
        <v>42961</v>
        <stp/>
        <stp>StudyData</stp>
        <stp>Bar(((NGEX17+NGEZ17+NGEF18+NGEG18+NGEH18)/5),1)</stp>
        <stp>Bar</stp>
        <stp/>
        <stp>Time</stp>
        <stp>D</stp>
        <stp>-38</stp>
        <stp/>
        <stp/>
        <stp/>
        <stp/>
        <stp>T</stp>
        <tr r="B40" s="14"/>
      </tp>
      <tp>
        <v>42975</v>
        <stp/>
        <stp>StudyData</stp>
        <stp>Bar(((NGEX17+NGEZ17+NGEF18+NGEG18+NGEH18)/5),1)</stp>
        <stp>Bar</stp>
        <stp/>
        <stp>Time</stp>
        <stp>D</stp>
        <stp>-28</stp>
        <stp/>
        <stp/>
        <stp/>
        <stp/>
        <stp>T</stp>
        <tr r="B30" s="14"/>
      </tp>
      <tp>
        <v>2.9740000000000002</v>
        <stp/>
        <stp>StudyData</stp>
        <stp>Close(NGEU18)when (LocalMonth(NGEU18)=9 and LocalDay(NGEU18)=18 and LocalYear(NGEU18)=2017)</stp>
        <stp>Bar</stp>
        <stp/>
        <stp>Close</stp>
        <stp>D</stp>
        <stp>0</stp>
        <stp>ALL</stp>
        <stp/>
        <stp/>
        <stp>FALSE</stp>
        <stp>T</stp>
        <tr r="E21" s="15"/>
      </tp>
      <tp>
        <v>2.7850000000000001</v>
        <stp/>
        <stp>StudyData</stp>
        <stp>Close(NGEU19)when (LocalMonth(NGEU19)=9 and LocalDay(NGEU19)=18 and LocalYear(NGEU19)=2017)</stp>
        <stp>Bar</stp>
        <stp/>
        <stp>Close</stp>
        <stp>D</stp>
        <stp>0</stp>
        <stp>ALL</stp>
        <stp/>
        <stp/>
        <stp>FALSE</stp>
        <stp>T</stp>
        <tr r="E43" s="15"/>
      </tp>
      <tp>
        <v>3.1587999999999998</v>
        <stp/>
        <stp>StudyData</stp>
        <stp>Bar(((NGEX18+NGEZ18+NGEF19+NGEG19+NGEH19)/5),1)</stp>
        <stp>Bar</stp>
        <stp/>
        <stp>High</stp>
        <stp>D</stp>
        <stp>-17</stp>
        <stp/>
        <stp/>
        <stp/>
        <stp/>
        <stp>T</stp>
        <tr r="Y19" s="14"/>
      </tp>
      <tp>
        <v>3.1</v>
        <stp/>
        <stp>StudyData</stp>
        <stp>Bar(((NGEX18+NGEZ18+NGEF19+NGEG19+NGEH19)/5),1)</stp>
        <stp>Bar</stp>
        <stp/>
        <stp>High</stp>
        <stp>D</stp>
        <stp>-27</stp>
        <stp/>
        <stp/>
        <stp/>
        <stp/>
        <stp>T</stp>
        <tr r="Y29" s="14"/>
      </tp>
      <tp>
        <v>3.0985999999999998</v>
        <stp/>
        <stp>StudyData</stp>
        <stp>Bar(((NGEX18+NGEZ18+NGEF19+NGEG19+NGEH19)/5),1)</stp>
        <stp>Bar</stp>
        <stp/>
        <stp>High</stp>
        <stp>D</stp>
        <stp>-37</stp>
        <stp/>
        <stp/>
        <stp/>
        <stp/>
        <stp>T</stp>
        <tr r="Y39" s="14"/>
      </tp>
      <tp>
        <v>3.206</v>
        <stp/>
        <stp>StudyData</stp>
        <stp>Bar(((NGEX17+NGEZ17+NGEF18+NGEG18+NGEH18)/5),1)</stp>
        <stp>Bar</stp>
        <stp/>
        <stp>High</stp>
        <stp>D</stp>
        <stp>-19</stp>
        <stp/>
        <stp/>
        <stp/>
        <stp/>
        <stp>T</stp>
        <tr r="D21" s="14"/>
      </tp>
      <tp>
        <v>3.2305999999999999</v>
        <stp/>
        <stp>StudyData</stp>
        <stp>Bar(((NGEX17+NGEZ17+NGEF18+NGEG18+NGEH18)/5),1)</stp>
        <stp>Bar</stp>
        <stp/>
        <stp>High</stp>
        <stp>D</stp>
        <stp>-39</stp>
        <stp/>
        <stp/>
        <stp/>
        <stp/>
        <stp>T</stp>
        <tr r="D41" s="14"/>
      </tp>
      <tp>
        <v>3.2084000000000001</v>
        <stp/>
        <stp>StudyData</stp>
        <stp>Bar(((NGEX17+NGEZ17+NGEF18+NGEG18+NGEH18)/5),1)</stp>
        <stp>Bar</stp>
        <stp/>
        <stp>High</stp>
        <stp>D</stp>
        <stp>-29</stp>
        <stp/>
        <stp/>
        <stp/>
        <stp/>
        <stp>T</stp>
        <tr r="D31" s="14"/>
      </tp>
      <tp>
        <v>42992</v>
        <stp/>
        <stp>StudyData</stp>
        <stp>Bar(((NGEX18+NGEZ18+NGEF19+NGEG19+NGEH19)/5),1)</stp>
        <stp>Bar</stp>
        <stp/>
        <stp>Time</stp>
        <stp>D</stp>
        <stp>-16</stp>
        <stp/>
        <stp/>
        <stp/>
        <stp/>
        <stp>T</stp>
        <tr r="W18" s="14"/>
      </tp>
      <tp>
        <v>42977</v>
        <stp/>
        <stp>StudyData</stp>
        <stp>Bar(((NGEX18+NGEZ18+NGEF19+NGEG19+NGEH19)/5),1)</stp>
        <stp>Bar</stp>
        <stp/>
        <stp>Time</stp>
        <stp>D</stp>
        <stp>-26</stp>
        <stp/>
        <stp/>
        <stp/>
        <stp/>
        <stp>T</stp>
        <tr r="W28" s="14"/>
      </tp>
      <tp>
        <v>42963</v>
        <stp/>
        <stp>StudyData</stp>
        <stp>Bar(((NGEX18+NGEZ18+NGEF19+NGEG19+NGEH19)/5),1)</stp>
        <stp>Bar</stp>
        <stp/>
        <stp>Time</stp>
        <stp>D</stp>
        <stp>-36</stp>
        <stp/>
        <stp/>
        <stp/>
        <stp/>
        <stp>T</stp>
        <tr r="W38" s="14"/>
      </tp>
      <tp>
        <v>42989</v>
        <stp/>
        <stp>StudyData</stp>
        <stp>Bar(((NGEX17+NGEZ17+NGEF18+NGEG18+NGEH18)/5),1)</stp>
        <stp>Bar</stp>
        <stp/>
        <stp>Time</stp>
        <stp>D</stp>
        <stp>-19</stp>
        <stp/>
        <stp/>
        <stp/>
        <stp/>
        <stp>T</stp>
        <tr r="B21" s="14"/>
      </tp>
      <tp>
        <v>42958</v>
        <stp/>
        <stp>StudyData</stp>
        <stp>Bar(((NGEX17+NGEZ17+NGEF18+NGEG18+NGEH18)/5),1)</stp>
        <stp>Bar</stp>
        <stp/>
        <stp>Time</stp>
        <stp>D</stp>
        <stp>-39</stp>
        <stp/>
        <stp/>
        <stp/>
        <stp/>
        <stp>T</stp>
        <tr r="B41" s="14"/>
      </tp>
      <tp>
        <v>42972</v>
        <stp/>
        <stp>StudyData</stp>
        <stp>Bar(((NGEX17+NGEZ17+NGEF18+NGEG18+NGEH18)/5),1)</stp>
        <stp>Bar</stp>
        <stp/>
        <stp>Time</stp>
        <stp>D</stp>
        <stp>-29</stp>
        <stp/>
        <stp/>
        <stp/>
        <stp/>
        <stp>T</stp>
        <tr r="B31" s="14"/>
      </tp>
      <tp>
        <v>3.1583999999999999</v>
        <stp/>
        <stp>StudyData</stp>
        <stp>Bar(((NGEX18+NGEZ18+NGEF19+NGEG19+NGEH19)/5),1)</stp>
        <stp>Bar</stp>
        <stp/>
        <stp>High</stp>
        <stp>D</stp>
        <stp>-16</stp>
        <stp/>
        <stp/>
        <stp/>
        <stp/>
        <stp>T</stp>
        <tr r="Y18" s="14"/>
      </tp>
      <tp>
        <v>3.0972</v>
        <stp/>
        <stp>StudyData</stp>
        <stp>Bar(((NGEX18+NGEZ18+NGEF19+NGEG19+NGEH19)/5),1)</stp>
        <stp>Bar</stp>
        <stp/>
        <stp>High</stp>
        <stp>D</stp>
        <stp>-26</stp>
        <stp/>
        <stp/>
        <stp/>
        <stp/>
        <stp>T</stp>
        <tr r="Y28" s="14"/>
      </tp>
      <tp>
        <v>3.0781999999999998</v>
        <stp/>
        <stp>StudyData</stp>
        <stp>Bar(((NGEX18+NGEZ18+NGEF19+NGEG19+NGEH19)/5),1)</stp>
        <stp>Bar</stp>
        <stp/>
        <stp>High</stp>
        <stp>D</stp>
        <stp>-36</stp>
        <stp/>
        <stp/>
        <stp/>
        <stp/>
        <stp>T</stp>
        <tr r="Y38" s="14"/>
      </tp>
      <tp t="s">
        <v/>
        <stp/>
        <stp>ContractData</stp>
        <stp>NGEM9</stp>
        <stp>NetLastTradeToday</stp>
        <stp/>
        <stp>T</stp>
        <tr r="G56" s="13"/>
        <tr r="H56" s="13"/>
      </tp>
      <tp>
        <v>0</v>
        <stp/>
        <stp>ContractData</stp>
        <stp>NGE?145</stp>
        <stp>MT_LastAskVolume</stp>
        <stp/>
        <stp>T</stp>
        <tr r="N152" s="16"/>
      </tp>
      <tp>
        <v>0</v>
        <stp/>
        <stp>ContractData</stp>
        <stp>NGE?144</stp>
        <stp>MT_LastAskVolume</stp>
        <stp/>
        <stp>T</stp>
        <tr r="N151" s="16"/>
      </tp>
      <tp>
        <v>0</v>
        <stp/>
        <stp>ContractData</stp>
        <stp>NGE?146</stp>
        <stp>MT_LastAskVolume</stp>
        <stp/>
        <stp>T</stp>
        <tr r="N153" s="16"/>
      </tp>
      <tp>
        <v>0</v>
        <stp/>
        <stp>ContractData</stp>
        <stp>NGE?141</stp>
        <stp>MT_LastAskVolume</stp>
        <stp/>
        <stp>T</stp>
        <tr r="N148" s="16"/>
      </tp>
      <tp>
        <v>0</v>
        <stp/>
        <stp>ContractData</stp>
        <stp>NGE?140</stp>
        <stp>MT_LastAskVolume</stp>
        <stp/>
        <stp>T</stp>
        <tr r="N147" s="16"/>
      </tp>
      <tp>
        <v>-8.0000000000000002E-3</v>
        <stp/>
        <stp>ContractData</stp>
        <stp>NGEM8</stp>
        <stp>NetLastTradeToday</stp>
        <stp/>
        <stp>T</stp>
        <tr r="H20" s="2"/>
        <tr r="G20" s="2"/>
      </tp>
      <tp>
        <v>0</v>
        <stp/>
        <stp>ContractData</stp>
        <stp>NGE?143</stp>
        <stp>MT_LastAskVolume</stp>
        <stp/>
        <stp>T</stp>
        <tr r="N150" s="16"/>
      </tp>
      <tp>
        <v>0</v>
        <stp/>
        <stp>ContractData</stp>
        <stp>NGE?142</stp>
        <stp>MT_LastAskVolume</stp>
        <stp/>
        <stp>T</stp>
        <tr r="N149" s="16"/>
      </tp>
      <tp>
        <v>0</v>
        <stp/>
        <stp>ContractData</stp>
        <stp>NGE?139</stp>
        <stp>MT_LastAskVolume</stp>
        <stp/>
        <stp>T</stp>
        <tr r="N146" s="16"/>
      </tp>
      <tp>
        <v>0</v>
        <stp/>
        <stp>ContractData</stp>
        <stp>NGE?138</stp>
        <stp>MT_LastAskVolume</stp>
        <stp/>
        <stp>T</stp>
        <tr r="N145" s="16"/>
      </tp>
      <tp>
        <v>0</v>
        <stp/>
        <stp>ContractData</stp>
        <stp>NGE?135</stp>
        <stp>MT_LastAskVolume</stp>
        <stp/>
        <stp>T</stp>
        <tr r="N142" s="16"/>
      </tp>
      <tp>
        <v>0</v>
        <stp/>
        <stp>ContractData</stp>
        <stp>NGE?134</stp>
        <stp>MT_LastAskVolume</stp>
        <stp/>
        <stp>T</stp>
        <tr r="N141" s="16"/>
      </tp>
      <tp>
        <v>0</v>
        <stp/>
        <stp>ContractData</stp>
        <stp>NGE?137</stp>
        <stp>MT_LastAskVolume</stp>
        <stp/>
        <stp>T</stp>
        <tr r="N144" s="16"/>
      </tp>
      <tp>
        <v>0</v>
        <stp/>
        <stp>ContractData</stp>
        <stp>NGE?136</stp>
        <stp>MT_LastAskVolume</stp>
        <stp/>
        <stp>T</stp>
        <tr r="N143" s="16"/>
      </tp>
      <tp>
        <v>0</v>
        <stp/>
        <stp>ContractData</stp>
        <stp>NGE?131</stp>
        <stp>MT_LastAskVolume</stp>
        <stp/>
        <stp>T</stp>
        <tr r="N138" s="16"/>
      </tp>
      <tp>
        <v>0</v>
        <stp/>
        <stp>ContractData</stp>
        <stp>NGE?130</stp>
        <stp>MT_LastAskVolume</stp>
        <stp/>
        <stp>T</stp>
        <tr r="N137" s="16"/>
      </tp>
      <tp>
        <v>0</v>
        <stp/>
        <stp>ContractData</stp>
        <stp>NGE?133</stp>
        <stp>MT_LastAskVolume</stp>
        <stp/>
        <stp>T</stp>
        <tr r="N140" s="16"/>
      </tp>
      <tp>
        <v>0</v>
        <stp/>
        <stp>ContractData</stp>
        <stp>NGE?132</stp>
        <stp>MT_LastAskVolume</stp>
        <stp/>
        <stp>T</stp>
        <tr r="N139" s="16"/>
      </tp>
      <tp>
        <v>0</v>
        <stp/>
        <stp>ContractData</stp>
        <stp>NGE?129</stp>
        <stp>MT_LastAskVolume</stp>
        <stp/>
        <stp>T</stp>
        <tr r="N136" s="16"/>
      </tp>
      <tp>
        <v>0</v>
        <stp/>
        <stp>ContractData</stp>
        <stp>NGE?128</stp>
        <stp>MT_LastAskVolume</stp>
        <stp/>
        <stp>T</stp>
        <tr r="N135" s="16"/>
      </tp>
      <tp>
        <v>0</v>
        <stp/>
        <stp>ContractData</stp>
        <stp>NGE?125</stp>
        <stp>MT_LastAskVolume</stp>
        <stp/>
        <stp>T</stp>
        <tr r="N132" s="16"/>
      </tp>
      <tp>
        <v>0</v>
        <stp/>
        <stp>ContractData</stp>
        <stp>NGE?124</stp>
        <stp>MT_LastAskVolume</stp>
        <stp/>
        <stp>T</stp>
        <tr r="N131" s="16"/>
      </tp>
      <tp>
        <v>0</v>
        <stp/>
        <stp>ContractData</stp>
        <stp>NGE?127</stp>
        <stp>MT_LastAskVolume</stp>
        <stp/>
        <stp>T</stp>
        <tr r="N134" s="16"/>
      </tp>
      <tp>
        <v>0</v>
        <stp/>
        <stp>ContractData</stp>
        <stp>NGE?126</stp>
        <stp>MT_LastAskVolume</stp>
        <stp/>
        <stp>T</stp>
        <tr r="N133" s="16"/>
      </tp>
      <tp>
        <v>0</v>
        <stp/>
        <stp>ContractData</stp>
        <stp>NGE?121</stp>
        <stp>MT_LastAskVolume</stp>
        <stp/>
        <stp>T</stp>
        <tr r="N128" s="16"/>
      </tp>
      <tp>
        <v>0</v>
        <stp/>
        <stp>ContractData</stp>
        <stp>NGE?120</stp>
        <stp>MT_LastAskVolume</stp>
        <stp/>
        <stp>T</stp>
        <tr r="N127" s="16"/>
      </tp>
      <tp>
        <v>0</v>
        <stp/>
        <stp>ContractData</stp>
        <stp>NGE?123</stp>
        <stp>MT_LastAskVolume</stp>
        <stp/>
        <stp>T</stp>
        <tr r="N130" s="16"/>
      </tp>
      <tp>
        <v>0</v>
        <stp/>
        <stp>ContractData</stp>
        <stp>NGE?122</stp>
        <stp>MT_LastAskVolume</stp>
        <stp/>
        <stp>T</stp>
        <tr r="N129" s="16"/>
      </tp>
      <tp>
        <v>0</v>
        <stp/>
        <stp>ContractData</stp>
        <stp>NGE?119</stp>
        <stp>MT_LastAskVolume</stp>
        <stp/>
        <stp>T</stp>
        <tr r="N126" s="16"/>
      </tp>
      <tp>
        <v>0</v>
        <stp/>
        <stp>ContractData</stp>
        <stp>NGE?118</stp>
        <stp>MT_LastAskVolume</stp>
        <stp/>
        <stp>T</stp>
        <tr r="N125" s="16"/>
      </tp>
      <tp>
        <v>0</v>
        <stp/>
        <stp>ContractData</stp>
        <stp>NGE?115</stp>
        <stp>MT_LastAskVolume</stp>
        <stp/>
        <stp>T</stp>
        <tr r="N122" s="16"/>
      </tp>
      <tp>
        <v>0</v>
        <stp/>
        <stp>ContractData</stp>
        <stp>NGE?114</stp>
        <stp>MT_LastAskVolume</stp>
        <stp/>
        <stp>T</stp>
        <tr r="N121" s="16"/>
      </tp>
      <tp>
        <v>0</v>
        <stp/>
        <stp>ContractData</stp>
        <stp>NGE?117</stp>
        <stp>MT_LastAskVolume</stp>
        <stp/>
        <stp>T</stp>
        <tr r="N124" s="16"/>
      </tp>
      <tp>
        <v>0</v>
        <stp/>
        <stp>ContractData</stp>
        <stp>NGE?116</stp>
        <stp>MT_LastAskVolume</stp>
        <stp/>
        <stp>T</stp>
        <tr r="N123" s="16"/>
      </tp>
      <tp>
        <v>0</v>
        <stp/>
        <stp>ContractData</stp>
        <stp>NGE?111</stp>
        <stp>MT_LastAskVolume</stp>
        <stp/>
        <stp>T</stp>
        <tr r="N118" s="16"/>
      </tp>
      <tp>
        <v>0</v>
        <stp/>
        <stp>ContractData</stp>
        <stp>NGE?110</stp>
        <stp>MT_LastAskVolume</stp>
        <stp/>
        <stp>T</stp>
        <tr r="N117" s="16"/>
      </tp>
      <tp>
        <v>0</v>
        <stp/>
        <stp>ContractData</stp>
        <stp>NGE?113</stp>
        <stp>MT_LastAskVolume</stp>
        <stp/>
        <stp>T</stp>
        <tr r="N120" s="16"/>
      </tp>
      <tp>
        <v>0</v>
        <stp/>
        <stp>ContractData</stp>
        <stp>NGE?112</stp>
        <stp>MT_LastAskVolume</stp>
        <stp/>
        <stp>T</stp>
        <tr r="N119" s="16"/>
      </tp>
      <tp>
        <v>0</v>
        <stp/>
        <stp>ContractData</stp>
        <stp>NGE?109</stp>
        <stp>MT_LastAskVolume</stp>
        <stp/>
        <stp>T</stp>
        <tr r="N116" s="16"/>
      </tp>
      <tp>
        <v>0</v>
        <stp/>
        <stp>ContractData</stp>
        <stp>NGE?108</stp>
        <stp>MT_LastAskVolume</stp>
        <stp/>
        <stp>T</stp>
        <tr r="N115" s="16"/>
      </tp>
      <tp>
        <v>0</v>
        <stp/>
        <stp>ContractData</stp>
        <stp>NGE?105</stp>
        <stp>MT_LastAskVolume</stp>
        <stp/>
        <stp>T</stp>
        <tr r="N112" s="16"/>
      </tp>
      <tp>
        <v>0</v>
        <stp/>
        <stp>ContractData</stp>
        <stp>NGE?104</stp>
        <stp>MT_LastAskVolume</stp>
        <stp/>
        <stp>T</stp>
        <tr r="N111" s="16"/>
      </tp>
      <tp>
        <v>0</v>
        <stp/>
        <stp>ContractData</stp>
        <stp>NGE?107</stp>
        <stp>MT_LastAskVolume</stp>
        <stp/>
        <stp>T</stp>
        <tr r="N114" s="16"/>
      </tp>
      <tp>
        <v>0</v>
        <stp/>
        <stp>ContractData</stp>
        <stp>NGE?106</stp>
        <stp>MT_LastAskVolume</stp>
        <stp/>
        <stp>T</stp>
        <tr r="N113" s="16"/>
      </tp>
      <tp>
        <v>0</v>
        <stp/>
        <stp>ContractData</stp>
        <stp>NGE?101</stp>
        <stp>MT_LastAskVolume</stp>
        <stp/>
        <stp>T</stp>
        <tr r="N108" s="16"/>
      </tp>
      <tp>
        <v>0</v>
        <stp/>
        <stp>ContractData</stp>
        <stp>NGE?100</stp>
        <stp>MT_LastAskVolume</stp>
        <stp/>
        <stp>T</stp>
        <tr r="N107" s="16"/>
      </tp>
      <tp>
        <v>0</v>
        <stp/>
        <stp>ContractData</stp>
        <stp>NGE?103</stp>
        <stp>MT_LastAskVolume</stp>
        <stp/>
        <stp>T</stp>
        <tr r="N110" s="16"/>
      </tp>
      <tp>
        <v>0</v>
        <stp/>
        <stp>ContractData</stp>
        <stp>NGE?102</stp>
        <stp>MT_LastAskVolume</stp>
        <stp/>
        <stp>T</stp>
        <tr r="N109" s="16"/>
      </tp>
      <tp>
        <v>43007</v>
        <stp/>
        <stp>StudyData</stp>
        <stp>Bar(((NGEX17+NGEZ17+NGEF18+NGEG18+NGEH18)/5),1)</stp>
        <stp>Bar</stp>
        <stp/>
        <stp>Time</stp>
        <stp>D</stp>
        <stp>-5</stp>
        <stp/>
        <stp/>
        <stp/>
        <stp/>
        <stp>T</stp>
        <tr r="B7" s="14"/>
      </tp>
      <tp>
        <v>43010</v>
        <stp/>
        <stp>StudyData</stp>
        <stp>Bar(((NGEX18+NGEZ18+NGEF19+NGEG19+NGEH19)/5),1)</stp>
        <stp>Bar</stp>
        <stp/>
        <stp>Time</stp>
        <stp>D</stp>
        <stp>-4</stp>
        <stp/>
        <stp/>
        <stp/>
        <stp/>
        <stp>T</stp>
        <tr r="W6" s="14"/>
      </tp>
      <tp>
        <v>43014.382638888892</v>
        <stp/>
        <stp>ContractData</stp>
        <stp>NGE?12</stp>
        <stp>DTLastTrade</stp>
        <stp/>
        <stp>T</stp>
        <tr r="H19" s="16"/>
      </tp>
      <tp>
        <v>43014.383333333331</v>
        <stp/>
        <stp>ContractData</stp>
        <stp>NGE?13</stp>
        <stp>DTLastTrade</stp>
        <stp/>
        <stp>T</stp>
        <tr r="H20" s="16"/>
      </tp>
      <tp>
        <v>43014.380555555559</v>
        <stp/>
        <stp>ContractData</stp>
        <stp>NGE?10</stp>
        <stp>DTLastTrade</stp>
        <stp/>
        <stp>T</stp>
        <tr r="H17" s="16"/>
      </tp>
      <tp>
        <v>43014.382638888892</v>
        <stp/>
        <stp>ContractData</stp>
        <stp>NGE?11</stp>
        <stp>DTLastTrade</stp>
        <stp/>
        <stp>T</stp>
        <tr r="H18" s="16"/>
      </tp>
      <tp>
        <v>43014.351388888892</v>
        <stp/>
        <stp>ContractData</stp>
        <stp>NGE?14</stp>
        <stp>DTLastTrade</stp>
        <stp/>
        <stp>T</stp>
        <tr r="H21" s="16"/>
      </tp>
      <tp>
        <v>43014.384722222225</v>
        <stp/>
        <stp>ContractData</stp>
        <stp>NGE?15</stp>
        <stp>DTLastTrade</stp>
        <stp/>
        <stp>T</stp>
        <tr r="H22" s="16"/>
      </tp>
      <tp>
        <v>43010</v>
        <stp/>
        <stp>StudyData</stp>
        <stp>Bar(((NGEX17+NGEZ17+NGEF18+NGEG18+NGEH18)/5),1)</stp>
        <stp>Bar</stp>
        <stp/>
        <stp>Time</stp>
        <stp>D</stp>
        <stp>-4</stp>
        <stp/>
        <stp/>
        <stp/>
        <stp/>
        <stp>T</stp>
        <tr r="B6" s="14"/>
      </tp>
      <tp>
        <v>43007</v>
        <stp/>
        <stp>StudyData</stp>
        <stp>Bar(((NGEX18+NGEZ18+NGEF19+NGEG19+NGEH19)/5),1)</stp>
        <stp>Bar</stp>
        <stp/>
        <stp>Time</stp>
        <stp>D</stp>
        <stp>-5</stp>
        <stp/>
        <stp/>
        <stp/>
        <stp/>
        <stp>T</stp>
        <tr r="W7" s="14"/>
      </tp>
      <tp>
        <v>43005</v>
        <stp/>
        <stp>StudyData</stp>
        <stp>Bar(((NGEX17+NGEZ17+NGEF18+NGEG18+NGEH18)/5),1)</stp>
        <stp>Bar</stp>
        <stp/>
        <stp>Time</stp>
        <stp>D</stp>
        <stp>-7</stp>
        <stp/>
        <stp/>
        <stp/>
        <stp/>
        <stp>T</stp>
        <tr r="B9" s="14"/>
      </tp>
      <tp>
        <v>43006</v>
        <stp/>
        <stp>StudyData</stp>
        <stp>Bar(((NGEX18+NGEZ18+NGEF19+NGEG19+NGEH19)/5),1)</stp>
        <stp>Bar</stp>
        <stp/>
        <stp>Time</stp>
        <stp>D</stp>
        <stp>-6</stp>
        <stp/>
        <stp/>
        <stp/>
        <stp/>
        <stp>T</stp>
        <tr r="W8" s="14"/>
      </tp>
      <tp t="s">
        <v/>
        <stp/>
        <stp>ContractData</stp>
        <stp>NGEN9</stp>
        <stp>NetLastTradeToday</stp>
        <stp/>
        <stp>T</stp>
        <tr r="H57" s="13"/>
        <tr r="G57" s="13"/>
      </tp>
      <tp>
        <v>-8.0000000000000002E-3</v>
        <stp/>
        <stp>ContractData</stp>
        <stp>NGEN8</stp>
        <stp>NetLastTradeToday</stp>
        <stp/>
        <stp>T</stp>
        <tr r="H21" s="2"/>
        <tr r="G21" s="2"/>
      </tp>
      <tp>
        <v>43006</v>
        <stp/>
        <stp>StudyData</stp>
        <stp>Bar(((NGEX17+NGEZ17+NGEF18+NGEG18+NGEH18)/5),1)</stp>
        <stp>Bar</stp>
        <stp/>
        <stp>Time</stp>
        <stp>D</stp>
        <stp>-6</stp>
        <stp/>
        <stp/>
        <stp/>
        <stp/>
        <stp>T</stp>
        <tr r="B8" s="14"/>
      </tp>
      <tp>
        <v>43005</v>
        <stp/>
        <stp>StudyData</stp>
        <stp>Bar(((NGEX18+NGEZ18+NGEF19+NGEG19+NGEH19)/5),1)</stp>
        <stp>Bar</stp>
        <stp/>
        <stp>Time</stp>
        <stp>D</stp>
        <stp>-7</stp>
        <stp/>
        <stp/>
        <stp/>
        <stp/>
        <stp>T</stp>
        <tr r="W9" s="14"/>
      </tp>
      <tp>
        <v>43013</v>
        <stp/>
        <stp>StudyData</stp>
        <stp>Bar(((NGEX17+NGEZ17+NGEF18+NGEG18+NGEH18)/5),1)</stp>
        <stp>Bar</stp>
        <stp/>
        <stp>Time</stp>
        <stp>D</stp>
        <stp>-1</stp>
        <stp/>
        <stp/>
        <stp/>
        <stp/>
        <stp>T</stp>
        <tr r="B3" s="14"/>
      </tp>
      <tp>
        <v>2.7644285700000002</v>
        <stp/>
        <stp>StudyData</stp>
        <stp>Bar(((NGEJ19+NGEK19+NGEM19+NGEN19+NGEQ19+NGEU19+NGEV19)/7),1)</stp>
        <stp>Bar</stp>
        <stp/>
        <stp>LOw</stp>
        <stp>D</stp>
        <stp>-8</stp>
        <stp/>
        <stp/>
        <stp/>
        <stp/>
        <stp>T</stp>
        <tr r="AM10" s="14"/>
      </tp>
      <tp>
        <v>2.9245714299999999</v>
        <stp/>
        <stp>StudyData</stp>
        <stp>Bar(((NGEJ18+NGEK18+NGEM18+NGEN18+NGEQ18+NGEU18+NGEV18)/7),1)</stp>
        <stp>Bar</stp>
        <stp/>
        <stp>LOw</stp>
        <stp>D</stp>
        <stp>-8</stp>
        <stp/>
        <stp/>
        <stp/>
        <stp/>
        <stp>T</stp>
        <tr r="R10" s="14"/>
      </tp>
      <tp>
        <v>2.8970000000000002</v>
        <stp/>
        <stp>ContractData</stp>
        <stp>NGEX7</stp>
        <stp>LastTradeorSettle</stp>
        <stp/>
        <stp>T</stp>
        <tr r="K9" s="13"/>
        <tr r="W9" s="13"/>
        <tr r="W9" s="13"/>
        <tr r="F13" s="13"/>
        <tr r="F9" s="2"/>
        <tr r="K10" s="2"/>
        <tr r="R2" s="6"/>
        <tr r="F13" s="2"/>
        <tr r="R2" s="7"/>
        <tr r="R2" s="9"/>
        <tr r="R2" s="8"/>
        <tr r="R2" s="10"/>
        <tr r="R2" s="11"/>
      </tp>
      <tp>
        <v>3.0209999999999999</v>
        <stp/>
        <stp>ContractData</stp>
        <stp>NGEX8</stp>
        <stp>LastTradeorSettle</stp>
        <stp/>
        <stp>T</stp>
        <tr r="K37" s="13"/>
        <tr r="W37" s="13"/>
        <tr r="W37" s="13"/>
        <tr r="F41" s="13"/>
      </tp>
      <tp t="s">
        <v/>
        <stp/>
        <stp>ContractData</stp>
        <stp>NGEH9</stp>
        <stp>NetLastTradeToday</stp>
        <stp/>
        <stp>T</stp>
        <tr r="H45" s="13"/>
        <tr r="G45" s="13"/>
      </tp>
      <tp>
        <v>-2.9000000000000001E-2</v>
        <stp/>
        <stp>ContractData</stp>
        <stp>NGEH8</stp>
        <stp>NetLastTradeToday</stp>
        <stp/>
        <stp>T</stp>
        <tr r="G17" s="13"/>
        <tr r="H17" s="13"/>
        <tr r="G17" s="2"/>
        <tr r="H17" s="2"/>
      </tp>
      <tp>
        <v>43013</v>
        <stp/>
        <stp>StudyData</stp>
        <stp>Bar(((NGEX18+NGEZ18+NGEF19+NGEG19+NGEH19)/5),1)</stp>
        <stp>Bar</stp>
        <stp/>
        <stp>Time</stp>
        <stp>D</stp>
        <stp>-1</stp>
        <stp/>
        <stp/>
        <stp/>
        <stp/>
        <stp>T</stp>
        <tr r="W3" s="14"/>
      </tp>
      <tp>
        <v>2.766</v>
        <stp/>
        <stp>StudyData</stp>
        <stp>Bar(((NGEJ19+NGEK19+NGEM19+NGEN19+NGEQ19+NGEU19+NGEV19)/7),1)</stp>
        <stp>Bar</stp>
        <stp/>
        <stp>LOw</stp>
        <stp>D</stp>
        <stp>-9</stp>
        <stp/>
        <stp/>
        <stp/>
        <stp/>
        <stp>T</stp>
        <tr r="AM11" s="14"/>
      </tp>
      <tp>
        <v>2.9292857099999998</v>
        <stp/>
        <stp>StudyData</stp>
        <stp>Bar(((NGEJ18+NGEK18+NGEM18+NGEN18+NGEQ18+NGEU18+NGEV18)/7),1)</stp>
        <stp>Bar</stp>
        <stp/>
        <stp>LOw</stp>
        <stp>D</stp>
        <stp>-9</stp>
        <stp/>
        <stp/>
        <stp/>
        <stp/>
        <stp>T</stp>
        <tr r="R11" s="14"/>
      </tp>
      <tp t="s">
        <v/>
        <stp/>
        <stp>ContractData</stp>
        <stp>NGEK9</stp>
        <stp>NetLastTradeToday</stp>
        <stp/>
        <stp>T</stp>
        <tr r="H55" s="13"/>
        <tr r="G55" s="13"/>
      </tp>
      <tp>
        <v>-9.0000000000000011E-3</v>
        <stp/>
        <stp>ContractData</stp>
        <stp>NGEK8</stp>
        <stp>NetLastTradeToday</stp>
        <stp/>
        <stp>T</stp>
        <tr r="G19" s="2"/>
        <tr r="H19" s="2"/>
      </tp>
      <tp>
        <v>43011</v>
        <stp/>
        <stp>StudyData</stp>
        <stp>Bar(((NGEX17+NGEZ17+NGEF18+NGEG18+NGEH18)/5),1)</stp>
        <stp>Bar</stp>
        <stp/>
        <stp>Time</stp>
        <stp>D</stp>
        <stp>-3</stp>
        <stp/>
        <stp/>
        <stp/>
        <stp/>
        <stp>T</stp>
        <tr r="B5" s="14"/>
      </tp>
      <tp>
        <v>43012</v>
        <stp/>
        <stp>StudyData</stp>
        <stp>Bar(((NGEX18+NGEZ18+NGEF19+NGEG19+NGEH19)/5),1)</stp>
        <stp>Bar</stp>
        <stp/>
        <stp>Time</stp>
        <stp>D</stp>
        <stp>-2</stp>
        <stp/>
        <stp/>
        <stp/>
        <stp/>
        <stp>T</stp>
        <tr r="W4" s="14"/>
      </tp>
      <tp>
        <v>1</v>
        <stp/>
        <stp>ContractData</stp>
        <stp>SPREAD((NGEJ19+NGEK19+NGEM19+NGEN19+NGEQ19+NGEU19+NGEV19)/7)</stp>
        <stp>MT_LastBidVolume</stp>
        <stp/>
        <stp>T</stp>
        <tr r="C49" s="13"/>
      </tp>
      <tp>
        <v>3.0710000000000002</v>
        <stp/>
        <stp>ContractData</stp>
        <stp>NGEZ7</stp>
        <stp>LastTradeorSettle</stp>
        <stp/>
        <stp>T</stp>
        <tr r="L9" s="13"/>
        <tr r="X9" s="13"/>
        <tr r="X9" s="13"/>
        <tr r="F14" s="13"/>
        <tr r="L10" s="2"/>
        <tr r="R3" s="6"/>
        <tr r="F14" s="2"/>
        <tr r="R3" s="7"/>
        <tr r="R3" s="10"/>
        <tr r="R3" s="8"/>
        <tr r="R3" s="9"/>
        <tr r="R3" s="11"/>
      </tp>
      <tp>
        <v>3.15</v>
        <stp/>
        <stp>ContractData</stp>
        <stp>NGEZ8</stp>
        <stp>LastTradeorSettle</stp>
        <stp/>
        <stp>T</stp>
        <tr r="L37" s="13"/>
        <tr r="X37" s="13"/>
        <tr r="X37" s="13"/>
        <tr r="F42" s="13"/>
      </tp>
      <tp t="s">
        <v/>
        <stp/>
        <stp>ContractData</stp>
        <stp>NGEJ9</stp>
        <stp>NetLastTradeToday</stp>
        <stp/>
        <stp>T</stp>
        <tr r="H54" s="13"/>
        <tr r="G54" s="13"/>
      </tp>
      <tp>
        <v>-1.4E-2</v>
        <stp/>
        <stp>ContractData</stp>
        <stp>NGEJ8</stp>
        <stp>NetLastTradeToday</stp>
        <stp/>
        <stp>T</stp>
        <tr r="G18" s="2"/>
        <tr r="H18" s="2"/>
      </tp>
      <tp>
        <v>43012</v>
        <stp/>
        <stp>StudyData</stp>
        <stp>Bar(((NGEX17+NGEZ17+NGEF18+NGEG18+NGEH18)/5),1)</stp>
        <stp>Bar</stp>
        <stp/>
        <stp>Time</stp>
        <stp>D</stp>
        <stp>-2</stp>
        <stp/>
        <stp/>
        <stp/>
        <stp/>
        <stp>T</stp>
        <tr r="B4" s="14"/>
      </tp>
      <tp>
        <v>43011</v>
        <stp/>
        <stp>StudyData</stp>
        <stp>Bar(((NGEX18+NGEZ18+NGEF19+NGEG19+NGEH19)/5),1)</stp>
        <stp>Bar</stp>
        <stp/>
        <stp>Time</stp>
        <stp>D</stp>
        <stp>-3</stp>
        <stp/>
        <stp/>
        <stp/>
        <stp/>
        <stp>T</stp>
        <tr r="W5" s="14"/>
      </tp>
      <tp>
        <v>2.4E-2</v>
        <stp/>
        <stp>ContractData</stp>
        <stp>NGES1J8</stp>
        <stp>Bid</stp>
        <stp/>
        <stp>T</stp>
        <tr r="Y7" s="6"/>
        <tr r="P28" s="2"/>
      </tp>
      <tp>
        <v>-0.03</v>
        <stp/>
        <stp>ContractData</stp>
        <stp>NGES1K8</stp>
        <stp>Bid</stp>
        <stp/>
        <stp>T</stp>
        <tr r="Y8" s="6"/>
        <tr r="Q28" s="2"/>
      </tp>
      <tp>
        <v>-5.0000000000000001E-3</v>
        <stp/>
        <stp>ContractData</stp>
        <stp>NGES2Q8</stp>
        <stp>Ask</stp>
        <stp/>
        <stp>T</stp>
        <tr r="Z11" s="7"/>
        <tr r="T43" s="2"/>
      </tp>
      <tp>
        <v>0.23700000000000002</v>
        <stp/>
        <stp>ContractData</stp>
        <stp>NGES1H8</stp>
        <stp>Bid</stp>
        <stp/>
        <stp>T</stp>
        <tr r="Y6" s="6"/>
        <tr r="O28" s="2"/>
      </tp>
      <tp>
        <v>-3.0000000000000001E-3</v>
        <stp/>
        <stp>ContractData</stp>
        <stp>NGES1N8</stp>
        <stp>Bid</stp>
        <stp/>
        <stp>T</stp>
        <tr r="Y10" s="6"/>
        <tr r="S28" s="2"/>
      </tp>
      <tp>
        <v>-7.4999999999999997E-2</v>
        <stp/>
        <stp>ContractData</stp>
        <stp>NGES2U8</stp>
        <stp>Ask</stp>
        <stp/>
        <stp>T</stp>
        <tr r="Z12" s="7"/>
        <tr r="U43" s="2"/>
      </tp>
      <tp>
        <v>-0.189</v>
        <stp/>
        <stp>ContractData</stp>
        <stp>NGES2V8</stp>
        <stp>Ask</stp>
        <stp/>
        <stp>T</stp>
        <tr r="Z13" s="7"/>
        <tr r="V43" s="2"/>
      </tp>
      <tp>
        <v>-2.8000000000000001E-2</v>
        <stp/>
        <stp>ContractData</stp>
        <stp>NGES1M8</stp>
        <stp>Bid</stp>
        <stp/>
        <stp>T</stp>
        <tr r="Y9" s="6"/>
        <tr r="R28" s="2"/>
      </tp>
      <tp>
        <v>-0.3</v>
        <stp/>
        <stp>ContractData</stp>
        <stp>NGES2X7</stp>
        <stp>Ask</stp>
        <stp/>
        <stp>T</stp>
        <tr r="Z2" s="7"/>
        <tr r="K43" s="2"/>
      </tp>
      <tp>
        <v>-0.13100000000000001</v>
        <stp/>
        <stp>ContractData</stp>
        <stp>NGES2Z7</stp>
        <stp>Ask</stp>
        <stp/>
        <stp>T</stp>
        <tr r="Z3" s="7"/>
        <tr r="L43" s="2"/>
      </tp>
      <tp>
        <v>-6.0000000000000001E-3</v>
        <stp/>
        <stp>ContractData</stp>
        <stp>NGES1F8</stp>
        <stp>Bid</stp>
        <stp/>
        <stp>T</stp>
        <tr r="Y4" s="6"/>
        <tr r="M28" s="2"/>
      </tp>
      <tp>
        <v>3.9E-2</v>
        <stp/>
        <stp>ContractData</stp>
        <stp>NGES1G8</stp>
        <stp>Bid</stp>
        <stp/>
        <stp>T</stp>
        <tr r="Y5" s="6"/>
        <tr r="N28" s="2"/>
      </tp>
      <tp>
        <v>-0.127</v>
        <stp/>
        <stp>ContractData</stp>
        <stp>NGES1Z7</stp>
        <stp>Bid</stp>
        <stp/>
        <stp>T</stp>
        <tr r="Y3" s="6"/>
        <tr r="L28" s="2"/>
      </tp>
      <tp>
        <v>-0.17400000000000002</v>
        <stp/>
        <stp>ContractData</stp>
        <stp>NGES1X7</stp>
        <stp>Bid</stp>
        <stp/>
        <stp>T</stp>
        <tr r="Y2" s="6"/>
        <tr r="K28" s="2"/>
      </tp>
      <tp>
        <v>3.4000000000000002E-2</v>
        <stp/>
        <stp>ContractData</stp>
        <stp>NGES2F8</stp>
        <stp>Ask</stp>
        <stp/>
        <stp>T</stp>
        <tr r="Z4" s="7"/>
        <tr r="M43" s="2"/>
      </tp>
      <tp>
        <v>0.27800000000000002</v>
        <stp/>
        <stp>ContractData</stp>
        <stp>NGES2G8</stp>
        <stp>Ask</stp>
        <stp/>
        <stp>T</stp>
        <tr r="Z5" s="7"/>
        <tr r="N43" s="2"/>
      </tp>
      <tp>
        <v>0.26300000000000001</v>
        <stp/>
        <stp>ContractData</stp>
        <stp>NGES2H8</stp>
        <stp>Ask</stp>
        <stp/>
        <stp>T</stp>
        <tr r="Z6" s="7"/>
        <tr r="O43" s="2"/>
      </tp>
      <tp>
        <v>-4.0000000000000001E-3</v>
        <stp/>
        <stp>ContractData</stp>
        <stp>NGES2J8</stp>
        <stp>Ask</stp>
        <stp/>
        <stp>T</stp>
        <tr r="Z7" s="7"/>
        <tr r="P43" s="2"/>
      </tp>
      <tp>
        <v>1.7000000000000001E-2</v>
        <stp/>
        <stp>ContractData</stp>
        <stp>NGES1Q8</stp>
        <stp>Bid</stp>
        <stp/>
        <stp>T</stp>
        <tr r="Y11" s="6"/>
        <tr r="T28" s="2"/>
      </tp>
      <tp>
        <v>-5.6000000000000001E-2</v>
        <stp/>
        <stp>ContractData</stp>
        <stp>NGES2K8</stp>
        <stp>Ask</stp>
        <stp/>
        <stp>T</stp>
        <tr r="Z8" s="7"/>
        <tr r="Q43" s="2"/>
      </tp>
      <tp>
        <v>-5.3999999999999999E-2</v>
        <stp/>
        <stp>ContractData</stp>
        <stp>NGES1V8</stp>
        <stp>Bid</stp>
        <stp/>
        <stp>T</stp>
        <tr r="Y13" s="6"/>
        <tr r="V28" s="2"/>
      </tp>
      <tp>
        <v>-2.9000000000000001E-2</v>
        <stp/>
        <stp>ContractData</stp>
        <stp>NGES2M8</stp>
        <stp>Ask</stp>
        <stp/>
        <stp>T</stp>
        <tr r="Z9" s="7"/>
        <tr r="R43" s="2"/>
      </tp>
      <tp>
        <v>1.4999999999999999E-2</v>
        <stp/>
        <stp>ContractData</stp>
        <stp>NGES2N8</stp>
        <stp>Ask</stp>
        <stp/>
        <stp>T</stp>
        <tr r="Z10" s="7"/>
        <tr r="S43" s="2"/>
      </tp>
      <tp>
        <v>-2.3E-2</v>
        <stp/>
        <stp>ContractData</stp>
        <stp>NGES1U8</stp>
        <stp>Bid</stp>
        <stp/>
        <stp>T</stp>
        <tr r="Y12" s="6"/>
        <tr r="U28" s="2"/>
      </tp>
      <tp>
        <v>-5.7000000000000002E-2</v>
        <stp/>
        <stp>ContractData</stp>
        <stp>NGES3Q8</stp>
        <stp>Ask</stp>
        <stp/>
        <stp>T</stp>
        <tr r="Z11" s="8"/>
        <tr r="T59" s="2"/>
      </tp>
      <tp>
        <v>-0.21099999999999999</v>
        <stp/>
        <stp>ContractData</stp>
        <stp>NGES3U8</stp>
        <stp>Ask</stp>
        <stp/>
        <stp>T</stp>
        <tr r="Z12" s="8"/>
        <tr r="U59" s="2"/>
      </tp>
      <tp>
        <v>-0.27400000000000002</v>
        <stp/>
        <stp>ContractData</stp>
        <stp>NGES3V8</stp>
        <stp>Ask</stp>
        <stp/>
        <stp>T</stp>
        <tr r="Z13" s="8"/>
        <tr r="V59" s="2"/>
      </tp>
      <tp>
        <v>-0.30499999999999999</v>
        <stp/>
        <stp>ContractData</stp>
        <stp>NGES3X7</stp>
        <stp>Ask</stp>
        <stp/>
        <stp>T</stp>
        <tr r="Z2" s="8"/>
        <tr r="K59" s="2"/>
      </tp>
      <tp>
        <v>-9.1999999999999998E-2</v>
        <stp/>
        <stp>ContractData</stp>
        <stp>NGES3Z7</stp>
        <stp>Ask</stp>
        <stp/>
        <stp>T</stp>
        <tr r="Z3" s="8"/>
        <tr r="L59" s="2"/>
      </tp>
      <tp>
        <v>0.27200000000000002</v>
        <stp/>
        <stp>ContractData</stp>
        <stp>NGES3F8</stp>
        <stp>Ask</stp>
        <stp/>
        <stp>T</stp>
        <tr r="Z4" s="8"/>
        <tr r="M59" s="2"/>
      </tp>
      <tp>
        <v>0.30199999999999999</v>
        <stp/>
        <stp>ContractData</stp>
        <stp>NGES3G8</stp>
        <stp>Ask</stp>
        <stp/>
        <stp>T</stp>
        <tr r="Z5" s="8"/>
        <tr r="N59" s="2"/>
      </tp>
      <tp>
        <v>0.23400000000000001</v>
        <stp/>
        <stp>ContractData</stp>
        <stp>NGES3H8</stp>
        <stp>Ask</stp>
        <stp/>
        <stp>T</stp>
        <tr r="Z6" s="8"/>
        <tr r="O59" s="2"/>
      </tp>
      <tp>
        <v>-3.2000000000000001E-2</v>
        <stp/>
        <stp>ContractData</stp>
        <stp>NGES3J8</stp>
        <stp>Ask</stp>
        <stp/>
        <stp>T</stp>
        <tr r="Z7" s="8"/>
        <tr r="P59" s="2"/>
      </tp>
      <tp>
        <v>-5.9000000000000004E-2</v>
        <stp/>
        <stp>ContractData</stp>
        <stp>NGES3K8</stp>
        <stp>Ask</stp>
        <stp/>
        <stp>T</stp>
        <tr r="Z8" s="8"/>
        <tr r="Q59" s="2"/>
      </tp>
      <tp>
        <v>-1.2E-2</v>
        <stp/>
        <stp>ContractData</stp>
        <stp>NGES3M8</stp>
        <stp>Ask</stp>
        <stp/>
        <stp>T</stp>
        <tr r="Z9" s="8"/>
        <tr r="R59" s="2"/>
      </tp>
      <tp>
        <v>-7.0000000000000001E-3</v>
        <stp/>
        <stp>ContractData</stp>
        <stp>NGES3N8</stp>
        <stp>Ask</stp>
        <stp/>
        <stp>T</stp>
        <tr r="Z10" s="8"/>
        <tr r="S59" s="2"/>
      </tp>
      <tp>
        <v>-3.3000000000000002E-2</v>
        <stp/>
        <stp>ContractData</stp>
        <stp>NGES3J8</stp>
        <stp>Bid</stp>
        <stp/>
        <stp>T</stp>
        <tr r="Y7" s="8"/>
        <tr r="P60" s="2"/>
      </tp>
      <tp>
        <v>-0.06</v>
        <stp/>
        <stp>ContractData</stp>
        <stp>NGES3K8</stp>
        <stp>Bid</stp>
        <stp/>
        <stp>T</stp>
        <tr r="Y8" s="8"/>
        <tr r="Q60" s="2"/>
      </tp>
      <tp>
        <v>0.23100000000000001</v>
        <stp/>
        <stp>ContractData</stp>
        <stp>NGES3H8</stp>
        <stp>Bid</stp>
        <stp/>
        <stp>T</stp>
        <tr r="Y6" s="8"/>
        <tr r="O60" s="2"/>
      </tp>
      <tp>
        <v>-9.0000000000000011E-3</v>
        <stp/>
        <stp>ContractData</stp>
        <stp>NGES3N8</stp>
        <stp>Bid</stp>
        <stp/>
        <stp>T</stp>
        <tr r="Y10" s="8"/>
        <tr r="S60" s="2"/>
      </tp>
      <tp>
        <v>-1.4E-2</v>
        <stp/>
        <stp>ContractData</stp>
        <stp>NGES3M8</stp>
        <stp>Bid</stp>
        <stp/>
        <stp>T</stp>
        <tr r="Y9" s="8"/>
        <tr r="R60" s="2"/>
      </tp>
      <tp>
        <v>0.27100000000000002</v>
        <stp/>
        <stp>ContractData</stp>
        <stp>NGES3F8</stp>
        <stp>Bid</stp>
        <stp/>
        <stp>T</stp>
        <tr r="Y4" s="8"/>
        <tr r="M60" s="2"/>
      </tp>
      <tp>
        <v>0.3</v>
        <stp/>
        <stp>ContractData</stp>
        <stp>NGES3G8</stp>
        <stp>Bid</stp>
        <stp/>
        <stp>T</stp>
        <tr r="Y5" s="8"/>
        <tr r="N60" s="2"/>
      </tp>
      <tp>
        <v>-9.2999999999999999E-2</v>
        <stp/>
        <stp>ContractData</stp>
        <stp>NGES3Z7</stp>
        <stp>Bid</stp>
        <stp/>
        <stp>T</stp>
        <tr r="Y3" s="8"/>
        <tr r="L60" s="2"/>
      </tp>
      <tp>
        <v>-0.30599999999999999</v>
        <stp/>
        <stp>ContractData</stp>
        <stp>NGES3X7</stp>
        <stp>Bid</stp>
        <stp/>
        <stp>T</stp>
        <tr r="Y2" s="8"/>
        <tr r="K60" s="2"/>
      </tp>
      <tp>
        <v>-0.06</v>
        <stp/>
        <stp>ContractData</stp>
        <stp>NGES3Q8</stp>
        <stp>Bid</stp>
        <stp/>
        <stp>T</stp>
        <tr r="Y11" s="8"/>
        <tr r="T60" s="2"/>
      </tp>
      <tp>
        <v>-0.27500000000000002</v>
        <stp/>
        <stp>ContractData</stp>
        <stp>NGES3V8</stp>
        <stp>Bid</stp>
        <stp/>
        <stp>T</stp>
        <tr r="Y13" s="8"/>
        <tr r="V60" s="2"/>
      </tp>
      <tp>
        <v>-0.214</v>
        <stp/>
        <stp>ContractData</stp>
        <stp>NGES3U8</stp>
        <stp>Bid</stp>
        <stp/>
        <stp>T</stp>
        <tr r="Y12" s="8"/>
        <tr r="U60" s="2"/>
      </tp>
      <tp>
        <v>-6.0000000000000001E-3</v>
        <stp/>
        <stp>ContractData</stp>
        <stp>NGES2J8</stp>
        <stp>Bid</stp>
        <stp/>
        <stp>T</stp>
        <tr r="Y7" s="7"/>
        <tr r="P44" s="2"/>
      </tp>
      <tp>
        <v>-5.8000000000000003E-2</v>
        <stp/>
        <stp>ContractData</stp>
        <stp>NGES2K8</stp>
        <stp>Bid</stp>
        <stp/>
        <stp>T</stp>
        <tr r="Y8" s="7"/>
        <tr r="Q44" s="2"/>
      </tp>
      <tp>
        <v>1.8000000000000002E-2</v>
        <stp/>
        <stp>ContractData</stp>
        <stp>NGES1Q8</stp>
        <stp>Ask</stp>
        <stp/>
        <stp>T</stp>
        <tr r="Z11" s="6"/>
        <tr r="T27" s="2"/>
      </tp>
      <tp>
        <v>0.26100000000000001</v>
        <stp/>
        <stp>ContractData</stp>
        <stp>NGES2H8</stp>
        <stp>Bid</stp>
        <stp/>
        <stp>T</stp>
        <tr r="Y6" s="7"/>
        <tr r="O44" s="2"/>
      </tp>
      <tp>
        <v>1.4E-2</v>
        <stp/>
        <stp>ContractData</stp>
        <stp>NGES2N8</stp>
        <stp>Bid</stp>
        <stp/>
        <stp>T</stp>
        <tr r="Y10" s="7"/>
        <tr r="S44" s="2"/>
      </tp>
      <tp>
        <v>-2.1999999999999999E-2</v>
        <stp/>
        <stp>ContractData</stp>
        <stp>NGES1U8</stp>
        <stp>Ask</stp>
        <stp/>
        <stp>T</stp>
        <tr r="Z12" s="6"/>
        <tr r="U27" s="2"/>
      </tp>
      <tp>
        <v>-5.2999999999999999E-2</v>
        <stp/>
        <stp>ContractData</stp>
        <stp>NGES1V8</stp>
        <stp>Ask</stp>
        <stp/>
        <stp>T</stp>
        <tr r="Z13" s="6"/>
        <tr r="V27" s="2"/>
      </tp>
      <tp>
        <v>-3.1E-2</v>
        <stp/>
        <stp>ContractData</stp>
        <stp>NGES2M8</stp>
        <stp>Bid</stp>
        <stp/>
        <stp>T</stp>
        <tr r="Y9" s="7"/>
        <tr r="R44" s="2"/>
      </tp>
      <tp>
        <v>-0.17300000000000001</v>
        <stp/>
        <stp>ContractData</stp>
        <stp>NGES1X7</stp>
        <stp>Ask</stp>
        <stp/>
        <stp>T</stp>
        <tr r="Z2" s="6"/>
        <tr r="K27" s="2"/>
      </tp>
      <tp>
        <v>-0.126</v>
        <stp/>
        <stp>ContractData</stp>
        <stp>NGES1Z7</stp>
        <stp>Ask</stp>
        <stp/>
        <stp>T</stp>
        <tr r="Z3" s="6"/>
        <tr r="L27" s="2"/>
      </tp>
      <tp>
        <v>3.3000000000000002E-2</v>
        <stp/>
        <stp>ContractData</stp>
        <stp>NGES2F8</stp>
        <stp>Bid</stp>
        <stp/>
        <stp>T</stp>
        <tr r="Y4" s="7"/>
        <tr r="M44" s="2"/>
      </tp>
      <tp>
        <v>0.27600000000000002</v>
        <stp/>
        <stp>ContractData</stp>
        <stp>NGES2G8</stp>
        <stp>Bid</stp>
        <stp/>
        <stp>T</stp>
        <tr r="Y5" s="7"/>
        <tr r="N44" s="2"/>
      </tp>
      <tp>
        <v>-0.13200000000000001</v>
        <stp/>
        <stp>ContractData</stp>
        <stp>NGES2Z7</stp>
        <stp>Bid</stp>
        <stp/>
        <stp>T</stp>
        <tr r="Y3" s="7"/>
        <tr r="L44" s="2"/>
      </tp>
      <tp>
        <v>-0.30099999999999999</v>
        <stp/>
        <stp>ContractData</stp>
        <stp>NGES2X7</stp>
        <stp>Bid</stp>
        <stp/>
        <stp>T</stp>
        <tr r="Y2" s="7"/>
        <tr r="K44" s="2"/>
      </tp>
      <tp>
        <v>-5.0000000000000001E-3</v>
        <stp/>
        <stp>ContractData</stp>
        <stp>NGES1F8</stp>
        <stp>Ask</stp>
        <stp/>
        <stp>T</stp>
        <tr r="Z4" s="6"/>
        <tr r="M27" s="2"/>
      </tp>
      <tp>
        <v>0.04</v>
        <stp/>
        <stp>ContractData</stp>
        <stp>NGES1G8</stp>
        <stp>Ask</stp>
        <stp/>
        <stp>T</stp>
        <tr r="Z5" s="6"/>
        <tr r="N27" s="2"/>
      </tp>
      <tp>
        <v>0.23800000000000002</v>
        <stp/>
        <stp>ContractData</stp>
        <stp>NGES1H8</stp>
        <stp>Ask</stp>
        <stp/>
        <stp>T</stp>
        <tr r="Z6" s="6"/>
        <tr r="O27" s="2"/>
      </tp>
      <tp>
        <v>2.5000000000000001E-2</v>
        <stp/>
        <stp>ContractData</stp>
        <stp>NGES1J8</stp>
        <stp>Ask</stp>
        <stp/>
        <stp>T</stp>
        <tr r="Z7" s="6"/>
        <tr r="P27" s="2"/>
      </tp>
      <tp>
        <v>-6.0000000000000001E-3</v>
        <stp/>
        <stp>ContractData</stp>
        <stp>NGES2Q8</stp>
        <stp>Bid</stp>
        <stp/>
        <stp>T</stp>
        <tr r="Y11" s="7"/>
        <tr r="T44" s="2"/>
      </tp>
      <tp>
        <v>-2.9000000000000001E-2</v>
        <stp/>
        <stp>ContractData</stp>
        <stp>NGES1K8</stp>
        <stp>Ask</stp>
        <stp/>
        <stp>T</stp>
        <tr r="Z8" s="6"/>
        <tr r="Q27" s="2"/>
      </tp>
      <tp>
        <v>-0.191</v>
        <stp/>
        <stp>ContractData</stp>
        <stp>NGES2V8</stp>
        <stp>Bid</stp>
        <stp/>
        <stp>T</stp>
        <tr r="Y13" s="7"/>
        <tr r="V44" s="2"/>
      </tp>
      <tp>
        <v>-2.7E-2</v>
        <stp/>
        <stp>ContractData</stp>
        <stp>NGES1M8</stp>
        <stp>Ask</stp>
        <stp/>
        <stp>T</stp>
        <tr r="Z9" s="6"/>
        <tr r="R27" s="2"/>
      </tp>
      <tp>
        <v>-2E-3</v>
        <stp/>
        <stp>ContractData</stp>
        <stp>NGES1N8</stp>
        <stp>Ask</stp>
        <stp/>
        <stp>T</stp>
        <tr r="Z10" s="6"/>
        <tr r="S27" s="2"/>
      </tp>
      <tp>
        <v>-7.8E-2</v>
        <stp/>
        <stp>ContractData</stp>
        <stp>NGES2U8</stp>
        <stp>Bid</stp>
        <stp/>
        <stp>T</stp>
        <tr r="Y12" s="7"/>
        <tr r="U44" s="2"/>
      </tp>
      <tp>
        <v>-1.9E-2</v>
        <stp/>
        <stp>ContractData</stp>
        <stp>NGES5J8</stp>
        <stp>Bid</stp>
        <stp/>
        <stp>T</stp>
        <tr r="Y7" s="10"/>
        <tr r="P92" s="2"/>
      </tp>
      <tp>
        <v>-6.6000000000000003E-2</v>
        <stp/>
        <stp>ContractData</stp>
        <stp>NGES5K8</stp>
        <stp>Bid</stp>
        <stp/>
        <stp>T</stp>
        <tr r="Y8" s="10"/>
        <tr r="Q92" s="2"/>
      </tp>
      <tp>
        <v>-0.251</v>
        <stp/>
        <stp>ContractData</stp>
        <stp>NGES6Q8</stp>
        <stp>Ask</stp>
        <stp/>
        <stp>T</stp>
        <tr r="Z11" s="11"/>
        <tr r="T110" s="2"/>
      </tp>
      <tp>
        <v>0.20100000000000001</v>
        <stp/>
        <stp>ContractData</stp>
        <stp>NGES5H8</stp>
        <stp>Bid</stp>
        <stp/>
        <stp>T</stp>
        <tr r="Y6" s="10"/>
        <tr r="O92" s="2"/>
      </tp>
      <tp>
        <v>-0.2</v>
        <stp/>
        <stp>ContractData</stp>
        <stp>NGES5N8</stp>
        <stp>Bid</stp>
        <stp/>
        <stp>T</stp>
        <tr r="Y10" s="10"/>
        <tr r="S92" s="2"/>
      </tp>
      <tp>
        <v>-0.19600000000000001</v>
        <stp/>
        <stp>ContractData</stp>
        <stp>NGES6U8</stp>
        <stp>Ask</stp>
        <stp/>
        <stp>T</stp>
        <tr r="Z12" s="11"/>
        <tr r="U110" s="2"/>
      </tp>
      <tp>
        <v>0.222</v>
        <stp/>
        <stp>ContractData</stp>
        <stp>NGES6V8</stp>
        <stp>Ask</stp>
        <stp/>
        <stp>T</stp>
        <tr r="Z13" s="11"/>
        <tr r="V110" s="2"/>
      </tp>
      <tp>
        <v>-9.0999999999999998E-2</v>
        <stp/>
        <stp>ContractData</stp>
        <stp>NGES5M8</stp>
        <stp>Bid</stp>
        <stp/>
        <stp>T</stp>
        <tr r="Y9" s="10"/>
        <tr r="R92" s="2"/>
      </tp>
      <tp>
        <v>-3.0000000000000001E-3</v>
        <stp/>
        <stp>ContractData</stp>
        <stp>NGES6X7</stp>
        <stp>Ask</stp>
        <stp/>
        <stp>T</stp>
        <tr r="Z2" s="11"/>
        <tr r="K110" s="2"/>
      </tp>
      <tp>
        <v>0.14200000000000002</v>
        <stp/>
        <stp>ContractData</stp>
        <stp>NGES6Z7</stp>
        <stp>Ask</stp>
        <stp/>
        <stp>T</stp>
        <tr r="Z3" s="11"/>
        <tr r="L110" s="2"/>
      </tp>
      <tp>
        <v>0.26500000000000001</v>
        <stp/>
        <stp>ContractData</stp>
        <stp>NGES5F8</stp>
        <stp>Bid</stp>
        <stp/>
        <stp>T</stp>
        <tr r="Y4" s="10"/>
        <tr r="M92" s="2"/>
      </tp>
      <tp>
        <v>0.24299999999999999</v>
        <stp/>
        <stp>ContractData</stp>
        <stp>NGES5G8</stp>
        <stp>Bid</stp>
        <stp/>
        <stp>T</stp>
        <tr r="Y5" s="10"/>
        <tr r="N92" s="2"/>
      </tp>
      <tp>
        <v>0.16800000000000001</v>
        <stp/>
        <stp>ContractData</stp>
        <stp>NGES5Z7</stp>
        <stp>Bid</stp>
        <stp/>
        <stp>T</stp>
        <tr r="Y3" s="10"/>
        <tr r="L92" s="2"/>
      </tp>
      <tp>
        <v>-2.9000000000000001E-2</v>
        <stp/>
        <stp>ContractData</stp>
        <stp>NGES5X7</stp>
        <stp>Bid</stp>
        <stp/>
        <stp>T</stp>
        <tr r="Y2" s="10"/>
        <tr r="K92" s="2"/>
      </tp>
      <tp>
        <v>0.24099999999999999</v>
        <stp/>
        <stp>ContractData</stp>
        <stp>NGES6F8</stp>
        <stp>Ask</stp>
        <stp/>
        <stp>T</stp>
        <tr r="Z4" s="11"/>
        <tr r="M110" s="2"/>
      </tp>
      <tp>
        <v>0.24399999999999999</v>
        <stp/>
        <stp>ContractData</stp>
        <stp>NGES6G8</stp>
        <stp>Ask</stp>
        <stp/>
        <stp>T</stp>
        <tr r="Z5" s="11"/>
        <tr r="N110" s="2"/>
      </tp>
      <tp>
        <v>0.221</v>
        <stp/>
        <stp>ContractData</stp>
        <stp>NGES6H8</stp>
        <stp>Ask</stp>
        <stp/>
        <stp>T</stp>
        <tr r="Z6" s="11"/>
        <tr r="O110" s="2"/>
      </tp>
      <tp>
        <v>-0.04</v>
        <stp/>
        <stp>ContractData</stp>
        <stp>NGES6J8</stp>
        <stp>Ask</stp>
        <stp/>
        <stp>T</stp>
        <tr r="Z7" s="11"/>
        <tr r="P110" s="2"/>
      </tp>
      <tp>
        <v>-0.28200000000000003</v>
        <stp/>
        <stp>ContractData</stp>
        <stp>NGES5Q8</stp>
        <stp>Bid</stp>
        <stp/>
        <stp>T</stp>
        <tr r="Y11" s="10"/>
        <tr r="T92" s="2"/>
      </tp>
      <tp>
        <v>-0.11700000000000001</v>
        <stp/>
        <stp>ContractData</stp>
        <stp>NGES6K8</stp>
        <stp>Ask</stp>
        <stp/>
        <stp>T</stp>
        <tr r="Z8" s="11"/>
        <tr r="Q110" s="2"/>
      </tp>
      <tp>
        <v>-0.183</v>
        <stp/>
        <stp>ContractData</stp>
        <stp>NGES5V8</stp>
        <stp>Bid</stp>
        <stp/>
        <stp>T</stp>
        <tr r="Y13" s="10"/>
        <tr r="V92" s="2"/>
      </tp>
      <tp>
        <v>-0.223</v>
        <stp/>
        <stp>ContractData</stp>
        <stp>NGES6M8</stp>
        <stp>Ask</stp>
        <stp/>
        <stp>T</stp>
        <tr r="Z9" s="11"/>
        <tr r="R110" s="2"/>
      </tp>
      <tp>
        <v>-0.28000000000000003</v>
        <stp/>
        <stp>ContractData</stp>
        <stp>NGES6N8</stp>
        <stp>Ask</stp>
        <stp/>
        <stp>T</stp>
        <tr r="Z10" s="11"/>
        <tr r="S110" s="2"/>
      </tp>
      <tp>
        <v>-0.27700000000000002</v>
        <stp/>
        <stp>ContractData</stp>
        <stp>NGES5U8</stp>
        <stp>Bid</stp>
        <stp/>
        <stp>T</stp>
        <tr r="Y12" s="10"/>
        <tr r="U92" s="2"/>
      </tp>
      <tp>
        <v>-3.6000000000000004E-2</v>
        <stp/>
        <stp>ContractData</stp>
        <stp>NGES4J8</stp>
        <stp>Bid</stp>
        <stp/>
        <stp>T</stp>
        <tr r="Y7" s="9"/>
        <tr r="P76" s="2"/>
      </tp>
      <tp>
        <v>-4.3000000000000003E-2</v>
        <stp/>
        <stp>ContractData</stp>
        <stp>NGES4K8</stp>
        <stp>Bid</stp>
        <stp/>
        <stp>T</stp>
        <tr r="Y8" s="9"/>
        <tr r="Q76" s="2"/>
      </tp>
      <tp>
        <v>0.20400000000000001</v>
        <stp/>
        <stp>ContractData</stp>
        <stp>NGES4H8</stp>
        <stp>Bid</stp>
        <stp/>
        <stp>T</stp>
        <tr r="Y6" s="9"/>
        <tr r="O76" s="2"/>
      </tp>
      <tp>
        <v>-6.3E-2</v>
        <stp/>
        <stp>ContractData</stp>
        <stp>NGES4N8</stp>
        <stp>Bid</stp>
        <stp/>
        <stp>T</stp>
        <tr r="Y10" s="9"/>
        <tr r="S76" s="2"/>
      </tp>
      <tp>
        <v>-3.6000000000000004E-2</v>
        <stp/>
        <stp>ContractData</stp>
        <stp>NGES4M8</stp>
        <stp>Bid</stp>
        <stp/>
        <stp>T</stp>
        <tr r="Y9" s="9"/>
        <tr r="R76" s="2"/>
      </tp>
      <tp>
        <v>0.29499999999999998</v>
        <stp/>
        <stp>ContractData</stp>
        <stp>NGES4F8</stp>
        <stp>Bid</stp>
        <stp/>
        <stp>T</stp>
        <tr r="Y4" s="9"/>
        <tr r="M76" s="2"/>
      </tp>
      <tp>
        <v>0.27</v>
        <stp/>
        <stp>ContractData</stp>
        <stp>NGES4G8</stp>
        <stp>Bid</stp>
        <stp/>
        <stp>T</stp>
        <tr r="Y5" s="9"/>
        <tr r="N76" s="2"/>
      </tp>
      <tp>
        <v>0.14499999999999999</v>
        <stp/>
        <stp>ContractData</stp>
        <stp>NGES4Z7</stp>
        <stp>Bid</stp>
        <stp/>
        <stp>T</stp>
        <tr r="Y3" s="9"/>
        <tr r="L76" s="2"/>
      </tp>
      <tp>
        <v>-0.26700000000000002</v>
        <stp/>
        <stp>ContractData</stp>
        <stp>NGES4X7</stp>
        <stp>Bid</stp>
        <stp/>
        <stp>T</stp>
        <tr r="Y2" s="9"/>
        <tr r="K76" s="2"/>
      </tp>
      <tp>
        <v>-0.19700000000000001</v>
        <stp/>
        <stp>ContractData</stp>
        <stp>NGES4Q8</stp>
        <stp>Bid</stp>
        <stp/>
        <stp>T</stp>
        <tr r="Y11" s="9"/>
        <tr r="T76" s="2"/>
      </tp>
      <tp>
        <v>-0.255</v>
        <stp/>
        <stp>ContractData</stp>
        <stp>NGES4V8</stp>
        <stp>Bid</stp>
        <stp/>
        <stp>T</stp>
        <tr r="Y13" s="9"/>
        <tr r="V76" s="2"/>
      </tp>
      <tp>
        <v>-0.29899999999999999</v>
        <stp/>
        <stp>ContractData</stp>
        <stp>NGES4U8</stp>
        <stp>Bid</stp>
        <stp/>
        <stp>T</stp>
        <tr r="Y12" s="9"/>
        <tr r="U76" s="2"/>
      </tp>
      <tp>
        <v>-0.193</v>
        <stp/>
        <stp>ContractData</stp>
        <stp>NGES4Q8</stp>
        <stp>Ask</stp>
        <stp/>
        <stp>T</stp>
        <tr r="Z11" s="9"/>
        <tr r="T75" s="2"/>
      </tp>
      <tp>
        <v>-0.29499999999999998</v>
        <stp/>
        <stp>ContractData</stp>
        <stp>NGES4U8</stp>
        <stp>Ask</stp>
        <stp/>
        <stp>T</stp>
        <tr r="Z12" s="9"/>
        <tr r="U75" s="2"/>
      </tp>
      <tp>
        <v>-0.247</v>
        <stp/>
        <stp>ContractData</stp>
        <stp>NGES4V8</stp>
        <stp>Ask</stp>
        <stp/>
        <stp>T</stp>
        <tr r="Z13" s="9"/>
        <tr r="V75" s="2"/>
      </tp>
      <tp>
        <v>-0.26600000000000001</v>
        <stp/>
        <stp>ContractData</stp>
        <stp>NGES4X7</stp>
        <stp>Ask</stp>
        <stp/>
        <stp>T</stp>
        <tr r="Z2" s="9"/>
        <tr r="K75" s="2"/>
      </tp>
      <tp>
        <v>0.14599999999999999</v>
        <stp/>
        <stp>ContractData</stp>
        <stp>NGES4Z7</stp>
        <stp>Ask</stp>
        <stp/>
        <stp>T</stp>
        <tr r="Z3" s="9"/>
        <tr r="L75" s="2"/>
      </tp>
      <tp>
        <v>0.29599999999999999</v>
        <stp/>
        <stp>ContractData</stp>
        <stp>NGES4F8</stp>
        <stp>Ask</stp>
        <stp/>
        <stp>T</stp>
        <tr r="Z4" s="9"/>
        <tr r="M75" s="2"/>
      </tp>
      <tp>
        <v>0.27400000000000002</v>
        <stp/>
        <stp>ContractData</stp>
        <stp>NGES4G8</stp>
        <stp>Ask</stp>
        <stp/>
        <stp>T</stp>
        <tr r="Z5" s="9"/>
        <tr r="N75" s="2"/>
      </tp>
      <tp>
        <v>0.20700000000000002</v>
        <stp/>
        <stp>ContractData</stp>
        <stp>NGES4H8</stp>
        <stp>Ask</stp>
        <stp/>
        <stp>T</stp>
        <tr r="Z6" s="9"/>
        <tr r="O75" s="2"/>
      </tp>
      <tp>
        <v>-3.5000000000000003E-2</v>
        <stp/>
        <stp>ContractData</stp>
        <stp>NGES4J8</stp>
        <stp>Ask</stp>
        <stp/>
        <stp>T</stp>
        <tr r="Z7" s="9"/>
        <tr r="P75" s="2"/>
      </tp>
      <tp>
        <v>-4.1000000000000002E-2</v>
        <stp/>
        <stp>ContractData</stp>
        <stp>NGES4K8</stp>
        <stp>Ask</stp>
        <stp/>
        <stp>T</stp>
        <tr r="Z8" s="9"/>
        <tr r="Q75" s="2"/>
      </tp>
      <tp>
        <v>-3.4000000000000002E-2</v>
        <stp/>
        <stp>ContractData</stp>
        <stp>NGES4M8</stp>
        <stp>Ask</stp>
        <stp/>
        <stp>T</stp>
        <tr r="Z9" s="9"/>
        <tr r="R75" s="2"/>
      </tp>
      <tp>
        <v>-5.9000000000000004E-2</v>
        <stp/>
        <stp>ContractData</stp>
        <stp>NGES4N8</stp>
        <stp>Ask</stp>
        <stp/>
        <stp>T</stp>
        <tr r="Z10" s="9"/>
        <tr r="S75" s="2"/>
      </tp>
      <tp>
        <v>-4.1000000000000002E-2</v>
        <stp/>
        <stp>ContractData</stp>
        <stp>NGES6J8</stp>
        <stp>Bid</stp>
        <stp/>
        <stp>T</stp>
        <tr r="Y7" s="11"/>
        <tr r="P111" s="2"/>
      </tp>
      <tp>
        <v>-0.12</v>
        <stp/>
        <stp>ContractData</stp>
        <stp>NGES6K8</stp>
        <stp>Bid</stp>
        <stp/>
        <stp>T</stp>
        <tr r="Y8" s="11"/>
        <tr r="Q111" s="2"/>
      </tp>
      <tp>
        <v>-0.27800000000000002</v>
        <stp/>
        <stp>ContractData</stp>
        <stp>NGES5Q8</stp>
        <stp>Ask</stp>
        <stp/>
        <stp>T</stp>
        <tr r="Z11" s="10"/>
        <tr r="T91" s="2"/>
      </tp>
      <tp>
        <v>0.218</v>
        <stp/>
        <stp>ContractData</stp>
        <stp>NGES6H8</stp>
        <stp>Bid</stp>
        <stp/>
        <stp>T</stp>
        <tr r="Y6" s="11"/>
        <tr r="O111" s="2"/>
      </tp>
      <tp>
        <v>-0.28500000000000003</v>
        <stp/>
        <stp>ContractData</stp>
        <stp>NGES6N8</stp>
        <stp>Bid</stp>
        <stp/>
        <stp>T</stp>
        <tr r="Y10" s="11"/>
        <tr r="S111" s="2"/>
      </tp>
      <tp>
        <v>-0.26900000000000002</v>
        <stp/>
        <stp>ContractData</stp>
        <stp>NGES5U8</stp>
        <stp>Ask</stp>
        <stp/>
        <stp>T</stp>
        <tr r="Z12" s="10"/>
        <tr r="U91" s="2"/>
      </tp>
      <tp>
        <v>-0.17400000000000002</v>
        <stp/>
        <stp>ContractData</stp>
        <stp>NGES5V8</stp>
        <stp>Ask</stp>
        <stp/>
        <stp>T</stp>
        <tr r="Z13" s="10"/>
        <tr r="V91" s="2"/>
      </tp>
      <tp>
        <v>-0.22800000000000001</v>
        <stp/>
        <stp>ContractData</stp>
        <stp>NGES6M8</stp>
        <stp>Bid</stp>
        <stp/>
        <stp>T</stp>
        <tr r="Y9" s="11"/>
        <tr r="R111" s="2"/>
      </tp>
      <tp>
        <v>-2.8000000000000001E-2</v>
        <stp/>
        <stp>ContractData</stp>
        <stp>NGES5X7</stp>
        <stp>Ask</stp>
        <stp/>
        <stp>T</stp>
        <tr r="Z2" s="10"/>
        <tr r="K91" s="2"/>
      </tp>
      <tp>
        <v>0.17100000000000001</v>
        <stp/>
        <stp>ContractData</stp>
        <stp>NGES5Z7</stp>
        <stp>Ask</stp>
        <stp/>
        <stp>T</stp>
        <tr r="Z3" s="10"/>
        <tr r="L91" s="2"/>
      </tp>
      <tp>
        <v>0.23700000000000002</v>
        <stp/>
        <stp>ContractData</stp>
        <stp>NGES6F8</stp>
        <stp>Bid</stp>
        <stp/>
        <stp>T</stp>
        <tr r="Y4" s="11"/>
        <tr r="M111" s="2"/>
      </tp>
      <tp>
        <v>0.24</v>
        <stp/>
        <stp>ContractData</stp>
        <stp>NGES6G8</stp>
        <stp>Bid</stp>
        <stp/>
        <stp>T</stp>
        <tr r="Y5" s="11"/>
        <tr r="N111" s="2"/>
      </tp>
      <tp>
        <v>0.13800000000000001</v>
        <stp/>
        <stp>ContractData</stp>
        <stp>NGES6Z7</stp>
        <stp>Bid</stp>
        <stp/>
        <stp>T</stp>
        <tr r="Y3" s="11"/>
        <tr r="L111" s="2"/>
      </tp>
      <tp>
        <v>-5.0000000000000001E-3</v>
        <stp/>
        <stp>ContractData</stp>
        <stp>NGES6X7</stp>
        <stp>Bid</stp>
        <stp/>
        <stp>T</stp>
        <tr r="Y2" s="11"/>
        <tr r="K111" s="2"/>
      </tp>
      <tp>
        <v>0.26800000000000002</v>
        <stp/>
        <stp>ContractData</stp>
        <stp>NGES5F8</stp>
        <stp>Ask</stp>
        <stp/>
        <stp>T</stp>
        <tr r="Z4" s="10"/>
        <tr r="M91" s="2"/>
      </tp>
      <tp>
        <v>0.246</v>
        <stp/>
        <stp>ContractData</stp>
        <stp>NGES5G8</stp>
        <stp>Ask</stp>
        <stp/>
        <stp>T</stp>
        <tr r="Z5" s="10"/>
        <tr r="N91" s="2"/>
      </tp>
      <tp>
        <v>0.20400000000000001</v>
        <stp/>
        <stp>ContractData</stp>
        <stp>NGES5H8</stp>
        <stp>Ask</stp>
        <stp/>
        <stp>T</stp>
        <tr r="Z6" s="10"/>
        <tr r="O91" s="2"/>
      </tp>
      <tp>
        <v>-1.7000000000000001E-2</v>
        <stp/>
        <stp>ContractData</stp>
        <stp>NGES5J8</stp>
        <stp>Ask</stp>
        <stp/>
        <stp>T</stp>
        <tr r="Z7" s="10"/>
        <tr r="P91" s="2"/>
      </tp>
      <tp>
        <v>-0.26</v>
        <stp/>
        <stp>ContractData</stp>
        <stp>NGES6Q8</stp>
        <stp>Bid</stp>
        <stp/>
        <stp>T</stp>
        <tr r="Y11" s="11"/>
        <tr r="T111" s="2"/>
      </tp>
      <tp>
        <v>-6.4000000000000001E-2</v>
        <stp/>
        <stp>ContractData</stp>
        <stp>NGES5K8</stp>
        <stp>Ask</stp>
        <stp/>
        <stp>T</stp>
        <tr r="Z8" s="10"/>
        <tr r="Q91" s="2"/>
      </tp>
      <tp>
        <v>0.20300000000000001</v>
        <stp/>
        <stp>ContractData</stp>
        <stp>NGES6V8</stp>
        <stp>Bid</stp>
        <stp/>
        <stp>T</stp>
        <tr r="Y13" s="11"/>
        <tr r="V111" s="2"/>
      </tp>
      <tp>
        <v>-8.7000000000000008E-2</v>
        <stp/>
        <stp>ContractData</stp>
        <stp>NGES5M8</stp>
        <stp>Ask</stp>
        <stp/>
        <stp>T</stp>
        <tr r="Z9" s="10"/>
        <tr r="R91" s="2"/>
      </tp>
      <tp>
        <v>-0.19500000000000001</v>
        <stp/>
        <stp>ContractData</stp>
        <stp>NGES5N8</stp>
        <stp>Ask</stp>
        <stp/>
        <stp>T</stp>
        <tr r="Z10" s="10"/>
        <tr r="S91" s="2"/>
      </tp>
      <tp>
        <v>-0.20500000000000002</v>
        <stp/>
        <stp>ContractData</stp>
        <stp>NGES6U8</stp>
        <stp>Bid</stp>
        <stp/>
        <stp>T</stp>
        <tr r="Y12" s="11"/>
        <tr r="U111" s="2"/>
      </tp>
      <tp t="s">
        <v/>
        <stp/>
        <stp>ContractData</stp>
        <stp>NGES6M8</stp>
        <stp>Low</stp>
        <stp/>
        <stp>T</stp>
        <tr r="E119" s="2"/>
      </tp>
      <tp t="s">
        <v/>
        <stp/>
        <stp>ContractData</stp>
        <stp>NGES6N8</stp>
        <stp>Low</stp>
        <stp/>
        <stp>T</stp>
        <tr r="E120" s="2"/>
      </tp>
      <tp t="s">
        <v/>
        <stp/>
        <stp>ContractData</stp>
        <stp>NGES6H8</stp>
        <stp>Low</stp>
        <stp/>
        <stp>T</stp>
        <tr r="E116" s="2"/>
      </tp>
      <tp>
        <v>-4.1000000000000002E-2</v>
        <stp/>
        <stp>ContractData</stp>
        <stp>NGES6J8</stp>
        <stp>Low</stp>
        <stp/>
        <stp>T</stp>
        <tr r="E117" s="2"/>
      </tp>
      <tp t="s">
        <v/>
        <stp/>
        <stp>ContractData</stp>
        <stp>NGES6K8</stp>
        <stp>Low</stp>
        <stp/>
        <stp>T</stp>
        <tr r="E118" s="2"/>
      </tp>
      <tp>
        <v>0.24199999999999999</v>
        <stp/>
        <stp>ContractData</stp>
        <stp>NGES6F8</stp>
        <stp>Low</stp>
        <stp/>
        <stp>T</stp>
        <tr r="E114" s="2"/>
      </tp>
      <tp>
        <v>0.24399999999999999</v>
        <stp/>
        <stp>ContractData</stp>
        <stp>NGES6G8</stp>
        <stp>Low</stp>
        <stp/>
        <stp>T</stp>
        <tr r="E115" s="2"/>
      </tp>
      <tp>
        <v>-6.0000000000000001E-3</v>
        <stp/>
        <stp>ContractData</stp>
        <stp>NGES6X7</stp>
        <stp>Low</stp>
        <stp/>
        <stp>T</stp>
        <tr r="E112" s="2"/>
      </tp>
      <tp>
        <v>0.14300000000000002</v>
        <stp/>
        <stp>ContractData</stp>
        <stp>NGES6Z7</stp>
        <stp>Low</stp>
        <stp/>
        <stp>T</stp>
        <tr r="E113" s="2"/>
      </tp>
      <tp t="s">
        <v/>
        <stp/>
        <stp>ContractData</stp>
        <stp>NGES6U8</stp>
        <stp>Low</stp>
        <stp/>
        <stp>T</stp>
        <tr r="E122" s="2"/>
      </tp>
      <tp t="s">
        <v/>
        <stp/>
        <stp>ContractData</stp>
        <stp>NGES6V8</stp>
        <stp>Low</stp>
        <stp/>
        <stp>T</stp>
        <tr r="E123" s="2"/>
      </tp>
      <tp t="s">
        <v/>
        <stp/>
        <stp>ContractData</stp>
        <stp>NGES6Q8</stp>
        <stp>Low</stp>
        <stp/>
        <stp>T</stp>
        <tr r="E121" s="2"/>
      </tp>
      <tp t="s">
        <v/>
        <stp/>
        <stp>ContractData</stp>
        <stp>NGES5M8</stp>
        <stp>Low</stp>
        <stp/>
        <stp>T</stp>
        <tr r="E100" s="2"/>
      </tp>
      <tp t="s">
        <v/>
        <stp/>
        <stp>ContractData</stp>
        <stp>NGES5N8</stp>
        <stp>Low</stp>
        <stp/>
        <stp>T</stp>
        <tr r="E101" s="2"/>
      </tp>
      <tp t="s">
        <v/>
        <stp/>
        <stp>ContractData</stp>
        <stp>NGES5H8</stp>
        <stp>Low</stp>
        <stp/>
        <stp>T</stp>
        <tr r="E97" s="2"/>
      </tp>
      <tp>
        <v>-1.9E-2</v>
        <stp/>
        <stp>ContractData</stp>
        <stp>NGES5J8</stp>
        <stp>Low</stp>
        <stp/>
        <stp>T</stp>
        <tr r="E98" s="2"/>
      </tp>
      <tp>
        <v>-6.5000000000000002E-2</v>
        <stp/>
        <stp>ContractData</stp>
        <stp>NGES5K8</stp>
        <stp>Low</stp>
        <stp/>
        <stp>T</stp>
        <tr r="E99" s="2"/>
      </tp>
      <tp>
        <v>0.26600000000000001</v>
        <stp/>
        <stp>ContractData</stp>
        <stp>NGES5F8</stp>
        <stp>Low</stp>
        <stp/>
        <stp>T</stp>
        <tr r="E95" s="2"/>
      </tp>
      <tp>
        <v>0.247</v>
        <stp/>
        <stp>ContractData</stp>
        <stp>NGES5G8</stp>
        <stp>Low</stp>
        <stp/>
        <stp>T</stp>
        <tr r="E96" s="2"/>
      </tp>
      <tp>
        <v>-3.3000000000000002E-2</v>
        <stp/>
        <stp>ContractData</stp>
        <stp>NGES5X7</stp>
        <stp>Low</stp>
        <stp/>
        <stp>T</stp>
        <tr r="E93" s="2"/>
      </tp>
      <tp>
        <v>0.16900000000000001</v>
        <stp/>
        <stp>ContractData</stp>
        <stp>NGES5Z7</stp>
        <stp>Low</stp>
        <stp/>
        <stp>T</stp>
        <tr r="E94" s="2"/>
      </tp>
      <tp t="s">
        <v/>
        <stp/>
        <stp>ContractData</stp>
        <stp>NGES5U8</stp>
        <stp>Low</stp>
        <stp/>
        <stp>T</stp>
        <tr r="E103" s="2"/>
      </tp>
      <tp t="s">
        <v/>
        <stp/>
        <stp>ContractData</stp>
        <stp>NGES5V8</stp>
        <stp>Low</stp>
        <stp/>
        <stp>T</stp>
        <tr r="E104" s="2"/>
      </tp>
      <tp t="s">
        <v/>
        <stp/>
        <stp>ContractData</stp>
        <stp>NGES5Q8</stp>
        <stp>Low</stp>
        <stp/>
        <stp>T</stp>
        <tr r="E102" s="2"/>
      </tp>
      <tp>
        <v>-3.6000000000000004E-2</v>
        <stp/>
        <stp>ContractData</stp>
        <stp>NGES4M8</stp>
        <stp>Low</stp>
        <stp/>
        <stp>T</stp>
        <tr r="E84" s="2"/>
      </tp>
      <tp t="s">
        <v/>
        <stp/>
        <stp>ContractData</stp>
        <stp>NGES4N8</stp>
        <stp>Low</stp>
        <stp/>
        <stp>T</stp>
        <tr r="E85" s="2"/>
      </tp>
      <tp>
        <v>0.21</v>
        <stp/>
        <stp>ContractData</stp>
        <stp>NGES4H8</stp>
        <stp>Low</stp>
        <stp/>
        <stp>T</stp>
        <tr r="E81" s="2"/>
      </tp>
      <tp>
        <v>-3.6000000000000004E-2</v>
        <stp/>
        <stp>ContractData</stp>
        <stp>NGES4J8</stp>
        <stp>Low</stp>
        <stp/>
        <stp>T</stp>
        <tr r="E82" s="2"/>
      </tp>
      <tp>
        <v>-4.2000000000000003E-2</v>
        <stp/>
        <stp>ContractData</stp>
        <stp>NGES4K8</stp>
        <stp>Low</stp>
        <stp/>
        <stp>T</stp>
        <tr r="E83" s="2"/>
      </tp>
      <tp>
        <v>0.29399999999999998</v>
        <stp/>
        <stp>ContractData</stp>
        <stp>NGES4F8</stp>
        <stp>Low</stp>
        <stp/>
        <stp>T</stp>
        <tr r="E79" s="2"/>
      </tp>
      <tp>
        <v>0.27300000000000002</v>
        <stp/>
        <stp>ContractData</stp>
        <stp>NGES4G8</stp>
        <stp>Low</stp>
        <stp/>
        <stp>T</stp>
        <tr r="E80" s="2"/>
      </tp>
      <tp>
        <v>-0.26700000000000002</v>
        <stp/>
        <stp>ContractData</stp>
        <stp>NGES4X7</stp>
        <stp>Low</stp>
        <stp/>
        <stp>T</stp>
        <tr r="E77" s="2"/>
      </tp>
      <tp>
        <v>0.14499999999999999</v>
        <stp/>
        <stp>ContractData</stp>
        <stp>NGES4Z7</stp>
        <stp>Low</stp>
        <stp/>
        <stp>T</stp>
        <tr r="E78" s="2"/>
      </tp>
      <tp t="s">
        <v/>
        <stp/>
        <stp>ContractData</stp>
        <stp>NGES4U8</stp>
        <stp>Low</stp>
        <stp/>
        <stp>T</stp>
        <tr r="E87" s="2"/>
      </tp>
      <tp t="s">
        <v/>
        <stp/>
        <stp>ContractData</stp>
        <stp>NGES4V8</stp>
        <stp>Low</stp>
        <stp/>
        <stp>T</stp>
        <tr r="E88" s="2"/>
      </tp>
      <tp t="s">
        <v/>
        <stp/>
        <stp>ContractData</stp>
        <stp>NGES4Q8</stp>
        <stp>Low</stp>
        <stp/>
        <stp>T</stp>
        <tr r="E86" s="2"/>
      </tp>
      <tp>
        <v>-1.3000000000000001E-2</v>
        <stp/>
        <stp>ContractData</stp>
        <stp>NGES3M8</stp>
        <stp>Low</stp>
        <stp/>
        <stp>T</stp>
        <tr r="E68" s="2"/>
      </tp>
      <tp t="s">
        <v/>
        <stp/>
        <stp>ContractData</stp>
        <stp>NGES3N8</stp>
        <stp>Low</stp>
        <stp/>
        <stp>T</stp>
        <tr r="E69" s="2"/>
      </tp>
      <tp>
        <v>0.23300000000000001</v>
        <stp/>
        <stp>ContractData</stp>
        <stp>NGES3H8</stp>
        <stp>Low</stp>
        <stp/>
        <stp>T</stp>
        <tr r="E65" s="2"/>
      </tp>
      <tp>
        <v>-3.3000000000000002E-2</v>
        <stp/>
        <stp>ContractData</stp>
        <stp>NGES3J8</stp>
        <stp>Low</stp>
        <stp/>
        <stp>T</stp>
        <tr r="E66" s="2"/>
      </tp>
      <tp>
        <v>-0.06</v>
        <stp/>
        <stp>ContractData</stp>
        <stp>NGES3K8</stp>
        <stp>Low</stp>
        <stp/>
        <stp>T</stp>
        <tr r="E67" s="2"/>
      </tp>
      <tp>
        <v>0.27100000000000002</v>
        <stp/>
        <stp>ContractData</stp>
        <stp>NGES3F8</stp>
        <stp>Low</stp>
        <stp/>
        <stp>T</stp>
        <tr r="E63" s="2"/>
      </tp>
      <tp>
        <v>0.3</v>
        <stp/>
        <stp>ContractData</stp>
        <stp>NGES3G8</stp>
        <stp>Low</stp>
        <stp/>
        <stp>T</stp>
        <tr r="E64" s="2"/>
      </tp>
      <tp>
        <v>-0.311</v>
        <stp/>
        <stp>ContractData</stp>
        <stp>NGES3X7</stp>
        <stp>Low</stp>
        <stp/>
        <stp>T</stp>
        <tr r="E61" s="2"/>
      </tp>
      <tp>
        <v>-9.2999999999999999E-2</v>
        <stp/>
        <stp>ContractData</stp>
        <stp>NGES3Z7</stp>
        <stp>Low</stp>
        <stp/>
        <stp>T</stp>
        <tr r="E62" s="2"/>
      </tp>
      <tp>
        <v>-0.21099999999999999</v>
        <stp/>
        <stp>ContractData</stp>
        <stp>NGES3U8</stp>
        <stp>Low</stp>
        <stp/>
        <stp>T</stp>
        <tr r="E71" s="2"/>
      </tp>
      <tp>
        <v>-0.27500000000000002</v>
        <stp/>
        <stp>ContractData</stp>
        <stp>NGES3V8</stp>
        <stp>Low</stp>
        <stp/>
        <stp>T</stp>
        <tr r="E72" s="2"/>
      </tp>
      <tp t="s">
        <v/>
        <stp/>
        <stp>ContractData</stp>
        <stp>NGES3Q8</stp>
        <stp>Low</stp>
        <stp/>
        <stp>T</stp>
        <tr r="E70" s="2"/>
      </tp>
      <tp>
        <v>-3.1E-2</v>
        <stp/>
        <stp>ContractData</stp>
        <stp>NGES2M8</stp>
        <stp>Low</stp>
        <stp/>
        <stp>T</stp>
        <tr r="E52" s="2"/>
      </tp>
      <tp>
        <v>1.4999999999999999E-2</v>
        <stp/>
        <stp>ContractData</stp>
        <stp>NGES2N8</stp>
        <stp>Low</stp>
        <stp/>
        <stp>T</stp>
        <tr r="E53" s="2"/>
      </tp>
      <tp>
        <v>0.25800000000000001</v>
        <stp/>
        <stp>ContractData</stp>
        <stp>NGES2H8</stp>
        <stp>Low</stp>
        <stp/>
        <stp>T</stp>
        <tr r="E49" s="2"/>
      </tp>
      <tp>
        <v>-6.0000000000000001E-3</v>
        <stp/>
        <stp>ContractData</stp>
        <stp>NGES2J8</stp>
        <stp>Low</stp>
        <stp/>
        <stp>T</stp>
        <tr r="E50" s="2"/>
      </tp>
      <tp>
        <v>-5.7000000000000002E-2</v>
        <stp/>
        <stp>ContractData</stp>
        <stp>NGES2K8</stp>
        <stp>Low</stp>
        <stp/>
        <stp>T</stp>
        <tr r="E51" s="2"/>
      </tp>
      <tp>
        <v>3.3000000000000002E-2</v>
        <stp/>
        <stp>ContractData</stp>
        <stp>NGES2F8</stp>
        <stp>Low</stp>
        <stp/>
        <stp>T</stp>
        <tr r="E47" s="2"/>
      </tp>
      <tp>
        <v>0.27600000000000002</v>
        <stp/>
        <stp>ContractData</stp>
        <stp>NGES2G8</stp>
        <stp>Low</stp>
        <stp/>
        <stp>T</stp>
        <tr r="E48" s="2"/>
      </tp>
      <tp>
        <v>-0.30499999999999999</v>
        <stp/>
        <stp>ContractData</stp>
        <stp>NGES2X7</stp>
        <stp>Low</stp>
        <stp/>
        <stp>T</stp>
        <tr r="E45" s="2"/>
      </tp>
      <tp>
        <v>-0.13200000000000001</v>
        <stp/>
        <stp>ContractData</stp>
        <stp>NGES2Z7</stp>
        <stp>Low</stp>
        <stp/>
        <stp>T</stp>
        <tr r="E46" s="2"/>
      </tp>
      <tp t="s">
        <v/>
        <stp/>
        <stp>ContractData</stp>
        <stp>NGES2U8</stp>
        <stp>Low</stp>
        <stp/>
        <stp>T</stp>
        <tr r="E55" s="2"/>
      </tp>
      <tp>
        <v>-0.19</v>
        <stp/>
        <stp>ContractData</stp>
        <stp>NGES2V8</stp>
        <stp>Low</stp>
        <stp/>
        <stp>T</stp>
        <tr r="E56" s="2"/>
      </tp>
      <tp>
        <v>-6.0000000000000001E-3</v>
        <stp/>
        <stp>ContractData</stp>
        <stp>NGES2Q8</stp>
        <stp>Low</stp>
        <stp/>
        <stp>T</stp>
        <tr r="E54" s="2"/>
      </tp>
      <tp>
        <v>-2.7E-2</v>
        <stp/>
        <stp>ContractData</stp>
        <stp>NGES1M8</stp>
        <stp>Low</stp>
        <stp/>
        <stp>T</stp>
        <tr r="E36" s="2"/>
      </tp>
      <tp>
        <v>-3.0000000000000001E-3</v>
        <stp/>
        <stp>ContractData</stp>
        <stp>NGES1N8</stp>
        <stp>Low</stp>
        <stp/>
        <stp>T</stp>
        <tr r="E37" s="2"/>
      </tp>
      <tp>
        <v>0.23400000000000001</v>
        <stp/>
        <stp>ContractData</stp>
        <stp>NGES1H8</stp>
        <stp>Low</stp>
        <stp/>
        <stp>T</stp>
        <tr r="E33" s="2"/>
      </tp>
      <tp>
        <v>2.4E-2</v>
        <stp/>
        <stp>ContractData</stp>
        <stp>NGES1J8</stp>
        <stp>Low</stp>
        <stp/>
        <stp>T</stp>
        <tr r="E34" s="2"/>
      </tp>
      <tp>
        <v>-0.03</v>
        <stp/>
        <stp>ContractData</stp>
        <stp>NGES1K8</stp>
        <stp>Low</stp>
        <stp/>
        <stp>T</stp>
        <tr r="E35" s="2"/>
      </tp>
      <tp>
        <v>-6.0000000000000001E-3</v>
        <stp/>
        <stp>ContractData</stp>
        <stp>NGES1F8</stp>
        <stp>Low</stp>
        <stp/>
        <stp>T</stp>
        <tr r="E31" s="2"/>
      </tp>
      <tp>
        <v>3.7999999999999999E-2</v>
        <stp/>
        <stp>ContractData</stp>
        <stp>NGES1G8</stp>
        <stp>Low</stp>
        <stp/>
        <stp>T</stp>
        <tr r="E32" s="2"/>
      </tp>
      <tp>
        <v>-0.18099999999999999</v>
        <stp/>
        <stp>ContractData</stp>
        <stp>NGES1X7</stp>
        <stp>Low</stp>
        <stp/>
        <stp>T</stp>
        <tr r="E29" s="2"/>
      </tp>
      <tp>
        <v>-0.127</v>
        <stp/>
        <stp>ContractData</stp>
        <stp>NGES1Z7</stp>
        <stp>Low</stp>
        <stp/>
        <stp>T</stp>
        <tr r="E30" s="2"/>
      </tp>
      <tp>
        <v>-2.3E-2</v>
        <stp/>
        <stp>ContractData</stp>
        <stp>NGES1U8</stp>
        <stp>Low</stp>
        <stp/>
        <stp>T</stp>
        <tr r="E39" s="2"/>
      </tp>
      <tp>
        <v>-5.3999999999999999E-2</v>
        <stp/>
        <stp>ContractData</stp>
        <stp>NGES1V8</stp>
        <stp>Low</stp>
        <stp/>
        <stp>T</stp>
        <tr r="E40" s="2"/>
      </tp>
      <tp>
        <v>1.8000000000000002E-2</v>
        <stp/>
        <stp>ContractData</stp>
        <stp>NGES1Q8</stp>
        <stp>Low</stp>
        <stp/>
        <stp>T</stp>
        <tr r="E38" s="2"/>
      </tp>
      <tp t="s">
        <v/>
        <stp/>
        <stp>ContractData</stp>
        <stp>NGEU9</stp>
        <stp>LastTradeorSettle</stp>
        <stp/>
        <stp>T</stp>
        <tr r="P50" s="13"/>
        <tr r="AB50" s="13"/>
        <tr r="F59" s="13"/>
      </tp>
      <tp>
        <v>2.9420000000000002</v>
        <stp/>
        <stp>ContractData</stp>
        <stp>NGEU8</stp>
        <stp>LastTradeorSettle</stp>
        <stp/>
        <stp>T</stp>
        <tr r="P22" s="13"/>
        <tr r="AB22" s="13"/>
        <tr r="AB22" s="13"/>
        <tr r="U10" s="2"/>
        <tr r="R12" s="6"/>
        <tr r="F23" s="2"/>
        <tr r="R12" s="9"/>
        <tr r="R12" s="8"/>
        <tr r="R12" s="7"/>
        <tr r="R12" s="10"/>
        <tr r="R12" s="11"/>
      </tp>
      <tp t="s">
        <v>Natural Gas (Globex), Jun 18</v>
        <stp/>
        <stp>ContractData</stp>
        <stp>NGEM18</stp>
        <stp>LongDescription</stp>
        <tr r="B28" s="13"/>
      </tp>
      <tp>
        <v>2.73771429</v>
        <stp/>
        <stp>StudyData</stp>
        <stp>Bar(((NGEJ19+NGEK19+NGEM19+NGEN19+NGEQ19+NGEU19+NGEV19)/7),1)</stp>
        <stp>Bar</stp>
        <stp/>
        <stp>LOw</stp>
        <stp>D</stp>
        <stp>-4</stp>
        <stp/>
        <stp/>
        <stp/>
        <stp/>
        <stp>T</stp>
        <tr r="AM6" s="14"/>
      </tp>
      <tp>
        <v>2.8958571399999999</v>
        <stp/>
        <stp>StudyData</stp>
        <stp>Bar(((NGEJ18+NGEK18+NGEM18+NGEN18+NGEQ18+NGEU18+NGEV18)/7),1)</stp>
        <stp>Bar</stp>
        <stp/>
        <stp>LOw</stp>
        <stp>D</stp>
        <stp>-4</stp>
        <stp/>
        <stp/>
        <stp/>
        <stp/>
        <stp>T</stp>
        <tr r="R6" s="14"/>
      </tp>
      <tp t="s">
        <v>NOV</v>
        <stp/>
        <stp>ContractData</stp>
        <stp>NGE?</stp>
        <stp>ContractMonth</stp>
        <tr r="R35" s="6"/>
        <tr r="R35" s="10"/>
        <tr r="R35" s="7"/>
        <tr r="R35" s="8"/>
        <tr r="R35" s="9"/>
        <tr r="R35" s="11"/>
      </tp>
      <tp>
        <v>2.7425714299999999</v>
        <stp/>
        <stp>StudyData</stp>
        <stp>Bar(((NGEJ19+NGEK19+NGEM19+NGEN19+NGEQ19+NGEU19+NGEV19)/7),1)</stp>
        <stp>Bar</stp>
        <stp/>
        <stp>LOw</stp>
        <stp>D</stp>
        <stp>-5</stp>
        <stp/>
        <stp/>
        <stp/>
        <stp/>
        <stp>T</stp>
        <tr r="AM7" s="14"/>
      </tp>
      <tp>
        <v>2.9302857100000002</v>
        <stp/>
        <stp>StudyData</stp>
        <stp>Bar(((NGEJ18+NGEK18+NGEM18+NGEN18+NGEQ18+NGEU18+NGEV18)/7),1)</stp>
        <stp>Bar</stp>
        <stp/>
        <stp>LOw</stp>
        <stp>D</stp>
        <stp>-5</stp>
        <stp/>
        <stp/>
        <stp/>
        <stp/>
        <stp>T</stp>
        <tr r="R7" s="14"/>
      </tp>
      <tp t="s">
        <v/>
        <stp/>
        <stp>ContractData</stp>
        <stp>NGEG9</stp>
        <stp>NetLastTradeToday</stp>
        <stp/>
        <stp>T</stp>
        <tr r="G44" s="13"/>
        <tr r="H44" s="13"/>
      </tp>
      <tp>
        <v>-3.3000000000000002E-2</v>
        <stp/>
        <stp>ContractData</stp>
        <stp>NGEG8</stp>
        <stp>NetLastTradeToday</stp>
        <stp/>
        <stp>T</stp>
        <tr r="G16" s="13"/>
        <tr r="H16" s="13"/>
        <tr r="H16" s="2"/>
        <tr r="G16" s="2"/>
      </tp>
      <tp t="s">
        <v>Natural Gas (Globex), Nov 17</v>
        <stp/>
        <stp>ContractData</stp>
        <stp>NGEX7</stp>
        <stp>LongDescription</stp>
        <tr r="B13" s="13"/>
        <tr r="B3" s="2"/>
        <tr r="B13" s="2"/>
      </tp>
      <tp t="s">
        <v>Natural Gas (Globex), Nov 18</v>
        <stp/>
        <stp>ContractData</stp>
        <stp>NGEX8</stp>
        <stp>LongDescription</stp>
        <tr r="B41" s="13"/>
      </tp>
      <tp t="s">
        <v>Natural Gas (Globex), Dec 17</v>
        <stp/>
        <stp>ContractData</stp>
        <stp>NGEZ7</stp>
        <stp>LongDescription</stp>
        <tr r="B14" s="13"/>
        <tr r="B14" s="2"/>
      </tp>
      <tp t="s">
        <v>Natural Gas (Globex), Dec 18</v>
        <stp/>
        <stp>ContractData</stp>
        <stp>NGEZ8</stp>
        <stp>LongDescription</stp>
        <tr r="B42" s="13"/>
      </tp>
      <tp t="s">
        <v>Natural Gas (Globex), Aug 19</v>
        <stp/>
        <stp>ContractData</stp>
        <stp>NGEQ9</stp>
        <stp>LongDescription</stp>
        <tr r="B58" s="13"/>
      </tp>
      <tp t="s">
        <v>Natural Gas (Globex), Aug 18</v>
        <stp/>
        <stp>ContractData</stp>
        <stp>NGEQ8</stp>
        <stp>LongDescription</stp>
        <tr r="B22" s="2"/>
      </tp>
      <tp t="s">
        <v>Natural Gas (Globex), Sep 19</v>
        <stp/>
        <stp>ContractData</stp>
        <stp>NGEU9</stp>
        <stp>LongDescription</stp>
        <tr r="B59" s="13"/>
      </tp>
      <tp t="s">
        <v>Natural Gas (Globex), Sep 18</v>
        <stp/>
        <stp>ContractData</stp>
        <stp>NGEU8</stp>
        <stp>LongDescription</stp>
        <tr r="B23" s="2"/>
      </tp>
      <tp t="s">
        <v>Natural Gas (Globex), Oct 19</v>
        <stp/>
        <stp>ContractData</stp>
        <stp>NGEV9</stp>
        <stp>LongDescription</stp>
        <tr r="B60" s="13"/>
      </tp>
      <tp t="s">
        <v>Natural Gas (Globex), Oct 18</v>
        <stp/>
        <stp>ContractData</stp>
        <stp>NGEV8</stp>
        <stp>LongDescription</stp>
        <tr r="B24" s="2"/>
      </tp>
      <tp t="s">
        <v>Natural Gas (Globex), Mar 19</v>
        <stp/>
        <stp>ContractData</stp>
        <stp>NGEH9</stp>
        <stp>LongDescription</stp>
        <tr r="B45" s="13"/>
      </tp>
      <tp t="s">
        <v>Natural Gas (Globex), Mar 18</v>
        <stp/>
        <stp>ContractData</stp>
        <stp>NGEH8</stp>
        <stp>LongDescription</stp>
        <tr r="B17" s="13"/>
        <tr r="B17" s="2"/>
      </tp>
      <tp t="s">
        <v>Natural Gas (Globex), May 19</v>
        <stp/>
        <stp>ContractData</stp>
        <stp>NGEK9</stp>
        <stp>LongDescription</stp>
        <tr r="B55" s="13"/>
      </tp>
      <tp t="s">
        <v>Natural Gas (Globex), May 18</v>
        <stp/>
        <stp>ContractData</stp>
        <stp>NGEK8</stp>
        <stp>LongDescription</stp>
        <tr r="B19" s="2"/>
      </tp>
      <tp t="s">
        <v>Natural Gas (Globex), Apr 19</v>
        <stp/>
        <stp>ContractData</stp>
        <stp>NGEJ9</stp>
        <stp>LongDescription</stp>
        <tr r="B54" s="13"/>
      </tp>
      <tp t="s">
        <v>Natural Gas (Globex), Apr 18</v>
        <stp/>
        <stp>ContractData</stp>
        <stp>NGEJ8</stp>
        <stp>LongDescription</stp>
        <tr r="B18" s="2"/>
      </tp>
      <tp t="s">
        <v>Natural Gas (Globex), Jun 19</v>
        <stp/>
        <stp>ContractData</stp>
        <stp>NGEM9</stp>
        <stp>LongDescription</stp>
        <tr r="B56" s="13"/>
      </tp>
      <tp t="s">
        <v>Natural Gas (Globex), Jun 18</v>
        <stp/>
        <stp>ContractData</stp>
        <stp>NGEM8</stp>
        <stp>LongDescription</stp>
        <tr r="B20" s="2"/>
      </tp>
      <tp>
        <v>2.7471428599999999</v>
        <stp/>
        <stp>StudyData</stp>
        <stp>Bar(((NGEJ19+NGEK19+NGEM19+NGEN19+NGEQ19+NGEU19+NGEV19)/7),1)</stp>
        <stp>Bar</stp>
        <stp/>
        <stp>LOw</stp>
        <stp>D</stp>
        <stp>-6</stp>
        <stp/>
        <stp/>
        <stp/>
        <stp/>
        <stp>T</stp>
        <tr r="AM8" s="14"/>
      </tp>
      <tp>
        <v>2.9368571399999999</v>
        <stp/>
        <stp>StudyData</stp>
        <stp>Bar(((NGEJ18+NGEK18+NGEM18+NGEN18+NGEQ18+NGEU18+NGEV18)/7),1)</stp>
        <stp>Bar</stp>
        <stp/>
        <stp>LOw</stp>
        <stp>D</stp>
        <stp>-6</stp>
        <stp/>
        <stp/>
        <stp/>
        <stp/>
        <stp>T</stp>
        <tr r="R8" s="14"/>
      </tp>
      <tp t="s">
        <v>Natural Gas (Globex), Jul 19</v>
        <stp/>
        <stp>ContractData</stp>
        <stp>NGEN9</stp>
        <stp>LongDescription</stp>
        <tr r="B57" s="13"/>
      </tp>
      <tp t="s">
        <v>Natural Gas (Globex), Jul 18</v>
        <stp/>
        <stp>ContractData</stp>
        <stp>NGEN8</stp>
        <stp>LongDescription</stp>
        <tr r="B21" s="2"/>
      </tp>
      <tp t="s">
        <v>Natural Gas (Globex), Feb 19</v>
        <stp/>
        <stp>ContractData</stp>
        <stp>NGEG9</stp>
        <stp>LongDescription</stp>
        <tr r="B44" s="13"/>
      </tp>
      <tp t="s">
        <v>Natural Gas (Globex), Feb 18</v>
        <stp/>
        <stp>ContractData</stp>
        <stp>NGEG8</stp>
        <stp>LongDescription</stp>
        <tr r="B16" s="13"/>
        <tr r="B16" s="2"/>
      </tp>
      <tp t="s">
        <v>Natural Gas (Globex), Jan 19</v>
        <stp/>
        <stp>ContractData</stp>
        <stp>NGEF9</stp>
        <stp>LongDescription</stp>
        <tr r="B43" s="13"/>
      </tp>
      <tp t="s">
        <v>Natural Gas (Globex), Jan 18</v>
        <stp/>
        <stp>ContractData</stp>
        <stp>NGEF8</stp>
        <stp>LongDescription</stp>
        <tr r="N2" s="13"/>
        <tr r="B15" s="13"/>
        <tr r="N3" s="2"/>
        <tr r="B15" s="2"/>
      </tp>
      <tp t="s">
        <v/>
        <stp/>
        <stp>ContractData</stp>
        <stp>NGEV9</stp>
        <stp>LastTradeorSettle</stp>
        <stp/>
        <stp>T</stp>
        <tr r="Q50" s="13"/>
        <tr r="AC50" s="13"/>
        <tr r="F60" s="13"/>
      </tp>
      <tp>
        <v>2.9670000000000001</v>
        <stp/>
        <stp>ContractData</stp>
        <stp>NGEV8</stp>
        <stp>LastTradeorSettle</stp>
        <stp/>
        <stp>T</stp>
        <tr r="Q22" s="13"/>
        <tr r="AC22" s="13"/>
        <tr r="AC22" s="13"/>
        <tr r="V10" s="2"/>
        <tr r="R13" s="6"/>
        <tr r="R13" s="8"/>
        <tr r="R13" s="10"/>
        <tr r="R13" s="7"/>
        <tr r="R13" s="9"/>
        <tr r="R13" s="11"/>
        <tr r="F24" s="2"/>
      </tp>
      <tp>
        <v>-7.0000000000000001E-3</v>
        <stp/>
        <stp>ContractData</stp>
        <stp>NGEF9</stp>
        <stp>NetLastTradeToday</stp>
        <stp/>
        <stp>T</stp>
        <tr r="H43" s="13"/>
        <tr r="G43" s="13"/>
      </tp>
      <tp>
        <v>-3.3000000000000002E-2</v>
        <stp/>
        <stp>ContractData</stp>
        <stp>NGEF8</stp>
        <stp>NetLastTradeToday</stp>
        <stp/>
        <stp>T</stp>
        <tr r="G15" s="13"/>
        <tr r="H15" s="13"/>
        <tr r="G15" s="2"/>
        <tr r="H15" s="2"/>
      </tp>
      <tp t="s">
        <v>Natural Gas (Globex), Jul 18</v>
        <stp/>
        <stp>ContractData</stp>
        <stp>NGEN18</stp>
        <stp>LongDescription</stp>
        <tr r="B29" s="13"/>
      </tp>
      <tp>
        <v>2.77042857</v>
        <stp/>
        <stp>StudyData</stp>
        <stp>Bar(((NGEJ19+NGEK19+NGEM19+NGEN19+NGEQ19+NGEU19+NGEV19)/7),1)</stp>
        <stp>Bar</stp>
        <stp/>
        <stp>LOw</stp>
        <stp>D</stp>
        <stp>-7</stp>
        <stp/>
        <stp/>
        <stp/>
        <stp/>
        <stp>T</stp>
        <tr r="AM9" s="14"/>
      </tp>
      <tp>
        <v>2.93542857</v>
        <stp/>
        <stp>StudyData</stp>
        <stp>Bar(((NGEJ18+NGEK18+NGEM18+NGEN18+NGEQ18+NGEU18+NGEV18)/7),1)</stp>
        <stp>Bar</stp>
        <stp/>
        <stp>LOw</stp>
        <stp>D</stp>
        <stp>-7</stp>
        <stp/>
        <stp/>
        <stp/>
        <stp/>
        <stp>T</stp>
        <tr r="R9" s="14"/>
      </tp>
      <tp>
        <v>2.9378571400000002</v>
        <stp/>
        <stp>StudyData</stp>
        <stp>Bar(((NGEJ18+NGEK18+NGEM18+NGEN18+NGEQ18+NGEU18+NGEV18)/7),1)</stp>
        <stp>Bar</stp>
        <stp/>
        <stp>Close</stp>
        <stp>D</stp>
        <stp>0</stp>
        <stp/>
        <stp/>
        <stp/>
        <stp/>
        <stp>T</stp>
        <tr r="S2" s="14"/>
      </tp>
      <tp>
        <v>2.7532857100000001</v>
        <stp/>
        <stp>StudyData</stp>
        <stp>Bar(((NGEJ19+NGEK19+NGEM19+NGEN19+NGEQ19+NGEU19+NGEV19)/7),1)</stp>
        <stp>Bar</stp>
        <stp/>
        <stp>Close</stp>
        <stp>D</stp>
        <stp>0</stp>
        <stp/>
        <stp/>
        <stp/>
        <stp/>
        <stp>T</stp>
        <tr r="AN2" s="14"/>
      </tp>
      <tp t="s">
        <v/>
        <stp/>
        <stp>ContractData</stp>
        <stp>NGEQ9</stp>
        <stp>LastTradeorSettle</stp>
        <stp/>
        <stp>T</stp>
        <tr r="O50" s="13"/>
        <tr r="AA50" s="13"/>
        <tr r="F58" s="13"/>
      </tp>
      <tp>
        <v>2.96</v>
        <stp/>
        <stp>ContractData</stp>
        <stp>NGEQ8</stp>
        <stp>LastTradeorSettle</stp>
        <stp/>
        <stp>T</stp>
        <tr r="O22" s="13"/>
        <tr r="AA22" s="13"/>
        <tr r="AA22" s="13"/>
        <tr r="T10" s="2"/>
        <tr r="R11" s="6"/>
        <tr r="F22" s="2"/>
        <tr r="R11" s="7"/>
        <tr r="R11" s="8"/>
        <tr r="R11" s="9"/>
        <tr r="R11" s="10"/>
        <tr r="R11" s="11"/>
      </tp>
      <tp>
        <v>43003</v>
        <stp/>
        <stp>StudyData</stp>
        <stp>Bar(((NGEX17+NGEZ17+NGEF18+NGEG18+NGEH18)/5),1)</stp>
        <stp>Bar</stp>
        <stp/>
        <stp>Time</stp>
        <stp>D</stp>
        <stp>-9</stp>
        <stp/>
        <stp/>
        <stp/>
        <stp/>
        <stp>T</stp>
        <tr r="B11" s="14"/>
      </tp>
      <tp>
        <v>43004</v>
        <stp/>
        <stp>StudyData</stp>
        <stp>Bar(((NGEX18+NGEZ18+NGEF19+NGEG19+NGEH19)/5),1)</stp>
        <stp>Bar</stp>
        <stp/>
        <stp>Time</stp>
        <stp>D</stp>
        <stp>-8</stp>
        <stp/>
        <stp/>
        <stp/>
        <stp/>
        <stp>T</stp>
        <tr r="W10" s="14"/>
      </tp>
      <tp>
        <v>43004</v>
        <stp/>
        <stp>StudyData</stp>
        <stp>Bar(((NGEX17+NGEZ17+NGEF18+NGEG18+NGEH18)/5),1)</stp>
        <stp>Bar</stp>
        <stp/>
        <stp>Time</stp>
        <stp>D</stp>
        <stp>-8</stp>
        <stp/>
        <stp/>
        <stp/>
        <stp/>
        <stp>T</stp>
        <tr r="B10" s="14"/>
      </tp>
      <tp>
        <v>43003</v>
        <stp/>
        <stp>StudyData</stp>
        <stp>Bar(((NGEX18+NGEZ18+NGEF19+NGEG19+NGEH19)/5),1)</stp>
        <stp>Bar</stp>
        <stp/>
        <stp>Time</stp>
        <stp>D</stp>
        <stp>-9</stp>
        <stp/>
        <stp/>
        <stp/>
        <stp/>
        <stp>T</stp>
        <tr r="W11" s="14"/>
      </tp>
      <tp>
        <v>2.7518571399999998</v>
        <stp/>
        <stp>StudyData</stp>
        <stp>Bar(((NGEJ19+NGEK19+NGEM19+NGEN19+NGEQ19+NGEU19+NGEV19)/7),1)</stp>
        <stp>Bar</stp>
        <stp/>
        <stp>LOw</stp>
        <stp>D</stp>
        <stp>-1</stp>
        <stp/>
        <stp/>
        <stp/>
        <stp/>
        <stp>T</stp>
        <tr r="AM3" s="14"/>
      </tp>
      <tp>
        <v>2.9402857099999999</v>
        <stp/>
        <stp>StudyData</stp>
        <stp>Bar(((NGEJ18+NGEK18+NGEM18+NGEN18+NGEQ18+NGEU18+NGEV18)/7),1)</stp>
        <stp>Bar</stp>
        <stp/>
        <stp>LOw</stp>
        <stp>D</stp>
        <stp>-1</stp>
        <stp/>
        <stp/>
        <stp/>
        <stp/>
        <stp>T</stp>
        <tr r="R3" s="14"/>
      </tp>
      <tp t="s">
        <v>Natural Gas (Globex), May 18</v>
        <stp/>
        <stp>ContractData</stp>
        <stp>NGEK18</stp>
        <stp>LongDescription</stp>
        <tr r="B27" s="13"/>
      </tp>
      <tp>
        <v>2.7512857099999999</v>
        <stp/>
        <stp>StudyData</stp>
        <stp>Bar(((NGEJ19+NGEK19+NGEM19+NGEN19+NGEQ19+NGEU19+NGEV19)/7),1)</stp>
        <stp>Bar</stp>
        <stp/>
        <stp>LOw</stp>
        <stp>D</stp>
        <stp>-2</stp>
        <stp/>
        <stp/>
        <stp/>
        <stp/>
        <stp>T</stp>
        <tr r="AM4" s="14"/>
      </tp>
      <tp>
        <v>2.91471429</v>
        <stp/>
        <stp>StudyData</stp>
        <stp>Bar(((NGEJ18+NGEK18+NGEM18+NGEN18+NGEQ18+NGEU18+NGEV18)/7),1)</stp>
        <stp>Bar</stp>
        <stp/>
        <stp>LOw</stp>
        <stp>D</stp>
        <stp>-2</stp>
        <stp/>
        <stp/>
        <stp/>
        <stp/>
        <stp>T</stp>
        <tr r="R4" s="14"/>
      </tp>
      <tp t="s">
        <v>Natural Gas (Globex), Apr 18</v>
        <stp/>
        <stp>ContractData</stp>
        <stp>NGEJ18</stp>
        <stp>LongDescription</stp>
        <tr r="B26" s="13"/>
      </tp>
      <tp>
        <v>2.7425714299999999</v>
        <stp/>
        <stp>StudyData</stp>
        <stp>Bar(((NGEJ19+NGEK19+NGEM19+NGEN19+NGEQ19+NGEU19+NGEV19)/7),1)</stp>
        <stp>Bar</stp>
        <stp/>
        <stp>LOw</stp>
        <stp>D</stp>
        <stp>-3</stp>
        <stp/>
        <stp/>
        <stp/>
        <stp/>
        <stp>T</stp>
        <tr r="AM5" s="14"/>
      </tp>
      <tp>
        <v>2.9009999999999998</v>
        <stp/>
        <stp>StudyData</stp>
        <stp>Bar(((NGEJ18+NGEK18+NGEM18+NGEN18+NGEQ18+NGEU18+NGEV18)/7),1)</stp>
        <stp>Bar</stp>
        <stp/>
        <stp>LOw</stp>
        <stp>D</stp>
        <stp>-3</stp>
        <stp/>
        <stp/>
        <stp/>
        <stp/>
        <stp>T</stp>
        <tr r="R5" s="14"/>
      </tp>
      <tp t="s">
        <v/>
        <stp/>
        <stp>ContractData</stp>
        <stp>NGEM9</stp>
        <stp>LastTradeorSettle</stp>
        <stp/>
        <stp>T</stp>
        <tr r="M50" s="13"/>
        <tr r="Y50" s="13"/>
        <tr r="F56" s="13"/>
      </tp>
      <tp>
        <v>2.931</v>
        <stp/>
        <stp>ContractData</stp>
        <stp>NGEM8</stp>
        <stp>LastTradeorSettle</stp>
        <stp/>
        <stp>T</stp>
        <tr r="M22" s="13"/>
        <tr r="Y22" s="13"/>
        <tr r="Y22" s="13"/>
        <tr r="R10" s="2"/>
        <tr r="R9" s="6"/>
        <tr r="F20" s="2"/>
        <tr r="R9" s="10"/>
        <tr r="R9" s="9"/>
        <tr r="R9" s="8"/>
        <tr r="R9" s="7"/>
        <tr r="R9" s="11"/>
      </tp>
      <tp>
        <v>43014</v>
        <stp/>
        <stp>StudyData</stp>
        <stp>Bar(((NGEX17+NGEZ17+NGEF18+NGEG18+NGEH18)/5),1)</stp>
        <stp>Bar</stp>
        <stp/>
        <stp>Time</stp>
        <stp>D</stp>
        <stp>0</stp>
        <stp/>
        <stp/>
        <stp/>
        <stp/>
        <stp>T</stp>
        <tr r="B2" s="14"/>
      </tp>
      <tp t="s">
        <v>Natural Gas (Globex), Sep 18</v>
        <stp/>
        <stp>ContractData</stp>
        <stp>NGEU18</stp>
        <stp>LongDescription</stp>
        <tr r="B31" s="13"/>
      </tp>
      <tp>
        <v>3.2313999999999998</v>
        <stp/>
        <stp>StudyData</stp>
        <stp>Bar(((NGEX17+NGEZ17+NGEF18+NGEG18+NGEH18)/5),1)</stp>
        <stp>Bar</stp>
        <stp/>
        <stp>High</stp>
        <stp>D</stp>
        <stp>-9</stp>
        <stp/>
        <stp/>
        <stp/>
        <stp/>
        <stp>T</stp>
        <tr r="D11" s="14"/>
      </tp>
      <tp>
        <v>3.141</v>
        <stp/>
        <stp>StudyData</stp>
        <stp>Bar(((NGEX18+NGEZ18+NGEF19+NGEG19+NGEH19)/5),1)</stp>
        <stp>Bar</stp>
        <stp/>
        <stp>High</stp>
        <stp>D</stp>
        <stp>-8</stp>
        <stp/>
        <stp/>
        <stp/>
        <stp/>
        <stp>T</stp>
        <tr r="Y10" s="14"/>
      </tp>
      <tp>
        <v>43014</v>
        <stp/>
        <stp>StudyData</stp>
        <stp>Bar(((NGEX18+NGEZ18+NGEF19+NGEG19+NGEH19)/5),1)</stp>
        <stp>Bar</stp>
        <stp/>
        <stp>Time</stp>
        <stp>D</stp>
        <stp>0</stp>
        <stp/>
        <stp/>
        <stp/>
        <stp/>
        <stp>T</stp>
        <tr r="W2" s="14"/>
      </tp>
      <tp t="s">
        <v>Natural Gas (Globex), Nov 17</v>
        <stp/>
        <stp>ContractData</stp>
        <stp>NGE</stp>
        <stp>LongDescription</stp>
        <tr r="B2" s="13"/>
      </tp>
      <tp>
        <v>3.2111999999999998</v>
        <stp/>
        <stp>StudyData</stp>
        <stp>Bar(((NGEX17+NGEZ17+NGEF18+NGEG18+NGEH18)/5),1)</stp>
        <stp>Bar</stp>
        <stp/>
        <stp>High</stp>
        <stp>D</stp>
        <stp>-8</stp>
        <stp/>
        <stp/>
        <stp/>
        <stp/>
        <stp>T</stp>
        <tr r="D10" s="14"/>
      </tp>
      <tp>
        <v>3.1514000000000002</v>
        <stp/>
        <stp>StudyData</stp>
        <stp>Bar(((NGEX18+NGEZ18+NGEF19+NGEG19+NGEH19)/5),1)</stp>
        <stp>Bar</stp>
        <stp/>
        <stp>High</stp>
        <stp>D</stp>
        <stp>-9</stp>
        <stp/>
        <stp/>
        <stp/>
        <stp/>
        <stp>T</stp>
        <tr r="Y11" s="14"/>
      </tp>
      <tp>
        <v>2.7360000000000002</v>
        <stp/>
        <stp>ContractData</stp>
        <stp>SPREAD((NGEJ19+NGEK19+NGEM19+NGEN19+NGEQ19+NGEU19+NGEV19)/7)</stp>
        <stp>Bid</stp>
        <stp/>
        <stp>T</stp>
        <tr r="D49" s="13"/>
      </tp>
      <tp>
        <v>2.9390000000000001</v>
        <stp/>
        <stp>ContractData</stp>
        <stp>SPREAD((NGEJ18+NGEK18+NGEM18+NGEN18+NGEQ18+NGEU18+NGEV18)/7)</stp>
        <stp>Bid</stp>
        <stp/>
        <stp>T</stp>
        <tr r="D21" s="13"/>
      </tp>
      <tp>
        <v>2.7589999999999999</v>
        <stp/>
        <stp>ContractData</stp>
        <stp>SPREAD((NGEJ19+NGEK19+NGEM19+NGEN19+NGEQ19+NGEU19+NGEV19)/7)</stp>
        <stp>Ask</stp>
        <stp/>
        <stp>T</stp>
        <tr r="D47" s="13"/>
      </tp>
      <tp>
        <v>2.9410000000000003</v>
        <stp/>
        <stp>ContractData</stp>
        <stp>SPREAD((NGEJ18+NGEK18+NGEM18+NGEN18+NGEQ18+NGEU18+NGEV18)/7)</stp>
        <stp>Ask</stp>
        <stp/>
        <stp>T</stp>
        <tr r="D19" s="13"/>
      </tp>
      <tp t="s">
        <v/>
        <stp/>
        <stp>ContractData</stp>
        <stp>NGEN9</stp>
        <stp>LastTradeorSettle</stp>
        <stp/>
        <stp>T</stp>
        <tr r="N50" s="13"/>
        <tr r="Z50" s="13"/>
        <tr r="F57" s="13"/>
      </tp>
      <tp>
        <v>2.9580000000000002</v>
        <stp/>
        <stp>ContractData</stp>
        <stp>NGEN8</stp>
        <stp>LastTradeorSettle</stp>
        <stp/>
        <stp>T</stp>
        <tr r="N22" s="13"/>
        <tr r="Z22" s="13"/>
        <tr r="Z22" s="13"/>
        <tr r="S10" s="2"/>
        <tr r="R10" s="6"/>
        <tr r="F21" s="2"/>
        <tr r="R10" s="7"/>
        <tr r="R10" s="9"/>
        <tr r="R10" s="10"/>
        <tr r="R10" s="8"/>
        <tr r="R10" s="11"/>
      </tp>
      <tp t="s">
        <v>Natural Gas (Globex), Oct 18</v>
        <stp/>
        <stp>ContractData</stp>
        <stp>NGEV18</stp>
        <stp>LongDescription</stp>
        <tr r="B32" s="13"/>
      </tp>
      <tp t="s">
        <v>Natural Gas (Globex), Aug 18</v>
        <stp/>
        <stp>ContractData</stp>
        <stp>NGEQ18</stp>
        <stp>LongDescription</stp>
        <tr r="B30" s="13"/>
      </tp>
      <tp t="s">
        <v/>
        <stp/>
        <stp>ContractData</stp>
        <stp>NGEH9</stp>
        <stp>LastTradeorSettle</stp>
        <stp/>
        <stp>T</stp>
        <tr r="O37" s="13"/>
        <tr r="AA37" s="13"/>
        <tr r="F45" s="13"/>
      </tp>
      <tp>
        <v>3.1640000000000001</v>
        <stp/>
        <stp>ContractData</stp>
        <stp>NGEH8</stp>
        <stp>LastTradeorSettle</stp>
        <stp/>
        <stp>T</stp>
        <tr r="O9" s="13"/>
        <tr r="AA9" s="13"/>
        <tr r="AA9" s="13"/>
        <tr r="F17" s="13"/>
        <tr r="O10" s="2"/>
        <tr r="R6" s="6"/>
        <tr r="F17" s="2"/>
        <tr r="R6" s="9"/>
        <tr r="R6" s="10"/>
        <tr r="R6" s="8"/>
        <tr r="R6" s="7"/>
        <tr r="R6" s="11"/>
      </tp>
      <tp>
        <v>-2.6000000000000002E-2</v>
        <stp/>
        <stp>ContractData</stp>
        <stp>NGEX7</stp>
        <stp>NetLastTradeToday</stp>
        <stp/>
        <stp>T</stp>
        <tr r="H13" s="13"/>
        <tr r="G13" s="13"/>
        <tr r="G13" s="2"/>
        <tr r="H13" s="2"/>
      </tp>
      <tp>
        <v>-7.0000000000000001E-3</v>
        <stp/>
        <stp>ContractData</stp>
        <stp>NGEX8</stp>
        <stp>NetLastTradeToday</stp>
        <stp/>
        <stp>T</stp>
        <tr r="H41" s="13"/>
        <tr r="G41" s="13"/>
      </tp>
      <tp t="s">
        <v/>
        <stp/>
        <stp>ContractData</stp>
        <stp>NGEK9</stp>
        <stp>LastTradeorSettle</stp>
        <stp/>
        <stp>T</stp>
        <tr r="L50" s="13"/>
        <tr r="X50" s="13"/>
        <tr r="F55" s="13"/>
      </tp>
      <tp>
        <v>2.9020000000000001</v>
        <stp/>
        <stp>ContractData</stp>
        <stp>NGEK8</stp>
        <stp>LastTradeorSettle</stp>
        <stp/>
        <stp>T</stp>
        <tr r="L22" s="13"/>
        <tr r="X22" s="13"/>
        <tr r="X22" s="13"/>
        <tr r="Q10" s="2"/>
        <tr r="R8" s="6"/>
        <tr r="F19" s="2"/>
        <tr r="R8" s="7"/>
        <tr r="R8" s="9"/>
        <tr r="R8" s="10"/>
        <tr r="R8" s="8"/>
        <tr r="R8" s="11"/>
      </tp>
      <tp>
        <v>3.1514000000000002</v>
        <stp/>
        <stp>StudyData</stp>
        <stp>Bar(((NGEX18+NGEZ18+NGEF19+NGEG19+NGEH19)/5),1)</stp>
        <stp>Bar</stp>
        <stp/>
        <stp>Open</stp>
        <stp>D</stp>
        <stp>-9</stp>
        <stp/>
        <stp/>
        <stp/>
        <stp/>
        <stp>T</stp>
        <tr r="X11" s="14"/>
      </tp>
      <tp>
        <v>3.1836000000000002</v>
        <stp/>
        <stp>StudyData</stp>
        <stp>Bar(((NGEX17+NGEZ17+NGEF18+NGEG18+NGEH18)/5),1)</stp>
        <stp>Bar</stp>
        <stp/>
        <stp>Open</stp>
        <stp>D</stp>
        <stp>-8</stp>
        <stp/>
        <stp/>
        <stp/>
        <stp/>
        <stp>T</stp>
        <tr r="C10" s="14"/>
      </tp>
      <tp t="s">
        <v>Natural Gas (Globex), Aug 29</v>
        <stp/>
        <stp>ContractData</stp>
        <stp>NGE?142</stp>
        <stp>LongDescription</stp>
        <stp/>
        <stp>T</stp>
        <tr r="B149" s="16"/>
        <tr r="AB149" s="16"/>
      </tp>
      <tp t="s">
        <v>Natural Gas (Globex), Sep 29</v>
        <stp/>
        <stp>ContractData</stp>
        <stp>NGE?143</stp>
        <stp>LongDescription</stp>
        <stp/>
        <stp>T</stp>
        <tr r="B150" s="16"/>
        <tr r="AB150" s="16"/>
      </tp>
      <tp t="s">
        <v>Natural Gas (Globex), Jun 29</v>
        <stp/>
        <stp>ContractData</stp>
        <stp>NGE?140</stp>
        <stp>LongDescription</stp>
        <stp/>
        <stp>T</stp>
        <tr r="B147" s="16"/>
        <tr r="AB147" s="16"/>
      </tp>
      <tp t="s">
        <v>Natural Gas (Globex), Jul 29</v>
        <stp/>
        <stp>ContractData</stp>
        <stp>NGE?141</stp>
        <stp>LongDescription</stp>
        <stp/>
        <stp>T</stp>
        <tr r="AB148" s="16"/>
        <tr r="B148" s="16"/>
      </tp>
      <tp t="s">
        <v>Natural Gas (Globex), Dec 29</v>
        <stp/>
        <stp>ContractData</stp>
        <stp>NGE?146</stp>
        <stp>LongDescription</stp>
        <stp/>
        <stp>T</stp>
        <tr r="AB153" s="16"/>
        <tr r="B153" s="16"/>
      </tp>
      <tp t="s">
        <v>Global X MSCI Nigeria ETF</v>
        <stp/>
        <stp>ContractData</stp>
        <stp>NGE?147</stp>
        <stp>LongDescription</stp>
        <stp/>
        <stp>T</stp>
        <tr r="B154" s="16"/>
      </tp>
      <tp t="s">
        <v>Natural Gas (Globex), Oct 29</v>
        <stp/>
        <stp>ContractData</stp>
        <stp>NGE?144</stp>
        <stp>LongDescription</stp>
        <stp/>
        <stp>T</stp>
        <tr r="AB151" s="16"/>
        <tr r="B151" s="16"/>
      </tp>
      <tp t="s">
        <v>Natural Gas (Globex), Nov 29</v>
        <stp/>
        <stp>ContractData</stp>
        <stp>NGE?145</stp>
        <stp>LongDescription</stp>
        <stp/>
        <stp>T</stp>
        <tr r="AB152" s="16"/>
        <tr r="B152" s="16"/>
      </tp>
      <tp t="s">
        <v>Natural Gas (Globex), Apr 29</v>
        <stp/>
        <stp>ContractData</stp>
        <stp>NGE?138</stp>
        <stp>LongDescription</stp>
        <stp/>
        <stp>T</stp>
        <tr r="AB145" s="16"/>
        <tr r="B145" s="16"/>
      </tp>
      <tp t="s">
        <v>Natural Gas (Globex), May 29</v>
        <stp/>
        <stp>ContractData</stp>
        <stp>NGE?139</stp>
        <stp>LongDescription</stp>
        <stp/>
        <stp>T</stp>
        <tr r="AB146" s="16"/>
        <tr r="B146" s="16"/>
      </tp>
      <tp t="s">
        <v>Natural Gas (Globex), Oct 28</v>
        <stp/>
        <stp>ContractData</stp>
        <stp>NGE?132</stp>
        <stp>LongDescription</stp>
        <stp/>
        <stp>T</stp>
        <tr r="B139" s="16"/>
        <tr r="AB139" s="16"/>
      </tp>
      <tp t="s">
        <v>Natural Gas (Globex), Nov 28</v>
        <stp/>
        <stp>ContractData</stp>
        <stp>NGE?133</stp>
        <stp>LongDescription</stp>
        <stp/>
        <stp>T</stp>
        <tr r="B140" s="16"/>
        <tr r="AB140" s="16"/>
      </tp>
      <tp t="s">
        <v>Natural Gas (Globex), Aug 28</v>
        <stp/>
        <stp>ContractData</stp>
        <stp>NGE?130</stp>
        <stp>LongDescription</stp>
        <stp/>
        <stp>T</stp>
        <tr r="AB137" s="16"/>
        <tr r="B137" s="16"/>
      </tp>
      <tp t="s">
        <v>Natural Gas (Globex), Sep 28</v>
        <stp/>
        <stp>ContractData</stp>
        <stp>NGE?131</stp>
        <stp>LongDescription</stp>
        <stp/>
        <stp>T</stp>
        <tr r="AB138" s="16"/>
        <tr r="B138" s="16"/>
      </tp>
      <tp t="s">
        <v>Natural Gas (Globex), Feb 29</v>
        <stp/>
        <stp>ContractData</stp>
        <stp>NGE?136</stp>
        <stp>LongDescription</stp>
        <stp/>
        <stp>T</stp>
        <tr r="AB143" s="16"/>
        <tr r="B143" s="16"/>
      </tp>
      <tp t="s">
        <v>Natural Gas (Globex), Mar 29</v>
        <stp/>
        <stp>ContractData</stp>
        <stp>NGE?137</stp>
        <stp>LongDescription</stp>
        <stp/>
        <stp>T</stp>
        <tr r="AB144" s="16"/>
        <tr r="B144" s="16"/>
      </tp>
      <tp t="s">
        <v>Natural Gas (Globex), Dec 28</v>
        <stp/>
        <stp>ContractData</stp>
        <stp>NGE?134</stp>
        <stp>LongDescription</stp>
        <stp/>
        <stp>T</stp>
        <tr r="AB141" s="16"/>
        <tr r="B141" s="16"/>
      </tp>
      <tp t="s">
        <v>Natural Gas (Globex), Jan 29</v>
        <stp/>
        <stp>ContractData</stp>
        <stp>NGE?135</stp>
        <stp>LongDescription</stp>
        <stp/>
        <stp>T</stp>
        <tr r="B142" s="16"/>
        <tr r="AB142" s="16"/>
      </tp>
      <tp t="s">
        <v>Natural Gas (Globex), Jun 28</v>
        <stp/>
        <stp>ContractData</stp>
        <stp>NGE?128</stp>
        <stp>LongDescription</stp>
        <stp/>
        <stp>T</stp>
        <tr r="B135" s="16"/>
        <tr r="AB135" s="16"/>
      </tp>
      <tp t="s">
        <v>Natural Gas (Globex), Jul 28</v>
        <stp/>
        <stp>ContractData</stp>
        <stp>NGE?129</stp>
        <stp>LongDescription</stp>
        <stp/>
        <stp>T</stp>
        <tr r="B136" s="16"/>
        <tr r="AB136" s="16"/>
      </tp>
      <tp t="s">
        <v>Natural Gas (Globex), Dec 27</v>
        <stp/>
        <stp>ContractData</stp>
        <stp>NGE?122</stp>
        <stp>LongDescription</stp>
        <stp/>
        <stp>T</stp>
        <tr r="B129" s="16"/>
        <tr r="AB129" s="16"/>
      </tp>
      <tp t="s">
        <v>Natural Gas (Globex), Jan 28</v>
        <stp/>
        <stp>ContractData</stp>
        <stp>NGE?123</stp>
        <stp>LongDescription</stp>
        <stp/>
        <stp>T</stp>
        <tr r="AB130" s="16"/>
        <tr r="B130" s="16"/>
      </tp>
      <tp t="s">
        <v>Natural Gas (Globex), Oct 27</v>
        <stp/>
        <stp>ContractData</stp>
        <stp>NGE?120</stp>
        <stp>LongDescription</stp>
        <stp/>
        <stp>T</stp>
        <tr r="AB127" s="16"/>
        <tr r="B127" s="16"/>
      </tp>
      <tp t="s">
        <v>Natural Gas (Globex), Nov 27</v>
        <stp/>
        <stp>ContractData</stp>
        <stp>NGE?121</stp>
        <stp>LongDescription</stp>
        <stp/>
        <stp>T</stp>
        <tr r="B128" s="16"/>
        <tr r="AB128" s="16"/>
      </tp>
      <tp t="s">
        <v>Natural Gas (Globex), Apr 28</v>
        <stp/>
        <stp>ContractData</stp>
        <stp>NGE?126</stp>
        <stp>LongDescription</stp>
        <stp/>
        <stp>T</stp>
        <tr r="B133" s="16"/>
        <tr r="AB133" s="16"/>
      </tp>
      <tp t="s">
        <v>Natural Gas (Globex), May 28</v>
        <stp/>
        <stp>ContractData</stp>
        <stp>NGE?127</stp>
        <stp>LongDescription</stp>
        <stp/>
        <stp>T</stp>
        <tr r="B134" s="16"/>
        <tr r="AB134" s="16"/>
      </tp>
      <tp t="s">
        <v>Natural Gas (Globex), Feb 28</v>
        <stp/>
        <stp>ContractData</stp>
        <stp>NGE?124</stp>
        <stp>LongDescription</stp>
        <stp/>
        <stp>T</stp>
        <tr r="AB131" s="16"/>
        <tr r="B131" s="16"/>
      </tp>
      <tp t="s">
        <v>Natural Gas (Globex), Mar 28</v>
        <stp/>
        <stp>ContractData</stp>
        <stp>NGE?125</stp>
        <stp>LongDescription</stp>
        <stp/>
        <stp>T</stp>
        <tr r="B132" s="16"/>
        <tr r="AB132" s="16"/>
      </tp>
      <tp t="s">
        <v>Natural Gas (Globex), Aug 27</v>
        <stp/>
        <stp>ContractData</stp>
        <stp>NGE?118</stp>
        <stp>LongDescription</stp>
        <stp/>
        <stp>T</stp>
        <tr r="AB125" s="16"/>
        <tr r="B125" s="16"/>
      </tp>
      <tp t="s">
        <v>Natural Gas (Globex), Sep 27</v>
        <stp/>
        <stp>ContractData</stp>
        <stp>NGE?119</stp>
        <stp>LongDescription</stp>
        <stp/>
        <stp>T</stp>
        <tr r="AB126" s="16"/>
        <tr r="B126" s="16"/>
      </tp>
      <tp t="s">
        <v>Natural Gas (Globex), Feb 27</v>
        <stp/>
        <stp>ContractData</stp>
        <stp>NGE?112</stp>
        <stp>LongDescription</stp>
        <stp/>
        <stp>T</stp>
        <tr r="AB119" s="16"/>
        <tr r="B119" s="16"/>
      </tp>
      <tp t="s">
        <v>Natural Gas (Globex), Mar 27</v>
        <stp/>
        <stp>ContractData</stp>
        <stp>NGE?113</stp>
        <stp>LongDescription</stp>
        <stp/>
        <stp>T</stp>
        <tr r="AB120" s="16"/>
        <tr r="B120" s="16"/>
      </tp>
      <tp t="s">
        <v>Natural Gas (Globex), Dec 26</v>
        <stp/>
        <stp>ContractData</stp>
        <stp>NGE?110</stp>
        <stp>LongDescription</stp>
        <stp/>
        <stp>T</stp>
        <tr r="B117" s="16"/>
        <tr r="AB117" s="16"/>
      </tp>
      <tp t="s">
        <v>Natural Gas (Globex), Jan 27</v>
        <stp/>
        <stp>ContractData</stp>
        <stp>NGE?111</stp>
        <stp>LongDescription</stp>
        <stp/>
        <stp>T</stp>
        <tr r="B118" s="16"/>
        <tr r="AB118" s="16"/>
      </tp>
      <tp t="s">
        <v>Natural Gas (Globex), Jun 27</v>
        <stp/>
        <stp>ContractData</stp>
        <stp>NGE?116</stp>
        <stp>LongDescription</stp>
        <stp/>
        <stp>T</stp>
        <tr r="AB123" s="16"/>
        <tr r="B123" s="16"/>
      </tp>
      <tp t="s">
        <v>Natural Gas (Globex), Jul 27</v>
        <stp/>
        <stp>ContractData</stp>
        <stp>NGE?117</stp>
        <stp>LongDescription</stp>
        <stp/>
        <stp>T</stp>
        <tr r="B124" s="16"/>
        <tr r="AB124" s="16"/>
      </tp>
      <tp t="s">
        <v>Natural Gas (Globex), Apr 27</v>
        <stp/>
        <stp>ContractData</stp>
        <stp>NGE?114</stp>
        <stp>LongDescription</stp>
        <stp/>
        <stp>T</stp>
        <tr r="B121" s="16"/>
        <tr r="AB121" s="16"/>
      </tp>
      <tp t="s">
        <v>Natural Gas (Globex), May 27</v>
        <stp/>
        <stp>ContractData</stp>
        <stp>NGE?115</stp>
        <stp>LongDescription</stp>
        <stp/>
        <stp>T</stp>
        <tr r="B122" s="16"/>
        <tr r="AB122" s="16"/>
      </tp>
      <tp t="s">
        <v>Natural Gas (Globex), Oct 26</v>
        <stp/>
        <stp>ContractData</stp>
        <stp>NGE?108</stp>
        <stp>LongDescription</stp>
        <stp/>
        <stp>T</stp>
        <tr r="AB115" s="16"/>
        <tr r="B115" s="16"/>
      </tp>
      <tp t="s">
        <v>Natural Gas (Globex), Nov 26</v>
        <stp/>
        <stp>ContractData</stp>
        <stp>NGE?109</stp>
        <stp>LongDescription</stp>
        <stp/>
        <stp>T</stp>
        <tr r="B116" s="16"/>
        <tr r="AB116" s="16"/>
      </tp>
      <tp t="s">
        <v>Natural Gas (Globex), Apr 26</v>
        <stp/>
        <stp>ContractData</stp>
        <stp>NGE?102</stp>
        <stp>LongDescription</stp>
        <stp/>
        <stp>T</stp>
        <tr r="B109" s="16"/>
        <tr r="AB109" s="16"/>
      </tp>
      <tp t="s">
        <v>Natural Gas (Globex), May 26</v>
        <stp/>
        <stp>ContractData</stp>
        <stp>NGE?103</stp>
        <stp>LongDescription</stp>
        <stp/>
        <stp>T</stp>
        <tr r="B110" s="16"/>
        <tr r="AB110" s="16"/>
      </tp>
      <tp t="s">
        <v>Natural Gas (Globex), Feb 26</v>
        <stp/>
        <stp>ContractData</stp>
        <stp>NGE?100</stp>
        <stp>LongDescription</stp>
        <stp/>
        <stp>T</stp>
        <tr r="B107" s="16"/>
        <tr r="AB107" s="16"/>
      </tp>
      <tp t="s">
        <v>Natural Gas (Globex), Mar 26</v>
        <stp/>
        <stp>ContractData</stp>
        <stp>NGE?101</stp>
        <stp>LongDescription</stp>
        <stp/>
        <stp>T</stp>
        <tr r="B108" s="16"/>
        <tr r="AB108" s="16"/>
      </tp>
      <tp t="s">
        <v>Natural Gas (Globex), Aug 26</v>
        <stp/>
        <stp>ContractData</stp>
        <stp>NGE?106</stp>
        <stp>LongDescription</stp>
        <stp/>
        <stp>T</stp>
        <tr r="AB113" s="16"/>
        <tr r="B113" s="16"/>
      </tp>
      <tp t="s">
        <v>Natural Gas (Globex), Sep 26</v>
        <stp/>
        <stp>ContractData</stp>
        <stp>NGE?107</stp>
        <stp>LongDescription</stp>
        <stp/>
        <stp>T</stp>
        <tr r="B114" s="16"/>
        <tr r="AB114" s="16"/>
      </tp>
      <tp t="s">
        <v>Natural Gas (Globex), Jun 26</v>
        <stp/>
        <stp>ContractData</stp>
        <stp>NGE?104</stp>
        <stp>LongDescription</stp>
        <stp/>
        <stp>T</stp>
        <tr r="B111" s="16"/>
        <tr r="AB111" s="16"/>
      </tp>
      <tp t="s">
        <v>Natural Gas (Globex), Jul 26</v>
        <stp/>
        <stp>ContractData</stp>
        <stp>NGE?105</stp>
        <stp>LongDescription</stp>
        <stp/>
        <stp>T</stp>
        <tr r="B112" s="16"/>
        <tr r="AB112" s="16"/>
      </tp>
      <tp t="s">
        <v/>
        <stp/>
        <stp>ContractData</stp>
        <stp>NGEJ9</stp>
        <stp>LastTradeorSettle</stp>
        <stp/>
        <stp>T</stp>
        <tr r="K50" s="13"/>
        <tr r="W50" s="13"/>
        <tr r="F54" s="13"/>
      </tp>
      <tp>
        <v>2.9250000000000003</v>
        <stp/>
        <stp>ContractData</stp>
        <stp>NGEJ8</stp>
        <stp>LastTradeorSettle</stp>
        <stp/>
        <stp>T</stp>
        <tr r="K22" s="13"/>
        <tr r="W22" s="13"/>
        <tr r="W22" s="13"/>
        <tr r="P10" s="2"/>
        <tr r="R7" s="6"/>
        <tr r="F18" s="2"/>
        <tr r="R7" s="7"/>
        <tr r="R7" s="9"/>
        <tr r="R7" s="10"/>
        <tr r="R7" s="8"/>
        <tr r="R7" s="11"/>
      </tp>
      <tp>
        <v>-3.2000000000000001E-2</v>
        <stp/>
        <stp>ContractData</stp>
        <stp>NGEZ7</stp>
        <stp>NetLastTradeToday</stp>
        <stp/>
        <stp>T</stp>
        <tr r="G14" s="13"/>
        <tr r="H14" s="13"/>
        <tr r="G14" s="2"/>
        <tr r="H14" s="2"/>
      </tp>
      <tp>
        <v>-1.4E-2</v>
        <stp/>
        <stp>ContractData</stp>
        <stp>NGEZ8</stp>
        <stp>NetLastTradeToday</stp>
        <stp/>
        <stp>T</stp>
        <tr r="G42" s="13"/>
        <tr r="H42" s="13"/>
      </tp>
      <tp>
        <v>3.1345999999999998</v>
        <stp/>
        <stp>StudyData</stp>
        <stp>Bar(((NGEX18+NGEZ18+NGEF19+NGEG19+NGEH19)/5),1)</stp>
        <stp>Bar</stp>
        <stp/>
        <stp>Open</stp>
        <stp>D</stp>
        <stp>-8</stp>
        <stp/>
        <stp/>
        <stp/>
        <stp/>
        <stp>T</stp>
        <tr r="X10" s="14"/>
      </tp>
      <tp>
        <v>3.1993999999999998</v>
        <stp/>
        <stp>StudyData</stp>
        <stp>Bar(((NGEX17+NGEZ17+NGEF18+NGEG18+NGEH18)/5),1)</stp>
        <stp>Bar</stp>
        <stp/>
        <stp>Open</stp>
        <stp>D</stp>
        <stp>-9</stp>
        <stp/>
        <stp/>
        <stp/>
        <stp/>
        <stp>T</stp>
        <tr r="C11" s="14"/>
      </tp>
      <tp t="s">
        <v/>
        <stp/>
        <stp>ContractData</stp>
        <stp>NGEU9</stp>
        <stp>NetLastTradeToday</stp>
        <stp/>
        <stp>T</stp>
        <tr r="H59" s="13"/>
        <tr r="G59" s="13"/>
      </tp>
      <tp>
        <v>-9.0000000000000011E-3</v>
        <stp/>
        <stp>ContractData</stp>
        <stp>NGEU8</stp>
        <stp>NetLastTradeToday</stp>
        <stp/>
        <stp>T</stp>
        <tr r="G23" s="2"/>
        <tr r="H23" s="2"/>
      </tp>
      <tp>
        <v>3.1743999999999999</v>
        <stp/>
        <stp>StudyData</stp>
        <stp>Bar(((NGEX17+NGEZ17+NGEF18+NGEG18+NGEH18)/5),1)</stp>
        <stp>Bar</stp>
        <stp/>
        <stp>High</stp>
        <stp>D</stp>
        <stp>-1</stp>
        <stp/>
        <stp/>
        <stp/>
        <stp/>
        <stp>T</stp>
        <tr r="D3" s="14"/>
      </tp>
      <tp>
        <v>3.141</v>
        <stp/>
        <stp>StudyData</stp>
        <stp>Bar(((NGEX18+NGEZ18+NGEF19+NGEG19+NGEH19)/5),1)</stp>
        <stp>Bar</stp>
        <stp/>
        <stp>Open</stp>
        <stp>D</stp>
        <stp>-7</stp>
        <stp/>
        <stp/>
        <stp/>
        <stp/>
        <stp>T</stp>
        <tr r="X9" s="14"/>
      </tp>
      <tp>
        <v>3.2465999999999999</v>
        <stp/>
        <stp>StudyData</stp>
        <stp>Bar(((NGEX17+NGEZ17+NGEF18+NGEG18+NGEH18)/5),1)</stp>
        <stp>Bar</stp>
        <stp/>
        <stp>Open</stp>
        <stp>D</stp>
        <stp>-6</stp>
        <stp/>
        <stp/>
        <stp/>
        <stp/>
        <stp>T</stp>
        <tr r="C8" s="14"/>
      </tp>
      <tp>
        <v>3.1793999999999998</v>
        <stp/>
        <stp>StudyData</stp>
        <stp>Bar(((NGEX18+NGEZ18+NGEF19+NGEG19+NGEH19)/5),1)</stp>
        <stp>Bar</stp>
        <stp/>
        <stp>High</stp>
        <stp>D</stp>
        <stp>-1</stp>
        <stp/>
        <stp/>
        <stp/>
        <stp/>
        <stp>T</stp>
        <tr r="Y3" s="14"/>
      </tp>
      <tp>
        <v>3.1496</v>
        <stp/>
        <stp>StudyData</stp>
        <stp>Bar(((NGEX18+NGEZ18+NGEF19+NGEG19+NGEH19)/5),1)</stp>
        <stp>Bar</stp>
        <stp/>
        <stp>Open</stp>
        <stp>D</stp>
        <stp>-6</stp>
        <stp/>
        <stp/>
        <stp/>
        <stp/>
        <stp>T</stp>
        <tr r="X8" s="14"/>
      </tp>
      <tp>
        <v>3.19</v>
        <stp/>
        <stp>StudyData</stp>
        <stp>Bar(((NGEX17+NGEZ17+NGEF18+NGEG18+NGEH18)/5),1)</stp>
        <stp>Bar</stp>
        <stp/>
        <stp>Open</stp>
        <stp>D</stp>
        <stp>-7</stp>
        <stp/>
        <stp/>
        <stp/>
        <stp/>
        <stp>T</stp>
        <tr r="C9" s="14"/>
      </tp>
      <tp t="s">
        <v/>
        <stp/>
        <stp>ContractData</stp>
        <stp>NGE?90</stp>
        <stp>Low</stp>
        <stp/>
        <stp>T</stp>
        <tr r="R97" s="16"/>
      </tp>
      <tp t="s">
        <v/>
        <stp/>
        <stp>ContractData</stp>
        <stp>NGE?91</stp>
        <stp>Low</stp>
        <stp/>
        <stp>T</stp>
        <tr r="R98" s="16"/>
      </tp>
      <tp t="s">
        <v/>
        <stp/>
        <stp>ContractData</stp>
        <stp>NGE?92</stp>
        <stp>Low</stp>
        <stp/>
        <stp>T</stp>
        <tr r="R99" s="16"/>
      </tp>
      <tp t="s">
        <v/>
        <stp/>
        <stp>ContractData</stp>
        <stp>NGE?93</stp>
        <stp>Low</stp>
        <stp/>
        <stp>T</stp>
        <tr r="R100" s="16"/>
      </tp>
      <tp t="s">
        <v/>
        <stp/>
        <stp>ContractData</stp>
        <stp>NGE?94</stp>
        <stp>Low</stp>
        <stp/>
        <stp>T</stp>
        <tr r="R101" s="16"/>
      </tp>
      <tp t="s">
        <v/>
        <stp/>
        <stp>ContractData</stp>
        <stp>NGE?95</stp>
        <stp>Low</stp>
        <stp/>
        <stp>T</stp>
        <tr r="R102" s="16"/>
      </tp>
      <tp t="s">
        <v/>
        <stp/>
        <stp>ContractData</stp>
        <stp>NGE?96</stp>
        <stp>Low</stp>
        <stp/>
        <stp>T</stp>
        <tr r="R103" s="16"/>
      </tp>
      <tp t="s">
        <v/>
        <stp/>
        <stp>ContractData</stp>
        <stp>NGE?97</stp>
        <stp>Low</stp>
        <stp/>
        <stp>T</stp>
        <tr r="R104" s="16"/>
      </tp>
      <tp t="s">
        <v/>
        <stp/>
        <stp>ContractData</stp>
        <stp>NGE?98</stp>
        <stp>Low</stp>
        <stp/>
        <stp>T</stp>
        <tr r="R105" s="16"/>
      </tp>
      <tp t="s">
        <v/>
        <stp/>
        <stp>ContractData</stp>
        <stp>NGE?99</stp>
        <stp>Low</stp>
        <stp/>
        <stp>T</stp>
        <tr r="R106" s="16"/>
      </tp>
      <tp t="s">
        <v/>
        <stp/>
        <stp>ContractData</stp>
        <stp>NGE?80</stp>
        <stp>Low</stp>
        <stp/>
        <stp>T</stp>
        <tr r="R87" s="16"/>
      </tp>
      <tp t="s">
        <v/>
        <stp/>
        <stp>ContractData</stp>
        <stp>NGE?81</stp>
        <stp>Low</stp>
        <stp/>
        <stp>T</stp>
        <tr r="R88" s="16"/>
      </tp>
      <tp t="s">
        <v/>
        <stp/>
        <stp>ContractData</stp>
        <stp>NGE?82</stp>
        <stp>Low</stp>
        <stp/>
        <stp>T</stp>
        <tr r="R89" s="16"/>
      </tp>
      <tp t="s">
        <v/>
        <stp/>
        <stp>ContractData</stp>
        <stp>NGE?83</stp>
        <stp>Low</stp>
        <stp/>
        <stp>T</stp>
        <tr r="R90" s="16"/>
      </tp>
      <tp t="s">
        <v/>
        <stp/>
        <stp>ContractData</stp>
        <stp>NGE?84</stp>
        <stp>Low</stp>
        <stp/>
        <stp>T</stp>
        <tr r="R91" s="16"/>
      </tp>
      <tp t="s">
        <v/>
        <stp/>
        <stp>ContractData</stp>
        <stp>NGE?85</stp>
        <stp>Low</stp>
        <stp/>
        <stp>T</stp>
        <tr r="R92" s="16"/>
      </tp>
      <tp t="s">
        <v/>
        <stp/>
        <stp>ContractData</stp>
        <stp>NGE?86</stp>
        <stp>Low</stp>
        <stp/>
        <stp>T</stp>
        <tr r="R93" s="16"/>
      </tp>
      <tp t="s">
        <v/>
        <stp/>
        <stp>ContractData</stp>
        <stp>NGE?87</stp>
        <stp>Low</stp>
        <stp/>
        <stp>T</stp>
        <tr r="R94" s="16"/>
      </tp>
      <tp t="s">
        <v/>
        <stp/>
        <stp>ContractData</stp>
        <stp>NGE?88</stp>
        <stp>Low</stp>
        <stp/>
        <stp>T</stp>
        <tr r="R95" s="16"/>
      </tp>
      <tp t="s">
        <v/>
        <stp/>
        <stp>ContractData</stp>
        <stp>NGE?89</stp>
        <stp>Low</stp>
        <stp/>
        <stp>T</stp>
        <tr r="R96" s="16"/>
      </tp>
      <tp>
        <v>2.9529999999999998</v>
        <stp/>
        <stp>ContractData</stp>
        <stp>NGE?10</stp>
        <stp>Low</stp>
        <stp/>
        <stp>T</stp>
        <tr r="R17" s="16"/>
      </tp>
      <tp>
        <v>2.9350000000000001</v>
        <stp/>
        <stp>ContractData</stp>
        <stp>NGE?11</stp>
        <stp>Low</stp>
        <stp/>
        <stp>T</stp>
        <tr r="R18" s="16"/>
      </tp>
      <tp>
        <v>2.9580000000000002</v>
        <stp/>
        <stp>ContractData</stp>
        <stp>NGE?12</stp>
        <stp>Low</stp>
        <stp/>
        <stp>T</stp>
        <tr r="R19" s="16"/>
      </tp>
      <tp>
        <v>3.016</v>
        <stp/>
        <stp>ContractData</stp>
        <stp>NGE?13</stp>
        <stp>Low</stp>
        <stp/>
        <stp>T</stp>
        <tr r="R20" s="16"/>
      </tp>
      <tp>
        <v>3.15</v>
        <stp/>
        <stp>ContractData</stp>
        <stp>NGE?14</stp>
        <stp>Low</stp>
        <stp/>
        <stp>T</stp>
        <tr r="R21" s="16"/>
      </tp>
      <tp>
        <v>3.234</v>
        <stp/>
        <stp>ContractData</stp>
        <stp>NGE?15</stp>
        <stp>Low</stp>
        <stp/>
        <stp>T</stp>
        <tr r="R22" s="16"/>
      </tp>
      <tp t="s">
        <v/>
        <stp/>
        <stp>ContractData</stp>
        <stp>NGE?16</stp>
        <stp>Low</stp>
        <stp/>
        <stp>T</stp>
        <tr r="R23" s="16"/>
      </tp>
      <tp t="s">
        <v/>
        <stp/>
        <stp>ContractData</stp>
        <stp>NGE?17</stp>
        <stp>Low</stp>
        <stp/>
        <stp>T</stp>
        <tr r="R24" s="16"/>
      </tp>
      <tp t="s">
        <v/>
        <stp/>
        <stp>ContractData</stp>
        <stp>NGE?18</stp>
        <stp>Low</stp>
        <stp/>
        <stp>T</stp>
        <tr r="R25" s="16"/>
      </tp>
      <tp t="s">
        <v/>
        <stp/>
        <stp>ContractData</stp>
        <stp>NGE?19</stp>
        <stp>Low</stp>
        <stp/>
        <stp>T</stp>
        <tr r="R26" s="16"/>
      </tp>
      <tp t="s">
        <v/>
        <stp/>
        <stp>ContractData</stp>
        <stp>NGE?30</stp>
        <stp>Low</stp>
        <stp/>
        <stp>T</stp>
        <tr r="R37" s="16"/>
      </tp>
      <tp t="s">
        <v/>
        <stp/>
        <stp>ContractData</stp>
        <stp>NGE?31</stp>
        <stp>Low</stp>
        <stp/>
        <stp>T</stp>
        <tr r="R38" s="16"/>
      </tp>
      <tp t="s">
        <v/>
        <stp/>
        <stp>ContractData</stp>
        <stp>NGE?32</stp>
        <stp>Low</stp>
        <stp/>
        <stp>T</stp>
        <tr r="R39" s="16"/>
      </tp>
      <tp t="s">
        <v/>
        <stp/>
        <stp>ContractData</stp>
        <stp>NGE?33</stp>
        <stp>Low</stp>
        <stp/>
        <stp>T</stp>
        <tr r="R40" s="16"/>
      </tp>
      <tp t="s">
        <v/>
        <stp/>
        <stp>ContractData</stp>
        <stp>NGE?34</stp>
        <stp>Low</stp>
        <stp/>
        <stp>T</stp>
        <tr r="R41" s="16"/>
      </tp>
      <tp t="s">
        <v/>
        <stp/>
        <stp>ContractData</stp>
        <stp>NGE?35</stp>
        <stp>Low</stp>
        <stp/>
        <stp>T</stp>
        <tr r="R42" s="16"/>
      </tp>
      <tp t="s">
        <v/>
        <stp/>
        <stp>ContractData</stp>
        <stp>NGE?36</stp>
        <stp>Low</stp>
        <stp/>
        <stp>T</stp>
        <tr r="R43" s="16"/>
      </tp>
      <tp t="s">
        <v/>
        <stp/>
        <stp>ContractData</stp>
        <stp>NGE?37</stp>
        <stp>Low</stp>
        <stp/>
        <stp>T</stp>
        <tr r="R44" s="16"/>
      </tp>
      <tp t="s">
        <v/>
        <stp/>
        <stp>ContractData</stp>
        <stp>NGE?38</stp>
        <stp>Low</stp>
        <stp/>
        <stp>T</stp>
        <tr r="R45" s="16"/>
      </tp>
      <tp t="s">
        <v/>
        <stp/>
        <stp>ContractData</stp>
        <stp>NGE?39</stp>
        <stp>Low</stp>
        <stp/>
        <stp>T</stp>
        <tr r="R46" s="16"/>
      </tp>
      <tp t="s">
        <v/>
        <stp/>
        <stp>ContractData</stp>
        <stp>NGE?20</stp>
        <stp>Low</stp>
        <stp/>
        <stp>T</stp>
        <tr r="R27" s="16"/>
      </tp>
      <tp t="s">
        <v/>
        <stp/>
        <stp>ContractData</stp>
        <stp>NGE?21</stp>
        <stp>Low</stp>
        <stp/>
        <stp>T</stp>
        <tr r="R28" s="16"/>
      </tp>
      <tp t="s">
        <v/>
        <stp/>
        <stp>ContractData</stp>
        <stp>NGE?22</stp>
        <stp>Low</stp>
        <stp/>
        <stp>T</stp>
        <tr r="R29" s="16"/>
      </tp>
      <tp t="s">
        <v/>
        <stp/>
        <stp>ContractData</stp>
        <stp>NGE?23</stp>
        <stp>Low</stp>
        <stp/>
        <stp>T</stp>
        <tr r="R30" s="16"/>
      </tp>
      <tp t="s">
        <v/>
        <stp/>
        <stp>ContractData</stp>
        <stp>NGE?24</stp>
        <stp>Low</stp>
        <stp/>
        <stp>T</stp>
        <tr r="R31" s="16"/>
      </tp>
      <tp t="s">
        <v/>
        <stp/>
        <stp>ContractData</stp>
        <stp>NGE?25</stp>
        <stp>Low</stp>
        <stp/>
        <stp>T</stp>
        <tr r="R32" s="16"/>
      </tp>
      <tp t="s">
        <v/>
        <stp/>
        <stp>ContractData</stp>
        <stp>NGE?26</stp>
        <stp>Low</stp>
        <stp/>
        <stp>T</stp>
        <tr r="R33" s="16"/>
      </tp>
      <tp t="s">
        <v/>
        <stp/>
        <stp>ContractData</stp>
        <stp>NGE?27</stp>
        <stp>Low</stp>
        <stp/>
        <stp>T</stp>
        <tr r="R34" s="16"/>
      </tp>
      <tp t="s">
        <v/>
        <stp/>
        <stp>ContractData</stp>
        <stp>NGE?28</stp>
        <stp>Low</stp>
        <stp/>
        <stp>T</stp>
        <tr r="R35" s="16"/>
      </tp>
      <tp t="s">
        <v/>
        <stp/>
        <stp>ContractData</stp>
        <stp>NGE?29</stp>
        <stp>Low</stp>
        <stp/>
        <stp>T</stp>
        <tr r="R36" s="16"/>
      </tp>
      <tp t="s">
        <v/>
        <stp/>
        <stp>ContractData</stp>
        <stp>NGE?50</stp>
        <stp>Low</stp>
        <stp/>
        <stp>T</stp>
        <tr r="R57" s="16"/>
      </tp>
      <tp t="s">
        <v/>
        <stp/>
        <stp>ContractData</stp>
        <stp>NGE?51</stp>
        <stp>Low</stp>
        <stp/>
        <stp>T</stp>
        <tr r="R58" s="16"/>
      </tp>
      <tp t="s">
        <v/>
        <stp/>
        <stp>ContractData</stp>
        <stp>NGE?52</stp>
        <stp>Low</stp>
        <stp/>
        <stp>T</stp>
        <tr r="R59" s="16"/>
      </tp>
      <tp t="s">
        <v/>
        <stp/>
        <stp>ContractData</stp>
        <stp>NGE?53</stp>
        <stp>Low</stp>
        <stp/>
        <stp>T</stp>
        <tr r="R60" s="16"/>
      </tp>
      <tp t="s">
        <v/>
        <stp/>
        <stp>ContractData</stp>
        <stp>NGE?54</stp>
        <stp>Low</stp>
        <stp/>
        <stp>T</stp>
        <tr r="R61" s="16"/>
      </tp>
      <tp t="s">
        <v/>
        <stp/>
        <stp>ContractData</stp>
        <stp>NGE?55</stp>
        <stp>Low</stp>
        <stp/>
        <stp>T</stp>
        <tr r="R62" s="16"/>
      </tp>
      <tp t="s">
        <v/>
        <stp/>
        <stp>ContractData</stp>
        <stp>NGE?56</stp>
        <stp>Low</stp>
        <stp/>
        <stp>T</stp>
        <tr r="R63" s="16"/>
      </tp>
      <tp t="s">
        <v/>
        <stp/>
        <stp>ContractData</stp>
        <stp>NGE?57</stp>
        <stp>Low</stp>
        <stp/>
        <stp>T</stp>
        <tr r="R64" s="16"/>
      </tp>
      <tp t="s">
        <v/>
        <stp/>
        <stp>ContractData</stp>
        <stp>NGE?58</stp>
        <stp>Low</stp>
        <stp/>
        <stp>T</stp>
        <tr r="R65" s="16"/>
      </tp>
      <tp t="s">
        <v/>
        <stp/>
        <stp>ContractData</stp>
        <stp>NGE?59</stp>
        <stp>Low</stp>
        <stp/>
        <stp>T</stp>
        <tr r="R66" s="16"/>
      </tp>
      <tp t="s">
        <v/>
        <stp/>
        <stp>ContractData</stp>
        <stp>NGE?40</stp>
        <stp>Low</stp>
        <stp/>
        <stp>T</stp>
        <tr r="R47" s="16"/>
      </tp>
      <tp t="s">
        <v/>
        <stp/>
        <stp>ContractData</stp>
        <stp>NGE?41</stp>
        <stp>Low</stp>
        <stp/>
        <stp>T</stp>
        <tr r="R48" s="16"/>
      </tp>
      <tp t="s">
        <v/>
        <stp/>
        <stp>ContractData</stp>
        <stp>NGE?42</stp>
        <stp>Low</stp>
        <stp/>
        <stp>T</stp>
        <tr r="R49" s="16"/>
      </tp>
      <tp t="s">
        <v/>
        <stp/>
        <stp>ContractData</stp>
        <stp>NGE?43</stp>
        <stp>Low</stp>
        <stp/>
        <stp>T</stp>
        <tr r="R50" s="16"/>
      </tp>
      <tp t="s">
        <v/>
        <stp/>
        <stp>ContractData</stp>
        <stp>NGE?44</stp>
        <stp>Low</stp>
        <stp/>
        <stp>T</stp>
        <tr r="R51" s="16"/>
      </tp>
      <tp t="s">
        <v/>
        <stp/>
        <stp>ContractData</stp>
        <stp>NGE?45</stp>
        <stp>Low</stp>
        <stp/>
        <stp>T</stp>
        <tr r="R52" s="16"/>
      </tp>
      <tp t="s">
        <v/>
        <stp/>
        <stp>ContractData</stp>
        <stp>NGE?46</stp>
        <stp>Low</stp>
        <stp/>
        <stp>T</stp>
        <tr r="R53" s="16"/>
      </tp>
      <tp t="s">
        <v/>
        <stp/>
        <stp>ContractData</stp>
        <stp>NGE?47</stp>
        <stp>Low</stp>
        <stp/>
        <stp>T</stp>
        <tr r="R54" s="16"/>
      </tp>
      <tp t="s">
        <v/>
        <stp/>
        <stp>ContractData</stp>
        <stp>NGE?48</stp>
        <stp>Low</stp>
        <stp/>
        <stp>T</stp>
        <tr r="R55" s="16"/>
      </tp>
      <tp t="s">
        <v/>
        <stp/>
        <stp>ContractData</stp>
        <stp>NGE?49</stp>
        <stp>Low</stp>
        <stp/>
        <stp>T</stp>
        <tr r="R56" s="16"/>
      </tp>
      <tp t="s">
        <v/>
        <stp/>
        <stp>ContractData</stp>
        <stp>NGE?70</stp>
        <stp>Low</stp>
        <stp/>
        <stp>T</stp>
        <tr r="R77" s="16"/>
      </tp>
      <tp t="s">
        <v/>
        <stp/>
        <stp>ContractData</stp>
        <stp>NGE?71</stp>
        <stp>Low</stp>
        <stp/>
        <stp>T</stp>
        <tr r="R78" s="16"/>
      </tp>
      <tp t="s">
        <v/>
        <stp/>
        <stp>ContractData</stp>
        <stp>NGE?72</stp>
        <stp>Low</stp>
        <stp/>
        <stp>T</stp>
        <tr r="R79" s="16"/>
      </tp>
      <tp t="s">
        <v/>
        <stp/>
        <stp>ContractData</stp>
        <stp>NGE?73</stp>
        <stp>Low</stp>
        <stp/>
        <stp>T</stp>
        <tr r="R80" s="16"/>
      </tp>
      <tp t="s">
        <v/>
        <stp/>
        <stp>ContractData</stp>
        <stp>NGE?74</stp>
        <stp>Low</stp>
        <stp/>
        <stp>T</stp>
        <tr r="R81" s="16"/>
      </tp>
      <tp t="s">
        <v/>
        <stp/>
        <stp>ContractData</stp>
        <stp>NGE?75</stp>
        <stp>Low</stp>
        <stp/>
        <stp>T</stp>
        <tr r="R82" s="16"/>
      </tp>
      <tp t="s">
        <v/>
        <stp/>
        <stp>ContractData</stp>
        <stp>NGE?76</stp>
        <stp>Low</stp>
        <stp/>
        <stp>T</stp>
        <tr r="R83" s="16"/>
      </tp>
      <tp t="s">
        <v/>
        <stp/>
        <stp>ContractData</stp>
        <stp>NGE?77</stp>
        <stp>Low</stp>
        <stp/>
        <stp>T</stp>
        <tr r="R84" s="16"/>
      </tp>
      <tp t="s">
        <v/>
        <stp/>
        <stp>ContractData</stp>
        <stp>NGE?78</stp>
        <stp>Low</stp>
        <stp/>
        <stp>T</stp>
        <tr r="R85" s="16"/>
      </tp>
      <tp t="s">
        <v/>
        <stp/>
        <stp>ContractData</stp>
        <stp>NGE?79</stp>
        <stp>Low</stp>
        <stp/>
        <stp>T</stp>
        <tr r="R86" s="16"/>
      </tp>
      <tp t="s">
        <v/>
        <stp/>
        <stp>ContractData</stp>
        <stp>NGE?60</stp>
        <stp>Low</stp>
        <stp/>
        <stp>T</stp>
        <tr r="R67" s="16"/>
      </tp>
      <tp t="s">
        <v/>
        <stp/>
        <stp>ContractData</stp>
        <stp>NGE?61</stp>
        <stp>Low</stp>
        <stp/>
        <stp>T</stp>
        <tr r="R68" s="16"/>
      </tp>
      <tp t="s">
        <v/>
        <stp/>
        <stp>ContractData</stp>
        <stp>NGE?62</stp>
        <stp>Low</stp>
        <stp/>
        <stp>T</stp>
        <tr r="R69" s="16"/>
      </tp>
      <tp t="s">
        <v/>
        <stp/>
        <stp>ContractData</stp>
        <stp>NGE?63</stp>
        <stp>Low</stp>
        <stp/>
        <stp>T</stp>
        <tr r="R70" s="16"/>
      </tp>
      <tp t="s">
        <v/>
        <stp/>
        <stp>ContractData</stp>
        <stp>NGE?64</stp>
        <stp>Low</stp>
        <stp/>
        <stp>T</stp>
        <tr r="R71" s="16"/>
      </tp>
      <tp t="s">
        <v/>
        <stp/>
        <stp>ContractData</stp>
        <stp>NGE?65</stp>
        <stp>Low</stp>
        <stp/>
        <stp>T</stp>
        <tr r="R72" s="16"/>
      </tp>
      <tp t="s">
        <v/>
        <stp/>
        <stp>ContractData</stp>
        <stp>NGE?66</stp>
        <stp>Low</stp>
        <stp/>
        <stp>T</stp>
        <tr r="R73" s="16"/>
      </tp>
      <tp t="s">
        <v/>
        <stp/>
        <stp>ContractData</stp>
        <stp>NGE?67</stp>
        <stp>Low</stp>
        <stp/>
        <stp>T</stp>
        <tr r="R74" s="16"/>
      </tp>
      <tp t="s">
        <v/>
        <stp/>
        <stp>ContractData</stp>
        <stp>NGE?68</stp>
        <stp>Low</stp>
        <stp/>
        <stp>T</stp>
        <tr r="R75" s="16"/>
      </tp>
      <tp t="s">
        <v/>
        <stp/>
        <stp>ContractData</stp>
        <stp>NGE?69</stp>
        <stp>Low</stp>
        <stp/>
        <stp>T</stp>
        <tr r="R76" s="16"/>
      </tp>
      <tp t="s">
        <v/>
        <stp/>
        <stp>ContractData</stp>
        <stp>NGE?58</stp>
        <stp>Ask</stp>
        <stp/>
        <stp>T</stp>
        <tr r="M65" s="16"/>
      </tp>
      <tp t="s">
        <v/>
        <stp/>
        <stp>ContractData</stp>
        <stp>NGE?59</stp>
        <stp>Ask</stp>
        <stp/>
        <stp>T</stp>
        <tr r="M66" s="16"/>
      </tp>
      <tp t="s">
        <v/>
        <stp/>
        <stp>ContractData</stp>
        <stp>NGE?54</stp>
        <stp>Ask</stp>
        <stp/>
        <stp>T</stp>
        <tr r="M61" s="16"/>
      </tp>
      <tp t="s">
        <v/>
        <stp/>
        <stp>ContractData</stp>
        <stp>NGE?55</stp>
        <stp>Ask</stp>
        <stp/>
        <stp>T</stp>
        <tr r="M62" s="16"/>
      </tp>
      <tp t="s">
        <v/>
        <stp/>
        <stp>ContractData</stp>
        <stp>NGE?56</stp>
        <stp>Ask</stp>
        <stp/>
        <stp>T</stp>
        <tr r="M63" s="16"/>
      </tp>
      <tp t="s">
        <v/>
        <stp/>
        <stp>ContractData</stp>
        <stp>NGE?57</stp>
        <stp>Ask</stp>
        <stp/>
        <stp>T</stp>
        <tr r="M64" s="16"/>
      </tp>
      <tp>
        <v>3.0150000000000001</v>
        <stp/>
        <stp>ContractData</stp>
        <stp>NGE?50</stp>
        <stp>Ask</stp>
        <stp/>
        <stp>T</stp>
        <tr r="M57" s="16"/>
      </tp>
      <tp t="s">
        <v/>
        <stp/>
        <stp>ContractData</stp>
        <stp>NGE?51</stp>
        <stp>Ask</stp>
        <stp/>
        <stp>T</stp>
        <tr r="M58" s="16"/>
      </tp>
      <tp t="s">
        <v/>
        <stp/>
        <stp>ContractData</stp>
        <stp>NGE?52</stp>
        <stp>Ask</stp>
        <stp/>
        <stp>T</stp>
        <tr r="M59" s="16"/>
      </tp>
      <tp t="s">
        <v/>
        <stp/>
        <stp>ContractData</stp>
        <stp>NGE?53</stp>
        <stp>Ask</stp>
        <stp/>
        <stp>T</stp>
        <tr r="M60" s="16"/>
      </tp>
      <tp t="s">
        <v/>
        <stp/>
        <stp>ContractData</stp>
        <stp>NGE?48</stp>
        <stp>Ask</stp>
        <stp/>
        <stp>T</stp>
        <tr r="M55" s="16"/>
      </tp>
      <tp t="s">
        <v/>
        <stp/>
        <stp>ContractData</stp>
        <stp>NGE?49</stp>
        <stp>Ask</stp>
        <stp/>
        <stp>T</stp>
        <tr r="M56" s="16"/>
      </tp>
      <tp t="s">
        <v/>
        <stp/>
        <stp>ContractData</stp>
        <stp>NGE?44</stp>
        <stp>Ask</stp>
        <stp/>
        <stp>T</stp>
        <tr r="M51" s="16"/>
      </tp>
      <tp t="s">
        <v/>
        <stp/>
        <stp>ContractData</stp>
        <stp>NGE?45</stp>
        <stp>Ask</stp>
        <stp/>
        <stp>T</stp>
        <tr r="M52" s="16"/>
      </tp>
      <tp t="s">
        <v/>
        <stp/>
        <stp>ContractData</stp>
        <stp>NGE?46</stp>
        <stp>Ask</stp>
        <stp/>
        <stp>T</stp>
        <tr r="M53" s="16"/>
      </tp>
      <tp t="s">
        <v/>
        <stp/>
        <stp>ContractData</stp>
        <stp>NGE?47</stp>
        <stp>Ask</stp>
        <stp/>
        <stp>T</stp>
        <tr r="M54" s="16"/>
      </tp>
      <tp t="s">
        <v/>
        <stp/>
        <stp>ContractData</stp>
        <stp>NGE?40</stp>
        <stp>Ask</stp>
        <stp/>
        <stp>T</stp>
        <tr r="M47" s="16"/>
      </tp>
      <tp t="s">
        <v/>
        <stp/>
        <stp>ContractData</stp>
        <stp>NGE?41</stp>
        <stp>Ask</stp>
        <stp/>
        <stp>T</stp>
        <tr r="M48" s="16"/>
      </tp>
      <tp t="s">
        <v/>
        <stp/>
        <stp>ContractData</stp>
        <stp>NGE?42</stp>
        <stp>Ask</stp>
        <stp/>
        <stp>T</stp>
        <tr r="M49" s="16"/>
      </tp>
      <tp t="s">
        <v/>
        <stp/>
        <stp>ContractData</stp>
        <stp>NGE?43</stp>
        <stp>Ask</stp>
        <stp/>
        <stp>T</stp>
        <tr r="M50" s="16"/>
      </tp>
      <tp t="s">
        <v/>
        <stp/>
        <stp>ContractData</stp>
        <stp>NGE?78</stp>
        <stp>Ask</stp>
        <stp/>
        <stp>T</stp>
        <tr r="M85" s="16"/>
      </tp>
      <tp t="s">
        <v/>
        <stp/>
        <stp>ContractData</stp>
        <stp>NGE?79</stp>
        <stp>Ask</stp>
        <stp/>
        <stp>T</stp>
        <tr r="M86" s="16"/>
      </tp>
      <tp t="s">
        <v/>
        <stp/>
        <stp>ContractData</stp>
        <stp>NGE?74</stp>
        <stp>Ask</stp>
        <stp/>
        <stp>T</stp>
        <tr r="M81" s="16"/>
      </tp>
      <tp t="s">
        <v/>
        <stp/>
        <stp>ContractData</stp>
        <stp>NGE?75</stp>
        <stp>Ask</stp>
        <stp/>
        <stp>T</stp>
        <tr r="M82" s="16"/>
      </tp>
      <tp t="s">
        <v/>
        <stp/>
        <stp>ContractData</stp>
        <stp>NGE?76</stp>
        <stp>Ask</stp>
        <stp/>
        <stp>T</stp>
        <tr r="M83" s="16"/>
      </tp>
      <tp t="s">
        <v/>
        <stp/>
        <stp>ContractData</stp>
        <stp>NGE?77</stp>
        <stp>Ask</stp>
        <stp/>
        <stp>T</stp>
        <tr r="M84" s="16"/>
      </tp>
      <tp t="s">
        <v/>
        <stp/>
        <stp>ContractData</stp>
        <stp>NGE?70</stp>
        <stp>Ask</stp>
        <stp/>
        <stp>T</stp>
        <tr r="M77" s="16"/>
      </tp>
      <tp t="s">
        <v/>
        <stp/>
        <stp>ContractData</stp>
        <stp>NGE?71</stp>
        <stp>Ask</stp>
        <stp/>
        <stp>T</stp>
        <tr r="M78" s="16"/>
      </tp>
      <tp t="s">
        <v/>
        <stp/>
        <stp>ContractData</stp>
        <stp>NGE?72</stp>
        <stp>Ask</stp>
        <stp/>
        <stp>T</stp>
        <tr r="M79" s="16"/>
      </tp>
      <tp t="s">
        <v/>
        <stp/>
        <stp>ContractData</stp>
        <stp>NGE?73</stp>
        <stp>Ask</stp>
        <stp/>
        <stp>T</stp>
        <tr r="M80" s="16"/>
      </tp>
      <tp t="s">
        <v/>
        <stp/>
        <stp>ContractData</stp>
        <stp>NGE?68</stp>
        <stp>Ask</stp>
        <stp/>
        <stp>T</stp>
        <tr r="M75" s="16"/>
      </tp>
      <tp t="s">
        <v/>
        <stp/>
        <stp>ContractData</stp>
        <stp>NGE?69</stp>
        <stp>Ask</stp>
        <stp/>
        <stp>T</stp>
        <tr r="M76" s="16"/>
      </tp>
      <tp t="s">
        <v/>
        <stp/>
        <stp>ContractData</stp>
        <stp>NGE?64</stp>
        <stp>Ask</stp>
        <stp/>
        <stp>T</stp>
        <tr r="M71" s="16"/>
      </tp>
      <tp t="s">
        <v/>
        <stp/>
        <stp>ContractData</stp>
        <stp>NGE?65</stp>
        <stp>Ask</stp>
        <stp/>
        <stp>T</stp>
        <tr r="M72" s="16"/>
      </tp>
      <tp t="s">
        <v/>
        <stp/>
        <stp>ContractData</stp>
        <stp>NGE?66</stp>
        <stp>Ask</stp>
        <stp/>
        <stp>T</stp>
        <tr r="M73" s="16"/>
      </tp>
      <tp t="s">
        <v/>
        <stp/>
        <stp>ContractData</stp>
        <stp>NGE?67</stp>
        <stp>Ask</stp>
        <stp/>
        <stp>T</stp>
        <tr r="M74" s="16"/>
      </tp>
      <tp t="s">
        <v/>
        <stp/>
        <stp>ContractData</stp>
        <stp>NGE?60</stp>
        <stp>Ask</stp>
        <stp/>
        <stp>T</stp>
        <tr r="M67" s="16"/>
      </tp>
      <tp t="s">
        <v/>
        <stp/>
        <stp>ContractData</stp>
        <stp>NGE?61</stp>
        <stp>Ask</stp>
        <stp/>
        <stp>T</stp>
        <tr r="M68" s="16"/>
      </tp>
      <tp t="s">
        <v/>
        <stp/>
        <stp>ContractData</stp>
        <stp>NGE?62</stp>
        <stp>Ask</stp>
        <stp/>
        <stp>T</stp>
        <tr r="M69" s="16"/>
      </tp>
      <tp t="s">
        <v/>
        <stp/>
        <stp>ContractData</stp>
        <stp>NGE?63</stp>
        <stp>Ask</stp>
        <stp/>
        <stp>T</stp>
        <tr r="M70" s="16"/>
      </tp>
      <tp>
        <v>2.7610000000000001</v>
        <stp/>
        <stp>ContractData</stp>
        <stp>NGE?18</stp>
        <stp>Ask</stp>
        <stp/>
        <stp>T</stp>
        <tr r="M25" s="16"/>
      </tp>
      <tp>
        <v>2.7250000000000001</v>
        <stp/>
        <stp>ContractData</stp>
        <stp>NGE?19</stp>
        <stp>Ask</stp>
        <stp/>
        <stp>T</stp>
        <tr r="M26" s="16"/>
      </tp>
      <tp>
        <v>3.157</v>
        <stp/>
        <stp>ContractData</stp>
        <stp>NGE?14</stp>
        <stp>Ask</stp>
        <stp/>
        <stp>T</stp>
        <tr r="M21" s="16"/>
      </tp>
      <tp>
        <v>3.242</v>
        <stp/>
        <stp>ContractData</stp>
        <stp>NGE?15</stp>
        <stp>Ask</stp>
        <stp/>
        <stp>T</stp>
        <tr r="M22" s="16"/>
      </tp>
      <tp>
        <v>3.2189999999999999</v>
        <stp/>
        <stp>ContractData</stp>
        <stp>NGE?16</stp>
        <stp>Ask</stp>
        <stp/>
        <stp>T</stp>
        <tr r="M23" s="16"/>
      </tp>
      <tp>
        <v>3.1470000000000002</v>
        <stp/>
        <stp>ContractData</stp>
        <stp>NGE?17</stp>
        <stp>Ask</stp>
        <stp/>
        <stp>T</stp>
        <tr r="M24" s="16"/>
      </tp>
      <tp>
        <v>2.9609999999999999</v>
        <stp/>
        <stp>ContractData</stp>
        <stp>NGE?10</stp>
        <stp>Ask</stp>
        <stp/>
        <stp>T</stp>
        <tr r="M17" s="16"/>
      </tp>
      <tp>
        <v>2.944</v>
        <stp/>
        <stp>ContractData</stp>
        <stp>NGE?11</stp>
        <stp>Ask</stp>
        <stp/>
        <stp>T</stp>
        <tr r="M18" s="16"/>
      </tp>
      <tp>
        <v>2.9660000000000002</v>
        <stp/>
        <stp>ContractData</stp>
        <stp>NGE?12</stp>
        <stp>Ask</stp>
        <stp/>
        <stp>T</stp>
        <tr r="M19" s="16"/>
      </tp>
      <tp>
        <v>3.02</v>
        <stp/>
        <stp>ContractData</stp>
        <stp>NGE?13</stp>
        <stp>Ask</stp>
        <stp/>
        <stp>T</stp>
        <tr r="M20" s="16"/>
      </tp>
      <tp t="s">
        <v/>
        <stp/>
        <stp>ContractData</stp>
        <stp>NGE?38</stp>
        <stp>Ask</stp>
        <stp/>
        <stp>T</stp>
        <tr r="M45" s="16"/>
      </tp>
      <tp t="s">
        <v/>
        <stp/>
        <stp>ContractData</stp>
        <stp>NGE?39</stp>
        <stp>Ask</stp>
        <stp/>
        <stp>T</stp>
        <tr r="M46" s="16"/>
      </tp>
      <tp t="s">
        <v/>
        <stp/>
        <stp>ContractData</stp>
        <stp>NGE?34</stp>
        <stp>Ask</stp>
        <stp/>
        <stp>T</stp>
        <tr r="M41" s="16"/>
      </tp>
      <tp t="s">
        <v/>
        <stp/>
        <stp>ContractData</stp>
        <stp>NGE?35</stp>
        <stp>Ask</stp>
        <stp/>
        <stp>T</stp>
        <tr r="M42" s="16"/>
      </tp>
      <tp t="s">
        <v/>
        <stp/>
        <stp>ContractData</stp>
        <stp>NGE?36</stp>
        <stp>Ask</stp>
        <stp/>
        <stp>T</stp>
        <tr r="M43" s="16"/>
      </tp>
      <tp t="s">
        <v/>
        <stp/>
        <stp>ContractData</stp>
        <stp>NGE?37</stp>
        <stp>Ask</stp>
        <stp/>
        <stp>T</stp>
        <tr r="M44" s="16"/>
      </tp>
      <tp t="s">
        <v/>
        <stp/>
        <stp>ContractData</stp>
        <stp>NGE?30</stp>
        <stp>Ask</stp>
        <stp/>
        <stp>T</stp>
        <tr r="M37" s="16"/>
      </tp>
      <tp>
        <v>2.754</v>
        <stp/>
        <stp>ContractData</stp>
        <stp>NGE?31</stp>
        <stp>Ask</stp>
        <stp/>
        <stp>T</stp>
        <tr r="M38" s="16"/>
      </tp>
      <tp t="s">
        <v/>
        <stp/>
        <stp>ContractData</stp>
        <stp>NGE?32</stp>
        <stp>Ask</stp>
        <stp/>
        <stp>T</stp>
        <tr r="M39" s="16"/>
      </tp>
      <tp t="s">
        <v/>
        <stp/>
        <stp>ContractData</stp>
        <stp>NGE?33</stp>
        <stp>Ask</stp>
        <stp/>
        <stp>T</stp>
        <tr r="M40" s="16"/>
      </tp>
      <tp t="s">
        <v/>
        <stp/>
        <stp>ContractData</stp>
        <stp>NGE?28</stp>
        <stp>Ask</stp>
        <stp/>
        <stp>T</stp>
        <tr r="M35" s="16"/>
      </tp>
      <tp t="s">
        <v/>
        <stp/>
        <stp>ContractData</stp>
        <stp>NGE?29</stp>
        <stp>Ask</stp>
        <stp/>
        <stp>T</stp>
        <tr r="M36" s="16"/>
      </tp>
      <tp>
        <v>2.7749999999999999</v>
        <stp/>
        <stp>ContractData</stp>
        <stp>NGE?24</stp>
        <stp>Ask</stp>
        <stp/>
        <stp>T</stp>
        <tr r="M31" s="16"/>
      </tp>
      <tp>
        <v>3</v>
        <stp/>
        <stp>ContractData</stp>
        <stp>NGE?25</stp>
        <stp>Ask</stp>
        <stp/>
        <stp>T</stp>
        <tr r="M32" s="16"/>
      </tp>
      <tp>
        <v>3.004</v>
        <stp/>
        <stp>ContractData</stp>
        <stp>NGE?26</stp>
        <stp>Ask</stp>
        <stp/>
        <stp>T</stp>
        <tr r="M33" s="16"/>
      </tp>
      <tp>
        <v>3.1</v>
        <stp/>
        <stp>ContractData</stp>
        <stp>NGE?27</stp>
        <stp>Ask</stp>
        <stp/>
        <stp>T</stp>
        <tr r="M34" s="16"/>
      </tp>
      <tp>
        <v>2.7480000000000002</v>
        <stp/>
        <stp>ContractData</stp>
        <stp>NGE?20</stp>
        <stp>Ask</stp>
        <stp/>
        <stp>T</stp>
        <tr r="M27" s="16"/>
      </tp>
      <tp>
        <v>2.7709999999999999</v>
        <stp/>
        <stp>ContractData</stp>
        <stp>NGE?21</stp>
        <stp>Ask</stp>
        <stp/>
        <stp>T</stp>
        <tr r="M28" s="16"/>
      </tp>
      <tp>
        <v>2.7760000000000002</v>
        <stp/>
        <stp>ContractData</stp>
        <stp>NGE?22</stp>
        <stp>Ask</stp>
        <stp/>
        <stp>T</stp>
        <tr r="M29" s="16"/>
      </tp>
      <tp>
        <v>2.7530000000000001</v>
        <stp/>
        <stp>ContractData</stp>
        <stp>NGE?23</stp>
        <stp>Ask</stp>
        <stp/>
        <stp>T</stp>
        <tr r="M30" s="16"/>
      </tp>
      <tp t="s">
        <v/>
        <stp/>
        <stp>ContractData</stp>
        <stp>NGE?98</stp>
        <stp>Ask</stp>
        <stp/>
        <stp>T</stp>
        <tr r="M105" s="16"/>
      </tp>
      <tp t="s">
        <v/>
        <stp/>
        <stp>ContractData</stp>
        <stp>NGE?99</stp>
        <stp>Ask</stp>
        <stp/>
        <stp>T</stp>
        <tr r="M106" s="16"/>
      </tp>
      <tp t="s">
        <v/>
        <stp/>
        <stp>ContractData</stp>
        <stp>NGE?94</stp>
        <stp>Ask</stp>
        <stp/>
        <stp>T</stp>
        <tr r="M101" s="16"/>
      </tp>
      <tp t="s">
        <v/>
        <stp/>
        <stp>ContractData</stp>
        <stp>NGE?95</stp>
        <stp>Ask</stp>
        <stp/>
        <stp>T</stp>
        <tr r="M102" s="16"/>
      </tp>
      <tp t="s">
        <v/>
        <stp/>
        <stp>ContractData</stp>
        <stp>NGE?96</stp>
        <stp>Ask</stp>
        <stp/>
        <stp>T</stp>
        <tr r="M103" s="16"/>
      </tp>
      <tp t="s">
        <v/>
        <stp/>
        <stp>ContractData</stp>
        <stp>NGE?97</stp>
        <stp>Ask</stp>
        <stp/>
        <stp>T</stp>
        <tr r="M104" s="16"/>
      </tp>
      <tp t="s">
        <v/>
        <stp/>
        <stp>ContractData</stp>
        <stp>NGE?90</stp>
        <stp>Ask</stp>
        <stp/>
        <stp>T</stp>
        <tr r="M97" s="16"/>
      </tp>
      <tp t="s">
        <v/>
        <stp/>
        <stp>ContractData</stp>
        <stp>NGE?91</stp>
        <stp>Ask</stp>
        <stp/>
        <stp>T</stp>
        <tr r="M98" s="16"/>
      </tp>
      <tp t="s">
        <v/>
        <stp/>
        <stp>ContractData</stp>
        <stp>NGE?92</stp>
        <stp>Ask</stp>
        <stp/>
        <stp>T</stp>
        <tr r="M99" s="16"/>
      </tp>
      <tp t="s">
        <v/>
        <stp/>
        <stp>ContractData</stp>
        <stp>NGE?93</stp>
        <stp>Ask</stp>
        <stp/>
        <stp>T</stp>
        <tr r="M100" s="16"/>
      </tp>
      <tp t="s">
        <v/>
        <stp/>
        <stp>ContractData</stp>
        <stp>NGE?88</stp>
        <stp>Ask</stp>
        <stp/>
        <stp>T</stp>
        <tr r="M95" s="16"/>
      </tp>
      <tp t="s">
        <v/>
        <stp/>
        <stp>ContractData</stp>
        <stp>NGE?89</stp>
        <stp>Ask</stp>
        <stp/>
        <stp>T</stp>
        <tr r="M96" s="16"/>
      </tp>
      <tp t="s">
        <v/>
        <stp/>
        <stp>ContractData</stp>
        <stp>NGE?84</stp>
        <stp>Ask</stp>
        <stp/>
        <stp>T</stp>
        <tr r="M91" s="16"/>
      </tp>
      <tp t="s">
        <v/>
        <stp/>
        <stp>ContractData</stp>
        <stp>NGE?85</stp>
        <stp>Ask</stp>
        <stp/>
        <stp>T</stp>
        <tr r="M92" s="16"/>
      </tp>
      <tp t="s">
        <v/>
        <stp/>
        <stp>ContractData</stp>
        <stp>NGE?86</stp>
        <stp>Ask</stp>
        <stp/>
        <stp>T</stp>
        <tr r="M93" s="16"/>
      </tp>
      <tp t="s">
        <v/>
        <stp/>
        <stp>ContractData</stp>
        <stp>NGE?87</stp>
        <stp>Ask</stp>
        <stp/>
        <stp>T</stp>
        <tr r="M94" s="16"/>
      </tp>
      <tp t="s">
        <v/>
        <stp/>
        <stp>ContractData</stp>
        <stp>NGE?80</stp>
        <stp>Ask</stp>
        <stp/>
        <stp>T</stp>
        <tr r="M87" s="16"/>
      </tp>
      <tp t="s">
        <v/>
        <stp/>
        <stp>ContractData</stp>
        <stp>NGE?81</stp>
        <stp>Ask</stp>
        <stp/>
        <stp>T</stp>
        <tr r="M88" s="16"/>
      </tp>
      <tp t="s">
        <v/>
        <stp/>
        <stp>ContractData</stp>
        <stp>NGE?82</stp>
        <stp>Ask</stp>
        <stp/>
        <stp>T</stp>
        <tr r="M89" s="16"/>
      </tp>
      <tp t="s">
        <v/>
        <stp/>
        <stp>ContractData</stp>
        <stp>NGE?83</stp>
        <stp>Ask</stp>
        <stp/>
        <stp>T</stp>
        <tr r="M90" s="16"/>
      </tp>
      <tp t="s">
        <v/>
        <stp/>
        <stp>ContractData</stp>
        <stp>NGE?93</stp>
        <stp>Bid</stp>
        <stp/>
        <stp>T</stp>
        <tr r="K100" s="16"/>
      </tp>
      <tp t="s">
        <v/>
        <stp/>
        <stp>ContractData</stp>
        <stp>NGE?92</stp>
        <stp>Bid</stp>
        <stp/>
        <stp>T</stp>
        <tr r="K99" s="16"/>
      </tp>
      <tp t="s">
        <v/>
        <stp/>
        <stp>ContractData</stp>
        <stp>NGE?91</stp>
        <stp>Bid</stp>
        <stp/>
        <stp>T</stp>
        <tr r="K98" s="16"/>
      </tp>
      <tp t="s">
        <v/>
        <stp/>
        <stp>ContractData</stp>
        <stp>NGE?90</stp>
        <stp>Bid</stp>
        <stp/>
        <stp>T</stp>
        <tr r="K97" s="16"/>
      </tp>
      <tp t="s">
        <v/>
        <stp/>
        <stp>ContractData</stp>
        <stp>NGE?97</stp>
        <stp>Bid</stp>
        <stp/>
        <stp>T</stp>
        <tr r="K104" s="16"/>
      </tp>
      <tp t="s">
        <v/>
        <stp/>
        <stp>ContractData</stp>
        <stp>NGE?96</stp>
        <stp>Bid</stp>
        <stp/>
        <stp>T</stp>
        <tr r="K103" s="16"/>
      </tp>
      <tp t="s">
        <v/>
        <stp/>
        <stp>ContractData</stp>
        <stp>NGE?95</stp>
        <stp>Bid</stp>
        <stp/>
        <stp>T</stp>
        <tr r="K102" s="16"/>
      </tp>
      <tp t="s">
        <v/>
        <stp/>
        <stp>ContractData</stp>
        <stp>NGE?94</stp>
        <stp>Bid</stp>
        <stp/>
        <stp>T</stp>
        <tr r="K101" s="16"/>
      </tp>
      <tp t="s">
        <v/>
        <stp/>
        <stp>ContractData</stp>
        <stp>NGE?99</stp>
        <stp>Bid</stp>
        <stp/>
        <stp>T</stp>
        <tr r="K106" s="16"/>
      </tp>
      <tp t="s">
        <v/>
        <stp/>
        <stp>ContractData</stp>
        <stp>NGE?98</stp>
        <stp>Bid</stp>
        <stp/>
        <stp>T</stp>
        <tr r="K105" s="16"/>
      </tp>
      <tp t="s">
        <v/>
        <stp/>
        <stp>ContractData</stp>
        <stp>NGE?83</stp>
        <stp>Bid</stp>
        <stp/>
        <stp>T</stp>
        <tr r="K90" s="16"/>
      </tp>
      <tp t="s">
        <v/>
        <stp/>
        <stp>ContractData</stp>
        <stp>NGE?82</stp>
        <stp>Bid</stp>
        <stp/>
        <stp>T</stp>
        <tr r="K89" s="16"/>
      </tp>
      <tp t="s">
        <v/>
        <stp/>
        <stp>ContractData</stp>
        <stp>NGE?81</stp>
        <stp>Bid</stp>
        <stp/>
        <stp>T</stp>
        <tr r="K88" s="16"/>
      </tp>
      <tp t="s">
        <v/>
        <stp/>
        <stp>ContractData</stp>
        <stp>NGE?80</stp>
        <stp>Bid</stp>
        <stp/>
        <stp>T</stp>
        <tr r="K87" s="16"/>
      </tp>
      <tp t="s">
        <v/>
        <stp/>
        <stp>ContractData</stp>
        <stp>NGE?87</stp>
        <stp>Bid</stp>
        <stp/>
        <stp>T</stp>
        <tr r="K94" s="16"/>
      </tp>
      <tp t="s">
        <v/>
        <stp/>
        <stp>ContractData</stp>
        <stp>NGE?86</stp>
        <stp>Bid</stp>
        <stp/>
        <stp>T</stp>
        <tr r="K93" s="16"/>
      </tp>
      <tp t="s">
        <v/>
        <stp/>
        <stp>ContractData</stp>
        <stp>NGE?85</stp>
        <stp>Bid</stp>
        <stp/>
        <stp>T</stp>
        <tr r="K92" s="16"/>
      </tp>
      <tp t="s">
        <v/>
        <stp/>
        <stp>ContractData</stp>
        <stp>NGE?84</stp>
        <stp>Bid</stp>
        <stp/>
        <stp>T</stp>
        <tr r="K91" s="16"/>
      </tp>
      <tp t="s">
        <v/>
        <stp/>
        <stp>ContractData</stp>
        <stp>NGE?89</stp>
        <stp>Bid</stp>
        <stp/>
        <stp>T</stp>
        <tr r="K96" s="16"/>
      </tp>
      <tp t="s">
        <v/>
        <stp/>
        <stp>ContractData</stp>
        <stp>NGE?88</stp>
        <stp>Bid</stp>
        <stp/>
        <stp>T</stp>
        <tr r="K95" s="16"/>
      </tp>
      <tp>
        <v>2.8959999999999999</v>
        <stp/>
        <stp>ContractData</stp>
        <stp>NGE?73</stp>
        <stp>Bid</stp>
        <stp/>
        <stp>T</stp>
        <tr r="K80" s="16"/>
      </tp>
      <tp t="s">
        <v/>
        <stp/>
        <stp>ContractData</stp>
        <stp>NGE?72</stp>
        <stp>Bid</stp>
        <stp/>
        <stp>T</stp>
        <tr r="K79" s="16"/>
      </tp>
      <tp t="s">
        <v/>
        <stp/>
        <stp>ContractData</stp>
        <stp>NGE?71</stp>
        <stp>Bid</stp>
        <stp/>
        <stp>T</stp>
        <tr r="K78" s="16"/>
      </tp>
      <tp t="s">
        <v/>
        <stp/>
        <stp>ContractData</stp>
        <stp>NGE?70</stp>
        <stp>Bid</stp>
        <stp/>
        <stp>T</stp>
        <tr r="K77" s="16"/>
      </tp>
      <tp t="s">
        <v/>
        <stp/>
        <stp>ContractData</stp>
        <stp>NGE?77</stp>
        <stp>Bid</stp>
        <stp/>
        <stp>T</stp>
        <tr r="K84" s="16"/>
      </tp>
      <tp t="s">
        <v/>
        <stp/>
        <stp>ContractData</stp>
        <stp>NGE?76</stp>
        <stp>Bid</stp>
        <stp/>
        <stp>T</stp>
        <tr r="K83" s="16"/>
      </tp>
      <tp t="s">
        <v/>
        <stp/>
        <stp>ContractData</stp>
        <stp>NGE?75</stp>
        <stp>Bid</stp>
        <stp/>
        <stp>T</stp>
        <tr r="K82" s="16"/>
      </tp>
      <tp t="s">
        <v/>
        <stp/>
        <stp>ContractData</stp>
        <stp>NGE?74</stp>
        <stp>Bid</stp>
        <stp/>
        <stp>T</stp>
        <tr r="K81" s="16"/>
      </tp>
      <tp t="s">
        <v/>
        <stp/>
        <stp>ContractData</stp>
        <stp>NGE?79</stp>
        <stp>Bid</stp>
        <stp/>
        <stp>T</stp>
        <tr r="K86" s="16"/>
      </tp>
      <tp t="s">
        <v/>
        <stp/>
        <stp>ContractData</stp>
        <stp>NGE?78</stp>
        <stp>Bid</stp>
        <stp/>
        <stp>T</stp>
        <tr r="K85" s="16"/>
      </tp>
      <tp>
        <v>3</v>
        <stp/>
        <stp>ContractData</stp>
        <stp>NGE?63</stp>
        <stp>Bid</stp>
        <stp/>
        <stp>T</stp>
        <tr r="K70" s="16"/>
      </tp>
      <tp t="s">
        <v/>
        <stp/>
        <stp>ContractData</stp>
        <stp>NGE?62</stp>
        <stp>Bid</stp>
        <stp/>
        <stp>T</stp>
        <tr r="K69" s="16"/>
      </tp>
      <tp t="s">
        <v/>
        <stp/>
        <stp>ContractData</stp>
        <stp>NGE?61</stp>
        <stp>Bid</stp>
        <stp/>
        <stp>T</stp>
        <tr r="K68" s="16"/>
      </tp>
      <tp t="s">
        <v/>
        <stp/>
        <stp>ContractData</stp>
        <stp>NGE?60</stp>
        <stp>Bid</stp>
        <stp/>
        <stp>T</stp>
        <tr r="K67" s="16"/>
      </tp>
      <tp t="s">
        <v/>
        <stp/>
        <stp>ContractData</stp>
        <stp>NGE?67</stp>
        <stp>Bid</stp>
        <stp/>
        <stp>T</stp>
        <tr r="K74" s="16"/>
      </tp>
      <tp t="s">
        <v/>
        <stp/>
        <stp>ContractData</stp>
        <stp>NGE?66</stp>
        <stp>Bid</stp>
        <stp/>
        <stp>T</stp>
        <tr r="K73" s="16"/>
      </tp>
      <tp t="s">
        <v/>
        <stp/>
        <stp>ContractData</stp>
        <stp>NGE?65</stp>
        <stp>Bid</stp>
        <stp/>
        <stp>T</stp>
        <tr r="K72" s="16"/>
      </tp>
      <tp>
        <v>3</v>
        <stp/>
        <stp>ContractData</stp>
        <stp>NGE?64</stp>
        <stp>Bid</stp>
        <stp/>
        <stp>T</stp>
        <tr r="K71" s="16"/>
      </tp>
      <tp t="s">
        <v/>
        <stp/>
        <stp>ContractData</stp>
        <stp>NGE?69</stp>
        <stp>Bid</stp>
        <stp/>
        <stp>T</stp>
        <tr r="K76" s="16"/>
      </tp>
      <tp t="s">
        <v/>
        <stp/>
        <stp>ContractData</stp>
        <stp>NGE?68</stp>
        <stp>Bid</stp>
        <stp/>
        <stp>T</stp>
        <tr r="K75" s="16"/>
      </tp>
      <tp t="s">
        <v/>
        <stp/>
        <stp>ContractData</stp>
        <stp>NGE?53</stp>
        <stp>Bid</stp>
        <stp/>
        <stp>T</stp>
        <tr r="K60" s="16"/>
      </tp>
      <tp>
        <v>2.93</v>
        <stp/>
        <stp>ContractData</stp>
        <stp>NGE?52</stp>
        <stp>Bid</stp>
        <stp/>
        <stp>T</stp>
        <tr r="K59" s="16"/>
      </tp>
      <tp>
        <v>3</v>
        <stp/>
        <stp>ContractData</stp>
        <stp>NGE?51</stp>
        <stp>Bid</stp>
        <stp/>
        <stp>T</stp>
        <tr r="K58" s="16"/>
      </tp>
      <tp>
        <v>2.88</v>
        <stp/>
        <stp>ContractData</stp>
        <stp>NGE?50</stp>
        <stp>Bid</stp>
        <stp/>
        <stp>T</stp>
        <tr r="K57" s="16"/>
      </tp>
      <tp>
        <v>2.62</v>
        <stp/>
        <stp>ContractData</stp>
        <stp>NGE?57</stp>
        <stp>Bid</stp>
        <stp/>
        <stp>T</stp>
        <tr r="K64" s="16"/>
      </tp>
      <tp t="s">
        <v/>
        <stp/>
        <stp>ContractData</stp>
        <stp>NGE?56</stp>
        <stp>Bid</stp>
        <stp/>
        <stp>T</stp>
        <tr r="K63" s="16"/>
      </tp>
      <tp t="s">
        <v/>
        <stp/>
        <stp>ContractData</stp>
        <stp>NGE?55</stp>
        <stp>Bid</stp>
        <stp/>
        <stp>T</stp>
        <tr r="K62" s="16"/>
      </tp>
      <tp t="s">
        <v/>
        <stp/>
        <stp>ContractData</stp>
        <stp>NGE?54</stp>
        <stp>Bid</stp>
        <stp/>
        <stp>T</stp>
        <tr r="K61" s="16"/>
      </tp>
      <tp>
        <v>2.63</v>
        <stp/>
        <stp>ContractData</stp>
        <stp>NGE?59</stp>
        <stp>Bid</stp>
        <stp/>
        <stp>T</stp>
        <tr r="K66" s="16"/>
      </tp>
      <tp>
        <v>2.63</v>
        <stp/>
        <stp>ContractData</stp>
        <stp>NGE?58</stp>
        <stp>Bid</stp>
        <stp/>
        <stp>T</stp>
        <tr r="K65" s="16"/>
      </tp>
      <tp t="s">
        <v/>
        <stp/>
        <stp>ContractData</stp>
        <stp>NGE?43</stp>
        <stp>Bid</stp>
        <stp/>
        <stp>T</stp>
        <tr r="K50" s="16"/>
      </tp>
      <tp t="s">
        <v/>
        <stp/>
        <stp>ContractData</stp>
        <stp>NGE?42</stp>
        <stp>Bid</stp>
        <stp/>
        <stp>T</stp>
        <tr r="K49" s="16"/>
      </tp>
      <tp t="s">
        <v/>
        <stp/>
        <stp>ContractData</stp>
        <stp>NGE?41</stp>
        <stp>Bid</stp>
        <stp/>
        <stp>T</stp>
        <tr r="K48" s="16"/>
      </tp>
      <tp>
        <v>2.88</v>
        <stp/>
        <stp>ContractData</stp>
        <stp>NGE?40</stp>
        <stp>Bid</stp>
        <stp/>
        <stp>T</stp>
        <tr r="K47" s="16"/>
      </tp>
      <tp t="s">
        <v/>
        <stp/>
        <stp>ContractData</stp>
        <stp>NGE?47</stp>
        <stp>Bid</stp>
        <stp/>
        <stp>T</stp>
        <tr r="K54" s="16"/>
      </tp>
      <tp t="s">
        <v/>
        <stp/>
        <stp>ContractData</stp>
        <stp>NGE?46</stp>
        <stp>Bid</stp>
        <stp/>
        <stp>T</stp>
        <tr r="K53" s="16"/>
      </tp>
      <tp t="s">
        <v/>
        <stp/>
        <stp>ContractData</stp>
        <stp>NGE?45</stp>
        <stp>Bid</stp>
        <stp/>
        <stp>T</stp>
        <tr r="K52" s="16"/>
      </tp>
      <tp t="s">
        <v/>
        <stp/>
        <stp>ContractData</stp>
        <stp>NGE?44</stp>
        <stp>Bid</stp>
        <stp/>
        <stp>T</stp>
        <tr r="K51" s="16"/>
      </tp>
      <tp t="s">
        <v/>
        <stp/>
        <stp>ContractData</stp>
        <stp>NGE?49</stp>
        <stp>Bid</stp>
        <stp/>
        <stp>T</stp>
        <tr r="K56" s="16"/>
      </tp>
      <tp>
        <v>2.58</v>
        <stp/>
        <stp>ContractData</stp>
        <stp>NGE?48</stp>
        <stp>Bid</stp>
        <stp/>
        <stp>T</stp>
        <tr r="K55" s="16"/>
      </tp>
      <tp t="s">
        <v/>
        <stp/>
        <stp>ContractData</stp>
        <stp>NGE?33</stp>
        <stp>Bid</stp>
        <stp/>
        <stp>T</stp>
        <tr r="K40" s="16"/>
      </tp>
      <tp t="s">
        <v/>
        <stp/>
        <stp>ContractData</stp>
        <stp>NGE?32</stp>
        <stp>Bid</stp>
        <stp/>
        <stp>T</stp>
        <tr r="K39" s="16"/>
      </tp>
      <tp>
        <v>2.64</v>
        <stp/>
        <stp>ContractData</stp>
        <stp>NGE?31</stp>
        <stp>Bid</stp>
        <stp/>
        <stp>T</stp>
        <tr r="K38" s="16"/>
      </tp>
      <tp>
        <v>2.65</v>
        <stp/>
        <stp>ContractData</stp>
        <stp>NGE?30</stp>
        <stp>Bid</stp>
        <stp/>
        <stp>T</stp>
        <tr r="K37" s="16"/>
      </tp>
      <tp>
        <v>2.68</v>
        <stp/>
        <stp>ContractData</stp>
        <stp>NGE?37</stp>
        <stp>Bid</stp>
        <stp/>
        <stp>T</stp>
        <tr r="K44" s="16"/>
      </tp>
      <tp t="s">
        <v/>
        <stp/>
        <stp>ContractData</stp>
        <stp>NGE?36</stp>
        <stp>Bid</stp>
        <stp/>
        <stp>T</stp>
        <tr r="K43" s="16"/>
      </tp>
      <tp t="s">
        <v/>
        <stp/>
        <stp>ContractData</stp>
        <stp>NGE?35</stp>
        <stp>Bid</stp>
        <stp/>
        <stp>T</stp>
        <tr r="K42" s="16"/>
      </tp>
      <tp t="s">
        <v/>
        <stp/>
        <stp>ContractData</stp>
        <stp>NGE?34</stp>
        <stp>Bid</stp>
        <stp/>
        <stp>T</stp>
        <tr r="K41" s="16"/>
      </tp>
      <tp>
        <v>3.09</v>
        <stp/>
        <stp>ContractData</stp>
        <stp>NGE?39</stp>
        <stp>Bid</stp>
        <stp/>
        <stp>T</stp>
        <tr r="K46" s="16"/>
      </tp>
      <tp>
        <v>2.88</v>
        <stp/>
        <stp>ContractData</stp>
        <stp>NGE?38</stp>
        <stp>Bid</stp>
        <stp/>
        <stp>T</stp>
        <tr r="K45" s="16"/>
      </tp>
      <tp>
        <v>2.7309999999999999</v>
        <stp/>
        <stp>ContractData</stp>
        <stp>NGE?23</stp>
        <stp>Bid</stp>
        <stp/>
        <stp>T</stp>
        <tr r="K30" s="16"/>
      </tp>
      <tp>
        <v>2.7469999999999999</v>
        <stp/>
        <stp>ContractData</stp>
        <stp>NGE?22</stp>
        <stp>Bid</stp>
        <stp/>
        <stp>T</stp>
        <tr r="K29" s="16"/>
      </tp>
      <tp>
        <v>2.7429999999999999</v>
        <stp/>
        <stp>ContractData</stp>
        <stp>NGE?21</stp>
        <stp>Bid</stp>
        <stp/>
        <stp>T</stp>
        <tr r="K28" s="16"/>
      </tp>
      <tp>
        <v>2.7229999999999999</v>
        <stp/>
        <stp>ContractData</stp>
        <stp>NGE?20</stp>
        <stp>Bid</stp>
        <stp/>
        <stp>T</stp>
        <tr r="K27" s="16"/>
      </tp>
      <tp>
        <v>3.0950000000000002</v>
        <stp/>
        <stp>ContractData</stp>
        <stp>NGE?27</stp>
        <stp>Bid</stp>
        <stp/>
        <stp>T</stp>
        <tr r="K34" s="16"/>
      </tp>
      <tp>
        <v>2.88</v>
        <stp/>
        <stp>ContractData</stp>
        <stp>NGE?26</stp>
        <stp>Bid</stp>
        <stp/>
        <stp>T</stp>
        <tr r="K33" s="16"/>
      </tp>
      <tp>
        <v>2.74</v>
        <stp/>
        <stp>ContractData</stp>
        <stp>NGE?25</stp>
        <stp>Bid</stp>
        <stp/>
        <stp>T</stp>
        <tr r="K32" s="16"/>
      </tp>
      <tp>
        <v>2.762</v>
        <stp/>
        <stp>ContractData</stp>
        <stp>NGE?24</stp>
        <stp>Bid</stp>
        <stp/>
        <stp>T</stp>
        <tr r="K31" s="16"/>
      </tp>
      <tp>
        <v>3</v>
        <stp/>
        <stp>ContractData</stp>
        <stp>NGE?29</stp>
        <stp>Bid</stp>
        <stp/>
        <stp>T</stp>
        <tr r="K36" s="16"/>
      </tp>
      <tp>
        <v>2.96</v>
        <stp/>
        <stp>ContractData</stp>
        <stp>NGE?28</stp>
        <stp>Bid</stp>
        <stp/>
        <stp>T</stp>
        <tr r="K35" s="16"/>
      </tp>
      <tp>
        <v>3.0169999999999999</v>
        <stp/>
        <stp>ContractData</stp>
        <stp>NGE?13</stp>
        <stp>Bid</stp>
        <stp/>
        <stp>T</stp>
        <tr r="K20" s="16"/>
      </tp>
      <tp>
        <v>2.964</v>
        <stp/>
        <stp>ContractData</stp>
        <stp>NGE?12</stp>
        <stp>Bid</stp>
        <stp/>
        <stp>T</stp>
        <tr r="K19" s="16"/>
      </tp>
      <tp>
        <v>2.9420000000000002</v>
        <stp/>
        <stp>ContractData</stp>
        <stp>NGE?11</stp>
        <stp>Bid</stp>
        <stp/>
        <stp>T</stp>
        <tr r="K18" s="16"/>
      </tp>
      <tp>
        <v>2.9590000000000001</v>
        <stp/>
        <stp>ContractData</stp>
        <stp>NGE?10</stp>
        <stp>Bid</stp>
        <stp/>
        <stp>T</stp>
        <tr r="K17" s="16"/>
      </tp>
      <tp>
        <v>3.14</v>
        <stp/>
        <stp>ContractData</stp>
        <stp>NGE?17</stp>
        <stp>Bid</stp>
        <stp/>
        <stp>T</stp>
        <tr r="K24" s="16"/>
      </tp>
      <tp>
        <v>3.2120000000000002</v>
        <stp/>
        <stp>ContractData</stp>
        <stp>NGE?16</stp>
        <stp>Bid</stp>
        <stp/>
        <stp>T</stp>
        <tr r="K23" s="16"/>
      </tp>
      <tp>
        <v>3.238</v>
        <stp/>
        <stp>ContractData</stp>
        <stp>NGE?15</stp>
        <stp>Bid</stp>
        <stp/>
        <stp>T</stp>
        <tr r="K22" s="16"/>
      </tp>
      <tp>
        <v>3.153</v>
        <stp/>
        <stp>ContractData</stp>
        <stp>NGE?14</stp>
        <stp>Bid</stp>
        <stp/>
        <stp>T</stp>
        <tr r="K21" s="16"/>
      </tp>
      <tp>
        <v>2.702</v>
        <stp/>
        <stp>ContractData</stp>
        <stp>NGE?19</stp>
        <stp>Bid</stp>
        <stp/>
        <stp>T</stp>
        <tr r="K26" s="16"/>
      </tp>
      <tp>
        <v>2.7450000000000001</v>
        <stp/>
        <stp>ContractData</stp>
        <stp>NGE?18</stp>
        <stp>Bid</stp>
        <stp/>
        <stp>T</stp>
        <tr r="K25" s="16"/>
      </tp>
      <tp>
        <v>3.1614</v>
        <stp/>
        <stp>StudyData</stp>
        <stp>Bar(((NGEX18+NGEZ18+NGEF19+NGEG19+NGEH19)/5),1)</stp>
        <stp>Bar</stp>
        <stp/>
        <stp>Open</stp>
        <stp>D</stp>
        <stp>0</stp>
        <stp/>
        <stp/>
        <stp/>
        <stp/>
        <stp>T</stp>
        <tr r="C40" s="13"/>
        <tr r="X2" s="14"/>
      </tp>
      <tp t="s">
        <v/>
        <stp/>
        <stp>ContractData</stp>
        <stp>NGEG9</stp>
        <stp>LastTradeorSettle</stp>
        <stp/>
        <stp>T</stp>
        <tr r="N37" s="13"/>
        <tr r="Z37" s="13"/>
        <tr r="F44" s="13"/>
      </tp>
      <tp>
        <v>3.202</v>
        <stp/>
        <stp>ContractData</stp>
        <stp>NGEG8</stp>
        <stp>LastTradeorSettle</stp>
        <stp/>
        <stp>T</stp>
        <tr r="N9" s="13"/>
        <tr r="Z9" s="13"/>
        <tr r="Z9" s="13"/>
        <tr r="F16" s="13"/>
        <tr r="N10" s="2"/>
        <tr r="R5" s="6"/>
        <tr r="F16" s="2"/>
        <tr r="R5" s="10"/>
        <tr r="R5" s="7"/>
        <tr r="R5" s="9"/>
        <tr r="R5" s="8"/>
        <tr r="R5" s="11"/>
      </tp>
      <tp>
        <v>0</v>
        <stp/>
        <stp>ContractData</stp>
        <stp>NGE?109</stp>
        <stp>MT_LastBidVolume</stp>
        <stp/>
        <stp>T</stp>
        <tr r="J116" s="16"/>
      </tp>
      <tp>
        <v>0</v>
        <stp/>
        <stp>ContractData</stp>
        <stp>NGE?108</stp>
        <stp>MT_LastBidVolume</stp>
        <stp/>
        <stp>T</stp>
        <tr r="J115" s="16"/>
      </tp>
      <tp>
        <v>0</v>
        <stp/>
        <stp>ContractData</stp>
        <stp>NGE?105</stp>
        <stp>MT_LastBidVolume</stp>
        <stp/>
        <stp>T</stp>
        <tr r="J112" s="16"/>
      </tp>
      <tp>
        <v>0</v>
        <stp/>
        <stp>ContractData</stp>
        <stp>NGE?104</stp>
        <stp>MT_LastBidVolume</stp>
        <stp/>
        <stp>T</stp>
        <tr r="J111" s="16"/>
      </tp>
      <tp>
        <v>0</v>
        <stp/>
        <stp>ContractData</stp>
        <stp>NGE?107</stp>
        <stp>MT_LastBidVolume</stp>
        <stp/>
        <stp>T</stp>
        <tr r="J114" s="16"/>
      </tp>
      <tp>
        <v>0</v>
        <stp/>
        <stp>ContractData</stp>
        <stp>NGE?106</stp>
        <stp>MT_LastBidVolume</stp>
        <stp/>
        <stp>T</stp>
        <tr r="J113" s="16"/>
      </tp>
      <tp>
        <v>0</v>
        <stp/>
        <stp>ContractData</stp>
        <stp>NGE?101</stp>
        <stp>MT_LastBidVolume</stp>
        <stp/>
        <stp>T</stp>
        <tr r="J108" s="16"/>
      </tp>
      <tp>
        <v>0</v>
        <stp/>
        <stp>ContractData</stp>
        <stp>NGE?100</stp>
        <stp>MT_LastBidVolume</stp>
        <stp/>
        <stp>T</stp>
        <tr r="J107" s="16"/>
      </tp>
      <tp>
        <v>0</v>
        <stp/>
        <stp>ContractData</stp>
        <stp>NGE?103</stp>
        <stp>MT_LastBidVolume</stp>
        <stp/>
        <stp>T</stp>
        <tr r="J110" s="16"/>
      </tp>
      <tp>
        <v>0</v>
        <stp/>
        <stp>ContractData</stp>
        <stp>NGE?102</stp>
        <stp>MT_LastBidVolume</stp>
        <stp/>
        <stp>T</stp>
        <tr r="J109" s="16"/>
      </tp>
      <tp>
        <v>0</v>
        <stp/>
        <stp>ContractData</stp>
        <stp>NGE?119</stp>
        <stp>MT_LastBidVolume</stp>
        <stp/>
        <stp>T</stp>
        <tr r="J126" s="16"/>
      </tp>
      <tp>
        <v>0</v>
        <stp/>
        <stp>ContractData</stp>
        <stp>NGE?118</stp>
        <stp>MT_LastBidVolume</stp>
        <stp/>
        <stp>T</stp>
        <tr r="J125" s="16"/>
      </tp>
      <tp>
        <v>0</v>
        <stp/>
        <stp>ContractData</stp>
        <stp>NGE?115</stp>
        <stp>MT_LastBidVolume</stp>
        <stp/>
        <stp>T</stp>
        <tr r="J122" s="16"/>
      </tp>
      <tp>
        <v>0</v>
        <stp/>
        <stp>ContractData</stp>
        <stp>NGE?114</stp>
        <stp>MT_LastBidVolume</stp>
        <stp/>
        <stp>T</stp>
        <tr r="J121" s="16"/>
      </tp>
      <tp>
        <v>0</v>
        <stp/>
        <stp>ContractData</stp>
        <stp>NGE?117</stp>
        <stp>MT_LastBidVolume</stp>
        <stp/>
        <stp>T</stp>
        <tr r="J124" s="16"/>
      </tp>
      <tp>
        <v>0</v>
        <stp/>
        <stp>ContractData</stp>
        <stp>NGE?116</stp>
        <stp>MT_LastBidVolume</stp>
        <stp/>
        <stp>T</stp>
        <tr r="J123" s="16"/>
      </tp>
      <tp>
        <v>0</v>
        <stp/>
        <stp>ContractData</stp>
        <stp>NGE?111</stp>
        <stp>MT_LastBidVolume</stp>
        <stp/>
        <stp>T</stp>
        <tr r="J118" s="16"/>
      </tp>
      <tp>
        <v>0</v>
        <stp/>
        <stp>ContractData</stp>
        <stp>NGE?110</stp>
        <stp>MT_LastBidVolume</stp>
        <stp/>
        <stp>T</stp>
        <tr r="J117" s="16"/>
      </tp>
      <tp>
        <v>0</v>
        <stp/>
        <stp>ContractData</stp>
        <stp>NGE?113</stp>
        <stp>MT_LastBidVolume</stp>
        <stp/>
        <stp>T</stp>
        <tr r="J120" s="16"/>
      </tp>
      <tp>
        <v>0</v>
        <stp/>
        <stp>ContractData</stp>
        <stp>NGE?112</stp>
        <stp>MT_LastBidVolume</stp>
        <stp/>
        <stp>T</stp>
        <tr r="J119" s="16"/>
      </tp>
      <tp>
        <v>0</v>
        <stp/>
        <stp>ContractData</stp>
        <stp>NGE?129</stp>
        <stp>MT_LastBidVolume</stp>
        <stp/>
        <stp>T</stp>
        <tr r="J136" s="16"/>
      </tp>
      <tp>
        <v>0</v>
        <stp/>
        <stp>ContractData</stp>
        <stp>NGE?128</stp>
        <stp>MT_LastBidVolume</stp>
        <stp/>
        <stp>T</stp>
        <tr r="J135" s="16"/>
      </tp>
      <tp>
        <v>0</v>
        <stp/>
        <stp>ContractData</stp>
        <stp>NGE?125</stp>
        <stp>MT_LastBidVolume</stp>
        <stp/>
        <stp>T</stp>
        <tr r="J132" s="16"/>
      </tp>
      <tp>
        <v>0</v>
        <stp/>
        <stp>ContractData</stp>
        <stp>NGE?124</stp>
        <stp>MT_LastBidVolume</stp>
        <stp/>
        <stp>T</stp>
        <tr r="J131" s="16"/>
      </tp>
      <tp>
        <v>0</v>
        <stp/>
        <stp>ContractData</stp>
        <stp>NGE?127</stp>
        <stp>MT_LastBidVolume</stp>
        <stp/>
        <stp>T</stp>
        <tr r="J134" s="16"/>
      </tp>
      <tp>
        <v>0</v>
        <stp/>
        <stp>ContractData</stp>
        <stp>NGE?126</stp>
        <stp>MT_LastBidVolume</stp>
        <stp/>
        <stp>T</stp>
        <tr r="J133" s="16"/>
      </tp>
      <tp>
        <v>0</v>
        <stp/>
        <stp>ContractData</stp>
        <stp>NGE?121</stp>
        <stp>MT_LastBidVolume</stp>
        <stp/>
        <stp>T</stp>
        <tr r="J128" s="16"/>
      </tp>
      <tp>
        <v>0</v>
        <stp/>
        <stp>ContractData</stp>
        <stp>NGE?120</stp>
        <stp>MT_LastBidVolume</stp>
        <stp/>
        <stp>T</stp>
        <tr r="J127" s="16"/>
      </tp>
      <tp>
        <v>0</v>
        <stp/>
        <stp>ContractData</stp>
        <stp>NGE?123</stp>
        <stp>MT_LastBidVolume</stp>
        <stp/>
        <stp>T</stp>
        <tr r="J130" s="16"/>
      </tp>
      <tp>
        <v>0</v>
        <stp/>
        <stp>ContractData</stp>
        <stp>NGE?122</stp>
        <stp>MT_LastBidVolume</stp>
        <stp/>
        <stp>T</stp>
        <tr r="J129" s="16"/>
      </tp>
      <tp>
        <v>0</v>
        <stp/>
        <stp>ContractData</stp>
        <stp>NGE?139</stp>
        <stp>MT_LastBidVolume</stp>
        <stp/>
        <stp>T</stp>
        <tr r="J146" s="16"/>
      </tp>
      <tp>
        <v>0</v>
        <stp/>
        <stp>ContractData</stp>
        <stp>NGE?138</stp>
        <stp>MT_LastBidVolume</stp>
        <stp/>
        <stp>T</stp>
        <tr r="J145" s="16"/>
      </tp>
      <tp>
        <v>0</v>
        <stp/>
        <stp>ContractData</stp>
        <stp>NGE?135</stp>
        <stp>MT_LastBidVolume</stp>
        <stp/>
        <stp>T</stp>
        <tr r="J142" s="16"/>
      </tp>
      <tp>
        <v>0</v>
        <stp/>
        <stp>ContractData</stp>
        <stp>NGE?134</stp>
        <stp>MT_LastBidVolume</stp>
        <stp/>
        <stp>T</stp>
        <tr r="J141" s="16"/>
      </tp>
      <tp>
        <v>0</v>
        <stp/>
        <stp>ContractData</stp>
        <stp>NGE?137</stp>
        <stp>MT_LastBidVolume</stp>
        <stp/>
        <stp>T</stp>
        <tr r="J144" s="16"/>
      </tp>
      <tp>
        <v>0</v>
        <stp/>
        <stp>ContractData</stp>
        <stp>NGE?136</stp>
        <stp>MT_LastBidVolume</stp>
        <stp/>
        <stp>T</stp>
        <tr r="J143" s="16"/>
      </tp>
      <tp>
        <v>0</v>
        <stp/>
        <stp>ContractData</stp>
        <stp>NGE?131</stp>
        <stp>MT_LastBidVolume</stp>
        <stp/>
        <stp>T</stp>
        <tr r="J138" s="16"/>
      </tp>
      <tp>
        <v>0</v>
        <stp/>
        <stp>ContractData</stp>
        <stp>NGE?130</stp>
        <stp>MT_LastBidVolume</stp>
        <stp/>
        <stp>T</stp>
        <tr r="J137" s="16"/>
      </tp>
      <tp>
        <v>0</v>
        <stp/>
        <stp>ContractData</stp>
        <stp>NGE?133</stp>
        <stp>MT_LastBidVolume</stp>
        <stp/>
        <stp>T</stp>
        <tr r="J140" s="16"/>
      </tp>
      <tp>
        <v>0</v>
        <stp/>
        <stp>ContractData</stp>
        <stp>NGE?132</stp>
        <stp>MT_LastBidVolume</stp>
        <stp/>
        <stp>T</stp>
        <tr r="J139" s="16"/>
      </tp>
      <tp>
        <v>0</v>
        <stp/>
        <stp>ContractData</stp>
        <stp>NGE?145</stp>
        <stp>MT_LastBidVolume</stp>
        <stp/>
        <stp>T</stp>
        <tr r="J152" s="16"/>
      </tp>
      <tp>
        <v>0</v>
        <stp/>
        <stp>ContractData</stp>
        <stp>NGE?144</stp>
        <stp>MT_LastBidVolume</stp>
        <stp/>
        <stp>T</stp>
        <tr r="J151" s="16"/>
      </tp>
      <tp>
        <v>0</v>
        <stp/>
        <stp>ContractData</stp>
        <stp>NGE?146</stp>
        <stp>MT_LastBidVolume</stp>
        <stp/>
        <stp>T</stp>
        <tr r="J153" s="16"/>
      </tp>
      <tp>
        <v>0</v>
        <stp/>
        <stp>ContractData</stp>
        <stp>NGE?141</stp>
        <stp>MT_LastBidVolume</stp>
        <stp/>
        <stp>T</stp>
        <tr r="J148" s="16"/>
      </tp>
      <tp>
        <v>0</v>
        <stp/>
        <stp>ContractData</stp>
        <stp>NGE?140</stp>
        <stp>MT_LastBidVolume</stp>
        <stp/>
        <stp>T</stp>
        <tr r="J147" s="16"/>
      </tp>
      <tp>
        <v>0</v>
        <stp/>
        <stp>ContractData</stp>
        <stp>NGE?143</stp>
        <stp>MT_LastBidVolume</stp>
        <stp/>
        <stp>T</stp>
        <tr r="J150" s="16"/>
      </tp>
      <tp>
        <v>0</v>
        <stp/>
        <stp>ContractData</stp>
        <stp>NGE?142</stp>
        <stp>MT_LastBidVolume</stp>
        <stp/>
        <stp>T</stp>
        <tr r="J149" s="16"/>
      </tp>
      <tp>
        <v>3.1486000000000001</v>
        <stp/>
        <stp>StudyData</stp>
        <stp>Bar(((NGEX17+NGEZ17+NGEF18+NGEG18+NGEH18)/5),1)</stp>
        <stp>Bar</stp>
        <stp/>
        <stp>High</stp>
        <stp>D</stp>
        <stp>-3</stp>
        <stp/>
        <stp/>
        <stp/>
        <stp/>
        <stp>T</stp>
        <tr r="D5" s="14"/>
      </tp>
      <tp>
        <v>3.1634000000000002</v>
        <stp/>
        <stp>StudyData</stp>
        <stp>Bar(((NGEX18+NGEZ18+NGEF19+NGEG19+NGEH19)/5),1)</stp>
        <stp>Bar</stp>
        <stp/>
        <stp>High</stp>
        <stp>D</stp>
        <stp>-2</stp>
        <stp/>
        <stp/>
        <stp/>
        <stp/>
        <stp>T</stp>
        <tr r="Y4" s="14"/>
      </tp>
      <tp>
        <v>3.1427999999999998</v>
        <stp/>
        <stp>StudyData</stp>
        <stp>Bar(((NGEX18+NGEZ18+NGEF19+NGEG19+NGEH19)/5),1)</stp>
        <stp>Bar</stp>
        <stp/>
        <stp>Open</stp>
        <stp>D</stp>
        <stp>-5</stp>
        <stp/>
        <stp/>
        <stp/>
        <stp/>
        <stp>T</stp>
        <tr r="X7" s="14"/>
      </tp>
      <tp>
        <v>3.2168000000000001</v>
        <stp/>
        <stp>StudyData</stp>
        <stp>Bar(((NGEX17+NGEZ17+NGEF18+NGEG18+NGEH18)/5),1)</stp>
        <stp>Bar</stp>
        <stp/>
        <stp>Open</stp>
        <stp>D</stp>
        <stp>-4</stp>
        <stp/>
        <stp/>
        <stp/>
        <stp/>
        <stp>T</stp>
        <tr r="C6" s="14"/>
      </tp>
      <tp>
        <v>2.9529999999999998</v>
        <stp/>
        <stp>ContractData</stp>
        <stp>NGEQ18</stp>
        <stp>Low</stp>
        <stp/>
        <stp>T</stp>
        <tr r="E30" s="13"/>
      </tp>
      <tp>
        <v>2.9580000000000002</v>
        <stp/>
        <stp>ContractData</stp>
        <stp>NGEV18</stp>
        <stp>Low</stp>
        <stp/>
        <stp>T</stp>
        <tr r="E32" s="13"/>
      </tp>
      <tp>
        <v>2.9350000000000001</v>
        <stp/>
        <stp>ContractData</stp>
        <stp>NGEU18</stp>
        <stp>Low</stp>
        <stp/>
        <stp>T</stp>
        <tr r="E31" s="13"/>
      </tp>
      <tp>
        <v>2.8940000000000001</v>
        <stp/>
        <stp>ContractData</stp>
        <stp>NGEK18</stp>
        <stp>Low</stp>
        <stp/>
        <stp>T</stp>
        <tr r="E27" s="13"/>
      </tp>
      <tp>
        <v>2.9180000000000001</v>
        <stp/>
        <stp>ContractData</stp>
        <stp>NGEJ18</stp>
        <stp>Low</stp>
        <stp/>
        <stp>T</stp>
        <tr r="E26" s="13"/>
      </tp>
      <tp>
        <v>2.9510000000000001</v>
        <stp/>
        <stp>ContractData</stp>
        <stp>NGEN18</stp>
        <stp>Low</stp>
        <stp/>
        <stp>T</stp>
        <tr r="E29" s="13"/>
      </tp>
      <tp>
        <v>2.9260000000000002</v>
        <stp/>
        <stp>ContractData</stp>
        <stp>NGEM18</stp>
        <stp>Low</stp>
        <stp/>
        <stp>T</stp>
        <tr r="E28" s="13"/>
      </tp>
      <tp t="s">
        <v/>
        <stp/>
        <stp>ContractData</stp>
        <stp>NGE?140</stp>
        <stp>NetLastTradeToday</stp>
        <stp/>
        <stp>T</stp>
        <tr r="G147" s="16"/>
        <tr r="E147" s="16"/>
      </tp>
      <tp t="s">
        <v/>
        <stp/>
        <stp>ContractData</stp>
        <stp>NGE?141</stp>
        <stp>NetLastTradeToday</stp>
        <stp/>
        <stp>T</stp>
        <tr r="E148" s="16"/>
        <tr r="G148" s="16"/>
      </tp>
      <tp t="s">
        <v/>
        <stp/>
        <stp>ContractData</stp>
        <stp>NGE?142</stp>
        <stp>NetLastTradeToday</stp>
        <stp/>
        <stp>T</stp>
        <tr r="G149" s="16"/>
        <tr r="E149" s="16"/>
      </tp>
      <tp t="s">
        <v/>
        <stp/>
        <stp>ContractData</stp>
        <stp>NGE?143</stp>
        <stp>NetLastTradeToday</stp>
        <stp/>
        <stp>T</stp>
        <tr r="E150" s="16"/>
        <tr r="G150" s="16"/>
      </tp>
      <tp t="s">
        <v/>
        <stp/>
        <stp>ContractData</stp>
        <stp>NGE?144</stp>
        <stp>NetLastTradeToday</stp>
        <stp/>
        <stp>T</stp>
        <tr r="E151" s="16"/>
        <tr r="G151" s="16"/>
      </tp>
      <tp t="s">
        <v/>
        <stp/>
        <stp>ContractData</stp>
        <stp>NGE?145</stp>
        <stp>NetLastTradeToday</stp>
        <stp/>
        <stp>T</stp>
        <tr r="G152" s="16"/>
        <tr r="E152" s="16"/>
      </tp>
      <tp t="s">
        <v/>
        <stp/>
        <stp>ContractData</stp>
        <stp>NGE?146</stp>
        <stp>NetLastTradeToday</stp>
        <stp/>
        <stp>T</stp>
        <tr r="E153" s="16"/>
        <tr r="G153" s="16"/>
      </tp>
      <tp>
        <v>3.2410000000000001</v>
        <stp/>
        <stp>ContractData</stp>
        <stp>NGEF9</stp>
        <stp>LastTradeorSettle</stp>
        <stp/>
        <stp>T</stp>
        <tr r="M37" s="13"/>
        <tr r="Y37" s="13"/>
        <tr r="Y37" s="13"/>
        <tr r="F43" s="13"/>
      </tp>
      <tp>
        <v>3.1132</v>
        <stp/>
        <stp>StudyData</stp>
        <stp>Bar(((NGEX17+NGEZ17+NGEF18+NGEG18+NGEH18)/5),1)</stp>
        <stp>Bar</stp>
        <stp/>
        <stp>Open</stp>
        <stp>D</stp>
        <stp>0</stp>
        <stp/>
        <stp/>
        <stp/>
        <stp/>
        <stp>T</stp>
        <tr r="C2" s="14"/>
        <tr r="C12" s="13"/>
      </tp>
      <tp>
        <v>3.1970000000000001</v>
        <stp/>
        <stp>ContractData</stp>
        <stp>NGEF8</stp>
        <stp>LastTradeorSettle</stp>
        <stp/>
        <stp>T</stp>
        <tr r="M9" s="13"/>
        <tr r="Y9" s="13"/>
        <tr r="Y9" s="13"/>
        <tr r="F15" s="13"/>
        <tr r="M10" s="2"/>
        <tr r="R4" s="6"/>
        <tr r="F15" s="2"/>
        <tr r="R4" s="10"/>
        <tr r="R4" s="8"/>
        <tr r="R4" s="9"/>
        <tr r="R4" s="7"/>
        <tr r="R4" s="11"/>
      </tp>
      <tp t="s">
        <v/>
        <stp/>
        <stp>ContractData</stp>
        <stp>NGEV9</stp>
        <stp>NetLastTradeToday</stp>
        <stp/>
        <stp>T</stp>
        <tr r="G60" s="13"/>
        <tr r="H60" s="13"/>
      </tp>
      <tp>
        <v>-7.0000000000000001E-3</v>
        <stp/>
        <stp>ContractData</stp>
        <stp>NGEV8</stp>
        <stp>NetLastTradeToday</stp>
        <stp/>
        <stp>T</stp>
        <tr r="H24" s="2"/>
        <tr r="G24" s="2"/>
      </tp>
      <tp>
        <v>3.1858</v>
        <stp/>
        <stp>StudyData</stp>
        <stp>Bar(((NGEX17+NGEZ17+NGEF18+NGEG18+NGEH18)/5),1)</stp>
        <stp>Bar</stp>
        <stp/>
        <stp>High</stp>
        <stp>D</stp>
        <stp>-2</stp>
        <stp/>
        <stp/>
        <stp/>
        <stp/>
        <stp>T</stp>
        <tr r="D4" s="14"/>
      </tp>
      <tp>
        <v>3.1312000000000002</v>
        <stp/>
        <stp>StudyData</stp>
        <stp>Bar(((NGEX18+NGEZ18+NGEF19+NGEG19+NGEH19)/5),1)</stp>
        <stp>Bar</stp>
        <stp/>
        <stp>High</stp>
        <stp>D</stp>
        <stp>-3</stp>
        <stp/>
        <stp/>
        <stp/>
        <stp/>
        <stp>T</stp>
        <tr r="Y5" s="14"/>
      </tp>
      <tp>
        <v>3.1394000000000002</v>
        <stp/>
        <stp>StudyData</stp>
        <stp>Bar(((NGEX18+NGEZ18+NGEF19+NGEG19+NGEH19)/5),1)</stp>
        <stp>Bar</stp>
        <stp/>
        <stp>Open</stp>
        <stp>D</stp>
        <stp>-4</stp>
        <stp/>
        <stp/>
        <stp/>
        <stp/>
        <stp>T</stp>
        <tr r="X6" s="14"/>
      </tp>
      <tp>
        <v>3.2198000000000002</v>
        <stp/>
        <stp>StudyData</stp>
        <stp>Bar(((NGEX17+NGEZ17+NGEF18+NGEG18+NGEH18)/5),1)</stp>
        <stp>Bar</stp>
        <stp/>
        <stp>Open</stp>
        <stp>D</stp>
        <stp>-5</stp>
        <stp/>
        <stp/>
        <stp/>
        <stp/>
        <stp>T</stp>
        <tr r="C7" s="14"/>
      </tp>
      <tp t="s">
        <v/>
        <stp/>
        <stp>ContractData</stp>
        <stp>NGE?138</stp>
        <stp>NetLastTradeToday</stp>
        <stp/>
        <stp>T</stp>
        <tr r="E145" s="16"/>
        <tr r="G145" s="16"/>
      </tp>
      <tp t="s">
        <v/>
        <stp/>
        <stp>ContractData</stp>
        <stp>NGE?139</stp>
        <stp>NetLastTradeToday</stp>
        <stp/>
        <stp>T</stp>
        <tr r="G146" s="16"/>
        <tr r="E146" s="16"/>
      </tp>
      <tp t="s">
        <v/>
        <stp/>
        <stp>ContractData</stp>
        <stp>NGE?130</stp>
        <stp>NetLastTradeToday</stp>
        <stp/>
        <stp>T</stp>
        <tr r="G137" s="16"/>
        <tr r="E137" s="16"/>
      </tp>
      <tp t="s">
        <v/>
        <stp/>
        <stp>ContractData</stp>
        <stp>NGE?131</stp>
        <stp>NetLastTradeToday</stp>
        <stp/>
        <stp>T</stp>
        <tr r="G138" s="16"/>
        <tr r="E138" s="16"/>
      </tp>
      <tp>
        <v>3.1614</v>
        <stp/>
        <stp>StudyData</stp>
        <stp>Bar(((NGEX18+NGEZ18+NGEF19+NGEG19+NGEH19)/5),1)</stp>
        <stp>Bar</stp>
        <stp/>
        <stp>High</stp>
        <stp>D</stp>
        <stp>0</stp>
        <stp/>
        <stp/>
        <stp/>
        <stp/>
        <stp>T</stp>
        <tr r="D40" s="13"/>
        <tr r="Y2" s="14"/>
      </tp>
      <tp t="s">
        <v/>
        <stp/>
        <stp>ContractData</stp>
        <stp>NGE?132</stp>
        <stp>NetLastTradeToday</stp>
        <stp/>
        <stp>T</stp>
        <tr r="G139" s="16"/>
        <tr r="E139" s="16"/>
      </tp>
      <tp t="s">
        <v/>
        <stp/>
        <stp>ContractData</stp>
        <stp>NGE?133</stp>
        <stp>NetLastTradeToday</stp>
        <stp/>
        <stp>T</stp>
        <tr r="E140" s="16"/>
        <tr r="G140" s="16"/>
      </tp>
      <tp t="s">
        <v/>
        <stp/>
        <stp>ContractData</stp>
        <stp>NGE?134</stp>
        <stp>NetLastTradeToday</stp>
        <stp/>
        <stp>T</stp>
        <tr r="E141" s="16"/>
        <tr r="G141" s="16"/>
      </tp>
      <tp t="s">
        <v/>
        <stp/>
        <stp>ContractData</stp>
        <stp>NGE?135</stp>
        <stp>NetLastTradeToday</stp>
        <stp/>
        <stp>T</stp>
        <tr r="E142" s="16"/>
        <tr r="G142" s="16"/>
      </tp>
      <tp t="s">
        <v/>
        <stp/>
        <stp>ContractData</stp>
        <stp>NGE?136</stp>
        <stp>NetLastTradeToday</stp>
        <stp/>
        <stp>T</stp>
        <tr r="G143" s="16"/>
        <tr r="E143" s="16"/>
      </tp>
      <tp t="s">
        <v/>
        <stp/>
        <stp>ContractData</stp>
        <stp>NGE?137</stp>
        <stp>NetLastTradeToday</stp>
        <stp/>
        <stp>T</stp>
        <tr r="G144" s="16"/>
        <tr r="E144" s="16"/>
      </tp>
      <tp t="s">
        <v/>
        <stp/>
        <stp>ContractData</stp>
        <stp>NGEQ9</stp>
        <stp>NetLastTradeToday</stp>
        <stp/>
        <stp>T</stp>
        <tr r="G58" s="13"/>
        <tr r="H58" s="13"/>
      </tp>
      <tp>
        <v>-9.0000000000000011E-3</v>
        <stp/>
        <stp>ContractData</stp>
        <stp>NGEQ8</stp>
        <stp>NetLastTradeToday</stp>
        <stp/>
        <stp>T</stp>
        <tr r="G22" s="2"/>
        <tr r="H22" s="2"/>
      </tp>
      <tp>
        <v>3.2307999999999999</v>
        <stp/>
        <stp>StudyData</stp>
        <stp>Bar(((NGEX17+NGEZ17+NGEF18+NGEG18+NGEH18)/5),1)</stp>
        <stp>Bar</stp>
        <stp/>
        <stp>High</stp>
        <stp>D</stp>
        <stp>-5</stp>
        <stp/>
        <stp/>
        <stp/>
        <stp/>
        <stp>T</stp>
        <tr r="D7" s="14"/>
      </tp>
      <tp>
        <v>3.1394000000000002</v>
        <stp/>
        <stp>StudyData</stp>
        <stp>Bar(((NGEX18+NGEZ18+NGEF19+NGEG19+NGEH19)/5),1)</stp>
        <stp>Bar</stp>
        <stp/>
        <stp>High</stp>
        <stp>D</stp>
        <stp>-4</stp>
        <stp/>
        <stp/>
        <stp/>
        <stp/>
        <stp>T</stp>
        <tr r="Y6" s="14"/>
      </tp>
      <tp>
        <v>3.1269999999999998</v>
        <stp/>
        <stp>StudyData</stp>
        <stp>Bar(((NGEX18+NGEZ18+NGEF19+NGEG19+NGEH19)/5),1)</stp>
        <stp>Bar</stp>
        <stp/>
        <stp>Open</stp>
        <stp>D</stp>
        <stp>-3</stp>
        <stp/>
        <stp/>
        <stp/>
        <stp/>
        <stp>T</stp>
        <tr r="X5" s="14"/>
      </tp>
      <tp>
        <v>3.1263999999999998</v>
        <stp/>
        <stp>StudyData</stp>
        <stp>Bar(((NGEX17+NGEZ17+NGEF18+NGEG18+NGEH18)/5),1)</stp>
        <stp>Bar</stp>
        <stp/>
        <stp>Open</stp>
        <stp>D</stp>
        <stp>-2</stp>
        <stp/>
        <stp/>
        <stp/>
        <stp/>
        <stp>T</stp>
        <tr r="C4" s="14"/>
      </tp>
      <tp>
        <v>1</v>
        <stp/>
        <stp>ContractData</stp>
        <stp>SPREAD((NGEJ19+NGEK19+NGEM19+NGEN19+NGEQ19+NGEU19+NGEV19)/7)</stp>
        <stp>MT_LastAskVolume</stp>
        <stp/>
        <stp>T</stp>
        <tr r="C47" s="13"/>
      </tp>
      <tp t="s">
        <v/>
        <stp/>
        <stp>ContractData</stp>
        <stp>NGE?128</stp>
        <stp>NetLastTradeToday</stp>
        <stp/>
        <stp>T</stp>
        <tr r="G135" s="16"/>
        <tr r="E135" s="16"/>
      </tp>
      <tp t="s">
        <v/>
        <stp/>
        <stp>ContractData</stp>
        <stp>NGE?129</stp>
        <stp>NetLastTradeToday</stp>
        <stp/>
        <stp>T</stp>
        <tr r="G136" s="16"/>
        <tr r="E136" s="16"/>
      </tp>
      <tp t="s">
        <v/>
        <stp/>
        <stp>ContractData</stp>
        <stp>NGE?120</stp>
        <stp>NetLastTradeToday</stp>
        <stp/>
        <stp>T</stp>
        <tr r="G127" s="16"/>
        <tr r="E127" s="16"/>
      </tp>
      <tp>
        <v>3.1252</v>
        <stp/>
        <stp>StudyData</stp>
        <stp>Bar(((NGEX17+NGEZ17+NGEF18+NGEG18+NGEH18)/5),1)</stp>
        <stp>Bar</stp>
        <stp/>
        <stp>High</stp>
        <stp>D</stp>
        <stp>0</stp>
        <stp/>
        <stp/>
        <stp/>
        <stp/>
        <stp>T</stp>
        <tr r="D2" s="14"/>
        <tr r="D12" s="13"/>
      </tp>
      <tp t="s">
        <v/>
        <stp/>
        <stp>ContractData</stp>
        <stp>NGE?121</stp>
        <stp>NetLastTradeToday</stp>
        <stp/>
        <stp>T</stp>
        <tr r="E128" s="16"/>
        <tr r="G128" s="16"/>
      </tp>
      <tp t="s">
        <v/>
        <stp/>
        <stp>ContractData</stp>
        <stp>NGE?122</stp>
        <stp>NetLastTradeToday</stp>
        <stp/>
        <stp>T</stp>
        <tr r="G129" s="16"/>
        <tr r="E129" s="16"/>
      </tp>
      <tp t="s">
        <v/>
        <stp/>
        <stp>ContractData</stp>
        <stp>NGE?123</stp>
        <stp>NetLastTradeToday</stp>
        <stp/>
        <stp>T</stp>
        <tr r="E130" s="16"/>
        <tr r="G130" s="16"/>
      </tp>
      <tp t="s">
        <v/>
        <stp/>
        <stp>ContractData</stp>
        <stp>NGE?124</stp>
        <stp>NetLastTradeToday</stp>
        <stp/>
        <stp>T</stp>
        <tr r="G131" s="16"/>
        <tr r="E131" s="16"/>
      </tp>
      <tp t="s">
        <v/>
        <stp/>
        <stp>ContractData</stp>
        <stp>NGE?125</stp>
        <stp>NetLastTradeToday</stp>
        <stp/>
        <stp>T</stp>
        <tr r="G132" s="16"/>
        <tr r="E132" s="16"/>
      </tp>
      <tp t="s">
        <v/>
        <stp/>
        <stp>ContractData</stp>
        <stp>NGE?126</stp>
        <stp>NetLastTradeToday</stp>
        <stp/>
        <stp>T</stp>
        <tr r="E133" s="16"/>
        <tr r="G133" s="16"/>
      </tp>
      <tp t="s">
        <v/>
        <stp/>
        <stp>ContractData</stp>
        <stp>NGE?127</stp>
        <stp>NetLastTradeToday</stp>
        <stp/>
        <stp>T</stp>
        <tr r="G134" s="16"/>
        <tr r="E134" s="16"/>
      </tp>
      <tp>
        <v>3.2168000000000001</v>
        <stp/>
        <stp>StudyData</stp>
        <stp>Bar(((NGEX17+NGEZ17+NGEF18+NGEG18+NGEH18)/5),1)</stp>
        <stp>Bar</stp>
        <stp/>
        <stp>High</stp>
        <stp>D</stp>
        <stp>-4</stp>
        <stp/>
        <stp/>
        <stp/>
        <stp/>
        <stp>T</stp>
        <tr r="D6" s="14"/>
      </tp>
      <tp>
        <v>3.1444000000000001</v>
        <stp/>
        <stp>StudyData</stp>
        <stp>Bar(((NGEX18+NGEZ18+NGEF19+NGEG19+NGEH19)/5),1)</stp>
        <stp>Bar</stp>
        <stp/>
        <stp>High</stp>
        <stp>D</stp>
        <stp>-5</stp>
        <stp/>
        <stp/>
        <stp/>
        <stp/>
        <stp>T</stp>
        <tr r="Y7" s="14"/>
      </tp>
      <tp>
        <v>3.1301999999999999</v>
        <stp/>
        <stp>StudyData</stp>
        <stp>Bar(((NGEX18+NGEZ18+NGEF19+NGEG19+NGEH19)/5),1)</stp>
        <stp>Bar</stp>
        <stp/>
        <stp>Open</stp>
        <stp>D</stp>
        <stp>-2</stp>
        <stp/>
        <stp/>
        <stp/>
        <stp/>
        <stp>T</stp>
        <tr r="X4" s="14"/>
      </tp>
      <tp>
        <v>3.1432000000000002</v>
        <stp/>
        <stp>StudyData</stp>
        <stp>Bar(((NGEX17+NGEZ17+NGEF18+NGEG18+NGEH18)/5),1)</stp>
        <stp>Bar</stp>
        <stp/>
        <stp>Open</stp>
        <stp>D</stp>
        <stp>-3</stp>
        <stp/>
        <stp/>
        <stp/>
        <stp/>
        <stp>T</stp>
        <tr r="C5" s="14"/>
      </tp>
      <tp t="s">
        <v/>
        <stp/>
        <stp>ContractData</stp>
        <stp>NGE?118</stp>
        <stp>NetLastTradeToday</stp>
        <stp/>
        <stp>T</stp>
        <tr r="E125" s="16"/>
        <tr r="G125" s="16"/>
      </tp>
      <tp t="s">
        <v/>
        <stp/>
        <stp>ContractData</stp>
        <stp>NGE?119</stp>
        <stp>NetLastTradeToday</stp>
        <stp/>
        <stp>T</stp>
        <tr r="E126" s="16"/>
        <tr r="G126" s="16"/>
      </tp>
      <tp t="s">
        <v/>
        <stp/>
        <stp>ContractData</stp>
        <stp>NGE?110</stp>
        <stp>NetLastTradeToday</stp>
        <stp/>
        <stp>T</stp>
        <tr r="E117" s="16"/>
        <tr r="G117" s="16"/>
      </tp>
      <tp t="s">
        <v/>
        <stp/>
        <stp>ContractData</stp>
        <stp>NGE?111</stp>
        <stp>NetLastTradeToday</stp>
        <stp/>
        <stp>T</stp>
        <tr r="E118" s="16"/>
        <tr r="G118" s="16"/>
      </tp>
      <tp t="s">
        <v/>
        <stp/>
        <stp>ContractData</stp>
        <stp>NGE?112</stp>
        <stp>NetLastTradeToday</stp>
        <stp/>
        <stp>T</stp>
        <tr r="E119" s="16"/>
        <tr r="G119" s="16"/>
      </tp>
      <tp t="s">
        <v/>
        <stp/>
        <stp>ContractData</stp>
        <stp>NGE?113</stp>
        <stp>NetLastTradeToday</stp>
        <stp/>
        <stp>T</stp>
        <tr r="E120" s="16"/>
        <tr r="G120" s="16"/>
      </tp>
      <tp t="s">
        <v/>
        <stp/>
        <stp>ContractData</stp>
        <stp>NGE?114</stp>
        <stp>NetLastTradeToday</stp>
        <stp/>
        <stp>T</stp>
        <tr r="G121" s="16"/>
        <tr r="E121" s="16"/>
      </tp>
      <tp t="s">
        <v/>
        <stp/>
        <stp>ContractData</stp>
        <stp>NGE?115</stp>
        <stp>NetLastTradeToday</stp>
        <stp/>
        <stp>T</stp>
        <tr r="E122" s="16"/>
        <tr r="G122" s="16"/>
      </tp>
      <tp t="s">
        <v/>
        <stp/>
        <stp>ContractData</stp>
        <stp>NGE?116</stp>
        <stp>NetLastTradeToday</stp>
        <stp/>
        <stp>T</stp>
        <tr r="E123" s="16"/>
        <tr r="G123" s="16"/>
      </tp>
      <tp t="s">
        <v/>
        <stp/>
        <stp>ContractData</stp>
        <stp>NGE?117</stp>
        <stp>NetLastTradeToday</stp>
        <stp/>
        <stp>T</stp>
        <tr r="G124" s="16"/>
        <tr r="E124" s="16"/>
      </tp>
      <tp>
        <v>3.2578</v>
        <stp/>
        <stp>StudyData</stp>
        <stp>Bar(((NGEX17+NGEZ17+NGEF18+NGEG18+NGEH18)/5),1)</stp>
        <stp>Bar</stp>
        <stp/>
        <stp>High</stp>
        <stp>D</stp>
        <stp>-7</stp>
        <stp/>
        <stp/>
        <stp/>
        <stp/>
        <stp>T</stp>
        <tr r="D9" s="14"/>
      </tp>
      <tp>
        <v>3.1534</v>
        <stp/>
        <stp>StudyData</stp>
        <stp>Bar(((NGEX18+NGEZ18+NGEF19+NGEG19+NGEH19)/5),1)</stp>
        <stp>Bar</stp>
        <stp/>
        <stp>High</stp>
        <stp>D</stp>
        <stp>-6</stp>
        <stp/>
        <stp/>
        <stp/>
        <stp/>
        <stp>T</stp>
        <tr r="Y8" s="14"/>
      </tp>
      <tp>
        <v>3.1623999999999999</v>
        <stp/>
        <stp>StudyData</stp>
        <stp>Bar(((NGEX18+NGEZ18+NGEF19+NGEG19+NGEH19)/5),1)</stp>
        <stp>Bar</stp>
        <stp/>
        <stp>Open</stp>
        <stp>D</stp>
        <stp>-1</stp>
        <stp/>
        <stp/>
        <stp/>
        <stp/>
        <stp>T</stp>
        <tr r="X3" s="14"/>
      </tp>
      <tp t="s">
        <v/>
        <stp/>
        <stp>ContractData</stp>
        <stp>NGE?108</stp>
        <stp>NetLastTradeToday</stp>
        <stp/>
        <stp>T</stp>
        <tr r="E115" s="16"/>
        <tr r="G115" s="16"/>
      </tp>
      <tp t="s">
        <v/>
        <stp/>
        <stp>ContractData</stp>
        <stp>NGE?109</stp>
        <stp>NetLastTradeToday</stp>
        <stp/>
        <stp>T</stp>
        <tr r="E116" s="16"/>
        <tr r="G116" s="16"/>
      </tp>
      <tp t="s">
        <v/>
        <stp/>
        <stp>ContractData</stp>
        <stp>NGE?100</stp>
        <stp>NetLastTradeToday</stp>
        <stp/>
        <stp>T</stp>
        <tr r="G107" s="16"/>
        <tr r="E107" s="16"/>
      </tp>
      <tp t="s">
        <v/>
        <stp/>
        <stp>ContractData</stp>
        <stp>NGE?101</stp>
        <stp>NetLastTradeToday</stp>
        <stp/>
        <stp>T</stp>
        <tr r="E108" s="16"/>
        <tr r="G108" s="16"/>
      </tp>
      <tp t="s">
        <v/>
        <stp/>
        <stp>ContractData</stp>
        <stp>NGE?102</stp>
        <stp>NetLastTradeToday</stp>
        <stp/>
        <stp>T</stp>
        <tr r="G109" s="16"/>
        <tr r="E109" s="16"/>
      </tp>
      <tp t="s">
        <v/>
        <stp/>
        <stp>ContractData</stp>
        <stp>NGE?103</stp>
        <stp>NetLastTradeToday</stp>
        <stp/>
        <stp>T</stp>
        <tr r="E110" s="16"/>
        <tr r="G110" s="16"/>
      </tp>
      <tp t="s">
        <v/>
        <stp/>
        <stp>ContractData</stp>
        <stp>NGE?104</stp>
        <stp>NetLastTradeToday</stp>
        <stp/>
        <stp>T</stp>
        <tr r="G111" s="16"/>
        <tr r="E111" s="16"/>
      </tp>
      <tp t="s">
        <v/>
        <stp/>
        <stp>ContractData</stp>
        <stp>NGE?105</stp>
        <stp>NetLastTradeToday</stp>
        <stp/>
        <stp>T</stp>
        <tr r="E112" s="16"/>
        <tr r="G112" s="16"/>
      </tp>
      <tp t="s">
        <v/>
        <stp/>
        <stp>ContractData</stp>
        <stp>NGE?106</stp>
        <stp>NetLastTradeToday</stp>
        <stp/>
        <stp>T</stp>
        <tr r="G113" s="16"/>
        <tr r="E113" s="16"/>
      </tp>
      <tp t="s">
        <v/>
        <stp/>
        <stp>ContractData</stp>
        <stp>NGE?107</stp>
        <stp>NetLastTradeToday</stp>
        <stp/>
        <stp>T</stp>
        <tr r="E114" s="16"/>
        <tr r="G114" s="16"/>
      </tp>
      <tp>
        <v>3.2549999999999999</v>
        <stp/>
        <stp>StudyData</stp>
        <stp>Bar(((NGEX17+NGEZ17+NGEF18+NGEG18+NGEH18)/5),1)</stp>
        <stp>Bar</stp>
        <stp/>
        <stp>High</stp>
        <stp>D</stp>
        <stp>-6</stp>
        <stp/>
        <stp/>
        <stp/>
        <stp/>
        <stp>T</stp>
        <tr r="D8" s="14"/>
      </tp>
      <tp>
        <v>3.1583999999999999</v>
        <stp/>
        <stp>StudyData</stp>
        <stp>Bar(((NGEX18+NGEZ18+NGEF19+NGEG19+NGEH19)/5),1)</stp>
        <stp>Bar</stp>
        <stp/>
        <stp>High</stp>
        <stp>D</stp>
        <stp>-7</stp>
        <stp/>
        <stp/>
        <stp/>
        <stp/>
        <stp>T</stp>
        <tr r="Y9" s="14"/>
      </tp>
      <tp>
        <v>3.1520000000000001</v>
        <stp/>
        <stp>StudyData</stp>
        <stp>Bar(((NGEX17+NGEZ17+NGEF18+NGEG18+NGEH18)/5),1)</stp>
        <stp>Bar</stp>
        <stp/>
        <stp>Open</stp>
        <stp>D</stp>
        <stp>-1</stp>
        <stp/>
        <stp/>
        <stp/>
        <stp/>
        <stp>T</stp>
        <tr r="C3" s="14"/>
      </tp>
      <tp>
        <v>46626</v>
        <stp/>
        <stp>ContractData</stp>
        <stp>NGE?119</stp>
        <stp>ExpirationDate</stp>
        <stp/>
        <stp>T</stp>
        <tr r="AA126" s="16"/>
      </tp>
      <tp>
        <v>46323</v>
        <stp/>
        <stp>ContractData</stp>
        <stp>NGE?109</stp>
        <stp>ExpirationDate</stp>
        <stp/>
        <stp>T</stp>
        <tr r="AA116" s="16"/>
      </tp>
      <tp>
        <v>47234</v>
        <stp/>
        <stp>ContractData</stp>
        <stp>NGE?139</stp>
        <stp>ExpirationDate</stp>
        <stp/>
        <stp>T</stp>
        <tr r="AA146" s="16"/>
      </tp>
      <tp>
        <v>46932</v>
        <stp/>
        <stp>ContractData</stp>
        <stp>NGE?129</stp>
        <stp>ExpirationDate</stp>
        <stp/>
        <stp>T</stp>
        <tr r="AA136" s="16"/>
      </tp>
      <tp t="s">
        <v>NGES6X7</v>
        <stp/>
        <stp>ContractData</stp>
        <stp>NGES6?1</stp>
        <stp>Symbol</stp>
        <tr r="A108" s="2"/>
        <tr r="A111" s="2"/>
      </tp>
      <tp t="s">
        <v>NGES1F8</v>
        <stp/>
        <stp>ContractData</stp>
        <stp>NGES1F8</stp>
        <stp>Symbol</stp>
        <tr r="N11" s="2"/>
      </tp>
      <tp t="s">
        <v>NGES1G8</v>
        <stp/>
        <stp>ContractData</stp>
        <stp>NGES1G8</stp>
        <stp>Symbol</stp>
        <tr r="O11" s="2"/>
      </tp>
      <tp t="s">
        <v>NGES1J8</v>
        <stp/>
        <stp>ContractData</stp>
        <stp>NGES1J8</stp>
        <stp>Symbol</stp>
        <tr r="Q11" s="2"/>
      </tp>
      <tp t="s">
        <v>NGES1K8</v>
        <stp/>
        <stp>ContractData</stp>
        <stp>NGES1K8</stp>
        <stp>Symbol</stp>
        <tr r="R11" s="2"/>
      </tp>
      <tp t="s">
        <v>NGES1H8</v>
        <stp/>
        <stp>ContractData</stp>
        <stp>NGES1H8</stp>
        <stp>Symbol</stp>
        <tr r="P11" s="2"/>
      </tp>
      <tp t="s">
        <v>NGES1N8</v>
        <stp/>
        <stp>ContractData</stp>
        <stp>NGES1N8</stp>
        <stp>Symbol</stp>
        <tr r="T11" s="2"/>
      </tp>
      <tp t="s">
        <v>NGES1M8</v>
        <stp/>
        <stp>ContractData</stp>
        <stp>NGES1M8</stp>
        <stp>Symbol</stp>
        <tr r="S11" s="2"/>
      </tp>
      <tp t="s">
        <v>NGES1Q8</v>
        <stp/>
        <stp>ContractData</stp>
        <stp>NGES1Q8</stp>
        <stp>Symbol</stp>
        <tr r="U11" s="2"/>
      </tp>
      <tp t="s">
        <v>NGES1V8</v>
        <stp/>
        <stp>ContractData</stp>
        <stp>NGES1V8</stp>
        <stp>Symbol</stp>
        <tr r="W11" s="2"/>
      </tp>
      <tp t="s">
        <v>NGES1U8</v>
        <stp/>
        <stp>ContractData</stp>
        <stp>NGES1U8</stp>
        <stp>Symbol</stp>
        <tr r="V11" s="2"/>
      </tp>
      <tp t="s">
        <v>NGES1Z7</v>
        <stp/>
        <stp>ContractData</stp>
        <stp>NGES1Z7</stp>
        <stp>Symbol</stp>
        <tr r="M11" s="2"/>
      </tp>
      <tp t="s">
        <v>NGES1X7</v>
        <stp/>
        <stp>ContractData</stp>
        <stp>NGES1X7</stp>
        <stp>Symbol</stp>
        <tr r="L11" s="2"/>
      </tp>
      <tp>
        <v>2.7491428600000001</v>
        <stp/>
        <stp>StudyData</stp>
        <stp>Bar(((NGEJ19+NGEK19+NGEM19+NGEN19+NGEQ19+NGEU19+NGEV19)/7),1)</stp>
        <stp>Bar</stp>
        <stp/>
        <stp>Open</stp>
        <stp>D</stp>
        <stp>-3</stp>
        <stp/>
        <stp/>
        <stp/>
        <stp/>
        <stp>T</stp>
        <tr r="AK5" s="14"/>
      </tp>
      <tp>
        <v>2.9148571400000001</v>
        <stp/>
        <stp>StudyData</stp>
        <stp>Bar(((NGEJ18+NGEK18+NGEM18+NGEN18+NGEQ18+NGEU18+NGEV18)/7),1)</stp>
        <stp>Bar</stp>
        <stp/>
        <stp>Open</stp>
        <stp>D</stp>
        <stp>-3</stp>
        <stp/>
        <stp/>
        <stp/>
        <stp/>
        <stp>T</stp>
        <tr r="P5" s="14"/>
      </tp>
      <tp>
        <v>42991</v>
        <stp/>
        <stp>StudyData</stp>
        <stp>Bar(((NGEJ18+NGEK18+NGEM18+NGEN18+NGEQ18+NGEU18+NGEV18)/7),1)</stp>
        <stp>Bar</stp>
        <stp/>
        <stp>Time</stp>
        <stp>D</stp>
        <stp>-17</stp>
        <stp/>
        <stp/>
        <stp/>
        <stp/>
        <stp>T</stp>
        <tr r="O19" s="14"/>
      </tp>
      <tp>
        <v>42992</v>
        <stp/>
        <stp>StudyData</stp>
        <stp>Bar(((NGEJ19+NGEK19+NGEM19+NGEN19+NGEQ19+NGEU19+NGEV19)/7),1)</stp>
        <stp>Bar</stp>
        <stp/>
        <stp>Time</stp>
        <stp>D</stp>
        <stp>-16</stp>
        <stp/>
        <stp/>
        <stp/>
        <stp/>
        <stp>T</stp>
        <tr r="AJ18" s="14"/>
      </tp>
      <tp>
        <v>42976</v>
        <stp/>
        <stp>StudyData</stp>
        <stp>Bar(((NGEJ18+NGEK18+NGEM18+NGEN18+NGEQ18+NGEU18+NGEV18)/7),1)</stp>
        <stp>Bar</stp>
        <stp/>
        <stp>Time</stp>
        <stp>D</stp>
        <stp>-27</stp>
        <stp/>
        <stp/>
        <stp/>
        <stp/>
        <stp>T</stp>
        <tr r="O29" s="14"/>
      </tp>
      <tp>
        <v>42977</v>
        <stp/>
        <stp>StudyData</stp>
        <stp>Bar(((NGEJ19+NGEK19+NGEM19+NGEN19+NGEQ19+NGEU19+NGEV19)/7),1)</stp>
        <stp>Bar</stp>
        <stp/>
        <stp>Time</stp>
        <stp>D</stp>
        <stp>-26</stp>
        <stp/>
        <stp/>
        <stp/>
        <stp/>
        <stp>T</stp>
        <tr r="AJ28" s="14"/>
      </tp>
      <tp>
        <v>42962</v>
        <stp/>
        <stp>StudyData</stp>
        <stp>Bar(((NGEJ18+NGEK18+NGEM18+NGEN18+NGEQ18+NGEU18+NGEV18)/7),1)</stp>
        <stp>Bar</stp>
        <stp/>
        <stp>Time</stp>
        <stp>D</stp>
        <stp>-37</stp>
        <stp/>
        <stp/>
        <stp/>
        <stp/>
        <stp>T</stp>
        <tr r="O39" s="14"/>
      </tp>
      <tp>
        <v>42963</v>
        <stp/>
        <stp>StudyData</stp>
        <stp>Bar(((NGEJ19+NGEK19+NGEM19+NGEN19+NGEQ19+NGEU19+NGEV19)/7),1)</stp>
        <stp>Bar</stp>
        <stp/>
        <stp>Time</stp>
        <stp>D</stp>
        <stp>-36</stp>
        <stp/>
        <stp/>
        <stp/>
        <stp/>
        <stp>T</stp>
        <tr r="AJ38" s="14"/>
      </tp>
      <tp>
        <v>2.9367142899999998</v>
        <stp/>
        <stp>StudyData</stp>
        <stp>Bar(((NGEJ18+NGEK18+NGEM18+NGEN18+NGEQ18+NGEU18+NGEV18)/7),1)</stp>
        <stp>Bar</stp>
        <stp/>
        <stp>High</stp>
        <stp>D</stp>
        <stp>-4</stp>
        <stp/>
        <stp/>
        <stp/>
        <stp/>
        <stp>T</stp>
        <tr r="Q6" s="14"/>
      </tp>
      <tp>
        <v>2.7491428600000001</v>
        <stp/>
        <stp>StudyData</stp>
        <stp>Bar(((NGEJ19+NGEK19+NGEM19+NGEN19+NGEQ19+NGEU19+NGEV19)/7),1)</stp>
        <stp>Bar</stp>
        <stp/>
        <stp>High</stp>
        <stp>D</stp>
        <stp>-4</stp>
        <stp/>
        <stp/>
        <stp/>
        <stp/>
        <stp>T</stp>
        <tr r="AL6" s="14"/>
      </tp>
      <tp>
        <v>2.9687142899999999</v>
        <stp/>
        <stp>StudyData</stp>
        <stp>Bar(((NGEJ18+NGEK18+NGEM18+NGEN18+NGEQ18+NGEU18+NGEV18)/7),1)</stp>
        <stp>Bar</stp>
        <stp/>
        <stp>High</stp>
        <stp>D</stp>
        <stp>-17</stp>
        <stp/>
        <stp/>
        <stp/>
        <stp/>
        <stp>T</stp>
        <tr r="Q19" s="14"/>
      </tp>
      <tp>
        <v>2.7724285700000002</v>
        <stp/>
        <stp>StudyData</stp>
        <stp>Bar(((NGEJ19+NGEK19+NGEM19+NGEN19+NGEQ19+NGEU19+NGEV19)/7),1)</stp>
        <stp>Bar</stp>
        <stp/>
        <stp>High</stp>
        <stp>D</stp>
        <stp>-16</stp>
        <stp/>
        <stp/>
        <stp/>
        <stp/>
        <stp>T</stp>
        <tr r="AL18" s="14"/>
      </tp>
      <tp>
        <v>2.9121428599999999</v>
        <stp/>
        <stp>StudyData</stp>
        <stp>Bar(((NGEJ18+NGEK18+NGEM18+NGEN18+NGEQ18+NGEU18+NGEV18)/7),1)</stp>
        <stp>Bar</stp>
        <stp/>
        <stp>High</stp>
        <stp>D</stp>
        <stp>-27</stp>
        <stp/>
        <stp/>
        <stp/>
        <stp/>
        <stp>T</stp>
        <tr r="Q29" s="14"/>
      </tp>
      <tp>
        <v>2.7237142900000002</v>
        <stp/>
        <stp>StudyData</stp>
        <stp>Bar(((NGEJ19+NGEK19+NGEM19+NGEN19+NGEQ19+NGEU19+NGEV19)/7),1)</stp>
        <stp>Bar</stp>
        <stp/>
        <stp>High</stp>
        <stp>D</stp>
        <stp>-26</stp>
        <stp/>
        <stp/>
        <stp/>
        <stp/>
        <stp>T</stp>
        <tr r="AL28" s="14"/>
      </tp>
      <tp>
        <v>2.9062857100000001</v>
        <stp/>
        <stp>StudyData</stp>
        <stp>Bar(((NGEJ18+NGEK18+NGEM18+NGEN18+NGEQ18+NGEU18+NGEV18)/7),1)</stp>
        <stp>Bar</stp>
        <stp/>
        <stp>High</stp>
        <stp>D</stp>
        <stp>-37</stp>
        <stp/>
        <stp/>
        <stp/>
        <stp/>
        <stp>T</stp>
        <tr r="Q39" s="14"/>
      </tp>
      <tp>
        <v>2.7162857100000002</v>
        <stp/>
        <stp>StudyData</stp>
        <stp>Bar(((NGEJ19+NGEK19+NGEM19+NGEN19+NGEQ19+NGEU19+NGEV19)/7),1)</stp>
        <stp>Bar</stp>
        <stp/>
        <stp>High</stp>
        <stp>D</stp>
        <stp>-36</stp>
        <stp/>
        <stp/>
        <stp/>
        <stp/>
        <stp>T</stp>
        <tr r="AL38" s="14"/>
      </tp>
      <tp>
        <v>0</v>
        <stp/>
        <stp>ContractData</stp>
        <stp>NGES2N8</stp>
        <stp>NetLastTradeToday</stp>
        <stp/>
        <stp>T</stp>
        <tr r="H53" s="2"/>
        <tr r="G53" s="2"/>
      </tp>
      <tp t="s">
        <v/>
        <stp/>
        <stp>ContractData</stp>
        <stp>NGES3N8</stp>
        <stp>NetLastTradeToday</stp>
        <stp/>
        <stp>T</stp>
        <tr r="H69" s="2"/>
        <tr r="G69" s="2"/>
      </tp>
      <tp>
        <v>0</v>
        <stp/>
        <stp>ContractData</stp>
        <stp>NGES1N8</stp>
        <stp>NetLastTradeToday</stp>
        <stp/>
        <stp>T</stp>
        <tr r="H37" s="2"/>
        <tr r="G37" s="2"/>
      </tp>
      <tp t="s">
        <v/>
        <stp/>
        <stp>ContractData</stp>
        <stp>NGES6N8</stp>
        <stp>NetLastTradeToday</stp>
        <stp/>
        <stp>T</stp>
        <tr r="G120" s="2"/>
        <tr r="H120" s="2"/>
      </tp>
      <tp t="s">
        <v/>
        <stp/>
        <stp>ContractData</stp>
        <stp>NGES4N8</stp>
        <stp>NetLastTradeToday</stp>
        <stp/>
        <stp>T</stp>
        <tr r="H85" s="2"/>
        <tr r="G85" s="2"/>
      </tp>
      <tp t="s">
        <v/>
        <stp/>
        <stp>ContractData</stp>
        <stp>NGES5N8</stp>
        <stp>NetLastTradeToday</stp>
        <stp/>
        <stp>T</stp>
        <tr r="H101" s="2"/>
        <tr r="G101" s="2"/>
      </tp>
      <tp>
        <v>46596</v>
        <stp/>
        <stp>ContractData</stp>
        <stp>NGE?118</stp>
        <stp>ExpirationDate</stp>
        <stp/>
        <stp>T</stp>
        <tr r="AA125" s="16"/>
      </tp>
      <tp>
        <v>46293</v>
        <stp/>
        <stp>ContractData</stp>
        <stp>NGE?108</stp>
        <stp>ExpirationDate</stp>
        <stp/>
        <stp>T</stp>
        <tr r="AA115" s="16"/>
      </tp>
      <tp>
        <v>47205</v>
        <stp/>
        <stp>ContractData</stp>
        <stp>NGE?138</stp>
        <stp>ExpirationDate</stp>
        <stp/>
        <stp>T</stp>
        <tr r="AA145" s="16"/>
      </tp>
      <tp>
        <v>46902</v>
        <stp/>
        <stp>ContractData</stp>
        <stp>NGE?128</stp>
        <stp>ExpirationDate</stp>
        <stp/>
        <stp>T</stp>
        <tr r="AA135" s="16"/>
      </tp>
      <tp>
        <v>2.7524285700000002</v>
        <stp/>
        <stp>StudyData</stp>
        <stp>Bar(((NGEJ19+NGEK19+NGEM19+NGEN19+NGEQ19+NGEU19+NGEV19)/7),1)</stp>
        <stp>Bar</stp>
        <stp/>
        <stp>Open</stp>
        <stp>D</stp>
        <stp>-2</stp>
        <stp/>
        <stp/>
        <stp/>
        <stp/>
        <stp>T</stp>
        <tr r="AK4" s="14"/>
      </tp>
      <tp>
        <v>2.91471429</v>
        <stp/>
        <stp>StudyData</stp>
        <stp>Bar(((NGEJ18+NGEK18+NGEM18+NGEN18+NGEQ18+NGEU18+NGEV18)/7),1)</stp>
        <stp>Bar</stp>
        <stp/>
        <stp>Open</stp>
        <stp>D</stp>
        <stp>-2</stp>
        <stp/>
        <stp/>
        <stp/>
        <stp/>
        <stp>T</stp>
        <tr r="P4" s="14"/>
      </tp>
      <tp>
        <v>42992</v>
        <stp/>
        <stp>StudyData</stp>
        <stp>Bar(((NGEJ18+NGEK18+NGEM18+NGEN18+NGEQ18+NGEU18+NGEV18)/7),1)</stp>
        <stp>Bar</stp>
        <stp/>
        <stp>Time</stp>
        <stp>D</stp>
        <stp>-16</stp>
        <stp/>
        <stp/>
        <stp/>
        <stp/>
        <stp>T</stp>
        <tr r="O18" s="14"/>
      </tp>
      <tp>
        <v>42991</v>
        <stp/>
        <stp>StudyData</stp>
        <stp>Bar(((NGEJ19+NGEK19+NGEM19+NGEN19+NGEQ19+NGEU19+NGEV19)/7),1)</stp>
        <stp>Bar</stp>
        <stp/>
        <stp>Time</stp>
        <stp>D</stp>
        <stp>-17</stp>
        <stp/>
        <stp/>
        <stp/>
        <stp/>
        <stp>T</stp>
        <tr r="AJ19" s="14"/>
      </tp>
      <tp>
        <v>42977</v>
        <stp/>
        <stp>StudyData</stp>
        <stp>Bar(((NGEJ18+NGEK18+NGEM18+NGEN18+NGEQ18+NGEU18+NGEV18)/7),1)</stp>
        <stp>Bar</stp>
        <stp/>
        <stp>Time</stp>
        <stp>D</stp>
        <stp>-26</stp>
        <stp/>
        <stp/>
        <stp/>
        <stp/>
        <stp>T</stp>
        <tr r="O28" s="14"/>
      </tp>
      <tp>
        <v>42976</v>
        <stp/>
        <stp>StudyData</stp>
        <stp>Bar(((NGEJ19+NGEK19+NGEM19+NGEN19+NGEQ19+NGEU19+NGEV19)/7),1)</stp>
        <stp>Bar</stp>
        <stp/>
        <stp>Time</stp>
        <stp>D</stp>
        <stp>-27</stp>
        <stp/>
        <stp/>
        <stp/>
        <stp/>
        <stp>T</stp>
        <tr r="AJ29" s="14"/>
      </tp>
      <tp>
        <v>42963</v>
        <stp/>
        <stp>StudyData</stp>
        <stp>Bar(((NGEJ18+NGEK18+NGEM18+NGEN18+NGEQ18+NGEU18+NGEV18)/7),1)</stp>
        <stp>Bar</stp>
        <stp/>
        <stp>Time</stp>
        <stp>D</stp>
        <stp>-36</stp>
        <stp/>
        <stp/>
        <stp/>
        <stp/>
        <stp>T</stp>
        <tr r="O38" s="14"/>
      </tp>
      <tp>
        <v>42962</v>
        <stp/>
        <stp>StudyData</stp>
        <stp>Bar(((NGEJ19+NGEK19+NGEM19+NGEN19+NGEQ19+NGEU19+NGEV19)/7),1)</stp>
        <stp>Bar</stp>
        <stp/>
        <stp>Time</stp>
        <stp>D</stp>
        <stp>-37</stp>
        <stp/>
        <stp/>
        <stp/>
        <stp/>
        <stp>T</stp>
        <tr r="AJ39" s="14"/>
      </tp>
      <tp>
        <v>2.944</v>
        <stp/>
        <stp>StudyData</stp>
        <stp>Bar(((NGEJ18+NGEK18+NGEM18+NGEN18+NGEQ18+NGEU18+NGEV18)/7),1)</stp>
        <stp>Bar</stp>
        <stp/>
        <stp>High</stp>
        <stp>D</stp>
        <stp>-5</stp>
        <stp/>
        <stp/>
        <stp/>
        <stp/>
        <stp>T</stp>
        <tr r="Q7" s="14"/>
      </tp>
      <tp>
        <v>2.75</v>
        <stp/>
        <stp>StudyData</stp>
        <stp>Bar(((NGEJ19+NGEK19+NGEM19+NGEN19+NGEQ19+NGEU19+NGEV19)/7),1)</stp>
        <stp>Bar</stp>
        <stp/>
        <stp>High</stp>
        <stp>D</stp>
        <stp>-5</stp>
        <stp/>
        <stp/>
        <stp/>
        <stp/>
        <stp>T</stp>
        <tr r="AL7" s="14"/>
      </tp>
      <tp>
        <v>2.9658571399999998</v>
        <stp/>
        <stp>StudyData</stp>
        <stp>Bar(((NGEJ18+NGEK18+NGEM18+NGEN18+NGEQ18+NGEU18+NGEV18)/7),1)</stp>
        <stp>Bar</stp>
        <stp/>
        <stp>High</stp>
        <stp>D</stp>
        <stp>-16</stp>
        <stp/>
        <stp/>
        <stp/>
        <stp/>
        <stp>T</stp>
        <tr r="Q18" s="14"/>
      </tp>
      <tp>
        <v>2.7732857100000001</v>
        <stp/>
        <stp>StudyData</stp>
        <stp>Bar(((NGEJ19+NGEK19+NGEM19+NGEN19+NGEQ19+NGEU19+NGEV19)/7),1)</stp>
        <stp>Bar</stp>
        <stp/>
        <stp>High</stp>
        <stp>D</stp>
        <stp>-17</stp>
        <stp/>
        <stp/>
        <stp/>
        <stp/>
        <stp>T</stp>
        <tr r="AL19" s="14"/>
      </tp>
      <tp>
        <v>2.90314286</v>
        <stp/>
        <stp>StudyData</stp>
        <stp>Bar(((NGEJ18+NGEK18+NGEM18+NGEN18+NGEQ18+NGEU18+NGEV18)/7),1)</stp>
        <stp>Bar</stp>
        <stp/>
        <stp>High</stp>
        <stp>D</stp>
        <stp>-26</stp>
        <stp/>
        <stp/>
        <stp/>
        <stp/>
        <stp>T</stp>
        <tr r="Q28" s="14"/>
      </tp>
      <tp>
        <v>2.7202857100000002</v>
        <stp/>
        <stp>StudyData</stp>
        <stp>Bar(((NGEJ19+NGEK19+NGEM19+NGEN19+NGEQ19+NGEU19+NGEV19)/7),1)</stp>
        <stp>Bar</stp>
        <stp/>
        <stp>High</stp>
        <stp>D</stp>
        <stp>-27</stp>
        <stp/>
        <stp/>
        <stp/>
        <stp/>
        <stp>T</stp>
        <tr r="AL29" s="14"/>
      </tp>
      <tp>
        <v>2.8891428600000002</v>
        <stp/>
        <stp>StudyData</stp>
        <stp>Bar(((NGEJ18+NGEK18+NGEM18+NGEN18+NGEQ18+NGEU18+NGEV18)/7),1)</stp>
        <stp>Bar</stp>
        <stp/>
        <stp>High</stp>
        <stp>D</stp>
        <stp>-36</stp>
        <stp/>
        <stp/>
        <stp/>
        <stp/>
        <stp>T</stp>
        <tr r="Q38" s="14"/>
      </tp>
      <tp>
        <v>2.7290000000000001</v>
        <stp/>
        <stp>StudyData</stp>
        <stp>Bar(((NGEJ19+NGEK19+NGEM19+NGEN19+NGEQ19+NGEU19+NGEV19)/7),1)</stp>
        <stp>Bar</stp>
        <stp/>
        <stp>High</stp>
        <stp>D</stp>
        <stp>-37</stp>
        <stp/>
        <stp/>
        <stp/>
        <stp/>
        <stp>T</stp>
        <tr r="AL39" s="14"/>
      </tp>
      <tp>
        <v>0</v>
        <stp/>
        <stp>ContractData</stp>
        <stp>NGES2M8</stp>
        <stp>NetLastTradeToday</stp>
        <stp/>
        <stp>T</stp>
        <tr r="H52" s="2"/>
        <tr r="G52" s="2"/>
      </tp>
      <tp>
        <v>-1E-3</v>
        <stp/>
        <stp>ContractData</stp>
        <stp>NGES3M8</stp>
        <stp>NetLastTradeToday</stp>
        <stp/>
        <stp>T</stp>
        <tr r="G68" s="2"/>
        <tr r="H68" s="2"/>
      </tp>
      <tp>
        <v>0</v>
        <stp/>
        <stp>ContractData</stp>
        <stp>NGES1M8</stp>
        <stp>NetLastTradeToday</stp>
        <stp/>
        <stp>T</stp>
        <tr r="G36" s="2"/>
        <tr r="H36" s="2"/>
      </tp>
      <tp t="s">
        <v/>
        <stp/>
        <stp>ContractData</stp>
        <stp>NGES6M8</stp>
        <stp>NetLastTradeToday</stp>
        <stp/>
        <stp>T</stp>
        <tr r="G119" s="2"/>
        <tr r="H119" s="2"/>
      </tp>
      <tp>
        <v>-1E-3</v>
        <stp/>
        <stp>ContractData</stp>
        <stp>NGES4M8</stp>
        <stp>NetLastTradeToday</stp>
        <stp/>
        <stp>T</stp>
        <tr r="H84" s="2"/>
        <tr r="G84" s="2"/>
      </tp>
      <tp t="s">
        <v/>
        <stp/>
        <stp>ContractData</stp>
        <stp>NGES5M8</stp>
        <stp>NetLastTradeToday</stp>
        <stp/>
        <stp>T</stp>
        <tr r="H100" s="2"/>
        <tr r="G100" s="2"/>
      </tp>
      <tp>
        <v>0</v>
        <stp/>
        <stp>ContractData</stp>
        <stp>NGE?108</stp>
        <stp>Y_CVol</stp>
        <stp/>
        <stp>T</stp>
        <tr r="T115" s="16"/>
      </tp>
      <tp>
        <v>0</v>
        <stp/>
        <stp>ContractData</stp>
        <stp>NGE?118</stp>
        <stp>Y_CVol</stp>
        <stp/>
        <stp>T</stp>
        <tr r="T125" s="16"/>
      </tp>
      <tp>
        <v>0</v>
        <stp/>
        <stp>ContractData</stp>
        <stp>NGE?128</stp>
        <stp>Y_CVol</stp>
        <stp/>
        <stp>T</stp>
        <tr r="T135" s="16"/>
      </tp>
      <tp>
        <v>0</v>
        <stp/>
        <stp>ContractData</stp>
        <stp>NGE?138</stp>
        <stp>Y_CVol</stp>
        <stp/>
        <stp>T</stp>
        <tr r="T145" s="16"/>
      </tp>
      <tp>
        <v>0</v>
        <stp/>
        <stp>ContractData</stp>
        <stp>NGE?108</stp>
        <stp>T_CVol</stp>
        <stp/>
        <stp>T</stp>
        <tr r="S115" s="16"/>
      </tp>
      <tp>
        <v>0</v>
        <stp/>
        <stp>ContractData</stp>
        <stp>NGE?118</stp>
        <stp>T_CVol</stp>
        <stp/>
        <stp>T</stp>
        <tr r="S125" s="16"/>
      </tp>
      <tp>
        <v>0</v>
        <stp/>
        <stp>ContractData</stp>
        <stp>NGE?128</stp>
        <stp>T_CVol</stp>
        <stp/>
        <stp>T</stp>
        <tr r="S135" s="16"/>
      </tp>
      <tp>
        <v>0</v>
        <stp/>
        <stp>ContractData</stp>
        <stp>NGE?138</stp>
        <stp>T_CVol</stp>
        <stp/>
        <stp>T</stp>
        <tr r="S145" s="16"/>
      </tp>
      <tp>
        <v>2.7518571399999998</v>
        <stp/>
        <stp>StudyData</stp>
        <stp>Bar(((NGEJ19+NGEK19+NGEM19+NGEN19+NGEQ19+NGEU19+NGEV19)/7),1)</stp>
        <stp>Bar</stp>
        <stp/>
        <stp>Open</stp>
        <stp>D</stp>
        <stp>-1</stp>
        <stp/>
        <stp/>
        <stp/>
        <stp/>
        <stp>T</stp>
        <tr r="AK3" s="14"/>
      </tp>
      <tp>
        <v>2.9444285699999999</v>
        <stp/>
        <stp>StudyData</stp>
        <stp>Bar(((NGEJ18+NGEK18+NGEM18+NGEN18+NGEQ18+NGEU18+NGEV18)/7),1)</stp>
        <stp>Bar</stp>
        <stp/>
        <stp>Open</stp>
        <stp>D</stp>
        <stp>-1</stp>
        <stp/>
        <stp/>
        <stp/>
        <stp/>
        <stp>T</stp>
        <tr r="P3" s="14"/>
      </tp>
      <tp>
        <v>42993</v>
        <stp/>
        <stp>StudyData</stp>
        <stp>Bar(((NGEJ18+NGEK18+NGEM18+NGEN18+NGEQ18+NGEU18+NGEV18)/7),1)</stp>
        <stp>Bar</stp>
        <stp/>
        <stp>Time</stp>
        <stp>D</stp>
        <stp>-15</stp>
        <stp/>
        <stp/>
        <stp/>
        <stp/>
        <stp>T</stp>
        <tr r="O17" s="14"/>
      </tp>
      <tp>
        <v>42996</v>
        <stp/>
        <stp>StudyData</stp>
        <stp>Bar(((NGEJ19+NGEK19+NGEM19+NGEN19+NGEQ19+NGEU19+NGEV19)/7),1)</stp>
        <stp>Bar</stp>
        <stp/>
        <stp>Time</stp>
        <stp>D</stp>
        <stp>-14</stp>
        <stp/>
        <stp/>
        <stp/>
        <stp/>
        <stp>T</stp>
        <tr r="AJ16" s="14"/>
      </tp>
      <tp>
        <v>42978</v>
        <stp/>
        <stp>StudyData</stp>
        <stp>Bar(((NGEJ18+NGEK18+NGEM18+NGEN18+NGEQ18+NGEU18+NGEV18)/7),1)</stp>
        <stp>Bar</stp>
        <stp/>
        <stp>Time</stp>
        <stp>D</stp>
        <stp>-25</stp>
        <stp/>
        <stp/>
        <stp/>
        <stp/>
        <stp>T</stp>
        <tr r="O27" s="14"/>
      </tp>
      <tp>
        <v>42979</v>
        <stp/>
        <stp>StudyData</stp>
        <stp>Bar(((NGEJ19+NGEK19+NGEM19+NGEN19+NGEQ19+NGEU19+NGEV19)/7),1)</stp>
        <stp>Bar</stp>
        <stp/>
        <stp>Time</stp>
        <stp>D</stp>
        <stp>-24</stp>
        <stp/>
        <stp/>
        <stp/>
        <stp/>
        <stp>T</stp>
        <tr r="AJ26" s="14"/>
      </tp>
      <tp>
        <v>42964</v>
        <stp/>
        <stp>StudyData</stp>
        <stp>Bar(((NGEJ18+NGEK18+NGEM18+NGEN18+NGEQ18+NGEU18+NGEV18)/7),1)</stp>
        <stp>Bar</stp>
        <stp/>
        <stp>Time</stp>
        <stp>D</stp>
        <stp>-35</stp>
        <stp/>
        <stp/>
        <stp/>
        <stp/>
        <stp>T</stp>
        <tr r="O37" s="14"/>
      </tp>
      <tp>
        <v>42965</v>
        <stp/>
        <stp>StudyData</stp>
        <stp>Bar(((NGEJ19+NGEK19+NGEM19+NGEN19+NGEQ19+NGEU19+NGEV19)/7),1)</stp>
        <stp>Bar</stp>
        <stp/>
        <stp>Time</stp>
        <stp>D</stp>
        <stp>-34</stp>
        <stp/>
        <stp/>
        <stp/>
        <stp/>
        <stp>T</stp>
        <tr r="AJ36" s="14"/>
      </tp>
      <tp>
        <v>42951</v>
        <stp/>
        <stp>StudyData</stp>
        <stp>Bar(((NGEJ19+NGEK19+NGEM19+NGEN19+NGEQ19+NGEU19+NGEV19)/7),1)</stp>
        <stp>Bar</stp>
        <stp/>
        <stp>Time</stp>
        <stp>D</stp>
        <stp>-44</stp>
        <stp/>
        <stp/>
        <stp/>
        <stp/>
        <stp>T</stp>
        <tr r="AJ46" s="14"/>
      </tp>
      <tp>
        <v>2.7532857100000001</v>
        <stp/>
        <stp>StudyData</stp>
        <stp>Bar(((NGEJ19+NGEK19+NGEM19+NGEN19+NGEQ19+NGEU19+NGEV19)/7),1)</stp>
        <stp>Bar</stp>
        <stp/>
        <stp>High</stp>
        <stp>D</stp>
        <stp>0</stp>
        <stp/>
        <stp/>
        <stp/>
        <stp/>
        <stp>T</stp>
        <tr r="D53" s="13"/>
        <tr r="AL2" s="14"/>
      </tp>
      <tp>
        <v>2.9427142900000001</v>
        <stp/>
        <stp>StudyData</stp>
        <stp>Bar(((NGEJ18+NGEK18+NGEM18+NGEN18+NGEQ18+NGEU18+NGEV18)/7),1)</stp>
        <stp>Bar</stp>
        <stp/>
        <stp>High</stp>
        <stp>D</stp>
        <stp>0</stp>
        <stp/>
        <stp/>
        <stp/>
        <stp/>
        <stp>T</stp>
        <tr r="D25" s="13"/>
        <tr r="Q2" s="14"/>
      </tp>
      <tp>
        <v>2.9604285699999999</v>
        <stp/>
        <stp>StudyData</stp>
        <stp>Bar(((NGEJ18+NGEK18+NGEM18+NGEN18+NGEQ18+NGEU18+NGEV18)/7),1)</stp>
        <stp>Bar</stp>
        <stp/>
        <stp>High</stp>
        <stp>D</stp>
        <stp>-6</stp>
        <stp/>
        <stp/>
        <stp/>
        <stp/>
        <stp>T</stp>
        <tr r="Q8" s="14"/>
      </tp>
      <tp>
        <v>2.7709999999999999</v>
        <stp/>
        <stp>StudyData</stp>
        <stp>Bar(((NGEJ19+NGEK19+NGEM19+NGEN19+NGEQ19+NGEU19+NGEV19)/7),1)</stp>
        <stp>Bar</stp>
        <stp/>
        <stp>High</stp>
        <stp>D</stp>
        <stp>-6</stp>
        <stp/>
        <stp/>
        <stp/>
        <stp/>
        <stp>T</stp>
        <tr r="AL8" s="14"/>
      </tp>
      <tp>
        <v>2.7241428600000002</v>
        <stp/>
        <stp>StudyData</stp>
        <stp>Bar(((NGEJ19+NGEK19+NGEM19+NGEN19+NGEQ19+NGEU19+NGEV19)/7),1)</stp>
        <stp>Bar</stp>
        <stp/>
        <stp>High</stp>
        <stp>D</stp>
        <stp>-44</stp>
        <stp/>
        <stp/>
        <stp/>
        <stp/>
        <stp>T</stp>
        <tr r="AL46" s="14"/>
      </tp>
      <tp>
        <v>2.9620000000000002</v>
        <stp/>
        <stp>StudyData</stp>
        <stp>Bar(((NGEJ18+NGEK18+NGEM18+NGEN18+NGEQ18+NGEU18+NGEV18)/7),1)</stp>
        <stp>Bar</stp>
        <stp/>
        <stp>High</stp>
        <stp>D</stp>
        <stp>-15</stp>
        <stp/>
        <stp/>
        <stp/>
        <stp/>
        <stp>T</stp>
        <tr r="Q17" s="14"/>
      </tp>
      <tp>
        <v>2.7850000000000001</v>
        <stp/>
        <stp>StudyData</stp>
        <stp>Bar(((NGEJ19+NGEK19+NGEM19+NGEN19+NGEQ19+NGEU19+NGEV19)/7),1)</stp>
        <stp>Bar</stp>
        <stp/>
        <stp>High</stp>
        <stp>D</stp>
        <stp>-14</stp>
        <stp/>
        <stp/>
        <stp/>
        <stp/>
        <stp>T</stp>
        <tr r="AL16" s="14"/>
      </tp>
      <tp>
        <v>2.92328571</v>
        <stp/>
        <stp>StudyData</stp>
        <stp>Bar(((NGEJ18+NGEK18+NGEM18+NGEN18+NGEQ18+NGEU18+NGEV18)/7),1)</stp>
        <stp>Bar</stp>
        <stp/>
        <stp>High</stp>
        <stp>D</stp>
        <stp>-25</stp>
        <stp/>
        <stp/>
        <stp/>
        <stp/>
        <stp>T</stp>
        <tr r="Q27" s="14"/>
      </tp>
      <tp>
        <v>2.7365714300000001</v>
        <stp/>
        <stp>StudyData</stp>
        <stp>Bar(((NGEJ19+NGEK19+NGEM19+NGEN19+NGEQ19+NGEU19+NGEV19)/7),1)</stp>
        <stp>Bar</stp>
        <stp/>
        <stp>High</stp>
        <stp>D</stp>
        <stp>-24</stp>
        <stp/>
        <stp/>
        <stp/>
        <stp/>
        <stp>T</stp>
        <tr r="AL26" s="14"/>
      </tp>
      <tp>
        <v>2.8904285700000001</v>
        <stp/>
        <stp>StudyData</stp>
        <stp>Bar(((NGEJ18+NGEK18+NGEM18+NGEN18+NGEQ18+NGEU18+NGEV18)/7),1)</stp>
        <stp>Bar</stp>
        <stp/>
        <stp>High</stp>
        <stp>D</stp>
        <stp>-35</stp>
        <stp/>
        <stp/>
        <stp/>
        <stp/>
        <stp>T</stp>
        <tr r="Q37" s="14"/>
      </tp>
      <tp>
        <v>2.71385714</v>
        <stp/>
        <stp>StudyData</stp>
        <stp>Bar(((NGEJ19+NGEK19+NGEM19+NGEN19+NGEQ19+NGEU19+NGEV19)/7),1)</stp>
        <stp>Bar</stp>
        <stp/>
        <stp>High</stp>
        <stp>D</stp>
        <stp>-34</stp>
        <stp/>
        <stp/>
        <stp/>
        <stp/>
        <stp>T</stp>
        <tr r="AL36" s="14"/>
      </tp>
      <tp>
        <v>0</v>
        <stp/>
        <stp>ContractData</stp>
        <stp>NGE?109</stp>
        <stp>Y_CVol</stp>
        <stp/>
        <stp>T</stp>
        <tr r="T116" s="16"/>
      </tp>
      <tp>
        <v>0</v>
        <stp/>
        <stp>ContractData</stp>
        <stp>NGE?119</stp>
        <stp>Y_CVol</stp>
        <stp/>
        <stp>T</stp>
        <tr r="T126" s="16"/>
      </tp>
      <tp>
        <v>0</v>
        <stp/>
        <stp>ContractData</stp>
        <stp>NGE?129</stp>
        <stp>Y_CVol</stp>
        <stp/>
        <stp>T</stp>
        <tr r="T136" s="16"/>
      </tp>
      <tp>
        <v>0</v>
        <stp/>
        <stp>ContractData</stp>
        <stp>NGE?139</stp>
        <stp>Y_CVol</stp>
        <stp/>
        <stp>T</stp>
        <tr r="T146" s="16"/>
      </tp>
      <tp>
        <v>0</v>
        <stp/>
        <stp>ContractData</stp>
        <stp>NGE?109</stp>
        <stp>T_CVol</stp>
        <stp/>
        <stp>T</stp>
        <tr r="S116" s="16"/>
      </tp>
      <tp>
        <v>0</v>
        <stp/>
        <stp>ContractData</stp>
        <stp>NGE?119</stp>
        <stp>T_CVol</stp>
        <stp/>
        <stp>T</stp>
        <tr r="S126" s="16"/>
      </tp>
      <tp>
        <v>0</v>
        <stp/>
        <stp>ContractData</stp>
        <stp>NGE?129</stp>
        <stp>T_CVol</stp>
        <stp/>
        <stp>T</stp>
        <tr r="S136" s="16"/>
      </tp>
      <tp>
        <v>0</v>
        <stp/>
        <stp>ContractData</stp>
        <stp>NGE?139</stp>
        <stp>T_CVol</stp>
        <stp/>
        <stp>T</stp>
        <tr r="S146" s="16"/>
      </tp>
      <tp>
        <v>42996</v>
        <stp/>
        <stp>StudyData</stp>
        <stp>Bar(((NGEJ18+NGEK18+NGEM18+NGEN18+NGEQ18+NGEU18+NGEV18)/7),1)</stp>
        <stp>Bar</stp>
        <stp/>
        <stp>Time</stp>
        <stp>D</stp>
        <stp>-14</stp>
        <stp/>
        <stp/>
        <stp/>
        <stp/>
        <stp>T</stp>
        <tr r="O16" s="14"/>
      </tp>
      <tp>
        <v>42993</v>
        <stp/>
        <stp>StudyData</stp>
        <stp>Bar(((NGEJ19+NGEK19+NGEM19+NGEN19+NGEQ19+NGEU19+NGEV19)/7),1)</stp>
        <stp>Bar</stp>
        <stp/>
        <stp>Time</stp>
        <stp>D</stp>
        <stp>-15</stp>
        <stp/>
        <stp/>
        <stp/>
        <stp/>
        <stp>T</stp>
        <tr r="AJ17" s="14"/>
      </tp>
      <tp>
        <v>42979</v>
        <stp/>
        <stp>StudyData</stp>
        <stp>Bar(((NGEJ18+NGEK18+NGEM18+NGEN18+NGEQ18+NGEU18+NGEV18)/7),1)</stp>
        <stp>Bar</stp>
        <stp/>
        <stp>Time</stp>
        <stp>D</stp>
        <stp>-24</stp>
        <stp/>
        <stp/>
        <stp/>
        <stp/>
        <stp>T</stp>
        <tr r="O26" s="14"/>
      </tp>
      <tp>
        <v>42978</v>
        <stp/>
        <stp>StudyData</stp>
        <stp>Bar(((NGEJ19+NGEK19+NGEM19+NGEN19+NGEQ19+NGEU19+NGEV19)/7),1)</stp>
        <stp>Bar</stp>
        <stp/>
        <stp>Time</stp>
        <stp>D</stp>
        <stp>-25</stp>
        <stp/>
        <stp/>
        <stp/>
        <stp/>
        <stp>T</stp>
        <tr r="AJ27" s="14"/>
      </tp>
      <tp>
        <v>42965</v>
        <stp/>
        <stp>StudyData</stp>
        <stp>Bar(((NGEJ18+NGEK18+NGEM18+NGEN18+NGEQ18+NGEU18+NGEV18)/7),1)</stp>
        <stp>Bar</stp>
        <stp/>
        <stp>Time</stp>
        <stp>D</stp>
        <stp>-34</stp>
        <stp/>
        <stp/>
        <stp/>
        <stp/>
        <stp>T</stp>
        <tr r="O36" s="14"/>
      </tp>
      <tp>
        <v>42964</v>
        <stp/>
        <stp>StudyData</stp>
        <stp>Bar(((NGEJ19+NGEK19+NGEM19+NGEN19+NGEQ19+NGEU19+NGEV19)/7),1)</stp>
        <stp>Bar</stp>
        <stp/>
        <stp>Time</stp>
        <stp>D</stp>
        <stp>-35</stp>
        <stp/>
        <stp/>
        <stp/>
        <stp/>
        <stp>T</stp>
        <tr r="AJ37" s="14"/>
      </tp>
      <tp>
        <v>42951</v>
        <stp/>
        <stp>StudyData</stp>
        <stp>Bar(((NGEJ18+NGEK18+NGEM18+NGEN18+NGEQ18+NGEU18+NGEV18)/7),1)</stp>
        <stp>Bar</stp>
        <stp/>
        <stp>Time</stp>
        <stp>D</stp>
        <stp>-44</stp>
        <stp/>
        <stp/>
        <stp/>
        <stp/>
        <stp>T</stp>
        <tr r="O46" s="14"/>
      </tp>
      <tp>
        <v>2.95914286</v>
        <stp/>
        <stp>StudyData</stp>
        <stp>Bar(((NGEJ18+NGEK18+NGEM18+NGEN18+NGEQ18+NGEU18+NGEV18)/7),1)</stp>
        <stp>Bar</stp>
        <stp/>
        <stp>High</stp>
        <stp>D</stp>
        <stp>-7</stp>
        <stp/>
        <stp/>
        <stp/>
        <stp/>
        <stp>T</stp>
        <tr r="Q9" s="14"/>
      </tp>
      <tp>
        <v>2.7798571399999998</v>
        <stp/>
        <stp>StudyData</stp>
        <stp>Bar(((NGEJ19+NGEK19+NGEM19+NGEN19+NGEQ19+NGEU19+NGEV19)/7),1)</stp>
        <stp>Bar</stp>
        <stp/>
        <stp>High</stp>
        <stp>D</stp>
        <stp>-7</stp>
        <stp/>
        <stp/>
        <stp/>
        <stp/>
        <stp>T</stp>
        <tr r="AL9" s="14"/>
      </tp>
      <tp>
        <v>2.8452857100000002</v>
        <stp/>
        <stp>StudyData</stp>
        <stp>Bar(((NGEJ18+NGEK18+NGEM18+NGEN18+NGEQ18+NGEU18+NGEV18)/7),1)</stp>
        <stp>Bar</stp>
        <stp/>
        <stp>High</stp>
        <stp>D</stp>
        <stp>-44</stp>
        <stp/>
        <stp/>
        <stp/>
        <stp/>
        <stp>T</stp>
        <tr r="Q46" s="14"/>
      </tp>
      <tp>
        <v>2.9861428600000002</v>
        <stp/>
        <stp>StudyData</stp>
        <stp>Bar(((NGEJ18+NGEK18+NGEM18+NGEN18+NGEQ18+NGEU18+NGEV18)/7),1)</stp>
        <stp>Bar</stp>
        <stp/>
        <stp>High</stp>
        <stp>D</stp>
        <stp>-14</stp>
        <stp/>
        <stp/>
        <stp/>
        <stp/>
        <stp>T</stp>
        <tr r="Q16" s="14"/>
      </tp>
      <tp>
        <v>2.7775714300000001</v>
        <stp/>
        <stp>StudyData</stp>
        <stp>Bar(((NGEJ19+NGEK19+NGEM19+NGEN19+NGEQ19+NGEU19+NGEV19)/7),1)</stp>
        <stp>Bar</stp>
        <stp/>
        <stp>High</stp>
        <stp>D</stp>
        <stp>-15</stp>
        <stp/>
        <stp/>
        <stp/>
        <stp/>
        <stp>T</stp>
        <tr r="AL17" s="14"/>
      </tp>
      <tp>
        <v>2.9361428599999999</v>
        <stp/>
        <stp>StudyData</stp>
        <stp>Bar(((NGEJ18+NGEK18+NGEM18+NGEN18+NGEQ18+NGEU18+NGEV18)/7),1)</stp>
        <stp>Bar</stp>
        <stp/>
        <stp>High</stp>
        <stp>D</stp>
        <stp>-24</stp>
        <stp/>
        <stp/>
        <stp/>
        <stp/>
        <stp>T</stp>
        <tr r="Q26" s="14"/>
      </tp>
      <tp>
        <v>2.7357142900000002</v>
        <stp/>
        <stp>StudyData</stp>
        <stp>Bar(((NGEJ19+NGEK19+NGEM19+NGEN19+NGEQ19+NGEU19+NGEV19)/7),1)</stp>
        <stp>Bar</stp>
        <stp/>
        <stp>High</stp>
        <stp>D</stp>
        <stp>-25</stp>
        <stp/>
        <stp/>
        <stp/>
        <stp/>
        <stp>T</stp>
        <tr r="AL27" s="14"/>
      </tp>
      <tp>
        <v>2.8881428599999999</v>
        <stp/>
        <stp>StudyData</stp>
        <stp>Bar(((NGEJ18+NGEK18+NGEM18+NGEN18+NGEQ18+NGEU18+NGEV18)/7),1)</stp>
        <stp>Bar</stp>
        <stp/>
        <stp>High</stp>
        <stp>D</stp>
        <stp>-34</stp>
        <stp/>
        <stp/>
        <stp/>
        <stp/>
        <stp>T</stp>
        <tr r="Q36" s="14"/>
      </tp>
      <tp>
        <v>2.70942857</v>
        <stp/>
        <stp>StudyData</stp>
        <stp>Bar(((NGEJ19+NGEK19+NGEM19+NGEN19+NGEQ19+NGEU19+NGEV19)/7),1)</stp>
        <stp>Bar</stp>
        <stp/>
        <stp>High</stp>
        <stp>D</stp>
        <stp>-35</stp>
        <stp/>
        <stp/>
        <stp/>
        <stp/>
        <stp>T</stp>
        <tr r="AL37" s="14"/>
      </tp>
      <tp>
        <v>-1E-3</v>
        <stp/>
        <stp>ContractData</stp>
        <stp>NGES2K8</stp>
        <stp>NetLastTradeToday</stp>
        <stp/>
        <stp>T</stp>
        <tr r="G51" s="2"/>
        <tr r="H51" s="2"/>
      </tp>
      <tp>
        <v>-2E-3</v>
        <stp/>
        <stp>ContractData</stp>
        <stp>NGES3K8</stp>
        <stp>NetLastTradeToday</stp>
        <stp/>
        <stp>T</stp>
        <tr r="G67" s="2"/>
        <tr r="H67" s="2"/>
      </tp>
      <tp>
        <v>-1E-3</v>
        <stp/>
        <stp>ContractData</stp>
        <stp>NGES1K8</stp>
        <stp>NetLastTradeToday</stp>
        <stp/>
        <stp>T</stp>
        <tr r="H35" s="2"/>
        <tr r="G35" s="2"/>
      </tp>
      <tp t="s">
        <v/>
        <stp/>
        <stp>ContractData</stp>
        <stp>NGES6K8</stp>
        <stp>NetLastTradeToday</stp>
        <stp/>
        <stp>T</stp>
        <tr r="G118" s="2"/>
        <tr r="H118" s="2"/>
      </tp>
      <tp>
        <v>-2E-3</v>
        <stp/>
        <stp>ContractData</stp>
        <stp>NGES4K8</stp>
        <stp>NetLastTradeToday</stp>
        <stp/>
        <stp>T</stp>
        <tr r="G83" s="2"/>
        <tr r="H83" s="2"/>
      </tp>
      <tp>
        <v>-2E-3</v>
        <stp/>
        <stp>ContractData</stp>
        <stp>NGES5K8</stp>
        <stp>NetLastTradeToday</stp>
        <stp/>
        <stp>T</stp>
        <tr r="G99" s="2"/>
        <tr r="H99" s="2"/>
      </tp>
      <tp>
        <v>2.77042857</v>
        <stp/>
        <stp>StudyData</stp>
        <stp>Bar(((NGEJ19+NGEK19+NGEM19+NGEN19+NGEQ19+NGEU19+NGEV19)/7),1)</stp>
        <stp>Bar</stp>
        <stp/>
        <stp>Open</stp>
        <stp>D</stp>
        <stp>-7</stp>
        <stp/>
        <stp/>
        <stp/>
        <stp/>
        <stp>T</stp>
        <tr r="AK9" s="14"/>
      </tp>
      <tp>
        <v>2.9374285699999998</v>
        <stp/>
        <stp>StudyData</stp>
        <stp>Bar(((NGEJ18+NGEK18+NGEM18+NGEN18+NGEQ18+NGEU18+NGEV18)/7),1)</stp>
        <stp>Bar</stp>
        <stp/>
        <stp>Open</stp>
        <stp>D</stp>
        <stp>-7</stp>
        <stp/>
        <stp/>
        <stp/>
        <stp/>
        <stp>T</stp>
        <tr r="P9" s="14"/>
      </tp>
      <tp>
        <v>42997</v>
        <stp/>
        <stp>StudyData</stp>
        <stp>Bar(((NGEJ18+NGEK18+NGEM18+NGEN18+NGEQ18+NGEU18+NGEV18)/7),1)</stp>
        <stp>Bar</stp>
        <stp/>
        <stp>Time</stp>
        <stp>D</stp>
        <stp>-13</stp>
        <stp/>
        <stp/>
        <stp/>
        <stp/>
        <stp>T</stp>
        <tr r="O15" s="14"/>
      </tp>
      <tp>
        <v>42998</v>
        <stp/>
        <stp>StudyData</stp>
        <stp>Bar(((NGEJ19+NGEK19+NGEM19+NGEN19+NGEQ19+NGEU19+NGEV19)/7),1)</stp>
        <stp>Bar</stp>
        <stp/>
        <stp>Time</stp>
        <stp>D</stp>
        <stp>-12</stp>
        <stp/>
        <stp/>
        <stp/>
        <stp/>
        <stp>T</stp>
        <tr r="AJ14" s="14"/>
      </tp>
      <tp>
        <v>42983</v>
        <stp/>
        <stp>StudyData</stp>
        <stp>Bar(((NGEJ18+NGEK18+NGEM18+NGEN18+NGEQ18+NGEU18+NGEV18)/7),1)</stp>
        <stp>Bar</stp>
        <stp/>
        <stp>Time</stp>
        <stp>D</stp>
        <stp>-23</stp>
        <stp/>
        <stp/>
        <stp/>
        <stp/>
        <stp>T</stp>
        <tr r="O25" s="14"/>
      </tp>
      <tp>
        <v>42984</v>
        <stp/>
        <stp>StudyData</stp>
        <stp>Bar(((NGEJ19+NGEK19+NGEM19+NGEN19+NGEQ19+NGEU19+NGEV19)/7),1)</stp>
        <stp>Bar</stp>
        <stp/>
        <stp>Time</stp>
        <stp>D</stp>
        <stp>-22</stp>
        <stp/>
        <stp/>
        <stp/>
        <stp/>
        <stp>T</stp>
        <tr r="AJ24" s="14"/>
      </tp>
      <tp>
        <v>42968</v>
        <stp/>
        <stp>StudyData</stp>
        <stp>Bar(((NGEJ18+NGEK18+NGEM18+NGEN18+NGEQ18+NGEU18+NGEV18)/7),1)</stp>
        <stp>Bar</stp>
        <stp/>
        <stp>Time</stp>
        <stp>D</stp>
        <stp>-33</stp>
        <stp/>
        <stp/>
        <stp/>
        <stp/>
        <stp>T</stp>
        <tr r="O35" s="14"/>
      </tp>
      <tp>
        <v>42969</v>
        <stp/>
        <stp>StudyData</stp>
        <stp>Bar(((NGEJ19+NGEK19+NGEM19+NGEN19+NGEQ19+NGEU19+NGEV19)/7),1)</stp>
        <stp>Bar</stp>
        <stp/>
        <stp>Time</stp>
        <stp>D</stp>
        <stp>-32</stp>
        <stp/>
        <stp/>
        <stp/>
        <stp/>
        <stp>T</stp>
        <tr r="AJ34" s="14"/>
      </tp>
      <tp>
        <v>42954</v>
        <stp/>
        <stp>StudyData</stp>
        <stp>Bar(((NGEJ18+NGEK18+NGEM18+NGEN18+NGEQ18+NGEU18+NGEV18)/7),1)</stp>
        <stp>Bar</stp>
        <stp/>
        <stp>Time</stp>
        <stp>D</stp>
        <stp>-43</stp>
        <stp/>
        <stp/>
        <stp/>
        <stp/>
        <stp>T</stp>
        <tr r="O45" s="14"/>
      </tp>
      <tp>
        <v>42955</v>
        <stp/>
        <stp>StudyData</stp>
        <stp>Bar(((NGEJ19+NGEK19+NGEM19+NGEN19+NGEQ19+NGEU19+NGEV19)/7),1)</stp>
        <stp>Bar</stp>
        <stp/>
        <stp>Time</stp>
        <stp>D</stp>
        <stp>-42</stp>
        <stp/>
        <stp/>
        <stp/>
        <stp/>
        <stp>T</stp>
        <tr r="AJ44" s="14"/>
      </tp>
      <tp>
        <v>2.9404285699999999</v>
        <stp/>
        <stp>StudyData</stp>
        <stp>Bar(((NGEJ18+NGEK18+NGEM18+NGEN18+NGEQ18+NGEU18+NGEV18)/7),1)</stp>
        <stp>Bar</stp>
        <stp/>
        <stp>Open</stp>
        <stp>D</stp>
        <stp>0</stp>
        <stp/>
        <stp/>
        <stp/>
        <stp/>
        <stp>T</stp>
        <tr r="C25" s="13"/>
        <tr r="P2" s="14"/>
      </tp>
      <tp>
        <v>2.7532857100000001</v>
        <stp/>
        <stp>StudyData</stp>
        <stp>Bar(((NGEJ19+NGEK19+NGEM19+NGEN19+NGEQ19+NGEU19+NGEV19)/7),1)</stp>
        <stp>Bar</stp>
        <stp/>
        <stp>Open</stp>
        <stp>D</stp>
        <stp>0</stp>
        <stp/>
        <stp/>
        <stp/>
        <stp/>
        <stp>T</stp>
        <tr r="AK2" s="14"/>
        <tr r="C53" s="13"/>
      </tp>
      <tp>
        <v>2.8522857099999999</v>
        <stp/>
        <stp>StudyData</stp>
        <stp>Bar(((NGEJ18+NGEK18+NGEM18+NGEN18+NGEQ18+NGEU18+NGEV18)/7),1)</stp>
        <stp>Bar</stp>
        <stp/>
        <stp>High</stp>
        <stp>D</stp>
        <stp>-43</stp>
        <stp/>
        <stp/>
        <stp/>
        <stp/>
        <stp>T</stp>
        <tr r="Q45" s="14"/>
      </tp>
      <tp>
        <v>2.7292857100000001</v>
        <stp/>
        <stp>StudyData</stp>
        <stp>Bar(((NGEJ19+NGEK19+NGEM19+NGEN19+NGEQ19+NGEU19+NGEV19)/7),1)</stp>
        <stp>Bar</stp>
        <stp/>
        <stp>High</stp>
        <stp>D</stp>
        <stp>-42</stp>
        <stp/>
        <stp/>
        <stp/>
        <stp/>
        <stp>T</stp>
        <tr r="AL44" s="14"/>
      </tp>
      <tp>
        <v>2.9809999999999999</v>
        <stp/>
        <stp>StudyData</stp>
        <stp>Bar(((NGEJ18+NGEK18+NGEM18+NGEN18+NGEQ18+NGEU18+NGEV18)/7),1)</stp>
        <stp>Bar</stp>
        <stp/>
        <stp>High</stp>
        <stp>D</stp>
        <stp>-13</stp>
        <stp/>
        <stp/>
        <stp/>
        <stp/>
        <stp>T</stp>
        <tr r="Q15" s="14"/>
      </tp>
      <tp>
        <v>2.7844285700000002</v>
        <stp/>
        <stp>StudyData</stp>
        <stp>Bar(((NGEJ19+NGEK19+NGEM19+NGEN19+NGEQ19+NGEU19+NGEV19)/7),1)</stp>
        <stp>Bar</stp>
        <stp/>
        <stp>High</stp>
        <stp>D</stp>
        <stp>-12</stp>
        <stp/>
        <stp/>
        <stp/>
        <stp/>
        <stp>T</stp>
        <tr r="AL14" s="14"/>
      </tp>
      <tp>
        <v>2.9327142899999998</v>
        <stp/>
        <stp>StudyData</stp>
        <stp>Bar(((NGEJ18+NGEK18+NGEM18+NGEN18+NGEQ18+NGEU18+NGEV18)/7),1)</stp>
        <stp>Bar</stp>
        <stp/>
        <stp>High</stp>
        <stp>D</stp>
        <stp>-23</stp>
        <stp/>
        <stp/>
        <stp/>
        <stp/>
        <stp>T</stp>
        <tr r="Q25" s="14"/>
      </tp>
      <tp>
        <v>2.7344285699999999</v>
        <stp/>
        <stp>StudyData</stp>
        <stp>Bar(((NGEJ19+NGEK19+NGEM19+NGEN19+NGEQ19+NGEU19+NGEV19)/7),1)</stp>
        <stp>Bar</stp>
        <stp/>
        <stp>High</stp>
        <stp>D</stp>
        <stp>-22</stp>
        <stp/>
        <stp/>
        <stp/>
        <stp/>
        <stp>T</stp>
        <tr r="AL24" s="14"/>
      </tp>
      <tp>
        <v>2.9052857099999998</v>
        <stp/>
        <stp>StudyData</stp>
        <stp>Bar(((NGEJ18+NGEK18+NGEM18+NGEN18+NGEQ18+NGEU18+NGEV18)/7),1)</stp>
        <stp>Bar</stp>
        <stp/>
        <stp>High</stp>
        <stp>D</stp>
        <stp>-33</stp>
        <stp/>
        <stp/>
        <stp/>
        <stp/>
        <stp>T</stp>
        <tr r="Q35" s="14"/>
      </tp>
      <tp>
        <v>2.7238571399999998</v>
        <stp/>
        <stp>StudyData</stp>
        <stp>Bar(((NGEJ19+NGEK19+NGEM19+NGEN19+NGEQ19+NGEU19+NGEV19)/7),1)</stp>
        <stp>Bar</stp>
        <stp/>
        <stp>High</stp>
        <stp>D</stp>
        <stp>-32</stp>
        <stp/>
        <stp/>
        <stp/>
        <stp/>
        <stp>T</stp>
        <tr r="AL34" s="14"/>
      </tp>
      <tp>
        <v>-5.0000000000000001E-3</v>
        <stp/>
        <stp>ContractData</stp>
        <stp>NGES2J8</stp>
        <stp>NetLastTradeToday</stp>
        <stp/>
        <stp>T</stp>
        <tr r="G50" s="2"/>
        <tr r="H50" s="2"/>
      </tp>
      <tp>
        <v>-6.0000000000000001E-3</v>
        <stp/>
        <stp>ContractData</stp>
        <stp>NGES3J8</stp>
        <stp>NetLastTradeToday</stp>
        <stp/>
        <stp>T</stp>
        <tr r="G66" s="2"/>
        <tr r="H66" s="2"/>
      </tp>
      <tp>
        <v>-4.0000000000000001E-3</v>
        <stp/>
        <stp>ContractData</stp>
        <stp>NGES1J8</stp>
        <stp>NetLastTradeToday</stp>
        <stp/>
        <stp>T</stp>
        <tr r="G34" s="2"/>
        <tr r="H34" s="2"/>
      </tp>
      <tp>
        <v>-6.0000000000000001E-3</v>
        <stp/>
        <stp>ContractData</stp>
        <stp>NGES6J8</stp>
        <stp>NetLastTradeToday</stp>
        <stp/>
        <stp>T</stp>
        <tr r="H117" s="2"/>
        <tr r="G117" s="2"/>
      </tp>
      <tp>
        <v>-6.0000000000000001E-3</v>
        <stp/>
        <stp>ContractData</stp>
        <stp>NGES4J8</stp>
        <stp>NetLastTradeToday</stp>
        <stp/>
        <stp>T</stp>
        <tr r="H82" s="2"/>
        <tr r="G82" s="2"/>
      </tp>
      <tp>
        <v>-6.0000000000000001E-3</v>
        <stp/>
        <stp>ContractData</stp>
        <stp>NGES5J8</stp>
        <stp>NetLastTradeToday</stp>
        <stp/>
        <stp>T</stp>
        <tr r="H98" s="2"/>
        <tr r="G98" s="2"/>
      </tp>
      <tp>
        <v>0.14300000000000002</v>
        <stp/>
        <stp>ContractData</stp>
        <stp>NGES6Z7</stp>
        <stp>LastTradeorSettle</stp>
        <stp/>
        <stp>T</stp>
        <tr r="W3" s="11"/>
        <tr r="F113" s="2"/>
      </tp>
      <tp>
        <v>0.17200000000000001</v>
        <stp/>
        <stp>ContractData</stp>
        <stp>NGES5Z7</stp>
        <stp>LastTradeorSettle</stp>
        <stp/>
        <stp>T</stp>
        <tr r="W3" s="10"/>
        <tr r="F94" s="2"/>
      </tp>
      <tp>
        <v>0.14599999999999999</v>
        <stp/>
        <stp>ContractData</stp>
        <stp>NGES4Z7</stp>
        <stp>LastTradeorSettle</stp>
        <stp/>
        <stp>T</stp>
        <tr r="W3" s="9"/>
        <tr r="F78" s="2"/>
      </tp>
      <tp>
        <v>-9.1999999999999998E-2</v>
        <stp/>
        <stp>ContractData</stp>
        <stp>NGES3Z7</stp>
        <stp>LastTradeorSettle</stp>
        <stp/>
        <stp>T</stp>
        <tr r="W3" s="8"/>
        <tr r="F62" s="2"/>
      </tp>
      <tp>
        <v>-0.13100000000000001</v>
        <stp/>
        <stp>ContractData</stp>
        <stp>NGES2Z7</stp>
        <stp>LastTradeorSettle</stp>
        <stp/>
        <stp>T</stp>
        <tr r="W3" s="7"/>
        <tr r="F46" s="2"/>
      </tp>
      <tp>
        <v>-0.126</v>
        <stp/>
        <stp>ContractData</stp>
        <stp>NGES1Z7</stp>
        <stp>LastTradeorSettle</stp>
        <stp/>
        <stp>T</stp>
        <tr r="W3" s="6"/>
        <tr r="F30" s="2"/>
      </tp>
      <tp>
        <v>2.7709999999999999</v>
        <stp/>
        <stp>StudyData</stp>
        <stp>Bar(((NGEJ19+NGEK19+NGEM19+NGEN19+NGEQ19+NGEU19+NGEV19)/7),1)</stp>
        <stp>Bar</stp>
        <stp/>
        <stp>Open</stp>
        <stp>D</stp>
        <stp>-6</stp>
        <stp/>
        <stp/>
        <stp/>
        <stp/>
        <stp>T</stp>
        <tr r="AK8" s="14"/>
      </tp>
      <tp>
        <v>2.9504285700000001</v>
        <stp/>
        <stp>StudyData</stp>
        <stp>Bar(((NGEJ18+NGEK18+NGEM18+NGEN18+NGEQ18+NGEU18+NGEV18)/7),1)</stp>
        <stp>Bar</stp>
        <stp/>
        <stp>Open</stp>
        <stp>D</stp>
        <stp>-6</stp>
        <stp/>
        <stp/>
        <stp/>
        <stp/>
        <stp>T</stp>
        <tr r="P8" s="14"/>
      </tp>
      <tp>
        <v>42998</v>
        <stp/>
        <stp>StudyData</stp>
        <stp>Bar(((NGEJ18+NGEK18+NGEM18+NGEN18+NGEQ18+NGEU18+NGEV18)/7),1)</stp>
        <stp>Bar</stp>
        <stp/>
        <stp>Time</stp>
        <stp>D</stp>
        <stp>-12</stp>
        <stp/>
        <stp/>
        <stp/>
        <stp/>
        <stp>T</stp>
        <tr r="O14" s="14"/>
      </tp>
      <tp>
        <v>42997</v>
        <stp/>
        <stp>StudyData</stp>
        <stp>Bar(((NGEJ19+NGEK19+NGEM19+NGEN19+NGEQ19+NGEU19+NGEV19)/7),1)</stp>
        <stp>Bar</stp>
        <stp/>
        <stp>Time</stp>
        <stp>D</stp>
        <stp>-13</stp>
        <stp/>
        <stp/>
        <stp/>
        <stp/>
        <stp>T</stp>
        <tr r="AJ15" s="14"/>
      </tp>
      <tp>
        <v>42984</v>
        <stp/>
        <stp>StudyData</stp>
        <stp>Bar(((NGEJ18+NGEK18+NGEM18+NGEN18+NGEQ18+NGEU18+NGEV18)/7),1)</stp>
        <stp>Bar</stp>
        <stp/>
        <stp>Time</stp>
        <stp>D</stp>
        <stp>-22</stp>
        <stp/>
        <stp/>
        <stp/>
        <stp/>
        <stp>T</stp>
        <tr r="O24" s="14"/>
      </tp>
      <tp>
        <v>42983</v>
        <stp/>
        <stp>StudyData</stp>
        <stp>Bar(((NGEJ19+NGEK19+NGEM19+NGEN19+NGEQ19+NGEU19+NGEV19)/7),1)</stp>
        <stp>Bar</stp>
        <stp/>
        <stp>Time</stp>
        <stp>D</stp>
        <stp>-23</stp>
        <stp/>
        <stp/>
        <stp/>
        <stp/>
        <stp>T</stp>
        <tr r="AJ25" s="14"/>
      </tp>
      <tp>
        <v>42969</v>
        <stp/>
        <stp>StudyData</stp>
        <stp>Bar(((NGEJ18+NGEK18+NGEM18+NGEN18+NGEQ18+NGEU18+NGEV18)/7),1)</stp>
        <stp>Bar</stp>
        <stp/>
        <stp>Time</stp>
        <stp>D</stp>
        <stp>-32</stp>
        <stp/>
        <stp/>
        <stp/>
        <stp/>
        <stp>T</stp>
        <tr r="O34" s="14"/>
      </tp>
      <tp>
        <v>42968</v>
        <stp/>
        <stp>StudyData</stp>
        <stp>Bar(((NGEJ19+NGEK19+NGEM19+NGEN19+NGEQ19+NGEU19+NGEV19)/7),1)</stp>
        <stp>Bar</stp>
        <stp/>
        <stp>Time</stp>
        <stp>D</stp>
        <stp>-33</stp>
        <stp/>
        <stp/>
        <stp/>
        <stp/>
        <stp>T</stp>
        <tr r="AJ35" s="14"/>
      </tp>
      <tp>
        <v>42955</v>
        <stp/>
        <stp>StudyData</stp>
        <stp>Bar(((NGEJ18+NGEK18+NGEM18+NGEN18+NGEQ18+NGEU18+NGEV18)/7),1)</stp>
        <stp>Bar</stp>
        <stp/>
        <stp>Time</stp>
        <stp>D</stp>
        <stp>-42</stp>
        <stp/>
        <stp/>
        <stp/>
        <stp/>
        <stp>T</stp>
        <tr r="O44" s="14"/>
      </tp>
      <tp>
        <v>42954</v>
        <stp/>
        <stp>StudyData</stp>
        <stp>Bar(((NGEJ19+NGEK19+NGEM19+NGEN19+NGEQ19+NGEU19+NGEV19)/7),1)</stp>
        <stp>Bar</stp>
        <stp/>
        <stp>Time</stp>
        <stp>D</stp>
        <stp>-43</stp>
        <stp/>
        <stp/>
        <stp/>
        <stp/>
        <stp>T</stp>
        <tr r="AJ45" s="14"/>
      </tp>
      <tp t="s">
        <v/>
        <stp/>
        <stp>StudyData</stp>
        <stp>NGE?147</stp>
        <stp>OI</stp>
        <stp>OIType=Contract</stp>
        <stp>OI</stp>
        <stp>D</stp>
        <stp>-2</stp>
        <stp>ALL</stp>
        <stp/>
        <stp/>
        <stp>TRUE</stp>
        <stp>T</stp>
        <tr r="W154" s="16"/>
        <tr r="W154" s="16"/>
      </tp>
      <tp t="s">
        <v/>
        <stp/>
        <stp>StudyData</stp>
        <stp>NGE?146</stp>
        <stp>OI</stp>
        <stp>OIType=Contract</stp>
        <stp>OI</stp>
        <stp>D</stp>
        <stp>-2</stp>
        <stp>ALL</stp>
        <stp/>
        <stp/>
        <stp>TRUE</stp>
        <stp>T</stp>
        <tr r="W153" s="16"/>
        <tr r="W153" s="16"/>
      </tp>
      <tp t="s">
        <v/>
        <stp/>
        <stp>StudyData</stp>
        <stp>NGE?145</stp>
        <stp>OI</stp>
        <stp>OIType=Contract</stp>
        <stp>OI</stp>
        <stp>D</stp>
        <stp>-2</stp>
        <stp>ALL</stp>
        <stp/>
        <stp/>
        <stp>TRUE</stp>
        <stp>T</stp>
        <tr r="W152" s="16"/>
        <tr r="W152" s="16"/>
      </tp>
      <tp t="s">
        <v/>
        <stp/>
        <stp>StudyData</stp>
        <stp>NGE?144</stp>
        <stp>OI</stp>
        <stp>OIType=Contract</stp>
        <stp>OI</stp>
        <stp>D</stp>
        <stp>-2</stp>
        <stp>ALL</stp>
        <stp/>
        <stp/>
        <stp>TRUE</stp>
        <stp>T</stp>
        <tr r="W151" s="16"/>
        <tr r="W151" s="16"/>
      </tp>
      <tp t="s">
        <v/>
        <stp/>
        <stp>StudyData</stp>
        <stp>NGE?143</stp>
        <stp>OI</stp>
        <stp>OIType=Contract</stp>
        <stp>OI</stp>
        <stp>D</stp>
        <stp>-2</stp>
        <stp>ALL</stp>
        <stp/>
        <stp/>
        <stp>TRUE</stp>
        <stp>T</stp>
        <tr r="W150" s="16"/>
        <tr r="W150" s="16"/>
      </tp>
      <tp t="s">
        <v/>
        <stp/>
        <stp>StudyData</stp>
        <stp>NGE?142</stp>
        <stp>OI</stp>
        <stp>OIType=Contract</stp>
        <stp>OI</stp>
        <stp>D</stp>
        <stp>-2</stp>
        <stp>ALL</stp>
        <stp/>
        <stp/>
        <stp>TRUE</stp>
        <stp>T</stp>
        <tr r="W149" s="16"/>
        <tr r="W149" s="16"/>
      </tp>
      <tp t="s">
        <v/>
        <stp/>
        <stp>StudyData</stp>
        <stp>NGE?141</stp>
        <stp>OI</stp>
        <stp>OIType=Contract</stp>
        <stp>OI</stp>
        <stp>D</stp>
        <stp>-2</stp>
        <stp>ALL</stp>
        <stp/>
        <stp/>
        <stp>TRUE</stp>
        <stp>T</stp>
        <tr r="W148" s="16"/>
        <tr r="W148" s="16"/>
      </tp>
      <tp t="s">
        <v/>
        <stp/>
        <stp>StudyData</stp>
        <stp>NGE?140</stp>
        <stp>OI</stp>
        <stp>OIType=Contract</stp>
        <stp>OI</stp>
        <stp>D</stp>
        <stp>-2</stp>
        <stp>ALL</stp>
        <stp/>
        <stp/>
        <stp>TRUE</stp>
        <stp>T</stp>
        <tr r="W147" s="16"/>
        <tr r="W147" s="16"/>
      </tp>
      <tp t="s">
        <v/>
        <stp/>
        <stp>StudyData</stp>
        <stp>NGE?147</stp>
        <stp>OI</stp>
        <stp>OIType=Contract</stp>
        <stp>OI</stp>
        <stp>D</stp>
        <stp>-1</stp>
        <stp>ALL</stp>
        <stp/>
        <stp/>
        <stp>TRUE</stp>
        <stp>T</stp>
        <tr r="V154" s="16"/>
        <tr r="V154" s="16"/>
      </tp>
      <tp t="s">
        <v/>
        <stp/>
        <stp>StudyData</stp>
        <stp>NGE?146</stp>
        <stp>OI</stp>
        <stp>OIType=Contract</stp>
        <stp>OI</stp>
        <stp>D</stp>
        <stp>-1</stp>
        <stp>ALL</stp>
        <stp/>
        <stp/>
        <stp>TRUE</stp>
        <stp>T</stp>
        <tr r="V153" s="16"/>
        <tr r="V153" s="16"/>
      </tp>
      <tp t="s">
        <v/>
        <stp/>
        <stp>StudyData</stp>
        <stp>NGE?145</stp>
        <stp>OI</stp>
        <stp>OIType=Contract</stp>
        <stp>OI</stp>
        <stp>D</stp>
        <stp>-1</stp>
        <stp>ALL</stp>
        <stp/>
        <stp/>
        <stp>TRUE</stp>
        <stp>T</stp>
        <tr r="V152" s="16"/>
        <tr r="V152" s="16"/>
      </tp>
      <tp t="s">
        <v/>
        <stp/>
        <stp>StudyData</stp>
        <stp>NGE?144</stp>
        <stp>OI</stp>
        <stp>OIType=Contract</stp>
        <stp>OI</stp>
        <stp>D</stp>
        <stp>-1</stp>
        <stp>ALL</stp>
        <stp/>
        <stp/>
        <stp>TRUE</stp>
        <stp>T</stp>
        <tr r="V151" s="16"/>
        <tr r="V151" s="16"/>
      </tp>
      <tp t="s">
        <v/>
        <stp/>
        <stp>StudyData</stp>
        <stp>NGE?143</stp>
        <stp>OI</stp>
        <stp>OIType=Contract</stp>
        <stp>OI</stp>
        <stp>D</stp>
        <stp>-1</stp>
        <stp>ALL</stp>
        <stp/>
        <stp/>
        <stp>TRUE</stp>
        <stp>T</stp>
        <tr r="V150" s="16"/>
        <tr r="V150" s="16"/>
      </tp>
      <tp t="s">
        <v/>
        <stp/>
        <stp>StudyData</stp>
        <stp>NGE?142</stp>
        <stp>OI</stp>
        <stp>OIType=Contract</stp>
        <stp>OI</stp>
        <stp>D</stp>
        <stp>-1</stp>
        <stp>ALL</stp>
        <stp/>
        <stp/>
        <stp>TRUE</stp>
        <stp>T</stp>
        <tr r="V149" s="16"/>
        <tr r="V149" s="16"/>
      </tp>
      <tp t="s">
        <v/>
        <stp/>
        <stp>StudyData</stp>
        <stp>NGE?141</stp>
        <stp>OI</stp>
        <stp>OIType=Contract</stp>
        <stp>OI</stp>
        <stp>D</stp>
        <stp>-1</stp>
        <stp>ALL</stp>
        <stp/>
        <stp/>
        <stp>TRUE</stp>
        <stp>T</stp>
        <tr r="V148" s="16"/>
        <tr r="V148" s="16"/>
      </tp>
      <tp t="s">
        <v/>
        <stp/>
        <stp>StudyData</stp>
        <stp>NGE?140</stp>
        <stp>OI</stp>
        <stp>OIType=Contract</stp>
        <stp>OI</stp>
        <stp>D</stp>
        <stp>-1</stp>
        <stp>ALL</stp>
        <stp/>
        <stp/>
        <stp>TRUE</stp>
        <stp>T</stp>
        <tr r="V147" s="16"/>
        <tr r="V147" s="16"/>
      </tp>
      <tp t="s">
        <v/>
        <stp/>
        <stp>StudyData</stp>
        <stp>NGE?119</stp>
        <stp>OI</stp>
        <stp>OIType=Contract</stp>
        <stp>OI</stp>
        <stp>D</stp>
        <stp>-2</stp>
        <stp>ALL</stp>
        <stp/>
        <stp/>
        <stp>TRUE</stp>
        <stp>T</stp>
        <tr r="W126" s="16"/>
        <tr r="W126" s="16"/>
      </tp>
      <tp t="s">
        <v/>
        <stp/>
        <stp>StudyData</stp>
        <stp>NGE?129</stp>
        <stp>OI</stp>
        <stp>OIType=Contract</stp>
        <stp>OI</stp>
        <stp>D</stp>
        <stp>-1</stp>
        <stp>ALL</stp>
        <stp/>
        <stp/>
        <stp>TRUE</stp>
        <stp>T</stp>
        <tr r="V136" s="16"/>
        <tr r="V136" s="16"/>
      </tp>
      <tp t="s">
        <v/>
        <stp/>
        <stp>StudyData</stp>
        <stp>NGE?118</stp>
        <stp>OI</stp>
        <stp>OIType=Contract</stp>
        <stp>OI</stp>
        <stp>D</stp>
        <stp>-2</stp>
        <stp>ALL</stp>
        <stp/>
        <stp/>
        <stp>TRUE</stp>
        <stp>T</stp>
        <tr r="W125" s="16"/>
        <tr r="W125" s="16"/>
      </tp>
      <tp t="s">
        <v/>
        <stp/>
        <stp>StudyData</stp>
        <stp>NGE?128</stp>
        <stp>OI</stp>
        <stp>OIType=Contract</stp>
        <stp>OI</stp>
        <stp>D</stp>
        <stp>-1</stp>
        <stp>ALL</stp>
        <stp/>
        <stp/>
        <stp>TRUE</stp>
        <stp>T</stp>
        <tr r="V135" s="16"/>
        <tr r="V135" s="16"/>
      </tp>
      <tp t="s">
        <v/>
        <stp/>
        <stp>StudyData</stp>
        <stp>NGE?117</stp>
        <stp>OI</stp>
        <stp>OIType=Contract</stp>
        <stp>OI</stp>
        <stp>D</stp>
        <stp>-2</stp>
        <stp>ALL</stp>
        <stp/>
        <stp/>
        <stp>TRUE</stp>
        <stp>T</stp>
        <tr r="W124" s="16"/>
        <tr r="W124" s="16"/>
      </tp>
      <tp t="s">
        <v/>
        <stp/>
        <stp>StudyData</stp>
        <stp>NGE?127</stp>
        <stp>OI</stp>
        <stp>OIType=Contract</stp>
        <stp>OI</stp>
        <stp>D</stp>
        <stp>-1</stp>
        <stp>ALL</stp>
        <stp/>
        <stp/>
        <stp>TRUE</stp>
        <stp>T</stp>
        <tr r="V134" s="16"/>
        <tr r="V134" s="16"/>
      </tp>
      <tp t="s">
        <v/>
        <stp/>
        <stp>StudyData</stp>
        <stp>NGE?116</stp>
        <stp>OI</stp>
        <stp>OIType=Contract</stp>
        <stp>OI</stp>
        <stp>D</stp>
        <stp>-2</stp>
        <stp>ALL</stp>
        <stp/>
        <stp/>
        <stp>TRUE</stp>
        <stp>T</stp>
        <tr r="W123" s="16"/>
        <tr r="W123" s="16"/>
      </tp>
      <tp t="s">
        <v/>
        <stp/>
        <stp>StudyData</stp>
        <stp>NGE?126</stp>
        <stp>OI</stp>
        <stp>OIType=Contract</stp>
        <stp>OI</stp>
        <stp>D</stp>
        <stp>-1</stp>
        <stp>ALL</stp>
        <stp/>
        <stp/>
        <stp>TRUE</stp>
        <stp>T</stp>
        <tr r="V133" s="16"/>
        <tr r="V133" s="16"/>
      </tp>
      <tp t="s">
        <v/>
        <stp/>
        <stp>StudyData</stp>
        <stp>NGE?115</stp>
        <stp>OI</stp>
        <stp>OIType=Contract</stp>
        <stp>OI</stp>
        <stp>D</stp>
        <stp>-2</stp>
        <stp>ALL</stp>
        <stp/>
        <stp/>
        <stp>TRUE</stp>
        <stp>T</stp>
        <tr r="W122" s="16"/>
        <tr r="W122" s="16"/>
      </tp>
      <tp t="s">
        <v/>
        <stp/>
        <stp>StudyData</stp>
        <stp>NGE?125</stp>
        <stp>OI</stp>
        <stp>OIType=Contract</stp>
        <stp>OI</stp>
        <stp>D</stp>
        <stp>-1</stp>
        <stp>ALL</stp>
        <stp/>
        <stp/>
        <stp>TRUE</stp>
        <stp>T</stp>
        <tr r="V132" s="16"/>
        <tr r="V132" s="16"/>
      </tp>
      <tp t="s">
        <v/>
        <stp/>
        <stp>StudyData</stp>
        <stp>NGE?114</stp>
        <stp>OI</stp>
        <stp>OIType=Contract</stp>
        <stp>OI</stp>
        <stp>D</stp>
        <stp>-2</stp>
        <stp>ALL</stp>
        <stp/>
        <stp/>
        <stp>TRUE</stp>
        <stp>T</stp>
        <tr r="W121" s="16"/>
        <tr r="W121" s="16"/>
      </tp>
      <tp t="s">
        <v/>
        <stp/>
        <stp>StudyData</stp>
        <stp>NGE?124</stp>
        <stp>OI</stp>
        <stp>OIType=Contract</stp>
        <stp>OI</stp>
        <stp>D</stp>
        <stp>-1</stp>
        <stp>ALL</stp>
        <stp/>
        <stp/>
        <stp>TRUE</stp>
        <stp>T</stp>
        <tr r="V131" s="16"/>
        <tr r="V131" s="16"/>
      </tp>
      <tp t="s">
        <v/>
        <stp/>
        <stp>StudyData</stp>
        <stp>NGE?113</stp>
        <stp>OI</stp>
        <stp>OIType=Contract</stp>
        <stp>OI</stp>
        <stp>D</stp>
        <stp>-2</stp>
        <stp>ALL</stp>
        <stp/>
        <stp/>
        <stp>TRUE</stp>
        <stp>T</stp>
        <tr r="W120" s="16"/>
        <tr r="W120" s="16"/>
      </tp>
      <tp t="s">
        <v/>
        <stp/>
        <stp>StudyData</stp>
        <stp>NGE?123</stp>
        <stp>OI</stp>
        <stp>OIType=Contract</stp>
        <stp>OI</stp>
        <stp>D</stp>
        <stp>-1</stp>
        <stp>ALL</stp>
        <stp/>
        <stp/>
        <stp>TRUE</stp>
        <stp>T</stp>
        <tr r="V130" s="16"/>
        <tr r="V130" s="16"/>
      </tp>
      <tp t="s">
        <v/>
        <stp/>
        <stp>StudyData</stp>
        <stp>NGE?112</stp>
        <stp>OI</stp>
        <stp>OIType=Contract</stp>
        <stp>OI</stp>
        <stp>D</stp>
        <stp>-2</stp>
        <stp>ALL</stp>
        <stp/>
        <stp/>
        <stp>TRUE</stp>
        <stp>T</stp>
        <tr r="W119" s="16"/>
        <tr r="W119" s="16"/>
      </tp>
      <tp t="s">
        <v/>
        <stp/>
        <stp>StudyData</stp>
        <stp>NGE?122</stp>
        <stp>OI</stp>
        <stp>OIType=Contract</stp>
        <stp>OI</stp>
        <stp>D</stp>
        <stp>-1</stp>
        <stp>ALL</stp>
        <stp/>
        <stp/>
        <stp>TRUE</stp>
        <stp>T</stp>
        <tr r="V129" s="16"/>
        <tr r="V129" s="16"/>
      </tp>
      <tp t="s">
        <v/>
        <stp/>
        <stp>StudyData</stp>
        <stp>NGE?111</stp>
        <stp>OI</stp>
        <stp>OIType=Contract</stp>
        <stp>OI</stp>
        <stp>D</stp>
        <stp>-2</stp>
        <stp>ALL</stp>
        <stp/>
        <stp/>
        <stp>TRUE</stp>
        <stp>T</stp>
        <tr r="W118" s="16"/>
        <tr r="W118" s="16"/>
      </tp>
      <tp t="s">
        <v/>
        <stp/>
        <stp>StudyData</stp>
        <stp>NGE?121</stp>
        <stp>OI</stp>
        <stp>OIType=Contract</stp>
        <stp>OI</stp>
        <stp>D</stp>
        <stp>-1</stp>
        <stp>ALL</stp>
        <stp/>
        <stp/>
        <stp>TRUE</stp>
        <stp>T</stp>
        <tr r="V128" s="16"/>
        <tr r="V128" s="16"/>
      </tp>
      <tp t="s">
        <v/>
        <stp/>
        <stp>StudyData</stp>
        <stp>NGE?110</stp>
        <stp>OI</stp>
        <stp>OIType=Contract</stp>
        <stp>OI</stp>
        <stp>D</stp>
        <stp>-2</stp>
        <stp>ALL</stp>
        <stp/>
        <stp/>
        <stp>TRUE</stp>
        <stp>T</stp>
        <tr r="W117" s="16"/>
        <tr r="W117" s="16"/>
      </tp>
      <tp t="s">
        <v/>
        <stp/>
        <stp>StudyData</stp>
        <stp>NGE?120</stp>
        <stp>OI</stp>
        <stp>OIType=Contract</stp>
        <stp>OI</stp>
        <stp>D</stp>
        <stp>-1</stp>
        <stp>ALL</stp>
        <stp/>
        <stp/>
        <stp>TRUE</stp>
        <stp>T</stp>
        <tr r="V127" s="16"/>
        <tr r="V127" s="16"/>
      </tp>
      <tp t="s">
        <v/>
        <stp/>
        <stp>StudyData</stp>
        <stp>NGE?109</stp>
        <stp>OI</stp>
        <stp>OIType=Contract</stp>
        <stp>OI</stp>
        <stp>D</stp>
        <stp>-2</stp>
        <stp>ALL</stp>
        <stp/>
        <stp/>
        <stp>TRUE</stp>
        <stp>T</stp>
        <tr r="W116" s="16"/>
        <tr r="W116" s="16"/>
      </tp>
      <tp t="s">
        <v/>
        <stp/>
        <stp>StudyData</stp>
        <stp>NGE?139</stp>
        <stp>OI</stp>
        <stp>OIType=Contract</stp>
        <stp>OI</stp>
        <stp>D</stp>
        <stp>-1</stp>
        <stp>ALL</stp>
        <stp/>
        <stp/>
        <stp>TRUE</stp>
        <stp>T</stp>
        <tr r="V146" s="16"/>
        <tr r="V146" s="16"/>
      </tp>
      <tp t="s">
        <v/>
        <stp/>
        <stp>StudyData</stp>
        <stp>NGE?108</stp>
        <stp>OI</stp>
        <stp>OIType=Contract</stp>
        <stp>OI</stp>
        <stp>D</stp>
        <stp>-2</stp>
        <stp>ALL</stp>
        <stp/>
        <stp/>
        <stp>TRUE</stp>
        <stp>T</stp>
        <tr r="W115" s="16"/>
        <tr r="W115" s="16"/>
      </tp>
      <tp t="s">
        <v/>
        <stp/>
        <stp>StudyData</stp>
        <stp>NGE?138</stp>
        <stp>OI</stp>
        <stp>OIType=Contract</stp>
        <stp>OI</stp>
        <stp>D</stp>
        <stp>-1</stp>
        <stp>ALL</stp>
        <stp/>
        <stp/>
        <stp>TRUE</stp>
        <stp>T</stp>
        <tr r="V145" s="16"/>
        <tr r="V145" s="16"/>
      </tp>
      <tp t="s">
        <v/>
        <stp/>
        <stp>StudyData</stp>
        <stp>NGE?107</stp>
        <stp>OI</stp>
        <stp>OIType=Contract</stp>
        <stp>OI</stp>
        <stp>D</stp>
        <stp>-2</stp>
        <stp>ALL</stp>
        <stp/>
        <stp/>
        <stp>TRUE</stp>
        <stp>T</stp>
        <tr r="W114" s="16"/>
        <tr r="W114" s="16"/>
      </tp>
      <tp t="s">
        <v/>
        <stp/>
        <stp>StudyData</stp>
        <stp>NGE?137</stp>
        <stp>OI</stp>
        <stp>OIType=Contract</stp>
        <stp>OI</stp>
        <stp>D</stp>
        <stp>-1</stp>
        <stp>ALL</stp>
        <stp/>
        <stp/>
        <stp>TRUE</stp>
        <stp>T</stp>
        <tr r="V144" s="16"/>
        <tr r="V144" s="16"/>
      </tp>
      <tp t="s">
        <v/>
        <stp/>
        <stp>StudyData</stp>
        <stp>NGE?106</stp>
        <stp>OI</stp>
        <stp>OIType=Contract</stp>
        <stp>OI</stp>
        <stp>D</stp>
        <stp>-2</stp>
        <stp>ALL</stp>
        <stp/>
        <stp/>
        <stp>TRUE</stp>
        <stp>T</stp>
        <tr r="W113" s="16"/>
        <tr r="W113" s="16"/>
      </tp>
      <tp t="s">
        <v/>
        <stp/>
        <stp>StudyData</stp>
        <stp>NGE?136</stp>
        <stp>OI</stp>
        <stp>OIType=Contract</stp>
        <stp>OI</stp>
        <stp>D</stp>
        <stp>-1</stp>
        <stp>ALL</stp>
        <stp/>
        <stp/>
        <stp>TRUE</stp>
        <stp>T</stp>
        <tr r="V143" s="16"/>
        <tr r="V143" s="16"/>
      </tp>
      <tp t="s">
        <v/>
        <stp/>
        <stp>StudyData</stp>
        <stp>NGE?105</stp>
        <stp>OI</stp>
        <stp>OIType=Contract</stp>
        <stp>OI</stp>
        <stp>D</stp>
        <stp>-2</stp>
        <stp>ALL</stp>
        <stp/>
        <stp/>
        <stp>TRUE</stp>
        <stp>T</stp>
        <tr r="W112" s="16"/>
        <tr r="W112" s="16"/>
      </tp>
      <tp t="s">
        <v/>
        <stp/>
        <stp>StudyData</stp>
        <stp>NGE?135</stp>
        <stp>OI</stp>
        <stp>OIType=Contract</stp>
        <stp>OI</stp>
        <stp>D</stp>
        <stp>-1</stp>
        <stp>ALL</stp>
        <stp/>
        <stp/>
        <stp>TRUE</stp>
        <stp>T</stp>
        <tr r="V142" s="16"/>
        <tr r="V142" s="16"/>
      </tp>
      <tp t="s">
        <v/>
        <stp/>
        <stp>StudyData</stp>
        <stp>NGE?104</stp>
        <stp>OI</stp>
        <stp>OIType=Contract</stp>
        <stp>OI</stp>
        <stp>D</stp>
        <stp>-2</stp>
        <stp>ALL</stp>
        <stp/>
        <stp/>
        <stp>TRUE</stp>
        <stp>T</stp>
        <tr r="W111" s="16"/>
        <tr r="W111" s="16"/>
      </tp>
      <tp t="s">
        <v/>
        <stp/>
        <stp>StudyData</stp>
        <stp>NGE?134</stp>
        <stp>OI</stp>
        <stp>OIType=Contract</stp>
        <stp>OI</stp>
        <stp>D</stp>
        <stp>-1</stp>
        <stp>ALL</stp>
        <stp/>
        <stp/>
        <stp>TRUE</stp>
        <stp>T</stp>
        <tr r="V141" s="16"/>
        <tr r="V141" s="16"/>
      </tp>
      <tp t="s">
        <v/>
        <stp/>
        <stp>StudyData</stp>
        <stp>NGE?103</stp>
        <stp>OI</stp>
        <stp>OIType=Contract</stp>
        <stp>OI</stp>
        <stp>D</stp>
        <stp>-2</stp>
        <stp>ALL</stp>
        <stp/>
        <stp/>
        <stp>TRUE</stp>
        <stp>T</stp>
        <tr r="W110" s="16"/>
        <tr r="W110" s="16"/>
      </tp>
      <tp t="s">
        <v/>
        <stp/>
        <stp>StudyData</stp>
        <stp>NGE?133</stp>
        <stp>OI</stp>
        <stp>OIType=Contract</stp>
        <stp>OI</stp>
        <stp>D</stp>
        <stp>-1</stp>
        <stp>ALL</stp>
        <stp/>
        <stp/>
        <stp>TRUE</stp>
        <stp>T</stp>
        <tr r="V140" s="16"/>
        <tr r="V140" s="16"/>
      </tp>
      <tp t="s">
        <v/>
        <stp/>
        <stp>StudyData</stp>
        <stp>NGE?102</stp>
        <stp>OI</stp>
        <stp>OIType=Contract</stp>
        <stp>OI</stp>
        <stp>D</stp>
        <stp>-2</stp>
        <stp>ALL</stp>
        <stp/>
        <stp/>
        <stp>TRUE</stp>
        <stp>T</stp>
        <tr r="W109" s="16"/>
        <tr r="W109" s="16"/>
      </tp>
      <tp t="s">
        <v/>
        <stp/>
        <stp>StudyData</stp>
        <stp>NGE?132</stp>
        <stp>OI</stp>
        <stp>OIType=Contract</stp>
        <stp>OI</stp>
        <stp>D</stp>
        <stp>-1</stp>
        <stp>ALL</stp>
        <stp/>
        <stp/>
        <stp>TRUE</stp>
        <stp>T</stp>
        <tr r="V139" s="16"/>
        <tr r="V139" s="16"/>
      </tp>
      <tp t="s">
        <v/>
        <stp/>
        <stp>StudyData</stp>
        <stp>NGE?101</stp>
        <stp>OI</stp>
        <stp>OIType=Contract</stp>
        <stp>OI</stp>
        <stp>D</stp>
        <stp>-2</stp>
        <stp>ALL</stp>
        <stp/>
        <stp/>
        <stp>TRUE</stp>
        <stp>T</stp>
        <tr r="W108" s="16"/>
        <tr r="W108" s="16"/>
      </tp>
      <tp t="s">
        <v/>
        <stp/>
        <stp>StudyData</stp>
        <stp>NGE?131</stp>
        <stp>OI</stp>
        <stp>OIType=Contract</stp>
        <stp>OI</stp>
        <stp>D</stp>
        <stp>-1</stp>
        <stp>ALL</stp>
        <stp/>
        <stp/>
        <stp>TRUE</stp>
        <stp>T</stp>
        <tr r="V138" s="16"/>
        <tr r="V138" s="16"/>
      </tp>
      <tp t="s">
        <v/>
        <stp/>
        <stp>StudyData</stp>
        <stp>NGE?100</stp>
        <stp>OI</stp>
        <stp>OIType=Contract</stp>
        <stp>OI</stp>
        <stp>D</stp>
        <stp>-2</stp>
        <stp>ALL</stp>
        <stp/>
        <stp/>
        <stp>TRUE</stp>
        <stp>T</stp>
        <tr r="W107" s="16"/>
        <tr r="W107" s="16"/>
      </tp>
      <tp t="s">
        <v/>
        <stp/>
        <stp>StudyData</stp>
        <stp>NGE?130</stp>
        <stp>OI</stp>
        <stp>OIType=Contract</stp>
        <stp>OI</stp>
        <stp>D</stp>
        <stp>-1</stp>
        <stp>ALL</stp>
        <stp/>
        <stp/>
        <stp>TRUE</stp>
        <stp>T</stp>
        <tr r="V137" s="16"/>
        <tr r="V137" s="16"/>
      </tp>
      <tp>
        <v>2.96428571</v>
        <stp/>
        <stp>StudyData</stp>
        <stp>Bar(((NGEJ18+NGEK18+NGEM18+NGEN18+NGEQ18+NGEU18+NGEV18)/7),1)</stp>
        <stp>Bar</stp>
        <stp/>
        <stp>High</stp>
        <stp>D</stp>
        <stp>-1</stp>
        <stp/>
        <stp/>
        <stp/>
        <stp/>
        <stp>T</stp>
        <tr r="Q3" s="14"/>
      </tp>
      <tp t="s">
        <v/>
        <stp/>
        <stp>StudyData</stp>
        <stp>NGE?109</stp>
        <stp>OI</stp>
        <stp>OIType=Contract</stp>
        <stp>OI</stp>
        <stp>D</stp>
        <stp>-1</stp>
        <stp>ALL</stp>
        <stp/>
        <stp/>
        <stp>TRUE</stp>
        <stp>T</stp>
        <tr r="V116" s="16"/>
        <tr r="V116" s="16"/>
      </tp>
      <tp t="s">
        <v/>
        <stp/>
        <stp>StudyData</stp>
        <stp>NGE?139</stp>
        <stp>OI</stp>
        <stp>OIType=Contract</stp>
        <stp>OI</stp>
        <stp>D</stp>
        <stp>-2</stp>
        <stp>ALL</stp>
        <stp/>
        <stp/>
        <stp>TRUE</stp>
        <stp>T</stp>
        <tr r="W146" s="16"/>
        <tr r="W146" s="16"/>
      </tp>
      <tp t="s">
        <v/>
        <stp/>
        <stp>StudyData</stp>
        <stp>NGE?108</stp>
        <stp>OI</stp>
        <stp>OIType=Contract</stp>
        <stp>OI</stp>
        <stp>D</stp>
        <stp>-1</stp>
        <stp>ALL</stp>
        <stp/>
        <stp/>
        <stp>TRUE</stp>
        <stp>T</stp>
        <tr r="V115" s="16"/>
        <tr r="V115" s="16"/>
      </tp>
      <tp t="s">
        <v/>
        <stp/>
        <stp>StudyData</stp>
        <stp>NGE?138</stp>
        <stp>OI</stp>
        <stp>OIType=Contract</stp>
        <stp>OI</stp>
        <stp>D</stp>
        <stp>-2</stp>
        <stp>ALL</stp>
        <stp/>
        <stp/>
        <stp>TRUE</stp>
        <stp>T</stp>
        <tr r="W145" s="16"/>
        <tr r="W145" s="16"/>
      </tp>
      <tp t="s">
        <v/>
        <stp/>
        <stp>StudyData</stp>
        <stp>NGE?107</stp>
        <stp>OI</stp>
        <stp>OIType=Contract</stp>
        <stp>OI</stp>
        <stp>D</stp>
        <stp>-1</stp>
        <stp>ALL</stp>
        <stp/>
        <stp/>
        <stp>TRUE</stp>
        <stp>T</stp>
        <tr r="V114" s="16"/>
        <tr r="V114" s="16"/>
      </tp>
      <tp t="s">
        <v/>
        <stp/>
        <stp>StudyData</stp>
        <stp>NGE?137</stp>
        <stp>OI</stp>
        <stp>OIType=Contract</stp>
        <stp>OI</stp>
        <stp>D</stp>
        <stp>-2</stp>
        <stp>ALL</stp>
        <stp/>
        <stp/>
        <stp>TRUE</stp>
        <stp>T</stp>
        <tr r="W144" s="16"/>
        <tr r="W144" s="16"/>
      </tp>
      <tp t="s">
        <v/>
        <stp/>
        <stp>StudyData</stp>
        <stp>NGE?106</stp>
        <stp>OI</stp>
        <stp>OIType=Contract</stp>
        <stp>OI</stp>
        <stp>D</stp>
        <stp>-1</stp>
        <stp>ALL</stp>
        <stp/>
        <stp/>
        <stp>TRUE</stp>
        <stp>T</stp>
        <tr r="V113" s="16"/>
        <tr r="V113" s="16"/>
      </tp>
      <tp t="s">
        <v/>
        <stp/>
        <stp>StudyData</stp>
        <stp>NGE?136</stp>
        <stp>OI</stp>
        <stp>OIType=Contract</stp>
        <stp>OI</stp>
        <stp>D</stp>
        <stp>-2</stp>
        <stp>ALL</stp>
        <stp/>
        <stp/>
        <stp>TRUE</stp>
        <stp>T</stp>
        <tr r="W143" s="16"/>
        <tr r="W143" s="16"/>
      </tp>
      <tp t="s">
        <v/>
        <stp/>
        <stp>StudyData</stp>
        <stp>NGE?105</stp>
        <stp>OI</stp>
        <stp>OIType=Contract</stp>
        <stp>OI</stp>
        <stp>D</stp>
        <stp>-1</stp>
        <stp>ALL</stp>
        <stp/>
        <stp/>
        <stp>TRUE</stp>
        <stp>T</stp>
        <tr r="V112" s="16"/>
        <tr r="V112" s="16"/>
      </tp>
      <tp t="s">
        <v/>
        <stp/>
        <stp>StudyData</stp>
        <stp>NGE?135</stp>
        <stp>OI</stp>
        <stp>OIType=Contract</stp>
        <stp>OI</stp>
        <stp>D</stp>
        <stp>-2</stp>
        <stp>ALL</stp>
        <stp/>
        <stp/>
        <stp>TRUE</stp>
        <stp>T</stp>
        <tr r="W142" s="16"/>
        <tr r="W142" s="16"/>
      </tp>
      <tp t="s">
        <v/>
        <stp/>
        <stp>StudyData</stp>
        <stp>NGE?104</stp>
        <stp>OI</stp>
        <stp>OIType=Contract</stp>
        <stp>OI</stp>
        <stp>D</stp>
        <stp>-1</stp>
        <stp>ALL</stp>
        <stp/>
        <stp/>
        <stp>TRUE</stp>
        <stp>T</stp>
        <tr r="V111" s="16"/>
        <tr r="V111" s="16"/>
      </tp>
      <tp t="s">
        <v/>
        <stp/>
        <stp>StudyData</stp>
        <stp>NGE?134</stp>
        <stp>OI</stp>
        <stp>OIType=Contract</stp>
        <stp>OI</stp>
        <stp>D</stp>
        <stp>-2</stp>
        <stp>ALL</stp>
        <stp/>
        <stp/>
        <stp>TRUE</stp>
        <stp>T</stp>
        <tr r="W141" s="16"/>
        <tr r="W141" s="16"/>
      </tp>
      <tp t="s">
        <v/>
        <stp/>
        <stp>StudyData</stp>
        <stp>NGE?103</stp>
        <stp>OI</stp>
        <stp>OIType=Contract</stp>
        <stp>OI</stp>
        <stp>D</stp>
        <stp>-1</stp>
        <stp>ALL</stp>
        <stp/>
        <stp/>
        <stp>TRUE</stp>
        <stp>T</stp>
        <tr r="V110" s="16"/>
        <tr r="V110" s="16"/>
      </tp>
      <tp t="s">
        <v/>
        <stp/>
        <stp>StudyData</stp>
        <stp>NGE?133</stp>
        <stp>OI</stp>
        <stp>OIType=Contract</stp>
        <stp>OI</stp>
        <stp>D</stp>
        <stp>-2</stp>
        <stp>ALL</stp>
        <stp/>
        <stp/>
        <stp>TRUE</stp>
        <stp>T</stp>
        <tr r="W140" s="16"/>
        <tr r="W140" s="16"/>
      </tp>
      <tp t="s">
        <v/>
        <stp/>
        <stp>StudyData</stp>
        <stp>NGE?102</stp>
        <stp>OI</stp>
        <stp>OIType=Contract</stp>
        <stp>OI</stp>
        <stp>D</stp>
        <stp>-1</stp>
        <stp>ALL</stp>
        <stp/>
        <stp/>
        <stp>TRUE</stp>
        <stp>T</stp>
        <tr r="V109" s="16"/>
        <tr r="V109" s="16"/>
      </tp>
      <tp t="s">
        <v/>
        <stp/>
        <stp>StudyData</stp>
        <stp>NGE?132</stp>
        <stp>OI</stp>
        <stp>OIType=Contract</stp>
        <stp>OI</stp>
        <stp>D</stp>
        <stp>-2</stp>
        <stp>ALL</stp>
        <stp/>
        <stp/>
        <stp>TRUE</stp>
        <stp>T</stp>
        <tr r="W139" s="16"/>
        <tr r="W139" s="16"/>
      </tp>
      <tp t="s">
        <v/>
        <stp/>
        <stp>StudyData</stp>
        <stp>NGE?101</stp>
        <stp>OI</stp>
        <stp>OIType=Contract</stp>
        <stp>OI</stp>
        <stp>D</stp>
        <stp>-1</stp>
        <stp>ALL</stp>
        <stp/>
        <stp/>
        <stp>TRUE</stp>
        <stp>T</stp>
        <tr r="V108" s="16"/>
        <tr r="V108" s="16"/>
      </tp>
      <tp t="s">
        <v/>
        <stp/>
        <stp>StudyData</stp>
        <stp>NGE?131</stp>
        <stp>OI</stp>
        <stp>OIType=Contract</stp>
        <stp>OI</stp>
        <stp>D</stp>
        <stp>-2</stp>
        <stp>ALL</stp>
        <stp/>
        <stp/>
        <stp>TRUE</stp>
        <stp>T</stp>
        <tr r="W138" s="16"/>
        <tr r="W138" s="16"/>
      </tp>
      <tp t="s">
        <v/>
        <stp/>
        <stp>StudyData</stp>
        <stp>NGE?100</stp>
        <stp>OI</stp>
        <stp>OIType=Contract</stp>
        <stp>OI</stp>
        <stp>D</stp>
        <stp>-1</stp>
        <stp>ALL</stp>
        <stp/>
        <stp/>
        <stp>TRUE</stp>
        <stp>T</stp>
        <tr r="V107" s="16"/>
        <tr r="V107" s="16"/>
      </tp>
      <tp t="s">
        <v/>
        <stp/>
        <stp>StudyData</stp>
        <stp>NGE?130</stp>
        <stp>OI</stp>
        <stp>OIType=Contract</stp>
        <stp>OI</stp>
        <stp>D</stp>
        <stp>-2</stp>
        <stp>ALL</stp>
        <stp/>
        <stp/>
        <stp>TRUE</stp>
        <stp>T</stp>
        <tr r="W137" s="16"/>
        <tr r="W137" s="16"/>
      </tp>
      <tp>
        <v>2.7589999999999999</v>
        <stp/>
        <stp>StudyData</stp>
        <stp>Bar(((NGEJ19+NGEK19+NGEM19+NGEN19+NGEQ19+NGEU19+NGEV19)/7),1)</stp>
        <stp>Bar</stp>
        <stp/>
        <stp>High</stp>
        <stp>D</stp>
        <stp>-1</stp>
        <stp/>
        <stp/>
        <stp/>
        <stp/>
        <stp>T</stp>
        <tr r="AL3" s="14"/>
      </tp>
      <tp t="s">
        <v/>
        <stp/>
        <stp>StudyData</stp>
        <stp>NGE?119</stp>
        <stp>OI</stp>
        <stp>OIType=Contract</stp>
        <stp>OI</stp>
        <stp>D</stp>
        <stp>-1</stp>
        <stp>ALL</stp>
        <stp/>
        <stp/>
        <stp>TRUE</stp>
        <stp>T</stp>
        <tr r="V126" s="16"/>
        <tr r="V126" s="16"/>
      </tp>
      <tp t="s">
        <v/>
        <stp/>
        <stp>StudyData</stp>
        <stp>NGE?129</stp>
        <stp>OI</stp>
        <stp>OIType=Contract</stp>
        <stp>OI</stp>
        <stp>D</stp>
        <stp>-2</stp>
        <stp>ALL</stp>
        <stp/>
        <stp/>
        <stp>TRUE</stp>
        <stp>T</stp>
        <tr r="W136" s="16"/>
        <tr r="W136" s="16"/>
      </tp>
      <tp t="s">
        <v/>
        <stp/>
        <stp>StudyData</stp>
        <stp>NGE?118</stp>
        <stp>OI</stp>
        <stp>OIType=Contract</stp>
        <stp>OI</stp>
        <stp>D</stp>
        <stp>-1</stp>
        <stp>ALL</stp>
        <stp/>
        <stp/>
        <stp>TRUE</stp>
        <stp>T</stp>
        <tr r="V125" s="16"/>
        <tr r="V125" s="16"/>
      </tp>
      <tp t="s">
        <v/>
        <stp/>
        <stp>StudyData</stp>
        <stp>NGE?128</stp>
        <stp>OI</stp>
        <stp>OIType=Contract</stp>
        <stp>OI</stp>
        <stp>D</stp>
        <stp>-2</stp>
        <stp>ALL</stp>
        <stp/>
        <stp/>
        <stp>TRUE</stp>
        <stp>T</stp>
        <tr r="W135" s="16"/>
        <tr r="W135" s="16"/>
      </tp>
      <tp t="s">
        <v/>
        <stp/>
        <stp>StudyData</stp>
        <stp>NGE?117</stp>
        <stp>OI</stp>
        <stp>OIType=Contract</stp>
        <stp>OI</stp>
        <stp>D</stp>
        <stp>-1</stp>
        <stp>ALL</stp>
        <stp/>
        <stp/>
        <stp>TRUE</stp>
        <stp>T</stp>
        <tr r="V124" s="16"/>
        <tr r="V124" s="16"/>
      </tp>
      <tp t="s">
        <v/>
        <stp/>
        <stp>StudyData</stp>
        <stp>NGE?127</stp>
        <stp>OI</stp>
        <stp>OIType=Contract</stp>
        <stp>OI</stp>
        <stp>D</stp>
        <stp>-2</stp>
        <stp>ALL</stp>
        <stp/>
        <stp/>
        <stp>TRUE</stp>
        <stp>T</stp>
        <tr r="W134" s="16"/>
        <tr r="W134" s="16"/>
      </tp>
      <tp t="s">
        <v/>
        <stp/>
        <stp>StudyData</stp>
        <stp>NGE?116</stp>
        <stp>OI</stp>
        <stp>OIType=Contract</stp>
        <stp>OI</stp>
        <stp>D</stp>
        <stp>-1</stp>
        <stp>ALL</stp>
        <stp/>
        <stp/>
        <stp>TRUE</stp>
        <stp>T</stp>
        <tr r="V123" s="16"/>
        <tr r="V123" s="16"/>
      </tp>
      <tp t="s">
        <v/>
        <stp/>
        <stp>StudyData</stp>
        <stp>NGE?126</stp>
        <stp>OI</stp>
        <stp>OIType=Contract</stp>
        <stp>OI</stp>
        <stp>D</stp>
        <stp>-2</stp>
        <stp>ALL</stp>
        <stp/>
        <stp/>
        <stp>TRUE</stp>
        <stp>T</stp>
        <tr r="W133" s="16"/>
        <tr r="W133" s="16"/>
      </tp>
      <tp t="s">
        <v/>
        <stp/>
        <stp>StudyData</stp>
        <stp>NGE?115</stp>
        <stp>OI</stp>
        <stp>OIType=Contract</stp>
        <stp>OI</stp>
        <stp>D</stp>
        <stp>-1</stp>
        <stp>ALL</stp>
        <stp/>
        <stp/>
        <stp>TRUE</stp>
        <stp>T</stp>
        <tr r="V122" s="16"/>
        <tr r="V122" s="16"/>
      </tp>
      <tp t="s">
        <v/>
        <stp/>
        <stp>StudyData</stp>
        <stp>NGE?125</stp>
        <stp>OI</stp>
        <stp>OIType=Contract</stp>
        <stp>OI</stp>
        <stp>D</stp>
        <stp>-2</stp>
        <stp>ALL</stp>
        <stp/>
        <stp/>
        <stp>TRUE</stp>
        <stp>T</stp>
        <tr r="W132" s="16"/>
        <tr r="W132" s="16"/>
      </tp>
      <tp t="s">
        <v/>
        <stp/>
        <stp>StudyData</stp>
        <stp>NGE?114</stp>
        <stp>OI</stp>
        <stp>OIType=Contract</stp>
        <stp>OI</stp>
        <stp>D</stp>
        <stp>-1</stp>
        <stp>ALL</stp>
        <stp/>
        <stp/>
        <stp>TRUE</stp>
        <stp>T</stp>
        <tr r="V121" s="16"/>
        <tr r="V121" s="16"/>
      </tp>
      <tp t="s">
        <v/>
        <stp/>
        <stp>StudyData</stp>
        <stp>NGE?124</stp>
        <stp>OI</stp>
        <stp>OIType=Contract</stp>
        <stp>OI</stp>
        <stp>D</stp>
        <stp>-2</stp>
        <stp>ALL</stp>
        <stp/>
        <stp/>
        <stp>TRUE</stp>
        <stp>T</stp>
        <tr r="W131" s="16"/>
        <tr r="W131" s="16"/>
      </tp>
      <tp t="s">
        <v/>
        <stp/>
        <stp>StudyData</stp>
        <stp>NGE?113</stp>
        <stp>OI</stp>
        <stp>OIType=Contract</stp>
        <stp>OI</stp>
        <stp>D</stp>
        <stp>-1</stp>
        <stp>ALL</stp>
        <stp/>
        <stp/>
        <stp>TRUE</stp>
        <stp>T</stp>
        <tr r="V120" s="16"/>
        <tr r="V120" s="16"/>
      </tp>
      <tp t="s">
        <v/>
        <stp/>
        <stp>StudyData</stp>
        <stp>NGE?123</stp>
        <stp>OI</stp>
        <stp>OIType=Contract</stp>
        <stp>OI</stp>
        <stp>D</stp>
        <stp>-2</stp>
        <stp>ALL</stp>
        <stp/>
        <stp/>
        <stp>TRUE</stp>
        <stp>T</stp>
        <tr r="W130" s="16"/>
        <tr r="W130" s="16"/>
      </tp>
      <tp t="s">
        <v/>
        <stp/>
        <stp>StudyData</stp>
        <stp>NGE?112</stp>
        <stp>OI</stp>
        <stp>OIType=Contract</stp>
        <stp>OI</stp>
        <stp>D</stp>
        <stp>-1</stp>
        <stp>ALL</stp>
        <stp/>
        <stp/>
        <stp>TRUE</stp>
        <stp>T</stp>
        <tr r="V119" s="16"/>
        <tr r="V119" s="16"/>
      </tp>
      <tp t="s">
        <v/>
        <stp/>
        <stp>StudyData</stp>
        <stp>NGE?122</stp>
        <stp>OI</stp>
        <stp>OIType=Contract</stp>
        <stp>OI</stp>
        <stp>D</stp>
        <stp>-2</stp>
        <stp>ALL</stp>
        <stp/>
        <stp/>
        <stp>TRUE</stp>
        <stp>T</stp>
        <tr r="W129" s="16"/>
        <tr r="W129" s="16"/>
      </tp>
      <tp t="s">
        <v/>
        <stp/>
        <stp>StudyData</stp>
        <stp>NGE?111</stp>
        <stp>OI</stp>
        <stp>OIType=Contract</stp>
        <stp>OI</stp>
        <stp>D</stp>
        <stp>-1</stp>
        <stp>ALL</stp>
        <stp/>
        <stp/>
        <stp>TRUE</stp>
        <stp>T</stp>
        <tr r="V118" s="16"/>
        <tr r="V118" s="16"/>
      </tp>
      <tp t="s">
        <v/>
        <stp/>
        <stp>StudyData</stp>
        <stp>NGE?121</stp>
        <stp>OI</stp>
        <stp>OIType=Contract</stp>
        <stp>OI</stp>
        <stp>D</stp>
        <stp>-2</stp>
        <stp>ALL</stp>
        <stp/>
        <stp/>
        <stp>TRUE</stp>
        <stp>T</stp>
        <tr r="W128" s="16"/>
        <tr r="W128" s="16"/>
      </tp>
      <tp t="s">
        <v/>
        <stp/>
        <stp>StudyData</stp>
        <stp>NGE?110</stp>
        <stp>OI</stp>
        <stp>OIType=Contract</stp>
        <stp>OI</stp>
        <stp>D</stp>
        <stp>-1</stp>
        <stp>ALL</stp>
        <stp/>
        <stp/>
        <stp>TRUE</stp>
        <stp>T</stp>
        <tr r="V117" s="16"/>
        <tr r="V117" s="16"/>
      </tp>
      <tp t="s">
        <v/>
        <stp/>
        <stp>StudyData</stp>
        <stp>NGE?120</stp>
        <stp>OI</stp>
        <stp>OIType=Contract</stp>
        <stp>OI</stp>
        <stp>D</stp>
        <stp>-2</stp>
        <stp>ALL</stp>
        <stp/>
        <stp/>
        <stp>TRUE</stp>
        <stp>T</stp>
        <tr r="W127" s="16"/>
        <tr r="W127" s="16"/>
      </tp>
      <tp>
        <v>2.8650000000000002</v>
        <stp/>
        <stp>StudyData</stp>
        <stp>Bar(((NGEJ18+NGEK18+NGEM18+NGEN18+NGEQ18+NGEU18+NGEV18)/7),1)</stp>
        <stp>Bar</stp>
        <stp/>
        <stp>High</stp>
        <stp>D</stp>
        <stp>-42</stp>
        <stp/>
        <stp/>
        <stp/>
        <stp/>
        <stp>T</stp>
        <tr r="Q44" s="14"/>
      </tp>
      <tp>
        <v>2.7195714299999998</v>
        <stp/>
        <stp>StudyData</stp>
        <stp>Bar(((NGEJ19+NGEK19+NGEM19+NGEN19+NGEQ19+NGEU19+NGEV19)/7),1)</stp>
        <stp>Bar</stp>
        <stp/>
        <stp>High</stp>
        <stp>D</stp>
        <stp>-43</stp>
        <stp/>
        <stp/>
        <stp/>
        <stp/>
        <stp>T</stp>
        <tr r="AL45" s="14"/>
      </tp>
      <tp>
        <v>2.984</v>
        <stp/>
        <stp>StudyData</stp>
        <stp>Bar(((NGEJ18+NGEK18+NGEM18+NGEN18+NGEQ18+NGEU18+NGEV18)/7),1)</stp>
        <stp>Bar</stp>
        <stp/>
        <stp>High</stp>
        <stp>D</stp>
        <stp>-12</stp>
        <stp/>
        <stp/>
        <stp/>
        <stp/>
        <stp>T</stp>
        <tr r="Q14" s="14"/>
      </tp>
      <tp>
        <v>2.7872857099999999</v>
        <stp/>
        <stp>StudyData</stp>
        <stp>Bar(((NGEJ19+NGEK19+NGEM19+NGEN19+NGEQ19+NGEU19+NGEV19)/7),1)</stp>
        <stp>Bar</stp>
        <stp/>
        <stp>High</stp>
        <stp>D</stp>
        <stp>-13</stp>
        <stp/>
        <stp/>
        <stp/>
        <stp/>
        <stp>T</stp>
        <tr r="AL15" s="14"/>
      </tp>
      <tp>
        <v>2.9285714299999999</v>
        <stp/>
        <stp>StudyData</stp>
        <stp>Bar(((NGEJ18+NGEK18+NGEM18+NGEN18+NGEQ18+NGEU18+NGEV18)/7),1)</stp>
        <stp>Bar</stp>
        <stp/>
        <stp>High</stp>
        <stp>D</stp>
        <stp>-22</stp>
        <stp/>
        <stp/>
        <stp/>
        <stp/>
        <stp>T</stp>
        <tr r="Q24" s="14"/>
      </tp>
      <tp>
        <v>2.7357142900000002</v>
        <stp/>
        <stp>StudyData</stp>
        <stp>Bar(((NGEJ19+NGEK19+NGEM19+NGEN19+NGEQ19+NGEU19+NGEV19)/7),1)</stp>
        <stp>Bar</stp>
        <stp/>
        <stp>High</stp>
        <stp>D</stp>
        <stp>-23</stp>
        <stp/>
        <stp/>
        <stp/>
        <stp/>
        <stp>T</stp>
        <tr r="AL25" s="14"/>
      </tp>
      <tp>
        <v>2.91557143</v>
        <stp/>
        <stp>StudyData</stp>
        <stp>Bar(((NGEJ18+NGEK18+NGEM18+NGEN18+NGEQ18+NGEU18+NGEV18)/7),1)</stp>
        <stp>Bar</stp>
        <stp/>
        <stp>High</stp>
        <stp>D</stp>
        <stp>-32</stp>
        <stp/>
        <stp/>
        <stp/>
        <stp/>
        <stp>T</stp>
        <tr r="Q34" s="14"/>
      </tp>
      <tp>
        <v>2.7238571399999998</v>
        <stp/>
        <stp>StudyData</stp>
        <stp>Bar(((NGEJ19+NGEK19+NGEM19+NGEN19+NGEQ19+NGEU19+NGEV19)/7),1)</stp>
        <stp>Bar</stp>
        <stp/>
        <stp>High</stp>
        <stp>D</stp>
        <stp>-33</stp>
        <stp/>
        <stp/>
        <stp/>
        <stp/>
        <stp>T</stp>
        <tr r="AL35" s="14"/>
      </tp>
      <tp>
        <v>-2.6000000000000002E-2</v>
        <stp/>
        <stp>ContractData</stp>
        <stp>NGES5G8</stp>
        <stp>NetLastQuoteToday</stp>
        <stp/>
        <stp>T</stp>
        <tr r="X5" s="10"/>
      </tp>
      <tp>
        <v>-2.1999999999999999E-2</v>
        <stp/>
        <stp>ContractData</stp>
        <stp>NGES4G8</stp>
        <stp>NetLastQuoteToday</stp>
        <stp/>
        <stp>T</stp>
        <tr r="X5" s="9"/>
      </tp>
      <tp>
        <v>-2.6000000000000002E-2</v>
        <stp/>
        <stp>ContractData</stp>
        <stp>NGES6G8</stp>
        <stp>NetLastQuoteToday</stp>
        <stp/>
        <stp>T</stp>
        <tr r="X5" s="11"/>
      </tp>
      <tp>
        <v>-3.0000000000000001E-3</v>
        <stp/>
        <stp>ContractData</stp>
        <stp>NGES1G8</stp>
        <stp>NetLastQuoteToday</stp>
        <stp/>
        <stp>T</stp>
        <tr r="X5" s="6"/>
      </tp>
      <tp>
        <v>-2.1999999999999999E-2</v>
        <stp/>
        <stp>ContractData</stp>
        <stp>NGES3G8</stp>
        <stp>NetLastQuoteToday</stp>
        <stp/>
        <stp>T</stp>
        <tr r="X5" s="8"/>
      </tp>
      <tp>
        <v>-0.02</v>
        <stp/>
        <stp>ContractData</stp>
        <stp>NGES2G8</stp>
        <stp>NetLastQuoteToday</stp>
        <stp/>
        <stp>T</stp>
        <tr r="X5" s="7"/>
      </tp>
      <tp t="s">
        <v>3.107 A</v>
        <stp/>
        <stp>ContractData</stp>
        <stp>SPREAD((NGEX17+NGEZ17+NGEF18+NGEG18+NGEH18)/5)</stp>
        <stp>LastQuoteToday</stp>
        <stp/>
        <stp>B</stp>
        <tr r="F8" s="13"/>
      </tp>
      <tp t="s">
        <v>Natural Gas (Globex), Oct 24</v>
        <stp/>
        <stp>ContractData</stp>
        <stp>NGE?84</stp>
        <stp>LongDescription</stp>
        <stp/>
        <stp>T</stp>
        <tr r="AB91" s="16"/>
        <tr r="B91" s="16"/>
      </tp>
      <tp t="s">
        <v>Natural Gas (Globex), Nov 24</v>
        <stp/>
        <stp>ContractData</stp>
        <stp>NGE?85</stp>
        <stp>LongDescription</stp>
        <stp/>
        <stp>T</stp>
        <tr r="B92" s="16"/>
        <tr r="AB92" s="16"/>
      </tp>
      <tp t="s">
        <v>Natural Gas (Globex), Dec 24</v>
        <stp/>
        <stp>ContractData</stp>
        <stp>NGE?86</stp>
        <stp>LongDescription</stp>
        <stp/>
        <stp>T</stp>
        <tr r="AB93" s="16"/>
        <tr r="B93" s="16"/>
      </tp>
      <tp t="s">
        <v>Natural Gas (Globex), Jan 25</v>
        <stp/>
        <stp>ContractData</stp>
        <stp>NGE?87</stp>
        <stp>LongDescription</stp>
        <stp/>
        <stp>T</stp>
        <tr r="B94" s="16"/>
        <tr r="AB94" s="16"/>
      </tp>
      <tp t="s">
        <v>Natural Gas (Globex), Jun 24</v>
        <stp/>
        <stp>ContractData</stp>
        <stp>NGE?80</stp>
        <stp>LongDescription</stp>
        <stp/>
        <stp>T</stp>
        <tr r="B87" s="16"/>
        <tr r="AB87" s="16"/>
      </tp>
      <tp t="s">
        <v>Natural Gas (Globex), Jul 24</v>
        <stp/>
        <stp>ContractData</stp>
        <stp>NGE?81</stp>
        <stp>LongDescription</stp>
        <stp/>
        <stp>T</stp>
        <tr r="B88" s="16"/>
        <tr r="AB88" s="16"/>
      </tp>
      <tp t="s">
        <v>Natural Gas (Globex), Aug 24</v>
        <stp/>
        <stp>ContractData</stp>
        <stp>NGE?82</stp>
        <stp>LongDescription</stp>
        <stp/>
        <stp>T</stp>
        <tr r="B89" s="16"/>
        <tr r="AB89" s="16"/>
      </tp>
      <tp t="s">
        <v>Natural Gas (Globex), Sep 24</v>
        <stp/>
        <stp>ContractData</stp>
        <stp>NGE?83</stp>
        <stp>LongDescription</stp>
        <stp/>
        <stp>T</stp>
        <tr r="AB90" s="16"/>
        <tr r="B90" s="16"/>
      </tp>
      <tp t="s">
        <v>Natural Gas (Globex), Feb 25</v>
        <stp/>
        <stp>ContractData</stp>
        <stp>NGE?88</stp>
        <stp>LongDescription</stp>
        <stp/>
        <stp>T</stp>
        <tr r="AB95" s="16"/>
        <tr r="B95" s="16"/>
      </tp>
      <tp t="s">
        <v>Natural Gas (Globex), Mar 25</v>
        <stp/>
        <stp>ContractData</stp>
        <stp>NGE?89</stp>
        <stp>LongDescription</stp>
        <stp/>
        <stp>T</stp>
        <tr r="B96" s="16"/>
        <tr r="AB96" s="16"/>
      </tp>
      <tp t="s">
        <v>Natural Gas (Globex), Aug 25</v>
        <stp/>
        <stp>ContractData</stp>
        <stp>NGE?94</stp>
        <stp>LongDescription</stp>
        <stp/>
        <stp>T</stp>
        <tr r="AB101" s="16"/>
        <tr r="B101" s="16"/>
      </tp>
      <tp t="s">
        <v>Natural Gas (Globex), Sep 25</v>
        <stp/>
        <stp>ContractData</stp>
        <stp>NGE?95</stp>
        <stp>LongDescription</stp>
        <stp/>
        <stp>T</stp>
        <tr r="B102" s="16"/>
        <tr r="AB102" s="16"/>
      </tp>
      <tp t="s">
        <v>Natural Gas (Globex), Oct 25</v>
        <stp/>
        <stp>ContractData</stp>
        <stp>NGE?96</stp>
        <stp>LongDescription</stp>
        <stp/>
        <stp>T</stp>
        <tr r="AB103" s="16"/>
        <tr r="B103" s="16"/>
      </tp>
      <tp t="s">
        <v>Natural Gas (Globex), Nov 25</v>
        <stp/>
        <stp>ContractData</stp>
        <stp>NGE?97</stp>
        <stp>LongDescription</stp>
        <stp/>
        <stp>T</stp>
        <tr r="B104" s="16"/>
        <tr r="AB104" s="16"/>
      </tp>
      <tp t="s">
        <v>Natural Gas (Globex), Apr 25</v>
        <stp/>
        <stp>ContractData</stp>
        <stp>NGE?90</stp>
        <stp>LongDescription</stp>
        <stp/>
        <stp>T</stp>
        <tr r="AB97" s="16"/>
        <tr r="B97" s="16"/>
      </tp>
      <tp t="s">
        <v>Natural Gas (Globex), May 25</v>
        <stp/>
        <stp>ContractData</stp>
        <stp>NGE?91</stp>
        <stp>LongDescription</stp>
        <stp/>
        <stp>T</stp>
        <tr r="AB98" s="16"/>
        <tr r="B98" s="16"/>
      </tp>
      <tp t="s">
        <v>Natural Gas (Globex), Jun 25</v>
        <stp/>
        <stp>ContractData</stp>
        <stp>NGE?92</stp>
        <stp>LongDescription</stp>
        <stp/>
        <stp>T</stp>
        <tr r="B99" s="16"/>
        <tr r="AB99" s="16"/>
      </tp>
      <tp t="s">
        <v>Natural Gas (Globex), Jul 25</v>
        <stp/>
        <stp>ContractData</stp>
        <stp>NGE?93</stp>
        <stp>LongDescription</stp>
        <stp/>
        <stp>T</stp>
        <tr r="B100" s="16"/>
        <tr r="AB100" s="16"/>
      </tp>
      <tp t="s">
        <v>Natural Gas (Globex), Dec 25</v>
        <stp/>
        <stp>ContractData</stp>
        <stp>NGE?98</stp>
        <stp>LongDescription</stp>
        <stp/>
        <stp>T</stp>
        <tr r="AB105" s="16"/>
        <tr r="B105" s="16"/>
      </tp>
      <tp t="s">
        <v>Natural Gas (Globex), Jan 26</v>
        <stp/>
        <stp>ContractData</stp>
        <stp>NGE?99</stp>
        <stp>LongDescription</stp>
        <stp/>
        <stp>T</stp>
        <tr r="AB106" s="16"/>
        <tr r="B106" s="16"/>
      </tp>
      <tp t="s">
        <v>Natural Gas (Globex), Oct 19</v>
        <stp/>
        <stp>ContractData</stp>
        <stp>NGE?24</stp>
        <stp>LongDescription</stp>
        <stp/>
        <stp>T</stp>
        <tr r="AB31" s="16"/>
        <tr r="B31" s="16"/>
      </tp>
      <tp t="s">
        <v>Natural Gas (Globex), Nov 19</v>
        <stp/>
        <stp>ContractData</stp>
        <stp>NGE?25</stp>
        <stp>LongDescription</stp>
        <stp/>
        <stp>T</stp>
        <tr r="B32" s="16"/>
        <tr r="AB32" s="16"/>
      </tp>
      <tp t="s">
        <v>Natural Gas (Globex), Dec 19</v>
        <stp/>
        <stp>ContractData</stp>
        <stp>NGE?26</stp>
        <stp>LongDescription</stp>
        <stp/>
        <stp>T</stp>
        <tr r="AB33" s="16"/>
        <tr r="B33" s="16"/>
      </tp>
      <tp t="s">
        <v>Natural Gas (Globex), Jan 20</v>
        <stp/>
        <stp>ContractData</stp>
        <stp>NGE?27</stp>
        <stp>LongDescription</stp>
        <stp/>
        <stp>T</stp>
        <tr r="AB34" s="16"/>
        <tr r="B34" s="16"/>
      </tp>
      <tp t="s">
        <v>Natural Gas (Globex), Jun 19</v>
        <stp/>
        <stp>ContractData</stp>
        <stp>NGE?20</stp>
        <stp>LongDescription</stp>
        <stp/>
        <stp>T</stp>
        <tr r="AB27" s="16"/>
        <tr r="B27" s="16"/>
      </tp>
      <tp t="s">
        <v>Natural Gas (Globex), Jul 19</v>
        <stp/>
        <stp>ContractData</stp>
        <stp>NGE?21</stp>
        <stp>LongDescription</stp>
        <stp/>
        <stp>T</stp>
        <tr r="AB28" s="16"/>
        <tr r="B28" s="16"/>
      </tp>
      <tp t="s">
        <v>Natural Gas (Globex), Aug 19</v>
        <stp/>
        <stp>ContractData</stp>
        <stp>NGE?22</stp>
        <stp>LongDescription</stp>
        <stp/>
        <stp>T</stp>
        <tr r="AB29" s="16"/>
        <tr r="B29" s="16"/>
      </tp>
      <tp t="s">
        <v>Natural Gas (Globex), Sep 19</v>
        <stp/>
        <stp>ContractData</stp>
        <stp>NGE?23</stp>
        <stp>LongDescription</stp>
        <stp/>
        <stp>T</stp>
        <tr r="AB30" s="16"/>
        <tr r="B30" s="16"/>
      </tp>
      <tp t="s">
        <v>Natural Gas (Globex), Feb 20</v>
        <stp/>
        <stp>ContractData</stp>
        <stp>NGE?28</stp>
        <stp>LongDescription</stp>
        <stp/>
        <stp>T</stp>
        <tr r="B35" s="16"/>
        <tr r="AB35" s="16"/>
      </tp>
      <tp t="s">
        <v>Natural Gas (Globex), Mar 20</v>
        <stp/>
        <stp>ContractData</stp>
        <stp>NGE?29</stp>
        <stp>LongDescription</stp>
        <stp/>
        <stp>T</stp>
        <tr r="B36" s="16"/>
        <tr r="AB36" s="16"/>
      </tp>
      <tp t="s">
        <v>Natural Gas (Globex), Aug 20</v>
        <stp/>
        <stp>ContractData</stp>
        <stp>NGE?34</stp>
        <stp>LongDescription</stp>
        <stp/>
        <stp>T</stp>
        <tr r="AB41" s="16"/>
        <tr r="B41" s="16"/>
      </tp>
      <tp t="s">
        <v>Natural Gas (Globex), Sep 20</v>
        <stp/>
        <stp>ContractData</stp>
        <stp>NGE?35</stp>
        <stp>LongDescription</stp>
        <stp/>
        <stp>T</stp>
        <tr r="AB42" s="16"/>
        <tr r="B42" s="16"/>
      </tp>
      <tp t="s">
        <v>Natural Gas (Globex), Oct 20</v>
        <stp/>
        <stp>ContractData</stp>
        <stp>NGE?36</stp>
        <stp>LongDescription</stp>
        <stp/>
        <stp>T</stp>
        <tr r="B43" s="16"/>
        <tr r="AB43" s="16"/>
      </tp>
      <tp t="s">
        <v>Natural Gas (Globex), Nov 20</v>
        <stp/>
        <stp>ContractData</stp>
        <stp>NGE?37</stp>
        <stp>LongDescription</stp>
        <stp/>
        <stp>T</stp>
        <tr r="B44" s="16"/>
        <tr r="AB44" s="16"/>
      </tp>
      <tp t="s">
        <v>Natural Gas (Globex), Apr 20</v>
        <stp/>
        <stp>ContractData</stp>
        <stp>NGE?30</stp>
        <stp>LongDescription</stp>
        <stp/>
        <stp>T</stp>
        <tr r="B37" s="16"/>
        <tr r="AB37" s="16"/>
      </tp>
      <tp t="s">
        <v>Natural Gas (Globex), May 20</v>
        <stp/>
        <stp>ContractData</stp>
        <stp>NGE?31</stp>
        <stp>LongDescription</stp>
        <stp/>
        <stp>T</stp>
        <tr r="B38" s="16"/>
        <tr r="AB38" s="16"/>
      </tp>
      <tp t="s">
        <v>Natural Gas (Globex), Jun 20</v>
        <stp/>
        <stp>ContractData</stp>
        <stp>NGE?32</stp>
        <stp>LongDescription</stp>
        <stp/>
        <stp>T</stp>
        <tr r="B39" s="16"/>
        <tr r="AB39" s="16"/>
      </tp>
      <tp t="s">
        <v>Natural Gas (Globex), Jul 20</v>
        <stp/>
        <stp>ContractData</stp>
        <stp>NGE?33</stp>
        <stp>LongDescription</stp>
        <stp/>
        <stp>T</stp>
        <tr r="AB40" s="16"/>
        <tr r="B40" s="16"/>
      </tp>
      <tp t="s">
        <v>Natural Gas (Globex), Dec 20</v>
        <stp/>
        <stp>ContractData</stp>
        <stp>NGE?38</stp>
        <stp>LongDescription</stp>
        <stp/>
        <stp>T</stp>
        <tr r="B45" s="16"/>
        <tr r="AB45" s="16"/>
      </tp>
      <tp t="s">
        <v>Natural Gas (Globex), Jan 21</v>
        <stp/>
        <stp>ContractData</stp>
        <stp>NGE?39</stp>
        <stp>LongDescription</stp>
        <stp/>
        <stp>T</stp>
        <tr r="AB46" s="16"/>
        <tr r="B46" s="16"/>
      </tp>
      <tp t="s">
        <v>Natural Gas (Globex), Dec 18</v>
        <stp/>
        <stp>ContractData</stp>
        <stp>NGE?14</stp>
        <stp>LongDescription</stp>
        <stp/>
        <stp>T</stp>
        <tr r="AB21" s="16"/>
        <tr r="B21" s="16"/>
      </tp>
      <tp t="s">
        <v>Natural Gas (Globex), Jan 19</v>
        <stp/>
        <stp>ContractData</stp>
        <stp>NGE?15</stp>
        <stp>LongDescription</stp>
        <stp/>
        <stp>T</stp>
        <tr r="AB22" s="16"/>
        <tr r="B22" s="16"/>
      </tp>
      <tp t="s">
        <v>Natural Gas (Globex), Feb 19</v>
        <stp/>
        <stp>ContractData</stp>
        <stp>NGE?16</stp>
        <stp>LongDescription</stp>
        <stp/>
        <stp>T</stp>
        <tr r="AB23" s="16"/>
        <tr r="B23" s="16"/>
      </tp>
      <tp t="s">
        <v>Natural Gas (Globex), Mar 19</v>
        <stp/>
        <stp>ContractData</stp>
        <stp>NGE?17</stp>
        <stp>LongDescription</stp>
        <stp/>
        <stp>T</stp>
        <tr r="AB24" s="16"/>
        <tr r="B24" s="16"/>
      </tp>
      <tp t="s">
        <v>Natural Gas (Globex), Aug 18</v>
        <stp/>
        <stp>ContractData</stp>
        <stp>NGE?10</stp>
        <stp>LongDescription</stp>
        <stp/>
        <stp>T</stp>
        <tr r="AB17" s="16"/>
        <tr r="B17" s="16"/>
      </tp>
      <tp t="s">
        <v>Natural Gas (Globex), Sep 18</v>
        <stp/>
        <stp>ContractData</stp>
        <stp>NGE?11</stp>
        <stp>LongDescription</stp>
        <stp/>
        <stp>T</stp>
        <tr r="AB18" s="16"/>
        <tr r="B18" s="16"/>
      </tp>
      <tp t="s">
        <v>Natural Gas (Globex), Oct 18</v>
        <stp/>
        <stp>ContractData</stp>
        <stp>NGE?12</stp>
        <stp>LongDescription</stp>
        <stp/>
        <stp>T</stp>
        <tr r="AB19" s="16"/>
        <tr r="B19" s="16"/>
      </tp>
      <tp t="s">
        <v>Natural Gas (Globex), Nov 18</v>
        <stp/>
        <stp>ContractData</stp>
        <stp>NGE?13</stp>
        <stp>LongDescription</stp>
        <stp/>
        <stp>T</stp>
        <tr r="AB20" s="16"/>
        <tr r="B20" s="16"/>
      </tp>
      <tp t="s">
        <v>Natural Gas (Globex), Apr 19</v>
        <stp/>
        <stp>ContractData</stp>
        <stp>NGE?18</stp>
        <stp>LongDescription</stp>
        <stp/>
        <stp>T</stp>
        <tr r="AB25" s="16"/>
        <tr r="B25" s="16"/>
      </tp>
      <tp t="s">
        <v>Natural Gas (Globex), May 19</v>
        <stp/>
        <stp>ContractData</stp>
        <stp>NGE?19</stp>
        <stp>LongDescription</stp>
        <stp/>
        <stp>T</stp>
        <tr r="AB26" s="16"/>
        <tr r="B26" s="16"/>
      </tp>
      <tp t="s">
        <v>Natural Gas (Globex), Feb 23</v>
        <stp/>
        <stp>ContractData</stp>
        <stp>NGE?64</stp>
        <stp>LongDescription</stp>
        <stp/>
        <stp>T</stp>
        <tr r="B71" s="16"/>
        <tr r="AB71" s="16"/>
      </tp>
      <tp t="s">
        <v>Natural Gas (Globex), Mar 23</v>
        <stp/>
        <stp>ContractData</stp>
        <stp>NGE?65</stp>
        <stp>LongDescription</stp>
        <stp/>
        <stp>T</stp>
        <tr r="AB72" s="16"/>
        <tr r="B72" s="16"/>
      </tp>
      <tp t="s">
        <v>Natural Gas (Globex), Apr 23</v>
        <stp/>
        <stp>ContractData</stp>
        <stp>NGE?66</stp>
        <stp>LongDescription</stp>
        <stp/>
        <stp>T</stp>
        <tr r="B73" s="16"/>
        <tr r="AB73" s="16"/>
      </tp>
      <tp t="s">
        <v>Natural Gas (Globex), May 23</v>
        <stp/>
        <stp>ContractData</stp>
        <stp>NGE?67</stp>
        <stp>LongDescription</stp>
        <stp/>
        <stp>T</stp>
        <tr r="AB74" s="16"/>
        <tr r="B74" s="16"/>
      </tp>
      <tp t="s">
        <v>Natural Gas (Globex), Oct 22</v>
        <stp/>
        <stp>ContractData</stp>
        <stp>NGE?60</stp>
        <stp>LongDescription</stp>
        <stp/>
        <stp>T</stp>
        <tr r="B67" s="16"/>
        <tr r="AB67" s="16"/>
      </tp>
      <tp t="s">
        <v>Natural Gas (Globex), Nov 22</v>
        <stp/>
        <stp>ContractData</stp>
        <stp>NGE?61</stp>
        <stp>LongDescription</stp>
        <stp/>
        <stp>T</stp>
        <tr r="AB68" s="16"/>
        <tr r="B68" s="16"/>
      </tp>
      <tp t="s">
        <v>Natural Gas (Globex), Dec 22</v>
        <stp/>
        <stp>ContractData</stp>
        <stp>NGE?62</stp>
        <stp>LongDescription</stp>
        <stp/>
        <stp>T</stp>
        <tr r="B69" s="16"/>
        <tr r="AB69" s="16"/>
      </tp>
      <tp t="s">
        <v>Natural Gas (Globex), Jan 23</v>
        <stp/>
        <stp>ContractData</stp>
        <stp>NGE?63</stp>
        <stp>LongDescription</stp>
        <stp/>
        <stp>T</stp>
        <tr r="AB70" s="16"/>
        <tr r="B70" s="16"/>
      </tp>
      <tp t="s">
        <v>Natural Gas (Globex), Jun 23</v>
        <stp/>
        <stp>ContractData</stp>
        <stp>NGE?68</stp>
        <stp>LongDescription</stp>
        <stp/>
        <stp>T</stp>
        <tr r="B75" s="16"/>
        <tr r="AB75" s="16"/>
      </tp>
      <tp t="s">
        <v>Natural Gas (Globex), Jul 23</v>
        <stp/>
        <stp>ContractData</stp>
        <stp>NGE?69</stp>
        <stp>LongDescription</stp>
        <stp/>
        <stp>T</stp>
        <tr r="AB76" s="16"/>
        <tr r="B76" s="16"/>
      </tp>
      <tp t="s">
        <v>Natural Gas (Globex), Dec 23</v>
        <stp/>
        <stp>ContractData</stp>
        <stp>NGE?74</stp>
        <stp>LongDescription</stp>
        <stp/>
        <stp>T</stp>
        <tr r="B81" s="16"/>
        <tr r="AB81" s="16"/>
      </tp>
      <tp t="s">
        <v>Natural Gas (Globex), Jan 24</v>
        <stp/>
        <stp>ContractData</stp>
        <stp>NGE?75</stp>
        <stp>LongDescription</stp>
        <stp/>
        <stp>T</stp>
        <tr r="AB82" s="16"/>
        <tr r="B82" s="16"/>
      </tp>
      <tp t="s">
        <v>Natural Gas (Globex), Feb 24</v>
        <stp/>
        <stp>ContractData</stp>
        <stp>NGE?76</stp>
        <stp>LongDescription</stp>
        <stp/>
        <stp>T</stp>
        <tr r="AB83" s="16"/>
        <tr r="B83" s="16"/>
      </tp>
      <tp t="s">
        <v>Natural Gas (Globex), Mar 24</v>
        <stp/>
        <stp>ContractData</stp>
        <stp>NGE?77</stp>
        <stp>LongDescription</stp>
        <stp/>
        <stp>T</stp>
        <tr r="AB84" s="16"/>
        <tr r="B84" s="16"/>
      </tp>
      <tp t="s">
        <v>Natural Gas (Globex), Aug 23</v>
        <stp/>
        <stp>ContractData</stp>
        <stp>NGE?70</stp>
        <stp>LongDescription</stp>
        <stp/>
        <stp>T</stp>
        <tr r="AB77" s="16"/>
        <tr r="B77" s="16"/>
      </tp>
      <tp t="s">
        <v>Natural Gas (Globex), Sep 23</v>
        <stp/>
        <stp>ContractData</stp>
        <stp>NGE?71</stp>
        <stp>LongDescription</stp>
        <stp/>
        <stp>T</stp>
        <tr r="AB78" s="16"/>
        <tr r="B78" s="16"/>
      </tp>
      <tp t="s">
        <v>Natural Gas (Globex), Oct 23</v>
        <stp/>
        <stp>ContractData</stp>
        <stp>NGE?72</stp>
        <stp>LongDescription</stp>
        <stp/>
        <stp>T</stp>
        <tr r="B79" s="16"/>
        <tr r="AB79" s="16"/>
      </tp>
      <tp t="s">
        <v>Natural Gas (Globex), Nov 23</v>
        <stp/>
        <stp>ContractData</stp>
        <stp>NGE?73</stp>
        <stp>LongDescription</stp>
        <stp/>
        <stp>T</stp>
        <tr r="AB80" s="16"/>
        <tr r="B80" s="16"/>
      </tp>
      <tp t="s">
        <v>Natural Gas (Globex), Apr 24</v>
        <stp/>
        <stp>ContractData</stp>
        <stp>NGE?78</stp>
        <stp>LongDescription</stp>
        <stp/>
        <stp>T</stp>
        <tr r="B85" s="16"/>
        <tr r="AB85" s="16"/>
      </tp>
      <tp t="s">
        <v>Natural Gas (Globex), May 24</v>
        <stp/>
        <stp>ContractData</stp>
        <stp>NGE?79</stp>
        <stp>LongDescription</stp>
        <stp/>
        <stp>T</stp>
        <tr r="AB86" s="16"/>
        <tr r="B86" s="16"/>
      </tp>
      <tp t="s">
        <v>Natural Gas (Globex), Jun 21</v>
        <stp/>
        <stp>ContractData</stp>
        <stp>NGE?44</stp>
        <stp>LongDescription</stp>
        <stp/>
        <stp>T</stp>
        <tr r="AB51" s="16"/>
        <tr r="B51" s="16"/>
      </tp>
      <tp t="s">
        <v>Natural Gas (Globex), Jul 21</v>
        <stp/>
        <stp>ContractData</stp>
        <stp>NGE?45</stp>
        <stp>LongDescription</stp>
        <stp/>
        <stp>T</stp>
        <tr r="AB52" s="16"/>
        <tr r="B52" s="16"/>
      </tp>
      <tp t="s">
        <v>Natural Gas (Globex), Aug 21</v>
        <stp/>
        <stp>ContractData</stp>
        <stp>NGE?46</stp>
        <stp>LongDescription</stp>
        <stp/>
        <stp>T</stp>
        <tr r="B53" s="16"/>
        <tr r="AB53" s="16"/>
      </tp>
      <tp t="s">
        <v>Natural Gas (Globex), Sep 21</v>
        <stp/>
        <stp>ContractData</stp>
        <stp>NGE?47</stp>
        <stp>LongDescription</stp>
        <stp/>
        <stp>T</stp>
        <tr r="AB54" s="16"/>
        <tr r="B54" s="16"/>
      </tp>
      <tp t="s">
        <v>Natural Gas (Globex), Feb 21</v>
        <stp/>
        <stp>ContractData</stp>
        <stp>NGE?40</stp>
        <stp>LongDescription</stp>
        <stp/>
        <stp>T</stp>
        <tr r="AB47" s="16"/>
        <tr r="B47" s="16"/>
      </tp>
      <tp t="s">
        <v>Natural Gas (Globex), Mar 21</v>
        <stp/>
        <stp>ContractData</stp>
        <stp>NGE?41</stp>
        <stp>LongDescription</stp>
        <stp/>
        <stp>T</stp>
        <tr r="AB48" s="16"/>
        <tr r="B48" s="16"/>
      </tp>
      <tp t="s">
        <v>Natural Gas (Globex), Apr 21</v>
        <stp/>
        <stp>ContractData</stp>
        <stp>NGE?42</stp>
        <stp>LongDescription</stp>
        <stp/>
        <stp>T</stp>
        <tr r="AB49" s="16"/>
        <tr r="B49" s="16"/>
      </tp>
      <tp t="s">
        <v>Natural Gas (Globex), May 21</v>
        <stp/>
        <stp>ContractData</stp>
        <stp>NGE?43</stp>
        <stp>LongDescription</stp>
        <stp/>
        <stp>T</stp>
        <tr r="B50" s="16"/>
        <tr r="AB50" s="16"/>
      </tp>
      <tp t="s">
        <v>Natural Gas (Globex), Oct 21</v>
        <stp/>
        <stp>ContractData</stp>
        <stp>NGE?48</stp>
        <stp>LongDescription</stp>
        <stp/>
        <stp>T</stp>
        <tr r="AB55" s="16"/>
        <tr r="B55" s="16"/>
      </tp>
      <tp t="s">
        <v>Natural Gas (Globex), Nov 21</v>
        <stp/>
        <stp>ContractData</stp>
        <stp>NGE?49</stp>
        <stp>LongDescription</stp>
        <stp/>
        <stp>T</stp>
        <tr r="B56" s="16"/>
        <tr r="AB56" s="16"/>
      </tp>
      <tp t="s">
        <v>Natural Gas (Globex), Apr 22</v>
        <stp/>
        <stp>ContractData</stp>
        <stp>NGE?54</stp>
        <stp>LongDescription</stp>
        <stp/>
        <stp>T</stp>
        <tr r="B61" s="16"/>
        <tr r="AB61" s="16"/>
      </tp>
      <tp t="s">
        <v>Natural Gas (Globex), May 22</v>
        <stp/>
        <stp>ContractData</stp>
        <stp>NGE?55</stp>
        <stp>LongDescription</stp>
        <stp/>
        <stp>T</stp>
        <tr r="B62" s="16"/>
        <tr r="AB62" s="16"/>
      </tp>
      <tp t="s">
        <v>Natural Gas (Globex), Jun 22</v>
        <stp/>
        <stp>ContractData</stp>
        <stp>NGE?56</stp>
        <stp>LongDescription</stp>
        <stp/>
        <stp>T</stp>
        <tr r="B63" s="16"/>
        <tr r="AB63" s="16"/>
      </tp>
      <tp t="s">
        <v>Natural Gas (Globex), Jul 22</v>
        <stp/>
        <stp>ContractData</stp>
        <stp>NGE?57</stp>
        <stp>LongDescription</stp>
        <stp/>
        <stp>T</stp>
        <tr r="AB64" s="16"/>
        <tr r="B64" s="16"/>
      </tp>
      <tp t="s">
        <v>Natural Gas (Globex), Dec 21</v>
        <stp/>
        <stp>ContractData</stp>
        <stp>NGE?50</stp>
        <stp>LongDescription</stp>
        <stp/>
        <stp>T</stp>
        <tr r="AB57" s="16"/>
        <tr r="B57" s="16"/>
      </tp>
      <tp t="s">
        <v>Natural Gas (Globex), Jan 22</v>
        <stp/>
        <stp>ContractData</stp>
        <stp>NGE?51</stp>
        <stp>LongDescription</stp>
        <stp/>
        <stp>T</stp>
        <tr r="B58" s="16"/>
        <tr r="AB58" s="16"/>
      </tp>
      <tp t="s">
        <v>Natural Gas (Globex), Feb 22</v>
        <stp/>
        <stp>ContractData</stp>
        <stp>NGE?52</stp>
        <stp>LongDescription</stp>
        <stp/>
        <stp>T</stp>
        <tr r="B59" s="16"/>
        <tr r="AB59" s="16"/>
      </tp>
      <tp t="s">
        <v>Natural Gas (Globex), Mar 22</v>
        <stp/>
        <stp>ContractData</stp>
        <stp>NGE?53</stp>
        <stp>LongDescription</stp>
        <stp/>
        <stp>T</stp>
        <tr r="B60" s="16"/>
        <tr r="AB60" s="16"/>
      </tp>
      <tp t="s">
        <v>Natural Gas (Globex), Aug 22</v>
        <stp/>
        <stp>ContractData</stp>
        <stp>NGE?58</stp>
        <stp>LongDescription</stp>
        <stp/>
        <stp>T</stp>
        <tr r="AB65" s="16"/>
        <tr r="B65" s="16"/>
      </tp>
      <tp t="s">
        <v>Natural Gas (Globex), Sep 22</v>
        <stp/>
        <stp>ContractData</stp>
        <stp>NGE?59</stp>
        <stp>LongDescription</stp>
        <stp/>
        <stp>T</stp>
        <tr r="AB66" s="16"/>
        <tr r="B66" s="16"/>
      </tp>
      <tp>
        <v>2.7492857100000001</v>
        <stp/>
        <stp>StudyData</stp>
        <stp>Bar(((NGEJ19+NGEK19+NGEM19+NGEN19+NGEQ19+NGEU19+NGEV19)/7),1)</stp>
        <stp>Bar</stp>
        <stp/>
        <stp>Open</stp>
        <stp>D</stp>
        <stp>-5</stp>
        <stp/>
        <stp/>
        <stp/>
        <stp/>
        <stp>T</stp>
        <tr r="AK7" s="14"/>
      </tp>
      <tp>
        <v>2.94385714</v>
        <stp/>
        <stp>StudyData</stp>
        <stp>Bar(((NGEJ18+NGEK18+NGEM18+NGEN18+NGEQ18+NGEU18+NGEV18)/7),1)</stp>
        <stp>Bar</stp>
        <stp/>
        <stp>Open</stp>
        <stp>D</stp>
        <stp>-5</stp>
        <stp/>
        <stp/>
        <stp/>
        <stp/>
        <stp>T</stp>
        <tr r="P7" s="14"/>
      </tp>
      <tp>
        <v>42999</v>
        <stp/>
        <stp>StudyData</stp>
        <stp>Bar(((NGEJ18+NGEK18+NGEM18+NGEN18+NGEQ18+NGEU18+NGEV18)/7),1)</stp>
        <stp>Bar</stp>
        <stp/>
        <stp>Time</stp>
        <stp>D</stp>
        <stp>-11</stp>
        <stp/>
        <stp/>
        <stp/>
        <stp/>
        <stp>T</stp>
        <tr r="O13" s="14"/>
      </tp>
      <tp>
        <v>43000</v>
        <stp/>
        <stp>StudyData</stp>
        <stp>Bar(((NGEJ19+NGEK19+NGEM19+NGEN19+NGEQ19+NGEU19+NGEV19)/7),1)</stp>
        <stp>Bar</stp>
        <stp/>
        <stp>Time</stp>
        <stp>D</stp>
        <stp>-10</stp>
        <stp/>
        <stp/>
        <stp/>
        <stp/>
        <stp>T</stp>
        <tr r="AJ12" s="14"/>
      </tp>
      <tp>
        <v>42985</v>
        <stp/>
        <stp>StudyData</stp>
        <stp>Bar(((NGEJ18+NGEK18+NGEM18+NGEN18+NGEQ18+NGEU18+NGEV18)/7),1)</stp>
        <stp>Bar</stp>
        <stp/>
        <stp>Time</stp>
        <stp>D</stp>
        <stp>-21</stp>
        <stp/>
        <stp/>
        <stp/>
        <stp/>
        <stp>T</stp>
        <tr r="O23" s="14"/>
      </tp>
      <tp>
        <v>42986</v>
        <stp/>
        <stp>StudyData</stp>
        <stp>Bar(((NGEJ19+NGEK19+NGEM19+NGEN19+NGEQ19+NGEU19+NGEV19)/7),1)</stp>
        <stp>Bar</stp>
        <stp/>
        <stp>Time</stp>
        <stp>D</stp>
        <stp>-20</stp>
        <stp/>
        <stp/>
        <stp/>
        <stp/>
        <stp>T</stp>
        <tr r="AJ22" s="14"/>
      </tp>
      <tp>
        <v>42970</v>
        <stp/>
        <stp>StudyData</stp>
        <stp>Bar(((NGEJ18+NGEK18+NGEM18+NGEN18+NGEQ18+NGEU18+NGEV18)/7),1)</stp>
        <stp>Bar</stp>
        <stp/>
        <stp>Time</stp>
        <stp>D</stp>
        <stp>-31</stp>
        <stp/>
        <stp/>
        <stp/>
        <stp/>
        <stp>T</stp>
        <tr r="O33" s="14"/>
      </tp>
      <tp>
        <v>42971</v>
        <stp/>
        <stp>StudyData</stp>
        <stp>Bar(((NGEJ19+NGEK19+NGEM19+NGEN19+NGEQ19+NGEU19+NGEV19)/7),1)</stp>
        <stp>Bar</stp>
        <stp/>
        <stp>Time</stp>
        <stp>D</stp>
        <stp>-30</stp>
        <stp/>
        <stp/>
        <stp/>
        <stp/>
        <stp>T</stp>
        <tr r="AJ32" s="14"/>
      </tp>
      <tp>
        <v>42956</v>
        <stp/>
        <stp>StudyData</stp>
        <stp>Bar(((NGEJ18+NGEK18+NGEM18+NGEN18+NGEQ18+NGEU18+NGEV18)/7),1)</stp>
        <stp>Bar</stp>
        <stp/>
        <stp>Time</stp>
        <stp>D</stp>
        <stp>-41</stp>
        <stp/>
        <stp/>
        <stp/>
        <stp/>
        <stp>T</stp>
        <tr r="O43" s="14"/>
      </tp>
      <tp>
        <v>42957</v>
        <stp/>
        <stp>StudyData</stp>
        <stp>Bar(((NGEJ19+NGEK19+NGEM19+NGEN19+NGEQ19+NGEU19+NGEV19)/7),1)</stp>
        <stp>Bar</stp>
        <stp/>
        <stp>Time</stp>
        <stp>D</stp>
        <stp>-40</stp>
        <stp/>
        <stp/>
        <stp/>
        <stp/>
        <stp>T</stp>
        <tr r="AJ42" s="14"/>
      </tp>
      <tp>
        <v>2.9561428599999999</v>
        <stp/>
        <stp>StudyData</stp>
        <stp>Bar(((NGEJ18+NGEK18+NGEM18+NGEN18+NGEQ18+NGEU18+NGEV18)/7),1)</stp>
        <stp>Bar</stp>
        <stp/>
        <stp>High</stp>
        <stp>D</stp>
        <stp>-2</stp>
        <stp/>
        <stp/>
        <stp/>
        <stp/>
        <stp>T</stp>
        <tr r="Q4" s="14"/>
      </tp>
      <tp>
        <v>2.7557142899999998</v>
        <stp/>
        <stp>StudyData</stp>
        <stp>Bar(((NGEJ19+NGEK19+NGEM19+NGEN19+NGEQ19+NGEU19+NGEV19)/7),1)</stp>
        <stp>Bar</stp>
        <stp/>
        <stp>High</stp>
        <stp>D</stp>
        <stp>-2</stp>
        <stp/>
        <stp/>
        <stp/>
        <stp/>
        <stp>T</stp>
        <tr r="AL4" s="14"/>
      </tp>
      <tp>
        <v>2.8849999999999998</v>
        <stp/>
        <stp>StudyData</stp>
        <stp>Bar(((NGEJ18+NGEK18+NGEM18+NGEN18+NGEQ18+NGEU18+NGEV18)/7),1)</stp>
        <stp>Bar</stp>
        <stp/>
        <stp>High</stp>
        <stp>D</stp>
        <stp>-41</stp>
        <stp/>
        <stp/>
        <stp/>
        <stp/>
        <stp>T</stp>
        <tr r="Q43" s="14"/>
      </tp>
      <tp>
        <v>2.7250000000000001</v>
        <stp/>
        <stp>StudyData</stp>
        <stp>Bar(((NGEJ19+NGEK19+NGEM19+NGEN19+NGEQ19+NGEU19+NGEV19)/7),1)</stp>
        <stp>Bar</stp>
        <stp/>
        <stp>High</stp>
        <stp>D</stp>
        <stp>-40</stp>
        <stp/>
        <stp/>
        <stp/>
        <stp/>
        <stp>T</stp>
        <tr r="AL42" s="14"/>
      </tp>
      <tp>
        <v>2.9767142899999999</v>
        <stp/>
        <stp>StudyData</stp>
        <stp>Bar(((NGEJ18+NGEK18+NGEM18+NGEN18+NGEQ18+NGEU18+NGEV18)/7),1)</stp>
        <stp>Bar</stp>
        <stp/>
        <stp>High</stp>
        <stp>D</stp>
        <stp>-11</stp>
        <stp/>
        <stp/>
        <stp/>
        <stp/>
        <stp>T</stp>
        <tr r="Q13" s="14"/>
      </tp>
      <tp>
        <v>2.79485714</v>
        <stp/>
        <stp>StudyData</stp>
        <stp>Bar(((NGEJ19+NGEK19+NGEM19+NGEN19+NGEQ19+NGEU19+NGEV19)/7),1)</stp>
        <stp>Bar</stp>
        <stp/>
        <stp>High</stp>
        <stp>D</stp>
        <stp>-10</stp>
        <stp/>
        <stp/>
        <stp/>
        <stp/>
        <stp>T</stp>
        <tr r="AL12" s="14"/>
      </tp>
      <tp>
        <v>2.9321428599999999</v>
        <stp/>
        <stp>StudyData</stp>
        <stp>Bar(((NGEJ18+NGEK18+NGEM18+NGEN18+NGEQ18+NGEU18+NGEV18)/7),1)</stp>
        <stp>Bar</stp>
        <stp/>
        <stp>High</stp>
        <stp>D</stp>
        <stp>-21</stp>
        <stp/>
        <stp/>
        <stp/>
        <stp/>
        <stp>T</stp>
        <tr r="Q23" s="14"/>
      </tp>
      <tp>
        <v>2.75042857</v>
        <stp/>
        <stp>StudyData</stp>
        <stp>Bar(((NGEJ19+NGEK19+NGEM19+NGEN19+NGEQ19+NGEU19+NGEV19)/7),1)</stp>
        <stp>Bar</stp>
        <stp/>
        <stp>High</stp>
        <stp>D</stp>
        <stp>-20</stp>
        <stp/>
        <stp/>
        <stp/>
        <stp/>
        <stp>T</stp>
        <tr r="AL22" s="14"/>
      </tp>
      <tp>
        <v>2.9052857099999998</v>
        <stp/>
        <stp>StudyData</stp>
        <stp>Bar(((NGEJ18+NGEK18+NGEM18+NGEN18+NGEQ18+NGEU18+NGEV18)/7),1)</stp>
        <stp>Bar</stp>
        <stp/>
        <stp>High</stp>
        <stp>D</stp>
        <stp>-31</stp>
        <stp/>
        <stp/>
        <stp/>
        <stp/>
        <stp>T</stp>
        <tr r="Q33" s="14"/>
      </tp>
      <tp>
        <v>2.7124285700000001</v>
        <stp/>
        <stp>StudyData</stp>
        <stp>Bar(((NGEJ19+NGEK19+NGEM19+NGEN19+NGEQ19+NGEU19+NGEV19)/7),1)</stp>
        <stp>Bar</stp>
        <stp/>
        <stp>High</stp>
        <stp>D</stp>
        <stp>-30</stp>
        <stp/>
        <stp/>
        <stp/>
        <stp/>
        <stp>T</stp>
        <tr r="AL32" s="14"/>
      </tp>
      <tp>
        <v>-1.9E-2</v>
        <stp/>
        <stp>ContractData</stp>
        <stp>NGES2H8</stp>
        <stp>NetLastTradeToday</stp>
        <stp/>
        <stp>T</stp>
        <tr r="G49" s="2"/>
        <tr r="H49" s="2"/>
      </tp>
      <tp>
        <v>-2.1000000000000001E-2</v>
        <stp/>
        <stp>ContractData</stp>
        <stp>NGES3H8</stp>
        <stp>NetLastTradeToday</stp>
        <stp/>
        <stp>T</stp>
        <tr r="H65" s="2"/>
        <tr r="G65" s="2"/>
      </tp>
      <tp>
        <v>-1.6E-2</v>
        <stp/>
        <stp>ContractData</stp>
        <stp>NGES1H8</stp>
        <stp>NetLastTradeToday</stp>
        <stp/>
        <stp>T</stp>
        <tr r="G33" s="2"/>
        <tr r="H33" s="2"/>
      </tp>
      <tp t="s">
        <v/>
        <stp/>
        <stp>ContractData</stp>
        <stp>NGES6H8</stp>
        <stp>NetLastTradeToday</stp>
        <stp/>
        <stp>T</stp>
        <tr r="G116" s="2"/>
        <tr r="H116" s="2"/>
      </tp>
      <tp>
        <v>-1.4E-2</v>
        <stp/>
        <stp>ContractData</stp>
        <stp>NGES4H8</stp>
        <stp>NetLastTradeToday</stp>
        <stp/>
        <stp>T</stp>
        <tr r="G81" s="2"/>
        <tr r="H81" s="2"/>
      </tp>
      <tp t="s">
        <v/>
        <stp/>
        <stp>ContractData</stp>
        <stp>NGES5H8</stp>
        <stp>NetLastTradeToday</stp>
        <stp/>
        <stp>T</stp>
        <tr r="G97" s="2"/>
        <tr r="H97" s="2"/>
      </tp>
      <tp>
        <v>263</v>
        <stp/>
        <stp>ContractData</stp>
        <stp>NGEF9</stp>
        <stp>T_CVol</stp>
        <tr r="I43" s="13"/>
      </tp>
      <tp>
        <v>14801</v>
        <stp/>
        <stp>ContractData</stp>
        <stp>NGEF8</stp>
        <stp>T_CVol</stp>
        <tr r="I15" s="13"/>
        <tr r="I15" s="2"/>
      </tp>
      <tp>
        <v>23</v>
        <stp/>
        <stp>ContractData</stp>
        <stp>NGEG9</stp>
        <stp>T_CVol</stp>
        <tr r="I44" s="13"/>
      </tp>
      <tp>
        <v>5067</v>
        <stp/>
        <stp>ContractData</stp>
        <stp>NGEG8</stp>
        <stp>T_CVol</stp>
        <tr r="I16" s="13"/>
        <tr r="I16" s="2"/>
      </tp>
      <tp>
        <v>10</v>
        <stp/>
        <stp>ContractData</stp>
        <stp>NGEN9</stp>
        <stp>T_CVol</stp>
        <tr r="I57" s="13"/>
      </tp>
      <tp>
        <v>942</v>
        <stp/>
        <stp>ContractData</stp>
        <stp>NGEN8</stp>
        <stp>T_CVol</stp>
        <tr r="I21" s="2"/>
      </tp>
      <tp>
        <v>0</v>
        <stp/>
        <stp>ContractData</stp>
        <stp>NGEM9</stp>
        <stp>T_CVol</stp>
        <tr r="I56" s="13"/>
      </tp>
      <tp>
        <v>243</v>
        <stp/>
        <stp>ContractData</stp>
        <stp>NGEM8</stp>
        <stp>T_CVol</stp>
        <tr r="I20" s="2"/>
      </tp>
      <tp>
        <v>5</v>
        <stp/>
        <stp>ContractData</stp>
        <stp>NGEJ9</stp>
        <stp>T_CVol</stp>
        <tr r="I54" s="13"/>
      </tp>
      <tp>
        <v>5093</v>
        <stp/>
        <stp>ContractData</stp>
        <stp>NGEJ8</stp>
        <stp>T_CVol</stp>
        <tr r="I18" s="2"/>
      </tp>
      <tp>
        <v>0</v>
        <stp/>
        <stp>ContractData</stp>
        <stp>NGEK9</stp>
        <stp>T_CVol</stp>
        <tr r="I55" s="13"/>
      </tp>
      <tp>
        <v>1940</v>
        <stp/>
        <stp>ContractData</stp>
        <stp>NGEK8</stp>
        <stp>T_CVol</stp>
        <tr r="I19" s="2"/>
      </tp>
      <tp>
        <v>27</v>
        <stp/>
        <stp>ContractData</stp>
        <stp>NGEH9</stp>
        <stp>T_CVol</stp>
        <tr r="I45" s="13"/>
      </tp>
      <tp>
        <v>8085</v>
        <stp/>
        <stp>ContractData</stp>
        <stp>NGEH8</stp>
        <stp>T_CVol</stp>
        <tr r="I17" s="13"/>
        <tr r="I17" s="2"/>
      </tp>
      <tp>
        <v>0</v>
        <stp/>
        <stp>ContractData</stp>
        <stp>NGEV9</stp>
        <stp>T_CVol</stp>
        <tr r="I60" s="13"/>
      </tp>
      <tp>
        <v>1142</v>
        <stp/>
        <stp>ContractData</stp>
        <stp>NGEV8</stp>
        <stp>T_CVol</stp>
        <tr r="I24" s="2"/>
      </tp>
      <tp>
        <v>0</v>
        <stp/>
        <stp>ContractData</stp>
        <stp>NGEU9</stp>
        <stp>T_CVol</stp>
        <tr r="I59" s="13"/>
      </tp>
      <tp>
        <v>744</v>
        <stp/>
        <stp>ContractData</stp>
        <stp>NGEU8</stp>
        <stp>T_CVol</stp>
        <tr r="I23" s="2"/>
      </tp>
      <tp>
        <v>0</v>
        <stp/>
        <stp>ContractData</stp>
        <stp>NGEQ9</stp>
        <stp>T_CVol</stp>
        <tr r="I58" s="13"/>
      </tp>
      <tp>
        <v>951</v>
        <stp/>
        <stp>ContractData</stp>
        <stp>NGEQ8</stp>
        <stp>T_CVol</stp>
        <tr r="I22" s="2"/>
      </tp>
      <tp>
        <v>22483</v>
        <stp/>
        <stp>ContractData</stp>
        <stp>NGEZ7</stp>
        <stp>T_CVol</stp>
        <tr r="I14" s="13"/>
        <tr r="I14" s="2"/>
      </tp>
      <tp>
        <v>66</v>
        <stp/>
        <stp>ContractData</stp>
        <stp>NGEZ8</stp>
        <stp>T_CVol</stp>
        <tr r="I42" s="13"/>
      </tp>
      <tp>
        <v>57846</v>
        <stp/>
        <stp>ContractData</stp>
        <stp>NGEX7</stp>
        <stp>T_CVol</stp>
        <tr r="I13" s="13"/>
        <tr r="I13" s="2"/>
      </tp>
      <tp>
        <v>120</v>
        <stp/>
        <stp>ContractData</stp>
        <stp>NGEX8</stp>
        <stp>T_CVol</stp>
        <tr r="I41" s="13"/>
      </tp>
      <tp>
        <v>-2.6000000000000002E-2</v>
        <stp/>
        <stp>ContractData</stp>
        <stp>NGES5F8</stp>
        <stp>NetLastQuoteToday</stp>
        <stp/>
        <stp>T</stp>
        <tr r="X4" s="10"/>
      </tp>
      <tp>
        <v>-2.3E-2</v>
        <stp/>
        <stp>ContractData</stp>
        <stp>NGES4F8</stp>
        <stp>NetLastQuoteToday</stp>
        <stp/>
        <stp>T</stp>
        <tr r="X4" s="9"/>
      </tp>
      <tp>
        <v>-2.7E-2</v>
        <stp/>
        <stp>ContractData</stp>
        <stp>NGES6F8</stp>
        <stp>NetLastQuoteToday</stp>
        <stp/>
        <stp>T</stp>
        <tr r="X4" s="11"/>
      </tp>
      <tp>
        <v>-1E-3</v>
        <stp/>
        <stp>ContractData</stp>
        <stp>NGES1F8</stp>
        <stp>NetLastQuoteToday</stp>
        <stp/>
        <stp>T</stp>
        <tr r="X4" s="6"/>
      </tp>
      <tp>
        <v>-1.9E-2</v>
        <stp/>
        <stp>ContractData</stp>
        <stp>NGES3F8</stp>
        <stp>NetLastQuoteToday</stp>
        <stp/>
        <stp>T</stp>
        <tr r="X4" s="8"/>
      </tp>
      <tp>
        <v>-4.0000000000000001E-3</v>
        <stp/>
        <stp>ContractData</stp>
        <stp>NGES2F8</stp>
        <stp>NetLastQuoteToday</stp>
        <stp/>
        <stp>T</stp>
        <tr r="X4" s="7"/>
      </tp>
      <tp>
        <v>-5.0000000000000001E-3</v>
        <stp/>
        <stp>ContractData</stp>
        <stp>NGES6X7</stp>
        <stp>LastTradeorSettle</stp>
        <stp/>
        <stp>T</stp>
        <tr r="W2" s="11"/>
        <tr r="F112" s="2"/>
      </tp>
      <tp>
        <v>-2.9000000000000001E-2</v>
        <stp/>
        <stp>ContractData</stp>
        <stp>NGES5X7</stp>
        <stp>LastTradeorSettle</stp>
        <stp/>
        <stp>T</stp>
        <tr r="W2" s="10"/>
        <tr r="F93" s="2"/>
      </tp>
      <tp>
        <v>-0.26600000000000001</v>
        <stp/>
        <stp>ContractData</stp>
        <stp>NGES4X7</stp>
        <stp>LastTradeorSettle</stp>
        <stp/>
        <stp>T</stp>
        <tr r="W2" s="9"/>
        <tr r="F77" s="2"/>
      </tp>
      <tp>
        <v>-0.30599999999999999</v>
        <stp/>
        <stp>ContractData</stp>
        <stp>NGES3X7</stp>
        <stp>LastTradeorSettle</stp>
        <stp/>
        <stp>T</stp>
        <tr r="W2" s="8"/>
        <tr r="F61" s="2"/>
      </tp>
      <tp>
        <v>-0.3</v>
        <stp/>
        <stp>ContractData</stp>
        <stp>NGES2X7</stp>
        <stp>LastTradeorSettle</stp>
        <stp/>
        <stp>T</stp>
        <tr r="W2" s="7"/>
        <tr r="F45" s="2"/>
      </tp>
      <tp>
        <v>-0.17300000000000001</v>
        <stp/>
        <stp>ContractData</stp>
        <stp>NGES1X7</stp>
        <stp>LastTradeorSettle</stp>
        <stp/>
        <stp>T</stp>
        <tr r="W2" s="6"/>
        <tr r="F29" s="2"/>
      </tp>
      <tp>
        <v>2.7425714299999999</v>
        <stp/>
        <stp>StudyData</stp>
        <stp>Bar(((NGEJ19+NGEK19+NGEM19+NGEN19+NGEQ19+NGEU19+NGEV19)/7),1)</stp>
        <stp>Bar</stp>
        <stp/>
        <stp>Open</stp>
        <stp>D</stp>
        <stp>-4</stp>
        <stp/>
        <stp/>
        <stp/>
        <stp/>
        <stp>T</stp>
        <tr r="AK6" s="14"/>
      </tp>
      <tp>
        <v>2.9342857100000002</v>
        <stp/>
        <stp>StudyData</stp>
        <stp>Bar(((NGEJ18+NGEK18+NGEM18+NGEN18+NGEQ18+NGEU18+NGEV18)/7),1)</stp>
        <stp>Bar</stp>
        <stp/>
        <stp>Open</stp>
        <stp>D</stp>
        <stp>-4</stp>
        <stp/>
        <stp/>
        <stp/>
        <stp/>
        <stp>T</stp>
        <tr r="P6" s="14"/>
      </tp>
      <tp>
        <v>43000</v>
        <stp/>
        <stp>StudyData</stp>
        <stp>Bar(((NGEJ18+NGEK18+NGEM18+NGEN18+NGEQ18+NGEU18+NGEV18)/7),1)</stp>
        <stp>Bar</stp>
        <stp/>
        <stp>Time</stp>
        <stp>D</stp>
        <stp>-10</stp>
        <stp/>
        <stp/>
        <stp/>
        <stp/>
        <stp>T</stp>
        <tr r="O12" s="14"/>
      </tp>
      <tp>
        <v>42999</v>
        <stp/>
        <stp>StudyData</stp>
        <stp>Bar(((NGEJ19+NGEK19+NGEM19+NGEN19+NGEQ19+NGEU19+NGEV19)/7),1)</stp>
        <stp>Bar</stp>
        <stp/>
        <stp>Time</stp>
        <stp>D</stp>
        <stp>-11</stp>
        <stp/>
        <stp/>
        <stp/>
        <stp/>
        <stp>T</stp>
        <tr r="AJ13" s="14"/>
      </tp>
      <tp>
        <v>42986</v>
        <stp/>
        <stp>StudyData</stp>
        <stp>Bar(((NGEJ18+NGEK18+NGEM18+NGEN18+NGEQ18+NGEU18+NGEV18)/7),1)</stp>
        <stp>Bar</stp>
        <stp/>
        <stp>Time</stp>
        <stp>D</stp>
        <stp>-20</stp>
        <stp/>
        <stp/>
        <stp/>
        <stp/>
        <stp>T</stp>
        <tr r="O22" s="14"/>
      </tp>
      <tp>
        <v>42985</v>
        <stp/>
        <stp>StudyData</stp>
        <stp>Bar(((NGEJ19+NGEK19+NGEM19+NGEN19+NGEQ19+NGEU19+NGEV19)/7),1)</stp>
        <stp>Bar</stp>
        <stp/>
        <stp>Time</stp>
        <stp>D</stp>
        <stp>-21</stp>
        <stp/>
        <stp/>
        <stp/>
        <stp/>
        <stp>T</stp>
        <tr r="AJ23" s="14"/>
      </tp>
      <tp>
        <v>42971</v>
        <stp/>
        <stp>StudyData</stp>
        <stp>Bar(((NGEJ18+NGEK18+NGEM18+NGEN18+NGEQ18+NGEU18+NGEV18)/7),1)</stp>
        <stp>Bar</stp>
        <stp/>
        <stp>Time</stp>
        <stp>D</stp>
        <stp>-30</stp>
        <stp/>
        <stp/>
        <stp/>
        <stp/>
        <stp>T</stp>
        <tr r="O32" s="14"/>
      </tp>
      <tp>
        <v>42970</v>
        <stp/>
        <stp>StudyData</stp>
        <stp>Bar(((NGEJ19+NGEK19+NGEM19+NGEN19+NGEQ19+NGEU19+NGEV19)/7),1)</stp>
        <stp>Bar</stp>
        <stp/>
        <stp>Time</stp>
        <stp>D</stp>
        <stp>-31</stp>
        <stp/>
        <stp/>
        <stp/>
        <stp/>
        <stp>T</stp>
        <tr r="AJ33" s="14"/>
      </tp>
      <tp>
        <v>42957</v>
        <stp/>
        <stp>StudyData</stp>
        <stp>Bar(((NGEJ18+NGEK18+NGEM18+NGEN18+NGEQ18+NGEU18+NGEV18)/7),1)</stp>
        <stp>Bar</stp>
        <stp/>
        <stp>Time</stp>
        <stp>D</stp>
        <stp>-40</stp>
        <stp/>
        <stp/>
        <stp/>
        <stp/>
        <stp>T</stp>
        <tr r="O42" s="14"/>
      </tp>
      <tp>
        <v>42956</v>
        <stp/>
        <stp>StudyData</stp>
        <stp>Bar(((NGEJ19+NGEK19+NGEM19+NGEN19+NGEQ19+NGEU19+NGEV19)/7),1)</stp>
        <stp>Bar</stp>
        <stp/>
        <stp>Time</stp>
        <stp>D</stp>
        <stp>-41</stp>
        <stp/>
        <stp/>
        <stp/>
        <stp/>
        <stp>T</stp>
        <tr r="AJ43" s="14"/>
      </tp>
      <tp>
        <v>2.9217142900000002</v>
        <stp/>
        <stp>StudyData</stp>
        <stp>Bar(((NGEJ18+NGEK18+NGEM18+NGEN18+NGEQ18+NGEU18+NGEV18)/7),1)</stp>
        <stp>Bar</stp>
        <stp/>
        <stp>High</stp>
        <stp>D</stp>
        <stp>-3</stp>
        <stp/>
        <stp/>
        <stp/>
        <stp/>
        <stp>T</stp>
        <tr r="Q5" s="14"/>
      </tp>
      <tp>
        <v>2.7524285700000002</v>
        <stp/>
        <stp>StudyData</stp>
        <stp>Bar(((NGEJ19+NGEK19+NGEM19+NGEN19+NGEQ19+NGEU19+NGEV19)/7),1)</stp>
        <stp>Bar</stp>
        <stp/>
        <stp>High</stp>
        <stp>D</stp>
        <stp>-3</stp>
        <stp/>
        <stp/>
        <stp/>
        <stp/>
        <stp>T</stp>
        <tr r="AL5" s="14"/>
      </tp>
      <tp>
        <v>2.8998571399999999</v>
        <stp/>
        <stp>StudyData</stp>
        <stp>Bar(((NGEJ18+NGEK18+NGEM18+NGEN18+NGEQ18+NGEU18+NGEV18)/7),1)</stp>
        <stp>Bar</stp>
        <stp/>
        <stp>High</stp>
        <stp>D</stp>
        <stp>-40</stp>
        <stp/>
        <stp/>
        <stp/>
        <stp/>
        <stp>T</stp>
        <tr r="Q42" s="14"/>
      </tp>
      <tp>
        <v>2.7292857100000001</v>
        <stp/>
        <stp>StudyData</stp>
        <stp>Bar(((NGEJ19+NGEK19+NGEM19+NGEN19+NGEQ19+NGEU19+NGEV19)/7),1)</stp>
        <stp>Bar</stp>
        <stp/>
        <stp>High</stp>
        <stp>D</stp>
        <stp>-41</stp>
        <stp/>
        <stp/>
        <stp/>
        <stp/>
        <stp>T</stp>
        <tr r="AL43" s="14"/>
      </tp>
      <tp>
        <v>2.9521428599999999</v>
        <stp/>
        <stp>StudyData</stp>
        <stp>Bar(((NGEJ18+NGEK18+NGEM18+NGEN18+NGEQ18+NGEU18+NGEV18)/7),1)</stp>
        <stp>Bar</stp>
        <stp/>
        <stp>High</stp>
        <stp>D</stp>
        <stp>-10</stp>
        <stp/>
        <stp/>
        <stp/>
        <stp/>
        <stp>T</stp>
        <tr r="Q12" s="14"/>
      </tp>
      <tp>
        <v>2.7837142899999998</v>
        <stp/>
        <stp>StudyData</stp>
        <stp>Bar(((NGEJ19+NGEK19+NGEM19+NGEN19+NGEQ19+NGEU19+NGEV19)/7),1)</stp>
        <stp>Bar</stp>
        <stp/>
        <stp>High</stp>
        <stp>D</stp>
        <stp>-11</stp>
        <stp/>
        <stp/>
        <stp/>
        <stp/>
        <stp>T</stp>
        <tr r="AL13" s="14"/>
      </tp>
      <tp>
        <v>2.93128571</v>
        <stp/>
        <stp>StudyData</stp>
        <stp>Bar(((NGEJ18+NGEK18+NGEM18+NGEN18+NGEQ18+NGEU18+NGEV18)/7),1)</stp>
        <stp>Bar</stp>
        <stp/>
        <stp>High</stp>
        <stp>D</stp>
        <stp>-20</stp>
        <stp/>
        <stp/>
        <stp/>
        <stp/>
        <stp>T</stp>
        <tr r="Q22" s="14"/>
      </tp>
      <tp>
        <v>2.7511428599999999</v>
        <stp/>
        <stp>StudyData</stp>
        <stp>Bar(((NGEJ19+NGEK19+NGEM19+NGEN19+NGEQ19+NGEU19+NGEV19)/7),1)</stp>
        <stp>Bar</stp>
        <stp/>
        <stp>High</stp>
        <stp>D</stp>
        <stp>-21</stp>
        <stp/>
        <stp/>
        <stp/>
        <stp/>
        <stp>T</stp>
        <tr r="AL23" s="14"/>
      </tp>
      <tp>
        <v>2.9142857100000001</v>
        <stp/>
        <stp>StudyData</stp>
        <stp>Bar(((NGEJ18+NGEK18+NGEM18+NGEN18+NGEQ18+NGEU18+NGEV18)/7),1)</stp>
        <stp>Bar</stp>
        <stp/>
        <stp>High</stp>
        <stp>D</stp>
        <stp>-30</stp>
        <stp/>
        <stp/>
        <stp/>
        <stp/>
        <stp>T</stp>
        <tr r="Q32" s="14"/>
      </tp>
      <tp>
        <v>2.7120000000000002</v>
        <stp/>
        <stp>StudyData</stp>
        <stp>Bar(((NGEJ19+NGEK19+NGEM19+NGEN19+NGEQ19+NGEU19+NGEV19)/7),1)</stp>
        <stp>Bar</stp>
        <stp/>
        <stp>High</stp>
        <stp>D</stp>
        <stp>-31</stp>
        <stp/>
        <stp/>
        <stp/>
        <stp/>
        <stp>T</stp>
        <tr r="AL33" s="14"/>
      </tp>
      <tp>
        <v>-1.7000000000000001E-2</v>
        <stp/>
        <stp>ContractData</stp>
        <stp>NGES2G8</stp>
        <stp>NetLastTradeToday</stp>
        <stp/>
        <stp>T</stp>
        <tr r="G48" s="2"/>
        <tr r="H48" s="2"/>
      </tp>
      <tp>
        <v>-2.3E-2</v>
        <stp/>
        <stp>ContractData</stp>
        <stp>NGES3G8</stp>
        <stp>NetLastTradeToday</stp>
        <stp/>
        <stp>T</stp>
        <tr r="G64" s="2"/>
        <tr r="H64" s="2"/>
      </tp>
      <tp>
        <v>-3.0000000000000001E-3</v>
        <stp/>
        <stp>ContractData</stp>
        <stp>NGES1G8</stp>
        <stp>NetLastTradeToday</stp>
        <stp/>
        <stp>T</stp>
        <tr r="G32" s="2"/>
        <tr r="H32" s="2"/>
      </tp>
      <tp>
        <v>-2.1999999999999999E-2</v>
        <stp/>
        <stp>ContractData</stp>
        <stp>NGES6G8</stp>
        <stp>NetLastTradeToday</stp>
        <stp/>
        <stp>T</stp>
        <tr r="G115" s="2"/>
        <tr r="H115" s="2"/>
      </tp>
      <tp>
        <v>-2.1000000000000001E-2</v>
        <stp/>
        <stp>ContractData</stp>
        <stp>NGES4G8</stp>
        <stp>NetLastTradeToday</stp>
        <stp/>
        <stp>T</stp>
        <tr r="H80" s="2"/>
        <tr r="G80" s="2"/>
      </tp>
      <tp>
        <v>-2.1999999999999999E-2</v>
        <stp/>
        <stp>ContractData</stp>
        <stp>NGES5G8</stp>
        <stp>NetLastTradeToday</stp>
        <stp/>
        <stp>T</stp>
        <tr r="G96" s="2"/>
        <tr r="H96" s="2"/>
      </tp>
      <tp>
        <v>0</v>
        <stp/>
        <stp>ContractData</stp>
        <stp>NGE?142</stp>
        <stp>Y_CVol</stp>
        <stp/>
        <stp>T</stp>
        <tr r="T149" s="16"/>
      </tp>
      <tp>
        <v>0</v>
        <stp/>
        <stp>ContractData</stp>
        <stp>NGE?102</stp>
        <stp>Y_CVol</stp>
        <stp/>
        <stp>T</stp>
        <tr r="T109" s="16"/>
      </tp>
      <tp>
        <v>0</v>
        <stp/>
        <stp>ContractData</stp>
        <stp>NGE?112</stp>
        <stp>Y_CVol</stp>
        <stp/>
        <stp>T</stp>
        <tr r="T119" s="16"/>
      </tp>
      <tp>
        <v>0</v>
        <stp/>
        <stp>ContractData</stp>
        <stp>NGE?122</stp>
        <stp>Y_CVol</stp>
        <stp/>
        <stp>T</stp>
        <tr r="T129" s="16"/>
      </tp>
      <tp>
        <v>0</v>
        <stp/>
        <stp>ContractData</stp>
        <stp>NGE?132</stp>
        <stp>Y_CVol</stp>
        <stp/>
        <stp>T</stp>
        <tr r="T139" s="16"/>
      </tp>
      <tp>
        <v>0</v>
        <stp/>
        <stp>ContractData</stp>
        <stp>NGE?142</stp>
        <stp>T_CVol</stp>
        <stp/>
        <stp>T</stp>
        <tr r="S149" s="16"/>
      </tp>
      <tp>
        <v>0</v>
        <stp/>
        <stp>ContractData</stp>
        <stp>NGE?102</stp>
        <stp>T_CVol</stp>
        <stp/>
        <stp>T</stp>
        <tr r="S109" s="16"/>
      </tp>
      <tp>
        <v>0</v>
        <stp/>
        <stp>ContractData</stp>
        <stp>NGE?112</stp>
        <stp>T_CVol</stp>
        <stp/>
        <stp>T</stp>
        <tr r="S119" s="16"/>
      </tp>
      <tp>
        <v>0</v>
        <stp/>
        <stp>ContractData</stp>
        <stp>NGE?122</stp>
        <stp>T_CVol</stp>
        <stp/>
        <stp>T</stp>
        <tr r="S129" s="16"/>
      </tp>
      <tp>
        <v>0</v>
        <stp/>
        <stp>ContractData</stp>
        <stp>NGE?132</stp>
        <stp>T_CVol</stp>
        <stp/>
        <stp>T</stp>
        <tr r="S139" s="16"/>
      </tp>
      <tp>
        <v>47296</v>
        <stp/>
        <stp>ContractData</stp>
        <stp>NGE?141</stp>
        <stp>ExpirationDate</stp>
        <stp/>
        <stp>T</stp>
        <tr r="AA148" s="16"/>
      </tp>
      <tp>
        <v>46385</v>
        <stp/>
        <stp>ContractData</stp>
        <stp>NGE?111</stp>
        <stp>ExpirationDate</stp>
        <stp/>
        <stp>T</stp>
        <tr r="AA118" s="16"/>
      </tp>
      <tp>
        <v>46078</v>
        <stp/>
        <stp>ContractData</stp>
        <stp>NGE?101</stp>
        <stp>ExpirationDate</stp>
        <stp/>
        <stp>T</stp>
        <tr r="AA108" s="16"/>
      </tp>
      <tp>
        <v>46994</v>
        <stp/>
        <stp>ContractData</stp>
        <stp>NGE?131</stp>
        <stp>ExpirationDate</stp>
        <stp/>
        <stp>T</stp>
        <tr r="AA138" s="16"/>
      </tp>
      <tp>
        <v>46687</v>
        <stp/>
        <stp>ContractData</stp>
        <stp>NGE?121</stp>
        <stp>ExpirationDate</stp>
        <stp/>
        <stp>T</stp>
        <tr r="AA128" s="16"/>
      </tp>
      <tp t="s">
        <v>3.157 A</v>
        <stp/>
        <stp>ContractData</stp>
        <stp>SPREAD((NGEX18+NGEZ18+NGEF19+NGEG19+NGEH19)/5)</stp>
        <stp>LastQuoteToday</stp>
        <stp/>
        <stp>B</stp>
        <tr r="F36" s="13"/>
      </tp>
      <tp>
        <v>-4.0000000000000001E-3</v>
        <stp/>
        <stp>ContractData</stp>
        <stp>NGES2F8</stp>
        <stp>NetLastTradeToday</stp>
        <stp/>
        <stp>T</stp>
        <tr r="G47" s="2"/>
        <tr r="H47" s="2"/>
      </tp>
      <tp>
        <v>-1.9E-2</v>
        <stp/>
        <stp>ContractData</stp>
        <stp>NGES3F8</stp>
        <stp>NetLastTradeToday</stp>
        <stp/>
        <stp>T</stp>
        <tr r="G63" s="2"/>
        <tr r="H63" s="2"/>
      </tp>
      <tp>
        <v>-1E-3</v>
        <stp/>
        <stp>ContractData</stp>
        <stp>NGES1F8</stp>
        <stp>NetLastTradeToday</stp>
        <stp/>
        <stp>T</stp>
        <tr r="H31" s="2"/>
        <tr r="G31" s="2"/>
      </tp>
      <tp>
        <v>-2.1000000000000001E-2</v>
        <stp/>
        <stp>ContractData</stp>
        <stp>NGES6F8</stp>
        <stp>NetLastTradeToday</stp>
        <stp/>
        <stp>T</stp>
        <tr r="G114" s="2"/>
        <tr r="H114" s="2"/>
      </tp>
      <tp>
        <v>-2.1000000000000001E-2</v>
        <stp/>
        <stp>ContractData</stp>
        <stp>NGES4F8</stp>
        <stp>NetLastTradeToday</stp>
        <stp/>
        <stp>T</stp>
        <tr r="H79" s="2"/>
        <tr r="G79" s="2"/>
      </tp>
      <tp>
        <v>-2.1000000000000001E-2</v>
        <stp/>
        <stp>ContractData</stp>
        <stp>NGES5F8</stp>
        <stp>NetLastTradeToday</stp>
        <stp/>
        <stp>T</stp>
        <tr r="G95" s="2"/>
        <tr r="H95" s="2"/>
      </tp>
      <tp>
        <v>-2.3E-2</v>
        <stp/>
        <stp>ContractData</stp>
        <stp>NGES5H8</stp>
        <stp>NetLastQuoteToday</stp>
        <stp/>
        <stp>T</stp>
        <tr r="X6" s="10"/>
      </tp>
      <tp>
        <v>-2.3E-2</v>
        <stp/>
        <stp>ContractData</stp>
        <stp>NGES4H8</stp>
        <stp>NetLastQuoteToday</stp>
        <stp/>
        <stp>T</stp>
        <tr r="X6" s="9"/>
      </tp>
      <tp>
        <v>-2.1000000000000001E-2</v>
        <stp/>
        <stp>ContractData</stp>
        <stp>NGES6H8</stp>
        <stp>NetLastQuoteToday</stp>
        <stp/>
        <stp>T</stp>
        <tr r="X6" s="11"/>
      </tp>
      <tp>
        <v>-1.6E-2</v>
        <stp/>
        <stp>ContractData</stp>
        <stp>NGES1H8</stp>
        <stp>NetLastQuoteToday</stp>
        <stp/>
        <stp>T</stp>
        <tr r="X6" s="6"/>
      </tp>
      <tp>
        <v>-2.3E-2</v>
        <stp/>
        <stp>ContractData</stp>
        <stp>NGES3H8</stp>
        <stp>NetLastQuoteToday</stp>
        <stp/>
        <stp>T</stp>
        <tr r="X6" s="8"/>
      </tp>
      <tp>
        <v>-2.1000000000000001E-2</v>
        <stp/>
        <stp>ContractData</stp>
        <stp>NGES2H8</stp>
        <stp>NetLastQuoteToday</stp>
        <stp/>
        <stp>T</stp>
        <tr r="X6" s="7"/>
      </tp>
      <tp t="s">
        <v/>
        <stp/>
        <stp>ContractData</stp>
        <stp>NGES6V8</stp>
        <stp>LastTradeorSettle</stp>
        <stp/>
        <stp>T</stp>
        <tr r="W13" s="11"/>
        <tr r="F123" s="2"/>
      </tp>
      <tp t="s">
        <v/>
        <stp/>
        <stp>ContractData</stp>
        <stp>NGES5V8</stp>
        <stp>LastTradeorSettle</stp>
        <stp/>
        <stp>T</stp>
        <tr r="W13" s="10"/>
        <tr r="F104" s="2"/>
      </tp>
      <tp t="s">
        <v/>
        <stp/>
        <stp>ContractData</stp>
        <stp>NGES4V8</stp>
        <stp>LastTradeorSettle</stp>
        <stp/>
        <stp>T</stp>
        <tr r="W13" s="9"/>
        <tr r="F88" s="2"/>
      </tp>
      <tp>
        <v>-0.27500000000000002</v>
        <stp/>
        <stp>ContractData</stp>
        <stp>NGES3V8</stp>
        <stp>LastTradeorSettle</stp>
        <stp/>
        <stp>T</stp>
        <tr r="W13" s="8"/>
        <tr r="F72" s="2"/>
      </tp>
      <tp>
        <v>-0.19</v>
        <stp/>
        <stp>ContractData</stp>
        <stp>NGES2V8</stp>
        <stp>LastTradeorSettle</stp>
        <stp/>
        <stp>T</stp>
        <tr r="W13" s="7"/>
        <tr r="F56" s="2"/>
      </tp>
      <tp>
        <v>-5.2999999999999999E-2</v>
        <stp/>
        <stp>ContractData</stp>
        <stp>NGES1V8</stp>
        <stp>LastTradeorSettle</stp>
        <stp/>
        <stp>T</stp>
        <tr r="W13" s="6"/>
        <tr r="F40" s="2"/>
      </tp>
      <tp>
        <v>0</v>
        <stp/>
        <stp>ContractData</stp>
        <stp>NGE?143</stp>
        <stp>Y_CVol</stp>
        <stp/>
        <stp>T</stp>
        <tr r="T150" s="16"/>
      </tp>
      <tp>
        <v>0</v>
        <stp/>
        <stp>ContractData</stp>
        <stp>NGE?103</stp>
        <stp>Y_CVol</stp>
        <stp/>
        <stp>T</stp>
        <tr r="T110" s="16"/>
      </tp>
      <tp>
        <v>0</v>
        <stp/>
        <stp>ContractData</stp>
        <stp>NGE?113</stp>
        <stp>Y_CVol</stp>
        <stp/>
        <stp>T</stp>
        <tr r="T120" s="16"/>
      </tp>
      <tp>
        <v>0</v>
        <stp/>
        <stp>ContractData</stp>
        <stp>NGE?123</stp>
        <stp>Y_CVol</stp>
        <stp/>
        <stp>T</stp>
        <tr r="T130" s="16"/>
      </tp>
      <tp>
        <v>0</v>
        <stp/>
        <stp>ContractData</stp>
        <stp>NGE?133</stp>
        <stp>Y_CVol</stp>
        <stp/>
        <stp>T</stp>
        <tr r="T140" s="16"/>
      </tp>
      <tp>
        <v>0</v>
        <stp/>
        <stp>ContractData</stp>
        <stp>NGE?143</stp>
        <stp>T_CVol</stp>
        <stp/>
        <stp>T</stp>
        <tr r="S150" s="16"/>
      </tp>
      <tp>
        <v>0</v>
        <stp/>
        <stp>ContractData</stp>
        <stp>NGE?103</stp>
        <stp>T_CVol</stp>
        <stp/>
        <stp>T</stp>
        <tr r="S110" s="16"/>
      </tp>
      <tp>
        <v>0</v>
        <stp/>
        <stp>ContractData</stp>
        <stp>NGE?113</stp>
        <stp>T_CVol</stp>
        <stp/>
        <stp>T</stp>
        <tr r="S120" s="16"/>
      </tp>
      <tp>
        <v>0</v>
        <stp/>
        <stp>ContractData</stp>
        <stp>NGE?123</stp>
        <stp>T_CVol</stp>
        <stp/>
        <stp>T</stp>
        <tr r="S130" s="16"/>
      </tp>
      <tp>
        <v>0</v>
        <stp/>
        <stp>ContractData</stp>
        <stp>NGE?133</stp>
        <stp>T_CVol</stp>
        <stp/>
        <stp>T</stp>
        <tr r="S140" s="16"/>
      </tp>
      <tp>
        <v>47267</v>
        <stp/>
        <stp>ContractData</stp>
        <stp>NGE?140</stp>
        <stp>ExpirationDate</stp>
        <stp/>
        <stp>T</stp>
        <tr r="AA147" s="16"/>
      </tp>
      <tp>
        <v>46352</v>
        <stp/>
        <stp>ContractData</stp>
        <stp>NGE?110</stp>
        <stp>ExpirationDate</stp>
        <stp/>
        <stp>T</stp>
        <tr r="AA117" s="16"/>
      </tp>
      <tp>
        <v>46050</v>
        <stp/>
        <stp>ContractData</stp>
        <stp>NGE?100</stp>
        <stp>ExpirationDate</stp>
        <stp/>
        <stp>T</stp>
        <tr r="AA107" s="16"/>
      </tp>
      <tp>
        <v>46961</v>
        <stp/>
        <stp>ContractData</stp>
        <stp>NGE?130</stp>
        <stp>ExpirationDate</stp>
        <stp/>
        <stp>T</stp>
        <tr r="AA137" s="16"/>
      </tp>
      <tp>
        <v>46658</v>
        <stp/>
        <stp>ContractData</stp>
        <stp>NGE?120</stp>
        <stp>ExpirationDate</stp>
        <stp/>
        <stp>T</stp>
        <tr r="AA127" s="16"/>
      </tp>
      <tp>
        <v>-3.0000000000000001E-3</v>
        <stp/>
        <stp>ContractData</stp>
        <stp>NGES5K8</stp>
        <stp>NetLastQuoteToday</stp>
        <stp/>
        <stp>T</stp>
        <tr r="X8" s="10"/>
      </tp>
      <tp>
        <v>-1E-3</v>
        <stp/>
        <stp>ContractData</stp>
        <stp>NGES4K8</stp>
        <stp>NetLastQuoteToday</stp>
        <stp/>
        <stp>T</stp>
        <tr r="X8" s="9"/>
      </tp>
      <tp>
        <v>-3.0000000000000001E-3</v>
        <stp/>
        <stp>ContractData</stp>
        <stp>NGES6K8</stp>
        <stp>NetLastQuoteToday</stp>
        <stp/>
        <stp>T</stp>
        <tr r="X8" s="11"/>
      </tp>
      <tp>
        <v>-1E-3</v>
        <stp/>
        <stp>ContractData</stp>
        <stp>NGES1K8</stp>
        <stp>NetLastQuoteToday</stp>
        <stp/>
        <stp>T</stp>
        <tr r="X8" s="6"/>
      </tp>
      <tp>
        <v>-2E-3</v>
        <stp/>
        <stp>ContractData</stp>
        <stp>NGES3K8</stp>
        <stp>NetLastQuoteToday</stp>
        <stp/>
        <stp>T</stp>
        <tr r="X8" s="8"/>
      </tp>
      <tp>
        <v>-3.0000000000000001E-3</v>
        <stp/>
        <stp>ContractData</stp>
        <stp>NGES2K8</stp>
        <stp>NetLastQuoteToday</stp>
        <stp/>
        <stp>T</stp>
        <tr r="X8" s="7"/>
      </tp>
      <tp t="s">
        <v/>
        <stp/>
        <stp>ContractData</stp>
        <stp>NGES6U8</stp>
        <stp>LastTradeorSettle</stp>
        <stp/>
        <stp>T</stp>
        <tr r="W12" s="11"/>
        <tr r="F122" s="2"/>
      </tp>
      <tp t="s">
        <v/>
        <stp/>
        <stp>ContractData</stp>
        <stp>NGES5U8</stp>
        <stp>LastTradeorSettle</stp>
        <stp/>
        <stp>T</stp>
        <tr r="W12" s="10"/>
        <tr r="F103" s="2"/>
      </tp>
      <tp t="s">
        <v/>
        <stp/>
        <stp>ContractData</stp>
        <stp>NGES4U8</stp>
        <stp>LastTradeorSettle</stp>
        <stp/>
        <stp>T</stp>
        <tr r="W12" s="9"/>
        <tr r="F87" s="2"/>
      </tp>
      <tp>
        <v>-0.21099999999999999</v>
        <stp/>
        <stp>ContractData</stp>
        <stp>NGES3U8</stp>
        <stp>LastTradeorSettle</stp>
        <stp/>
        <stp>T</stp>
        <tr r="W12" s="8"/>
        <tr r="F71" s="2"/>
      </tp>
      <tp t="s">
        <v/>
        <stp/>
        <stp>ContractData</stp>
        <stp>NGES2U8</stp>
        <stp>LastTradeorSettle</stp>
        <stp/>
        <stp>T</stp>
        <tr r="W12" s="7"/>
        <tr r="F55" s="2"/>
      </tp>
      <tp>
        <v>-2.3E-2</v>
        <stp/>
        <stp>ContractData</stp>
        <stp>NGES1U8</stp>
        <stp>LastTradeorSettle</stp>
        <stp/>
        <stp>T</stp>
        <tr r="W12" s="6"/>
        <tr r="F39" s="2"/>
      </tp>
      <tp>
        <v>0</v>
        <stp/>
        <stp>ContractData</stp>
        <stp>NGE?140</stp>
        <stp>Y_CVol</stp>
        <stp/>
        <stp>T</stp>
        <tr r="T147" s="16"/>
      </tp>
      <tp>
        <v>0</v>
        <stp/>
        <stp>ContractData</stp>
        <stp>NGE?100</stp>
        <stp>Y_CVol</stp>
        <stp/>
        <stp>T</stp>
        <tr r="T107" s="16"/>
      </tp>
      <tp>
        <v>0</v>
        <stp/>
        <stp>ContractData</stp>
        <stp>NGE?110</stp>
        <stp>Y_CVol</stp>
        <stp/>
        <stp>T</stp>
        <tr r="T117" s="16"/>
      </tp>
      <tp>
        <v>0</v>
        <stp/>
        <stp>ContractData</stp>
        <stp>NGE?120</stp>
        <stp>Y_CVol</stp>
        <stp/>
        <stp>T</stp>
        <tr r="T127" s="16"/>
      </tp>
      <tp>
        <v>0</v>
        <stp/>
        <stp>ContractData</stp>
        <stp>NGE?130</stp>
        <stp>Y_CVol</stp>
        <stp/>
        <stp>T</stp>
        <tr r="T137" s="16"/>
      </tp>
      <tp>
        <v>0</v>
        <stp/>
        <stp>ContractData</stp>
        <stp>NGE?140</stp>
        <stp>T_CVol</stp>
        <stp/>
        <stp>T</stp>
        <tr r="S147" s="16"/>
      </tp>
      <tp>
        <v>0</v>
        <stp/>
        <stp>ContractData</stp>
        <stp>NGE?100</stp>
        <stp>T_CVol</stp>
        <stp/>
        <stp>T</stp>
        <tr r="S107" s="16"/>
      </tp>
      <tp>
        <v>0</v>
        <stp/>
        <stp>ContractData</stp>
        <stp>NGE?110</stp>
        <stp>T_CVol</stp>
        <stp/>
        <stp>T</stp>
        <tr r="S117" s="16"/>
      </tp>
      <tp>
        <v>0</v>
        <stp/>
        <stp>ContractData</stp>
        <stp>NGE?120</stp>
        <stp>T_CVol</stp>
        <stp/>
        <stp>T</stp>
        <tr r="S127" s="16"/>
      </tp>
      <tp>
        <v>0</v>
        <stp/>
        <stp>ContractData</stp>
        <stp>NGE?130</stp>
        <stp>T_CVol</stp>
        <stp/>
        <stp>T</stp>
        <tr r="S137" s="16"/>
      </tp>
      <tp>
        <v>47359</v>
        <stp/>
        <stp>ContractData</stp>
        <stp>NGE?143</stp>
        <stp>ExpirationDate</stp>
        <stp/>
        <stp>T</stp>
        <tr r="AA150" s="16"/>
      </tp>
      <tp>
        <v>46442</v>
        <stp/>
        <stp>ContractData</stp>
        <stp>NGE?113</stp>
        <stp>ExpirationDate</stp>
        <stp/>
        <stp>T</stp>
        <tr r="AA120" s="16"/>
      </tp>
      <tp>
        <v>46140</v>
        <stp/>
        <stp>ContractData</stp>
        <stp>NGE?103</stp>
        <stp>ExpirationDate</stp>
        <stp/>
        <stp>T</stp>
        <tr r="AA110" s="16"/>
      </tp>
      <tp>
        <v>47053</v>
        <stp/>
        <stp>ContractData</stp>
        <stp>NGE?133</stp>
        <stp>ExpirationDate</stp>
        <stp/>
        <stp>T</stp>
        <tr r="AA140" s="16"/>
      </tp>
      <tp>
        <v>46750</v>
        <stp/>
        <stp>ContractData</stp>
        <stp>NGE?123</stp>
        <stp>ExpirationDate</stp>
        <stp/>
        <stp>T</stp>
        <tr r="AA130" s="16"/>
      </tp>
      <tp>
        <v>2</v>
        <stp/>
        <stp>ContractData</stp>
        <stp>SPREAD((NGEX18+NGEZ18+NGEF19+NGEG19+NGEH19)/5)</stp>
        <stp>MT_LastBidVolume</stp>
        <stp/>
        <stp>T</stp>
        <tr r="C36" s="13"/>
      </tp>
      <tp>
        <v>2.79485714</v>
        <stp/>
        <stp>StudyData</stp>
        <stp>Bar(((NGEJ19+NGEK19+NGEM19+NGEN19+NGEQ19+NGEU19+NGEV19)/7),1)</stp>
        <stp>Bar</stp>
        <stp/>
        <stp>Open</stp>
        <stp>D</stp>
        <stp>-9</stp>
        <stp/>
        <stp/>
        <stp/>
        <stp/>
        <stp>T</stp>
        <tr r="AK11" s="14"/>
      </tp>
      <tp>
        <v>2.9411428599999998</v>
        <stp/>
        <stp>StudyData</stp>
        <stp>Bar(((NGEJ18+NGEK18+NGEM18+NGEN18+NGEQ18+NGEU18+NGEV18)/7),1)</stp>
        <stp>Bar</stp>
        <stp/>
        <stp>Open</stp>
        <stp>D</stp>
        <stp>-9</stp>
        <stp/>
        <stp/>
        <stp/>
        <stp/>
        <stp>T</stp>
        <tr r="P11" s="14"/>
      </tp>
      <tp>
        <v>-7.0000000000000001E-3</v>
        <stp/>
        <stp>ContractData</stp>
        <stp>NGES5J8</stp>
        <stp>NetLastQuoteToday</stp>
        <stp/>
        <stp>T</stp>
        <tr r="X7" s="10"/>
      </tp>
      <tp>
        <v>-5.0000000000000001E-3</v>
        <stp/>
        <stp>ContractData</stp>
        <stp>NGES4J8</stp>
        <stp>NetLastQuoteToday</stp>
        <stp/>
        <stp>T</stp>
        <tr r="X7" s="9"/>
      </tp>
      <tp>
        <v>-6.0000000000000001E-3</v>
        <stp/>
        <stp>ContractData</stp>
        <stp>NGES6J8</stp>
        <stp>NetLastQuoteToday</stp>
        <stp/>
        <stp>T</stp>
        <tr r="X7" s="11"/>
      </tp>
      <tp>
        <v>-4.0000000000000001E-3</v>
        <stp/>
        <stp>ContractData</stp>
        <stp>NGES1J8</stp>
        <stp>NetLastQuoteToday</stp>
        <stp/>
        <stp>T</stp>
        <tr r="X7" s="6"/>
      </tp>
      <tp>
        <v>-6.0000000000000001E-3</v>
        <stp/>
        <stp>ContractData</stp>
        <stp>NGES3J8</stp>
        <stp>NetLastQuoteToday</stp>
        <stp/>
        <stp>T</stp>
        <tr r="X7" s="8"/>
      </tp>
      <tp>
        <v>-4.0000000000000001E-3</v>
        <stp/>
        <stp>ContractData</stp>
        <stp>NGES2J8</stp>
        <stp>NetLastQuoteToday</stp>
        <stp/>
        <stp>T</stp>
        <tr r="X7" s="7"/>
      </tp>
      <tp>
        <v>0</v>
        <stp/>
        <stp>ContractData</stp>
        <stp>NGE?141</stp>
        <stp>Y_CVol</stp>
        <stp/>
        <stp>T</stp>
        <tr r="T148" s="16"/>
      </tp>
      <tp>
        <v>0</v>
        <stp/>
        <stp>ContractData</stp>
        <stp>NGE?101</stp>
        <stp>Y_CVol</stp>
        <stp/>
        <stp>T</stp>
        <tr r="T108" s="16"/>
      </tp>
      <tp>
        <v>0</v>
        <stp/>
        <stp>ContractData</stp>
        <stp>NGE?111</stp>
        <stp>Y_CVol</stp>
        <stp/>
        <stp>T</stp>
        <tr r="T118" s="16"/>
      </tp>
      <tp>
        <v>0</v>
        <stp/>
        <stp>ContractData</stp>
        <stp>NGE?121</stp>
        <stp>Y_CVol</stp>
        <stp/>
        <stp>T</stp>
        <tr r="T128" s="16"/>
      </tp>
      <tp>
        <v>0</v>
        <stp/>
        <stp>ContractData</stp>
        <stp>NGE?131</stp>
        <stp>Y_CVol</stp>
        <stp/>
        <stp>T</stp>
        <tr r="T138" s="16"/>
      </tp>
      <tp>
        <v>0</v>
        <stp/>
        <stp>ContractData</stp>
        <stp>NGE?141</stp>
        <stp>T_CVol</stp>
        <stp/>
        <stp>T</stp>
        <tr r="S148" s="16"/>
      </tp>
      <tp>
        <v>0</v>
        <stp/>
        <stp>ContractData</stp>
        <stp>NGE?101</stp>
        <stp>T_CVol</stp>
        <stp/>
        <stp>T</stp>
        <tr r="S108" s="16"/>
      </tp>
      <tp>
        <v>0</v>
        <stp/>
        <stp>ContractData</stp>
        <stp>NGE?111</stp>
        <stp>T_CVol</stp>
        <stp/>
        <stp>T</stp>
        <tr r="S118" s="16"/>
      </tp>
      <tp>
        <v>0</v>
        <stp/>
        <stp>ContractData</stp>
        <stp>NGE?121</stp>
        <stp>T_CVol</stp>
        <stp/>
        <stp>T</stp>
        <tr r="S128" s="16"/>
      </tp>
      <tp>
        <v>0</v>
        <stp/>
        <stp>ContractData</stp>
        <stp>NGE?131</stp>
        <stp>T_CVol</stp>
        <stp/>
        <stp>T</stp>
        <tr r="S138" s="16"/>
      </tp>
      <tp>
        <v>5</v>
        <stp/>
        <stp>ContractData</stp>
        <stp>SPREAD((NGEX17+NGEZ17+NGEF18+NGEG18+NGEH18)/5)</stp>
        <stp>MT_LastBidVolume</stp>
        <stp/>
        <stp>T</stp>
        <tr r="C8" s="13"/>
      </tp>
      <tp>
        <v>47326</v>
        <stp/>
        <stp>ContractData</stp>
        <stp>NGE?142</stp>
        <stp>ExpirationDate</stp>
        <stp/>
        <stp>T</stp>
        <tr r="AA149" s="16"/>
      </tp>
      <tp>
        <v>46414</v>
        <stp/>
        <stp>ContractData</stp>
        <stp>NGE?112</stp>
        <stp>ExpirationDate</stp>
        <stp/>
        <stp>T</stp>
        <tr r="AA119" s="16"/>
      </tp>
      <tp>
        <v>46108</v>
        <stp/>
        <stp>ContractData</stp>
        <stp>NGE?102</stp>
        <stp>ExpirationDate</stp>
        <stp/>
        <stp>T</stp>
        <tr r="AA109" s="16"/>
      </tp>
      <tp>
        <v>47023</v>
        <stp/>
        <stp>ContractData</stp>
        <stp>NGE?132</stp>
        <stp>ExpirationDate</stp>
        <stp/>
        <stp>T</stp>
        <tr r="AA139" s="16"/>
      </tp>
      <tp>
        <v>46717</v>
        <stp/>
        <stp>ContractData</stp>
        <stp>NGE?122</stp>
        <stp>ExpirationDate</stp>
        <stp/>
        <stp>T</stp>
        <tr r="AA129" s="16"/>
      </tp>
      <tp t="s">
        <v/>
        <stp/>
        <stp>ContractData</stp>
        <stp>NGE?129</stp>
        <stp>Bid</stp>
        <stp/>
        <stp>T</stp>
        <tr r="K136" s="16"/>
      </tp>
      <tp t="s">
        <v/>
        <stp/>
        <stp>ContractData</stp>
        <stp>NGE?128</stp>
        <stp>Bid</stp>
        <stp/>
        <stp>T</stp>
        <tr r="K135" s="16"/>
      </tp>
      <tp t="s">
        <v/>
        <stp/>
        <stp>ContractData</stp>
        <stp>NGE?125</stp>
        <stp>Bid</stp>
        <stp/>
        <stp>T</stp>
        <tr r="K132" s="16"/>
      </tp>
      <tp t="s">
        <v/>
        <stp/>
        <stp>ContractData</stp>
        <stp>NGE?124</stp>
        <stp>Bid</stp>
        <stp/>
        <stp>T</stp>
        <tr r="K131" s="16"/>
      </tp>
      <tp t="s">
        <v/>
        <stp/>
        <stp>ContractData</stp>
        <stp>NGE?127</stp>
        <stp>Bid</stp>
        <stp/>
        <stp>T</stp>
        <tr r="K134" s="16"/>
      </tp>
      <tp t="s">
        <v/>
        <stp/>
        <stp>ContractData</stp>
        <stp>NGE?126</stp>
        <stp>Bid</stp>
        <stp/>
        <stp>T</stp>
        <tr r="K133" s="16"/>
      </tp>
      <tp t="s">
        <v/>
        <stp/>
        <stp>ContractData</stp>
        <stp>NGE?121</stp>
        <stp>Bid</stp>
        <stp/>
        <stp>T</stp>
        <tr r="K128" s="16"/>
      </tp>
      <tp t="s">
        <v/>
        <stp/>
        <stp>ContractData</stp>
        <stp>NGE?120</stp>
        <stp>Bid</stp>
        <stp/>
        <stp>T</stp>
        <tr r="K127" s="16"/>
      </tp>
      <tp t="s">
        <v/>
        <stp/>
        <stp>ContractData</stp>
        <stp>NGE?123</stp>
        <stp>Bid</stp>
        <stp/>
        <stp>T</stp>
        <tr r="K130" s="16"/>
      </tp>
      <tp t="s">
        <v/>
        <stp/>
        <stp>ContractData</stp>
        <stp>NGE?122</stp>
        <stp>Bid</stp>
        <stp/>
        <stp>T</stp>
        <tr r="K129" s="16"/>
      </tp>
      <tp t="s">
        <v/>
        <stp/>
        <stp>ContractData</stp>
        <stp>NGE?139</stp>
        <stp>Bid</stp>
        <stp/>
        <stp>T</stp>
        <tr r="K146" s="16"/>
      </tp>
      <tp t="s">
        <v/>
        <stp/>
        <stp>ContractData</stp>
        <stp>NGE?138</stp>
        <stp>Bid</stp>
        <stp/>
        <stp>T</stp>
        <tr r="K145" s="16"/>
      </tp>
      <tp t="s">
        <v/>
        <stp/>
        <stp>ContractData</stp>
        <stp>NGE?135</stp>
        <stp>Bid</stp>
        <stp/>
        <stp>T</stp>
        <tr r="K142" s="16"/>
      </tp>
      <tp t="s">
        <v/>
        <stp/>
        <stp>ContractData</stp>
        <stp>NGE?134</stp>
        <stp>Bid</stp>
        <stp/>
        <stp>T</stp>
        <tr r="K141" s="16"/>
      </tp>
      <tp t="s">
        <v/>
        <stp/>
        <stp>ContractData</stp>
        <stp>NGE?137</stp>
        <stp>Bid</stp>
        <stp/>
        <stp>T</stp>
        <tr r="K144" s="16"/>
      </tp>
      <tp t="s">
        <v/>
        <stp/>
        <stp>ContractData</stp>
        <stp>NGE?136</stp>
        <stp>Bid</stp>
        <stp/>
        <stp>T</stp>
        <tr r="K143" s="16"/>
      </tp>
      <tp t="s">
        <v/>
        <stp/>
        <stp>ContractData</stp>
        <stp>NGE?131</stp>
        <stp>Bid</stp>
        <stp/>
        <stp>T</stp>
        <tr r="K138" s="16"/>
      </tp>
      <tp t="s">
        <v/>
        <stp/>
        <stp>ContractData</stp>
        <stp>NGE?130</stp>
        <stp>Bid</stp>
        <stp/>
        <stp>T</stp>
        <tr r="K137" s="16"/>
      </tp>
      <tp t="s">
        <v/>
        <stp/>
        <stp>ContractData</stp>
        <stp>NGE?133</stp>
        <stp>Bid</stp>
        <stp/>
        <stp>T</stp>
        <tr r="K140" s="16"/>
      </tp>
      <tp t="s">
        <v/>
        <stp/>
        <stp>ContractData</stp>
        <stp>NGE?132</stp>
        <stp>Bid</stp>
        <stp/>
        <stp>T</stp>
        <tr r="K139" s="16"/>
      </tp>
      <tp t="s">
        <v/>
        <stp/>
        <stp>ContractData</stp>
        <stp>NGE?109</stp>
        <stp>Bid</stp>
        <stp/>
        <stp>T</stp>
        <tr r="K116" s="16"/>
      </tp>
      <tp t="s">
        <v/>
        <stp/>
        <stp>ContractData</stp>
        <stp>NGE?108</stp>
        <stp>Bid</stp>
        <stp/>
        <stp>T</stp>
        <tr r="K115" s="16"/>
      </tp>
      <tp t="s">
        <v/>
        <stp/>
        <stp>ContractData</stp>
        <stp>NGE?105</stp>
        <stp>Bid</stp>
        <stp/>
        <stp>T</stp>
        <tr r="K112" s="16"/>
      </tp>
      <tp t="s">
        <v/>
        <stp/>
        <stp>ContractData</stp>
        <stp>NGE?104</stp>
        <stp>Bid</stp>
        <stp/>
        <stp>T</stp>
        <tr r="K111" s="16"/>
      </tp>
      <tp t="s">
        <v/>
        <stp/>
        <stp>ContractData</stp>
        <stp>NGE?107</stp>
        <stp>Bid</stp>
        <stp/>
        <stp>T</stp>
        <tr r="K114" s="16"/>
      </tp>
      <tp t="s">
        <v/>
        <stp/>
        <stp>ContractData</stp>
        <stp>NGE?106</stp>
        <stp>Bid</stp>
        <stp/>
        <stp>T</stp>
        <tr r="K113" s="16"/>
      </tp>
      <tp t="s">
        <v/>
        <stp/>
        <stp>ContractData</stp>
        <stp>NGE?101</stp>
        <stp>Bid</stp>
        <stp/>
        <stp>T</stp>
        <tr r="K108" s="16"/>
      </tp>
      <tp t="s">
        <v/>
        <stp/>
        <stp>ContractData</stp>
        <stp>NGE?100</stp>
        <stp>Bid</stp>
        <stp/>
        <stp>T</stp>
        <tr r="K107" s="16"/>
      </tp>
      <tp t="s">
        <v/>
        <stp/>
        <stp>ContractData</stp>
        <stp>NGE?103</stp>
        <stp>Bid</stp>
        <stp/>
        <stp>T</stp>
        <tr r="K110" s="16"/>
      </tp>
      <tp t="s">
        <v/>
        <stp/>
        <stp>ContractData</stp>
        <stp>NGE?102</stp>
        <stp>Bid</stp>
        <stp/>
        <stp>T</stp>
        <tr r="K109" s="16"/>
      </tp>
      <tp t="s">
        <v/>
        <stp/>
        <stp>ContractData</stp>
        <stp>NGE?119</stp>
        <stp>Bid</stp>
        <stp/>
        <stp>T</stp>
        <tr r="K126" s="16"/>
      </tp>
      <tp t="s">
        <v/>
        <stp/>
        <stp>ContractData</stp>
        <stp>NGE?118</stp>
        <stp>Bid</stp>
        <stp/>
        <stp>T</stp>
        <tr r="K125" s="16"/>
      </tp>
      <tp t="s">
        <v/>
        <stp/>
        <stp>ContractData</stp>
        <stp>NGE?115</stp>
        <stp>Bid</stp>
        <stp/>
        <stp>T</stp>
        <tr r="K122" s="16"/>
      </tp>
      <tp t="s">
        <v/>
        <stp/>
        <stp>ContractData</stp>
        <stp>NGE?114</stp>
        <stp>Bid</stp>
        <stp/>
        <stp>T</stp>
        <tr r="K121" s="16"/>
      </tp>
      <tp t="s">
        <v/>
        <stp/>
        <stp>ContractData</stp>
        <stp>NGE?117</stp>
        <stp>Bid</stp>
        <stp/>
        <stp>T</stp>
        <tr r="K124" s="16"/>
      </tp>
      <tp t="s">
        <v/>
        <stp/>
        <stp>ContractData</stp>
        <stp>NGE?116</stp>
        <stp>Bid</stp>
        <stp/>
        <stp>T</stp>
        <tr r="K123" s="16"/>
      </tp>
      <tp t="s">
        <v/>
        <stp/>
        <stp>ContractData</stp>
        <stp>NGE?111</stp>
        <stp>Bid</stp>
        <stp/>
        <stp>T</stp>
        <tr r="K118" s="16"/>
      </tp>
      <tp t="s">
        <v/>
        <stp/>
        <stp>ContractData</stp>
        <stp>NGE?110</stp>
        <stp>Bid</stp>
        <stp/>
        <stp>T</stp>
        <tr r="K117" s="16"/>
      </tp>
      <tp t="s">
        <v/>
        <stp/>
        <stp>ContractData</stp>
        <stp>NGE?113</stp>
        <stp>Bid</stp>
        <stp/>
        <stp>T</stp>
        <tr r="K120" s="16"/>
      </tp>
      <tp t="s">
        <v/>
        <stp/>
        <stp>ContractData</stp>
        <stp>NGE?112</stp>
        <stp>Bid</stp>
        <stp/>
        <stp>T</stp>
        <tr r="K119" s="16"/>
      </tp>
      <tp t="s">
        <v/>
        <stp/>
        <stp>ContractData</stp>
        <stp>NGE?145</stp>
        <stp>Bid</stp>
        <stp/>
        <stp>T</stp>
        <tr r="K152" s="16"/>
      </tp>
      <tp t="s">
        <v/>
        <stp/>
        <stp>ContractData</stp>
        <stp>NGE?144</stp>
        <stp>Bid</stp>
        <stp/>
        <stp>T</stp>
        <tr r="K151" s="16"/>
      </tp>
      <tp t="s">
        <v/>
        <stp/>
        <stp>ContractData</stp>
        <stp>NGE?146</stp>
        <stp>Bid</stp>
        <stp/>
        <stp>T</stp>
        <tr r="K153" s="16"/>
      </tp>
      <tp t="s">
        <v/>
        <stp/>
        <stp>ContractData</stp>
        <stp>NGE?141</stp>
        <stp>Bid</stp>
        <stp/>
        <stp>T</stp>
        <tr r="K148" s="16"/>
      </tp>
      <tp t="s">
        <v/>
        <stp/>
        <stp>ContractData</stp>
        <stp>NGE?140</stp>
        <stp>Bid</stp>
        <stp/>
        <stp>T</stp>
        <tr r="K147" s="16"/>
      </tp>
      <tp t="s">
        <v/>
        <stp/>
        <stp>ContractData</stp>
        <stp>NGE?143</stp>
        <stp>Bid</stp>
        <stp/>
        <stp>T</stp>
        <tr r="K150" s="16"/>
      </tp>
      <tp t="s">
        <v/>
        <stp/>
        <stp>ContractData</stp>
        <stp>NGE?142</stp>
        <stp>Bid</stp>
        <stp/>
        <stp>T</stp>
        <tr r="K149" s="16"/>
      </tp>
      <tp t="s">
        <v/>
        <stp/>
        <stp>ContractData</stp>
        <stp>NGE?102</stp>
        <stp>Ask</stp>
        <stp/>
        <stp>T</stp>
        <tr r="M109" s="16"/>
      </tp>
      <tp t="s">
        <v/>
        <stp/>
        <stp>ContractData</stp>
        <stp>NGE?103</stp>
        <stp>Ask</stp>
        <stp/>
        <stp>T</stp>
        <tr r="M110" s="16"/>
      </tp>
      <tp t="s">
        <v/>
        <stp/>
        <stp>ContractData</stp>
        <stp>NGE?100</stp>
        <stp>Ask</stp>
        <stp/>
        <stp>T</stp>
        <tr r="M107" s="16"/>
      </tp>
      <tp t="s">
        <v/>
        <stp/>
        <stp>ContractData</stp>
        <stp>NGE?101</stp>
        <stp>Ask</stp>
        <stp/>
        <stp>T</stp>
        <tr r="M108" s="16"/>
      </tp>
      <tp t="s">
        <v/>
        <stp/>
        <stp>ContractData</stp>
        <stp>NGE?106</stp>
        <stp>Ask</stp>
        <stp/>
        <stp>T</stp>
        <tr r="M113" s="16"/>
      </tp>
      <tp t="s">
        <v/>
        <stp/>
        <stp>ContractData</stp>
        <stp>NGE?107</stp>
        <stp>Ask</stp>
        <stp/>
        <stp>T</stp>
        <tr r="M114" s="16"/>
      </tp>
      <tp t="s">
        <v/>
        <stp/>
        <stp>ContractData</stp>
        <stp>NGE?104</stp>
        <stp>Ask</stp>
        <stp/>
        <stp>T</stp>
        <tr r="M111" s="16"/>
      </tp>
      <tp t="s">
        <v/>
        <stp/>
        <stp>ContractData</stp>
        <stp>NGE?105</stp>
        <stp>Ask</stp>
        <stp/>
        <stp>T</stp>
        <tr r="M112" s="16"/>
      </tp>
      <tp t="s">
        <v/>
        <stp/>
        <stp>ContractData</stp>
        <stp>NGE?108</stp>
        <stp>Ask</stp>
        <stp/>
        <stp>T</stp>
        <tr r="M115" s="16"/>
      </tp>
      <tp t="s">
        <v/>
        <stp/>
        <stp>ContractData</stp>
        <stp>NGE?109</stp>
        <stp>Ask</stp>
        <stp/>
        <stp>T</stp>
        <tr r="M116" s="16"/>
      </tp>
      <tp t="s">
        <v/>
        <stp/>
        <stp>ContractData</stp>
        <stp>NGE?112</stp>
        <stp>Ask</stp>
        <stp/>
        <stp>T</stp>
        <tr r="M119" s="16"/>
      </tp>
      <tp t="s">
        <v/>
        <stp/>
        <stp>ContractData</stp>
        <stp>NGE?113</stp>
        <stp>Ask</stp>
        <stp/>
        <stp>T</stp>
        <tr r="M120" s="16"/>
      </tp>
      <tp t="s">
        <v/>
        <stp/>
        <stp>ContractData</stp>
        <stp>NGE?110</stp>
        <stp>Ask</stp>
        <stp/>
        <stp>T</stp>
        <tr r="M117" s="16"/>
      </tp>
      <tp t="s">
        <v/>
        <stp/>
        <stp>ContractData</stp>
        <stp>NGE?111</stp>
        <stp>Ask</stp>
        <stp/>
        <stp>T</stp>
        <tr r="M118" s="16"/>
      </tp>
      <tp t="s">
        <v/>
        <stp/>
        <stp>ContractData</stp>
        <stp>NGE?116</stp>
        <stp>Ask</stp>
        <stp/>
        <stp>T</stp>
        <tr r="M123" s="16"/>
      </tp>
      <tp t="s">
        <v/>
        <stp/>
        <stp>ContractData</stp>
        <stp>NGE?117</stp>
        <stp>Ask</stp>
        <stp/>
        <stp>T</stp>
        <tr r="M124" s="16"/>
      </tp>
      <tp t="s">
        <v/>
        <stp/>
        <stp>ContractData</stp>
        <stp>NGE?114</stp>
        <stp>Ask</stp>
        <stp/>
        <stp>T</stp>
        <tr r="M121" s="16"/>
      </tp>
      <tp t="s">
        <v/>
        <stp/>
        <stp>ContractData</stp>
        <stp>NGE?115</stp>
        <stp>Ask</stp>
        <stp/>
        <stp>T</stp>
        <tr r="M122" s="16"/>
      </tp>
      <tp t="s">
        <v/>
        <stp/>
        <stp>ContractData</stp>
        <stp>NGE?118</stp>
        <stp>Ask</stp>
        <stp/>
        <stp>T</stp>
        <tr r="M125" s="16"/>
      </tp>
      <tp t="s">
        <v/>
        <stp/>
        <stp>ContractData</stp>
        <stp>NGE?119</stp>
        <stp>Ask</stp>
        <stp/>
        <stp>T</stp>
        <tr r="M126" s="16"/>
      </tp>
      <tp t="s">
        <v/>
        <stp/>
        <stp>ContractData</stp>
        <stp>NGE?122</stp>
        <stp>Ask</stp>
        <stp/>
        <stp>T</stp>
        <tr r="M129" s="16"/>
      </tp>
      <tp t="s">
        <v/>
        <stp/>
        <stp>ContractData</stp>
        <stp>NGE?123</stp>
        <stp>Ask</stp>
        <stp/>
        <stp>T</stp>
        <tr r="M130" s="16"/>
      </tp>
      <tp t="s">
        <v/>
        <stp/>
        <stp>ContractData</stp>
        <stp>NGE?120</stp>
        <stp>Ask</stp>
        <stp/>
        <stp>T</stp>
        <tr r="M127" s="16"/>
      </tp>
      <tp t="s">
        <v/>
        <stp/>
        <stp>ContractData</stp>
        <stp>NGE?121</stp>
        <stp>Ask</stp>
        <stp/>
        <stp>T</stp>
        <tr r="M128" s="16"/>
      </tp>
      <tp t="s">
        <v/>
        <stp/>
        <stp>ContractData</stp>
        <stp>NGE?126</stp>
        <stp>Ask</stp>
        <stp/>
        <stp>T</stp>
        <tr r="M133" s="16"/>
      </tp>
      <tp t="s">
        <v/>
        <stp/>
        <stp>ContractData</stp>
        <stp>NGE?127</stp>
        <stp>Ask</stp>
        <stp/>
        <stp>T</stp>
        <tr r="M134" s="16"/>
      </tp>
      <tp t="s">
        <v/>
        <stp/>
        <stp>ContractData</stp>
        <stp>NGE?124</stp>
        <stp>Ask</stp>
        <stp/>
        <stp>T</stp>
        <tr r="M131" s="16"/>
      </tp>
      <tp t="s">
        <v/>
        <stp/>
        <stp>ContractData</stp>
        <stp>NGE?125</stp>
        <stp>Ask</stp>
        <stp/>
        <stp>T</stp>
        <tr r="M132" s="16"/>
      </tp>
      <tp t="s">
        <v/>
        <stp/>
        <stp>ContractData</stp>
        <stp>NGE?128</stp>
        <stp>Ask</stp>
        <stp/>
        <stp>T</stp>
        <tr r="M135" s="16"/>
      </tp>
      <tp t="s">
        <v/>
        <stp/>
        <stp>ContractData</stp>
        <stp>NGE?129</stp>
        <stp>Ask</stp>
        <stp/>
        <stp>T</stp>
        <tr r="M136" s="16"/>
      </tp>
      <tp t="s">
        <v/>
        <stp/>
        <stp>ContractData</stp>
        <stp>NGE?132</stp>
        <stp>Ask</stp>
        <stp/>
        <stp>T</stp>
        <tr r="M139" s="16"/>
      </tp>
      <tp t="s">
        <v/>
        <stp/>
        <stp>ContractData</stp>
        <stp>NGE?133</stp>
        <stp>Ask</stp>
        <stp/>
        <stp>T</stp>
        <tr r="M140" s="16"/>
      </tp>
      <tp t="s">
        <v/>
        <stp/>
        <stp>ContractData</stp>
        <stp>NGE?130</stp>
        <stp>Ask</stp>
        <stp/>
        <stp>T</stp>
        <tr r="M137" s="16"/>
      </tp>
      <tp t="s">
        <v/>
        <stp/>
        <stp>ContractData</stp>
        <stp>NGE?131</stp>
        <stp>Ask</stp>
        <stp/>
        <stp>T</stp>
        <tr r="M138" s="16"/>
      </tp>
      <tp t="s">
        <v/>
        <stp/>
        <stp>ContractData</stp>
        <stp>NGE?136</stp>
        <stp>Ask</stp>
        <stp/>
        <stp>T</stp>
        <tr r="M143" s="16"/>
      </tp>
      <tp t="s">
        <v/>
        <stp/>
        <stp>ContractData</stp>
        <stp>NGE?137</stp>
        <stp>Ask</stp>
        <stp/>
        <stp>T</stp>
        <tr r="M144" s="16"/>
      </tp>
      <tp t="s">
        <v/>
        <stp/>
        <stp>ContractData</stp>
        <stp>NGE?134</stp>
        <stp>Ask</stp>
        <stp/>
        <stp>T</stp>
        <tr r="M141" s="16"/>
      </tp>
      <tp t="s">
        <v/>
        <stp/>
        <stp>ContractData</stp>
        <stp>NGE?135</stp>
        <stp>Ask</stp>
        <stp/>
        <stp>T</stp>
        <tr r="M142" s="16"/>
      </tp>
      <tp t="s">
        <v/>
        <stp/>
        <stp>ContractData</stp>
        <stp>NGE?138</stp>
        <stp>Ask</stp>
        <stp/>
        <stp>T</stp>
        <tr r="M145" s="16"/>
      </tp>
      <tp t="s">
        <v/>
        <stp/>
        <stp>ContractData</stp>
        <stp>NGE?139</stp>
        <stp>Ask</stp>
        <stp/>
        <stp>T</stp>
        <tr r="M146" s="16"/>
      </tp>
      <tp t="s">
        <v/>
        <stp/>
        <stp>ContractData</stp>
        <stp>NGE?142</stp>
        <stp>Ask</stp>
        <stp/>
        <stp>T</stp>
        <tr r="M149" s="16"/>
      </tp>
      <tp t="s">
        <v/>
        <stp/>
        <stp>ContractData</stp>
        <stp>NGE?143</stp>
        <stp>Ask</stp>
        <stp/>
        <stp>T</stp>
        <tr r="M150" s="16"/>
      </tp>
      <tp t="s">
        <v/>
        <stp/>
        <stp>ContractData</stp>
        <stp>NGE?140</stp>
        <stp>Ask</stp>
        <stp/>
        <stp>T</stp>
        <tr r="M147" s="16"/>
      </tp>
      <tp t="s">
        <v/>
        <stp/>
        <stp>ContractData</stp>
        <stp>NGE?141</stp>
        <stp>Ask</stp>
        <stp/>
        <stp>T</stp>
        <tr r="M148" s="16"/>
      </tp>
      <tp t="s">
        <v/>
        <stp/>
        <stp>ContractData</stp>
        <stp>NGE?146</stp>
        <stp>Ask</stp>
        <stp/>
        <stp>T</stp>
        <tr r="M153" s="16"/>
      </tp>
      <tp t="s">
        <v/>
        <stp/>
        <stp>ContractData</stp>
        <stp>NGE?144</stp>
        <stp>Ask</stp>
        <stp/>
        <stp>T</stp>
        <tr r="M151" s="16"/>
      </tp>
      <tp t="s">
        <v/>
        <stp/>
        <stp>ContractData</stp>
        <stp>NGE?145</stp>
        <stp>Ask</stp>
        <stp/>
        <stp>T</stp>
        <tr r="M152" s="16"/>
      </tp>
      <tp t="s">
        <v/>
        <stp/>
        <stp>ContractData</stp>
        <stp>NGE?146</stp>
        <stp>Low</stp>
        <stp/>
        <stp>T</stp>
        <tr r="R153" s="16"/>
      </tp>
      <tp t="s">
        <v/>
        <stp/>
        <stp>ContractData</stp>
        <stp>NGE?144</stp>
        <stp>Low</stp>
        <stp/>
        <stp>T</stp>
        <tr r="R151" s="16"/>
      </tp>
      <tp t="s">
        <v/>
        <stp/>
        <stp>ContractData</stp>
        <stp>NGE?145</stp>
        <stp>Low</stp>
        <stp/>
        <stp>T</stp>
        <tr r="R152" s="16"/>
      </tp>
      <tp t="s">
        <v/>
        <stp/>
        <stp>ContractData</stp>
        <stp>NGE?142</stp>
        <stp>Low</stp>
        <stp/>
        <stp>T</stp>
        <tr r="R149" s="16"/>
      </tp>
      <tp t="s">
        <v/>
        <stp/>
        <stp>ContractData</stp>
        <stp>NGE?143</stp>
        <stp>Low</stp>
        <stp/>
        <stp>T</stp>
        <tr r="R150" s="16"/>
      </tp>
      <tp t="s">
        <v/>
        <stp/>
        <stp>ContractData</stp>
        <stp>NGE?140</stp>
        <stp>Low</stp>
        <stp/>
        <stp>T</stp>
        <tr r="R147" s="16"/>
      </tp>
      <tp t="s">
        <v/>
        <stp/>
        <stp>ContractData</stp>
        <stp>NGE?141</stp>
        <stp>Low</stp>
        <stp/>
        <stp>T</stp>
        <tr r="R148" s="16"/>
      </tp>
      <tp t="s">
        <v/>
        <stp/>
        <stp>ContractData</stp>
        <stp>NGE?108</stp>
        <stp>Low</stp>
        <stp/>
        <stp>T</stp>
        <tr r="R115" s="16"/>
      </tp>
      <tp t="s">
        <v/>
        <stp/>
        <stp>ContractData</stp>
        <stp>NGE?109</stp>
        <stp>Low</stp>
        <stp/>
        <stp>T</stp>
        <tr r="R116" s="16"/>
      </tp>
      <tp t="s">
        <v/>
        <stp/>
        <stp>ContractData</stp>
        <stp>NGE?106</stp>
        <stp>Low</stp>
        <stp/>
        <stp>T</stp>
        <tr r="R113" s="16"/>
      </tp>
      <tp t="s">
        <v/>
        <stp/>
        <stp>ContractData</stp>
        <stp>NGE?107</stp>
        <stp>Low</stp>
        <stp/>
        <stp>T</stp>
        <tr r="R114" s="16"/>
      </tp>
      <tp t="s">
        <v/>
        <stp/>
        <stp>ContractData</stp>
        <stp>NGE?104</stp>
        <stp>Low</stp>
        <stp/>
        <stp>T</stp>
        <tr r="R111" s="16"/>
      </tp>
      <tp t="s">
        <v/>
        <stp/>
        <stp>ContractData</stp>
        <stp>NGE?105</stp>
        <stp>Low</stp>
        <stp/>
        <stp>T</stp>
        <tr r="R112" s="16"/>
      </tp>
      <tp t="s">
        <v/>
        <stp/>
        <stp>ContractData</stp>
        <stp>NGE?102</stp>
        <stp>Low</stp>
        <stp/>
        <stp>T</stp>
        <tr r="R109" s="16"/>
      </tp>
      <tp t="s">
        <v/>
        <stp/>
        <stp>ContractData</stp>
        <stp>NGE?103</stp>
        <stp>Low</stp>
        <stp/>
        <stp>T</stp>
        <tr r="R110" s="16"/>
      </tp>
      <tp t="s">
        <v/>
        <stp/>
        <stp>ContractData</stp>
        <stp>NGE?100</stp>
        <stp>Low</stp>
        <stp/>
        <stp>T</stp>
        <tr r="R107" s="16"/>
      </tp>
      <tp t="s">
        <v/>
        <stp/>
        <stp>ContractData</stp>
        <stp>NGE?101</stp>
        <stp>Low</stp>
        <stp/>
        <stp>T</stp>
        <tr r="R108" s="16"/>
      </tp>
      <tp t="s">
        <v/>
        <stp/>
        <stp>ContractData</stp>
        <stp>NGE?118</stp>
        <stp>Low</stp>
        <stp/>
        <stp>T</stp>
        <tr r="R125" s="16"/>
      </tp>
      <tp t="s">
        <v/>
        <stp/>
        <stp>ContractData</stp>
        <stp>NGE?119</stp>
        <stp>Low</stp>
        <stp/>
        <stp>T</stp>
        <tr r="R126" s="16"/>
      </tp>
      <tp t="s">
        <v/>
        <stp/>
        <stp>ContractData</stp>
        <stp>NGE?116</stp>
        <stp>Low</stp>
        <stp/>
        <stp>T</stp>
        <tr r="R123" s="16"/>
      </tp>
      <tp t="s">
        <v/>
        <stp/>
        <stp>ContractData</stp>
        <stp>NGE?117</stp>
        <stp>Low</stp>
        <stp/>
        <stp>T</stp>
        <tr r="R124" s="16"/>
      </tp>
      <tp t="s">
        <v/>
        <stp/>
        <stp>ContractData</stp>
        <stp>NGE?114</stp>
        <stp>Low</stp>
        <stp/>
        <stp>T</stp>
        <tr r="R121" s="16"/>
      </tp>
      <tp t="s">
        <v/>
        <stp/>
        <stp>ContractData</stp>
        <stp>NGE?115</stp>
        <stp>Low</stp>
        <stp/>
        <stp>T</stp>
        <tr r="R122" s="16"/>
      </tp>
      <tp t="s">
        <v/>
        <stp/>
        <stp>ContractData</stp>
        <stp>NGE?112</stp>
        <stp>Low</stp>
        <stp/>
        <stp>T</stp>
        <tr r="R119" s="16"/>
      </tp>
      <tp t="s">
        <v/>
        <stp/>
        <stp>ContractData</stp>
        <stp>NGE?113</stp>
        <stp>Low</stp>
        <stp/>
        <stp>T</stp>
        <tr r="R120" s="16"/>
      </tp>
      <tp t="s">
        <v/>
        <stp/>
        <stp>ContractData</stp>
        <stp>NGE?110</stp>
        <stp>Low</stp>
        <stp/>
        <stp>T</stp>
        <tr r="R117" s="16"/>
      </tp>
      <tp t="s">
        <v/>
        <stp/>
        <stp>ContractData</stp>
        <stp>NGE?111</stp>
        <stp>Low</stp>
        <stp/>
        <stp>T</stp>
        <tr r="R118" s="16"/>
      </tp>
      <tp t="s">
        <v/>
        <stp/>
        <stp>ContractData</stp>
        <stp>NGE?128</stp>
        <stp>Low</stp>
        <stp/>
        <stp>T</stp>
        <tr r="R135" s="16"/>
      </tp>
      <tp t="s">
        <v/>
        <stp/>
        <stp>ContractData</stp>
        <stp>NGE?129</stp>
        <stp>Low</stp>
        <stp/>
        <stp>T</stp>
        <tr r="R136" s="16"/>
      </tp>
      <tp t="s">
        <v/>
        <stp/>
        <stp>ContractData</stp>
        <stp>NGE?126</stp>
        <stp>Low</stp>
        <stp/>
        <stp>T</stp>
        <tr r="R133" s="16"/>
      </tp>
      <tp t="s">
        <v/>
        <stp/>
        <stp>ContractData</stp>
        <stp>NGE?127</stp>
        <stp>Low</stp>
        <stp/>
        <stp>T</stp>
        <tr r="R134" s="16"/>
      </tp>
      <tp t="s">
        <v/>
        <stp/>
        <stp>ContractData</stp>
        <stp>NGE?124</stp>
        <stp>Low</stp>
        <stp/>
        <stp>T</stp>
        <tr r="R131" s="16"/>
      </tp>
      <tp t="s">
        <v/>
        <stp/>
        <stp>ContractData</stp>
        <stp>NGE?125</stp>
        <stp>Low</stp>
        <stp/>
        <stp>T</stp>
        <tr r="R132" s="16"/>
      </tp>
      <tp t="s">
        <v/>
        <stp/>
        <stp>ContractData</stp>
        <stp>NGE?122</stp>
        <stp>Low</stp>
        <stp/>
        <stp>T</stp>
        <tr r="R129" s="16"/>
      </tp>
      <tp t="s">
        <v/>
        <stp/>
        <stp>ContractData</stp>
        <stp>NGE?123</stp>
        <stp>Low</stp>
        <stp/>
        <stp>T</stp>
        <tr r="R130" s="16"/>
      </tp>
      <tp t="s">
        <v/>
        <stp/>
        <stp>ContractData</stp>
        <stp>NGE?120</stp>
        <stp>Low</stp>
        <stp/>
        <stp>T</stp>
        <tr r="R127" s="16"/>
      </tp>
      <tp t="s">
        <v/>
        <stp/>
        <stp>ContractData</stp>
        <stp>NGE?121</stp>
        <stp>Low</stp>
        <stp/>
        <stp>T</stp>
        <tr r="R128" s="16"/>
      </tp>
      <tp t="s">
        <v/>
        <stp/>
        <stp>ContractData</stp>
        <stp>NGE?138</stp>
        <stp>Low</stp>
        <stp/>
        <stp>T</stp>
        <tr r="R145" s="16"/>
      </tp>
      <tp t="s">
        <v/>
        <stp/>
        <stp>ContractData</stp>
        <stp>NGE?139</stp>
        <stp>Low</stp>
        <stp/>
        <stp>T</stp>
        <tr r="R146" s="16"/>
      </tp>
      <tp t="s">
        <v/>
        <stp/>
        <stp>ContractData</stp>
        <stp>NGE?136</stp>
        <stp>Low</stp>
        <stp/>
        <stp>T</stp>
        <tr r="R143" s="16"/>
      </tp>
      <tp t="s">
        <v/>
        <stp/>
        <stp>ContractData</stp>
        <stp>NGE?137</stp>
        <stp>Low</stp>
        <stp/>
        <stp>T</stp>
        <tr r="R144" s="16"/>
      </tp>
      <tp t="s">
        <v/>
        <stp/>
        <stp>ContractData</stp>
        <stp>NGE?134</stp>
        <stp>Low</stp>
        <stp/>
        <stp>T</stp>
        <tr r="R141" s="16"/>
      </tp>
      <tp t="s">
        <v/>
        <stp/>
        <stp>ContractData</stp>
        <stp>NGE?135</stp>
        <stp>Low</stp>
        <stp/>
        <stp>T</stp>
        <tr r="R142" s="16"/>
      </tp>
      <tp t="s">
        <v/>
        <stp/>
        <stp>ContractData</stp>
        <stp>NGE?132</stp>
        <stp>Low</stp>
        <stp/>
        <stp>T</stp>
        <tr r="R139" s="16"/>
      </tp>
      <tp t="s">
        <v/>
        <stp/>
        <stp>ContractData</stp>
        <stp>NGE?133</stp>
        <stp>Low</stp>
        <stp/>
        <stp>T</stp>
        <tr r="R140" s="16"/>
      </tp>
      <tp t="s">
        <v/>
        <stp/>
        <stp>ContractData</stp>
        <stp>NGE?130</stp>
        <stp>Low</stp>
        <stp/>
        <stp>T</stp>
        <tr r="R137" s="16"/>
      </tp>
      <tp t="s">
        <v/>
        <stp/>
        <stp>ContractData</stp>
        <stp>NGE?131</stp>
        <stp>Low</stp>
        <stp/>
        <stp>T</stp>
        <tr r="R138" s="16"/>
      </tp>
      <tp>
        <v>2.766</v>
        <stp/>
        <stp>StudyData</stp>
        <stp>Bar(((NGEJ19+NGEK19+NGEM19+NGEN19+NGEQ19+NGEU19+NGEV19)/7),1)</stp>
        <stp>Bar</stp>
        <stp/>
        <stp>Open</stp>
        <stp>D</stp>
        <stp>-8</stp>
        <stp/>
        <stp/>
        <stp/>
        <stp/>
        <stp>T</stp>
        <tr r="AK10" s="14"/>
      </tp>
      <tp>
        <v>2.9331428599999998</v>
        <stp/>
        <stp>StudyData</stp>
        <stp>Bar(((NGEJ18+NGEK18+NGEM18+NGEN18+NGEQ18+NGEU18+NGEV18)/7),1)</stp>
        <stp>Bar</stp>
        <stp/>
        <stp>Open</stp>
        <stp>D</stp>
        <stp>-8</stp>
        <stp/>
        <stp/>
        <stp/>
        <stp/>
        <stp>T</stp>
        <tr r="P10" s="14"/>
      </tp>
      <tp>
        <v>2E-3</v>
        <stp/>
        <stp>ContractData</stp>
        <stp>NGES5M8</stp>
        <stp>NetLastQuoteToday</stp>
        <stp/>
        <stp>T</stp>
        <tr r="X9" s="10"/>
      </tp>
      <tp>
        <v>1E-3</v>
        <stp/>
        <stp>ContractData</stp>
        <stp>NGES4M8</stp>
        <stp>NetLastQuoteToday</stp>
        <stp/>
        <stp>T</stp>
        <tr r="X9" s="9"/>
      </tp>
      <tp>
        <v>-3.0000000000000001E-3</v>
        <stp/>
        <stp>ContractData</stp>
        <stp>NGES6M8</stp>
        <stp>NetLastQuoteToday</stp>
        <stp/>
        <stp>T</stp>
        <tr r="X9" s="11"/>
      </tp>
      <tp>
        <v>0</v>
        <stp/>
        <stp>ContractData</stp>
        <stp>NGES1M8</stp>
        <stp>NetLastQuoteToday</stp>
        <stp/>
        <stp>T</stp>
        <tr r="X9" s="6"/>
      </tp>
      <tp>
        <v>-2E-3</v>
        <stp/>
        <stp>ContractData</stp>
        <stp>NGES3M8</stp>
        <stp>NetLastQuoteToday</stp>
        <stp/>
        <stp>T</stp>
        <tr r="X9" s="8"/>
      </tp>
      <tp>
        <v>1E-3</v>
        <stp/>
        <stp>ContractData</stp>
        <stp>NGES2M8</stp>
        <stp>NetLastQuoteToday</stp>
        <stp/>
        <stp>T</stp>
        <tr r="X9" s="7"/>
      </tp>
      <tp>
        <v>0</v>
        <stp/>
        <stp>ContractData</stp>
        <stp>NGE?146</stp>
        <stp>Y_CVol</stp>
        <stp/>
        <stp>T</stp>
        <tr r="T153" s="16"/>
      </tp>
      <tp>
        <v>0</v>
        <stp/>
        <stp>ContractData</stp>
        <stp>NGE?106</stp>
        <stp>Y_CVol</stp>
        <stp/>
        <stp>T</stp>
        <tr r="T113" s="16"/>
      </tp>
      <tp>
        <v>0</v>
        <stp/>
        <stp>ContractData</stp>
        <stp>NGE?116</stp>
        <stp>Y_CVol</stp>
        <stp/>
        <stp>T</stp>
        <tr r="T123" s="16"/>
      </tp>
      <tp>
        <v>0</v>
        <stp/>
        <stp>ContractData</stp>
        <stp>NGE?126</stp>
        <stp>Y_CVol</stp>
        <stp/>
        <stp>T</stp>
        <tr r="T133" s="16"/>
      </tp>
      <tp>
        <v>0</v>
        <stp/>
        <stp>ContractData</stp>
        <stp>NGE?136</stp>
        <stp>Y_CVol</stp>
        <stp/>
        <stp>T</stp>
        <tr r="T143" s="16"/>
      </tp>
      <tp>
        <v>0</v>
        <stp/>
        <stp>ContractData</stp>
        <stp>NGE?146</stp>
        <stp>T_CVol</stp>
        <stp/>
        <stp>T</stp>
        <tr r="S153" s="16"/>
      </tp>
      <tp>
        <v>0</v>
        <stp/>
        <stp>ContractData</stp>
        <stp>NGE?106</stp>
        <stp>T_CVol</stp>
        <stp/>
        <stp>T</stp>
        <tr r="S113" s="16"/>
      </tp>
      <tp>
        <v>0</v>
        <stp/>
        <stp>ContractData</stp>
        <stp>NGE?116</stp>
        <stp>T_CVol</stp>
        <stp/>
        <stp>T</stp>
        <tr r="S123" s="16"/>
      </tp>
      <tp>
        <v>0</v>
        <stp/>
        <stp>ContractData</stp>
        <stp>NGE?126</stp>
        <stp>T_CVol</stp>
        <stp/>
        <stp>T</stp>
        <tr r="S133" s="16"/>
      </tp>
      <tp>
        <v>0</v>
        <stp/>
        <stp>ContractData</stp>
        <stp>NGE?136</stp>
        <stp>T_CVol</stp>
        <stp/>
        <stp>T</stp>
        <tr r="S143" s="16"/>
      </tp>
      <tp>
        <v>47420</v>
        <stp/>
        <stp>ContractData</stp>
        <stp>NGE?145</stp>
        <stp>ExpirationDate</stp>
        <stp/>
        <stp>T</stp>
        <tr r="AA152" s="16"/>
      </tp>
      <tp>
        <v>46505</v>
        <stp/>
        <stp>ContractData</stp>
        <stp>NGE?115</stp>
        <stp>ExpirationDate</stp>
        <stp/>
        <stp>T</stp>
        <tr r="AA122" s="16"/>
      </tp>
      <tp>
        <v>46199</v>
        <stp/>
        <stp>ContractData</stp>
        <stp>NGE?105</stp>
        <stp>ExpirationDate</stp>
        <stp/>
        <stp>T</stp>
        <tr r="AA112" s="16"/>
      </tp>
      <tp>
        <v>47114</v>
        <stp/>
        <stp>ContractData</stp>
        <stp>NGE?135</stp>
        <stp>ExpirationDate</stp>
        <stp/>
        <stp>T</stp>
        <tr r="AA142" s="16"/>
      </tp>
      <tp>
        <v>46808</v>
        <stp/>
        <stp>ContractData</stp>
        <stp>NGE?125</stp>
        <stp>ExpirationDate</stp>
        <stp/>
        <stp>T</stp>
        <tr r="AA132" s="16"/>
      </tp>
      <tp t="s">
        <v>NGES5V8</v>
        <stp/>
        <stp>ContractData</stp>
        <stp>NGES5??12</stp>
        <stp>Symbol</stp>
        <tr r="A104" s="2"/>
      </tp>
      <tp t="s">
        <v>NGES6U8</v>
        <stp/>
        <stp>ContractData</stp>
        <stp>NGES6??11</stp>
        <stp>Symbol</stp>
        <tr r="A122" s="2"/>
      </tp>
      <tp t="s">
        <v>NGES4V8</v>
        <stp/>
        <stp>ContractData</stp>
        <stp>NGES4??12</stp>
        <stp>Symbol</stp>
        <tr r="A88" s="2"/>
      </tp>
      <tp t="s">
        <v>NGES6Q8</v>
        <stp/>
        <stp>ContractData</stp>
        <stp>NGES6??10</stp>
        <stp>Symbol</stp>
        <tr r="A121" s="2"/>
      </tp>
      <tp t="s">
        <v>NGES4U8</v>
        <stp/>
        <stp>ContractData</stp>
        <stp>NGES4??11</stp>
        <stp>Symbol</stp>
        <tr r="A87" s="2"/>
      </tp>
      <tp t="s">
        <v>NGES5Q8</v>
        <stp/>
        <stp>ContractData</stp>
        <stp>NGES5??10</stp>
        <stp>Symbol</stp>
        <tr r="A102" s="2"/>
      </tp>
      <tp t="s">
        <v>NGES4Q8</v>
        <stp/>
        <stp>ContractData</stp>
        <stp>NGES4??10</stp>
        <stp>Symbol</stp>
        <tr r="A86" s="2"/>
      </tp>
      <tp t="s">
        <v>NGES5U8</v>
        <stp/>
        <stp>ContractData</stp>
        <stp>NGES5??11</stp>
        <stp>Symbol</stp>
        <tr r="A103" s="2"/>
      </tp>
      <tp t="s">
        <v>NGES6V8</v>
        <stp/>
        <stp>ContractData</stp>
        <stp>NGES6??12</stp>
        <stp>Symbol</stp>
        <tr r="A123" s="2"/>
      </tp>
      <tp t="s">
        <v>NGES1V8</v>
        <stp/>
        <stp>ContractData</stp>
        <stp>NGES1??12</stp>
        <stp>Symbol</stp>
        <tr r="A40" s="2"/>
      </tp>
      <tp t="s">
        <v>NGES2U8</v>
        <stp/>
        <stp>ContractData</stp>
        <stp>NGES2??11</stp>
        <stp>Symbol</stp>
        <tr r="A55" s="2"/>
      </tp>
      <tp t="s">
        <v>NGES3Q8</v>
        <stp/>
        <stp>ContractData</stp>
        <stp>NGES3??10</stp>
        <stp>Symbol</stp>
        <tr r="A70" s="2"/>
      </tp>
      <tp t="s">
        <v>NGES2Q8</v>
        <stp/>
        <stp>ContractData</stp>
        <stp>NGES2??10</stp>
        <stp>Symbol</stp>
        <tr r="A54" s="2"/>
      </tp>
      <tp t="s">
        <v>NGES3U8</v>
        <stp/>
        <stp>ContractData</stp>
        <stp>NGES3??11</stp>
        <stp>Symbol</stp>
        <tr r="A71" s="2"/>
      </tp>
      <tp t="s">
        <v>NGES1Q8</v>
        <stp/>
        <stp>ContractData</stp>
        <stp>NGES1??10</stp>
        <stp>Symbol</stp>
        <tr r="A38" s="2"/>
      </tp>
      <tp t="s">
        <v>NGES3V8</v>
        <stp/>
        <stp>ContractData</stp>
        <stp>NGES3??12</stp>
        <stp>Symbol</stp>
        <tr r="A72" s="2"/>
      </tp>
      <tp t="s">
        <v>NGES1U8</v>
        <stp/>
        <stp>ContractData</stp>
        <stp>NGES1??11</stp>
        <stp>Symbol</stp>
        <tr r="A39" s="2"/>
      </tp>
      <tp t="s">
        <v>NGES2V8</v>
        <stp/>
        <stp>ContractData</stp>
        <stp>NGES2??12</stp>
        <stp>Symbol</stp>
        <tr r="A56" s="2"/>
      </tp>
      <tp>
        <v>2.9428571400000001</v>
        <stp/>
        <stp>StudyData</stp>
        <stp>Bar(((NGEJ18+NGEK18+NGEM18+NGEN18+NGEQ18+NGEU18+NGEV18)/7),1)</stp>
        <stp>Bar</stp>
        <stp/>
        <stp>High</stp>
        <stp>D</stp>
        <stp>-8</stp>
        <stp/>
        <stp/>
        <stp/>
        <stp/>
        <stp>T</stp>
        <tr r="Q10" s="14"/>
      </tp>
      <tp>
        <v>2.7730000000000001</v>
        <stp/>
        <stp>StudyData</stp>
        <stp>Bar(((NGEJ19+NGEK19+NGEM19+NGEN19+NGEQ19+NGEU19+NGEV19)/7),1)</stp>
        <stp>Bar</stp>
        <stp/>
        <stp>High</stp>
        <stp>D</stp>
        <stp>-8</stp>
        <stp/>
        <stp/>
        <stp/>
        <stp/>
        <stp>T</stp>
        <tr r="AL10" s="14"/>
      </tp>
      <tp>
        <v>0</v>
        <stp/>
        <stp>ContractData</stp>
        <stp>NGE?107</stp>
        <stp>Y_CVol</stp>
        <stp/>
        <stp>T</stp>
        <tr r="T114" s="16"/>
      </tp>
      <tp>
        <v>0</v>
        <stp/>
        <stp>ContractData</stp>
        <stp>NGE?117</stp>
        <stp>Y_CVol</stp>
        <stp/>
        <stp>T</stp>
        <tr r="T124" s="16"/>
      </tp>
      <tp>
        <v>0</v>
        <stp/>
        <stp>ContractData</stp>
        <stp>NGE?127</stp>
        <stp>Y_CVol</stp>
        <stp/>
        <stp>T</stp>
        <tr r="T134" s="16"/>
      </tp>
      <tp>
        <v>0</v>
        <stp/>
        <stp>ContractData</stp>
        <stp>NGE?137</stp>
        <stp>Y_CVol</stp>
        <stp/>
        <stp>T</stp>
        <tr r="T144" s="16"/>
      </tp>
      <tp>
        <v>0</v>
        <stp/>
        <stp>ContractData</stp>
        <stp>NGE?107</stp>
        <stp>T_CVol</stp>
        <stp/>
        <stp>T</stp>
        <tr r="S114" s="16"/>
      </tp>
      <tp>
        <v>0</v>
        <stp/>
        <stp>ContractData</stp>
        <stp>NGE?117</stp>
        <stp>T_CVol</stp>
        <stp/>
        <stp>T</stp>
        <tr r="S124" s="16"/>
      </tp>
      <tp>
        <v>0</v>
        <stp/>
        <stp>ContractData</stp>
        <stp>NGE?127</stp>
        <stp>T_CVol</stp>
        <stp/>
        <stp>T</stp>
        <tr r="S134" s="16"/>
      </tp>
      <tp>
        <v>0</v>
        <stp/>
        <stp>ContractData</stp>
        <stp>NGE?137</stp>
        <stp>T_CVol</stp>
        <stp/>
        <stp>T</stp>
        <tr r="S144" s="16"/>
      </tp>
      <tp>
        <v>47387</v>
        <stp/>
        <stp>ContractData</stp>
        <stp>NGE?144</stp>
        <stp>ExpirationDate</stp>
        <stp/>
        <stp>T</stp>
        <tr r="AA151" s="16"/>
      </tp>
      <tp>
        <v>46475</v>
        <stp/>
        <stp>ContractData</stp>
        <stp>NGE?114</stp>
        <stp>ExpirationDate</stp>
        <stp/>
        <stp>T</stp>
        <tr r="AA121" s="16"/>
      </tp>
      <tp>
        <v>46169</v>
        <stp/>
        <stp>ContractData</stp>
        <stp>NGE?104</stp>
        <stp>ExpirationDate</stp>
        <stp/>
        <stp>T</stp>
        <tr r="AA111" s="16"/>
      </tp>
      <tp>
        <v>47085</v>
        <stp/>
        <stp>ContractData</stp>
        <stp>NGE?134</stp>
        <stp>ExpirationDate</stp>
        <stp/>
        <stp>T</stp>
        <tr r="AA141" s="16"/>
      </tp>
      <tp>
        <v>46779</v>
        <stp/>
        <stp>ContractData</stp>
        <stp>NGE?124</stp>
        <stp>ExpirationDate</stp>
        <stp/>
        <stp>T</stp>
        <tr r="AA131" s="16"/>
      </tp>
      <tp>
        <v>2.9535714300000002</v>
        <stp/>
        <stp>StudyData</stp>
        <stp>Bar(((NGEJ18+NGEK18+NGEM18+NGEN18+NGEQ18+NGEU18+NGEV18)/7),1)</stp>
        <stp>Bar</stp>
        <stp/>
        <stp>High</stp>
        <stp>D</stp>
        <stp>-9</stp>
        <stp/>
        <stp/>
        <stp/>
        <stp/>
        <stp>T</stp>
        <tr r="Q11" s="14"/>
      </tp>
      <tp>
        <v>2.79485714</v>
        <stp/>
        <stp>StudyData</stp>
        <stp>Bar(((NGEJ19+NGEK19+NGEM19+NGEN19+NGEQ19+NGEU19+NGEV19)/7),1)</stp>
        <stp>Bar</stp>
        <stp/>
        <stp>High</stp>
        <stp>D</stp>
        <stp>-9</stp>
        <stp/>
        <stp/>
        <stp/>
        <stp/>
        <stp>T</stp>
        <tr r="AL11" s="14"/>
      </tp>
      <tp t="s">
        <v/>
        <stp/>
        <stp>ContractData</stp>
        <stp>NGES6Q8</stp>
        <stp>LastTradeorSettle</stp>
        <stp/>
        <stp>T</stp>
        <tr r="W11" s="11"/>
        <tr r="F121" s="2"/>
      </tp>
      <tp t="s">
        <v/>
        <stp/>
        <stp>ContractData</stp>
        <stp>NGES5Q8</stp>
        <stp>LastTradeorSettle</stp>
        <stp/>
        <stp>T</stp>
        <tr r="W11" s="10"/>
        <tr r="F102" s="2"/>
      </tp>
      <tp t="s">
        <v/>
        <stp/>
        <stp>ContractData</stp>
        <stp>NGES4Q8</stp>
        <stp>LastTradeorSettle</stp>
        <stp/>
        <stp>T</stp>
        <tr r="W11" s="9"/>
        <tr r="F86" s="2"/>
      </tp>
      <tp t="s">
        <v/>
        <stp/>
        <stp>ContractData</stp>
        <stp>NGES3Q8</stp>
        <stp>LastTradeorSettle</stp>
        <stp/>
        <stp>T</stp>
        <tr r="W11" s="8"/>
        <tr r="F70" s="2"/>
      </tp>
      <tp>
        <v>-5.0000000000000001E-3</v>
        <stp/>
        <stp>ContractData</stp>
        <stp>NGES2Q8</stp>
        <stp>LastTradeorSettle</stp>
        <stp/>
        <stp>T</stp>
        <tr r="W11" s="7"/>
        <tr r="F54" s="2"/>
      </tp>
      <tp>
        <v>1.8000000000000002E-2</v>
        <stp/>
        <stp>ContractData</stp>
        <stp>NGES1Q8</stp>
        <stp>LastTradeorSettle</stp>
        <stp/>
        <stp>T</stp>
        <tr r="W11" s="6"/>
        <tr r="F38" s="2"/>
      </tp>
      <tp>
        <v>0</v>
        <stp/>
        <stp>ContractData</stp>
        <stp>NGE?144</stp>
        <stp>Y_CVol</stp>
        <stp/>
        <stp>T</stp>
        <tr r="T151" s="16"/>
      </tp>
      <tp>
        <v>0</v>
        <stp/>
        <stp>ContractData</stp>
        <stp>NGE?104</stp>
        <stp>Y_CVol</stp>
        <stp/>
        <stp>T</stp>
        <tr r="T111" s="16"/>
      </tp>
      <tp>
        <v>0</v>
        <stp/>
        <stp>ContractData</stp>
        <stp>NGE?114</stp>
        <stp>Y_CVol</stp>
        <stp/>
        <stp>T</stp>
        <tr r="T121" s="16"/>
      </tp>
      <tp>
        <v>0</v>
        <stp/>
        <stp>ContractData</stp>
        <stp>NGE?124</stp>
        <stp>Y_CVol</stp>
        <stp/>
        <stp>T</stp>
        <tr r="T131" s="16"/>
      </tp>
      <tp>
        <v>0</v>
        <stp/>
        <stp>ContractData</stp>
        <stp>NGE?134</stp>
        <stp>Y_CVol</stp>
        <stp/>
        <stp>T</stp>
        <tr r="T141" s="16"/>
      </tp>
      <tp>
        <v>0</v>
        <stp/>
        <stp>ContractData</stp>
        <stp>NGE?144</stp>
        <stp>T_CVol</stp>
        <stp/>
        <stp>T</stp>
        <tr r="S151" s="16"/>
      </tp>
      <tp>
        <v>0</v>
        <stp/>
        <stp>ContractData</stp>
        <stp>NGE?104</stp>
        <stp>T_CVol</stp>
        <stp/>
        <stp>T</stp>
        <tr r="S111" s="16"/>
      </tp>
      <tp>
        <v>0</v>
        <stp/>
        <stp>ContractData</stp>
        <stp>NGE?114</stp>
        <stp>T_CVol</stp>
        <stp/>
        <stp>T</stp>
        <tr r="S121" s="16"/>
      </tp>
      <tp>
        <v>0</v>
        <stp/>
        <stp>ContractData</stp>
        <stp>NGE?124</stp>
        <stp>T_CVol</stp>
        <stp/>
        <stp>T</stp>
        <tr r="S131" s="16"/>
      </tp>
      <tp>
        <v>0</v>
        <stp/>
        <stp>ContractData</stp>
        <stp>NGE?134</stp>
        <stp>T_CVol</stp>
        <stp/>
        <stp>T</stp>
        <tr r="S141" s="16"/>
      </tp>
      <tp>
        <v>46566</v>
        <stp/>
        <stp>ContractData</stp>
        <stp>NGE?117</stp>
        <stp>ExpirationDate</stp>
        <stp/>
        <stp>T</stp>
        <tr r="AA124" s="16"/>
      </tp>
      <tp>
        <v>46261</v>
        <stp/>
        <stp>ContractData</stp>
        <stp>NGE?107</stp>
        <stp>ExpirationDate</stp>
        <stp/>
        <stp>T</stp>
        <tr r="AA114" s="16"/>
      </tp>
      <tp>
        <v>47175</v>
        <stp/>
        <stp>ContractData</stp>
        <stp>NGE?137</stp>
        <stp>ExpirationDate</stp>
        <stp/>
        <stp>T</stp>
        <tr r="AA144" s="16"/>
      </tp>
      <tp>
        <v>46869</v>
        <stp/>
        <stp>ContractData</stp>
        <stp>NGE?127</stp>
        <stp>ExpirationDate</stp>
        <stp/>
        <stp>T</stp>
        <tr r="AA134" s="16"/>
      </tp>
      <tp>
        <v>42989</v>
        <stp/>
        <stp>StudyData</stp>
        <stp>Bar(((NGEJ18+NGEK18+NGEM18+NGEN18+NGEQ18+NGEU18+NGEV18)/7),1)</stp>
        <stp>Bar</stp>
        <stp/>
        <stp>Time</stp>
        <stp>D</stp>
        <stp>-19</stp>
        <stp/>
        <stp/>
        <stp/>
        <stp/>
        <stp>T</stp>
        <tr r="O21" s="14"/>
      </tp>
      <tp>
        <v>42990</v>
        <stp/>
        <stp>StudyData</stp>
        <stp>Bar(((NGEJ19+NGEK19+NGEM19+NGEN19+NGEQ19+NGEU19+NGEV19)/7),1)</stp>
        <stp>Bar</stp>
        <stp/>
        <stp>Time</stp>
        <stp>D</stp>
        <stp>-18</stp>
        <stp/>
        <stp/>
        <stp/>
        <stp/>
        <stp>T</stp>
        <tr r="AJ20" s="14"/>
      </tp>
      <tp>
        <v>42972</v>
        <stp/>
        <stp>StudyData</stp>
        <stp>Bar(((NGEJ18+NGEK18+NGEM18+NGEN18+NGEQ18+NGEU18+NGEV18)/7),1)</stp>
        <stp>Bar</stp>
        <stp/>
        <stp>Time</stp>
        <stp>D</stp>
        <stp>-29</stp>
        <stp/>
        <stp/>
        <stp/>
        <stp/>
        <stp>T</stp>
        <tr r="O31" s="14"/>
      </tp>
      <tp>
        <v>42975</v>
        <stp/>
        <stp>StudyData</stp>
        <stp>Bar(((NGEJ19+NGEK19+NGEM19+NGEN19+NGEQ19+NGEU19+NGEV19)/7),1)</stp>
        <stp>Bar</stp>
        <stp/>
        <stp>Time</stp>
        <stp>D</stp>
        <stp>-28</stp>
        <stp/>
        <stp/>
        <stp/>
        <stp/>
        <stp>T</stp>
        <tr r="AJ30" s="14"/>
      </tp>
      <tp>
        <v>42958</v>
        <stp/>
        <stp>StudyData</stp>
        <stp>Bar(((NGEJ18+NGEK18+NGEM18+NGEN18+NGEQ18+NGEU18+NGEV18)/7),1)</stp>
        <stp>Bar</stp>
        <stp/>
        <stp>Time</stp>
        <stp>D</stp>
        <stp>-39</stp>
        <stp/>
        <stp/>
        <stp/>
        <stp/>
        <stp>T</stp>
        <tr r="O41" s="14"/>
      </tp>
      <tp>
        <v>42961</v>
        <stp/>
        <stp>StudyData</stp>
        <stp>Bar(((NGEJ19+NGEK19+NGEM19+NGEN19+NGEQ19+NGEU19+NGEV19)/7),1)</stp>
        <stp>Bar</stp>
        <stp/>
        <stp>Time</stp>
        <stp>D</stp>
        <stp>-38</stp>
        <stp/>
        <stp/>
        <stp/>
        <stp/>
        <stp>T</stp>
        <tr r="AJ40" s="14"/>
      </tp>
      <tp>
        <v>2.94371429</v>
        <stp/>
        <stp>StudyData</stp>
        <stp>Bar(((NGEJ18+NGEK18+NGEM18+NGEN18+NGEQ18+NGEU18+NGEV18)/7),1)</stp>
        <stp>Bar</stp>
        <stp/>
        <stp>High</stp>
        <stp>D</stp>
        <stp>-19</stp>
        <stp/>
        <stp/>
        <stp/>
        <stp/>
        <stp>T</stp>
        <tr r="Q21" s="14"/>
      </tp>
      <tp>
        <v>2.7725714300000002</v>
        <stp/>
        <stp>StudyData</stp>
        <stp>Bar(((NGEJ19+NGEK19+NGEM19+NGEN19+NGEQ19+NGEU19+NGEV19)/7),1)</stp>
        <stp>Bar</stp>
        <stp/>
        <stp>High</stp>
        <stp>D</stp>
        <stp>-18</stp>
        <stp/>
        <stp/>
        <stp/>
        <stp/>
        <stp>T</stp>
        <tr r="AL20" s="14"/>
      </tp>
      <tp>
        <v>2.90271429</v>
        <stp/>
        <stp>StudyData</stp>
        <stp>Bar(((NGEJ18+NGEK18+NGEM18+NGEN18+NGEQ18+NGEU18+NGEV18)/7),1)</stp>
        <stp>Bar</stp>
        <stp/>
        <stp>High</stp>
        <stp>D</stp>
        <stp>-29</stp>
        <stp/>
        <stp/>
        <stp/>
        <stp/>
        <stp>T</stp>
        <tr r="Q31" s="14"/>
      </tp>
      <tp>
        <v>2.7092857100000001</v>
        <stp/>
        <stp>StudyData</stp>
        <stp>Bar(((NGEJ19+NGEK19+NGEM19+NGEN19+NGEQ19+NGEU19+NGEV19)/7),1)</stp>
        <stp>Bar</stp>
        <stp/>
        <stp>High</stp>
        <stp>D</stp>
        <stp>-28</stp>
        <stp/>
        <stp/>
        <stp/>
        <stp/>
        <stp>T</stp>
        <tr r="AL30" s="14"/>
      </tp>
      <tp>
        <v>2.9041428599999999</v>
        <stp/>
        <stp>StudyData</stp>
        <stp>Bar(((NGEJ18+NGEK18+NGEM18+NGEN18+NGEQ18+NGEU18+NGEV18)/7),1)</stp>
        <stp>Bar</stp>
        <stp/>
        <stp>High</stp>
        <stp>D</stp>
        <stp>-39</stp>
        <stp/>
        <stp/>
        <stp/>
        <stp/>
        <stp>T</stp>
        <tr r="Q41" s="14"/>
      </tp>
      <tp>
        <v>2.73</v>
        <stp/>
        <stp>StudyData</stp>
        <stp>Bar(((NGEJ19+NGEK19+NGEM19+NGEN19+NGEQ19+NGEU19+NGEV19)/7),1)</stp>
        <stp>Bar</stp>
        <stp/>
        <stp>High</stp>
        <stp>D</stp>
        <stp>-38</stp>
        <stp/>
        <stp/>
        <stp/>
        <stp/>
        <stp>T</stp>
        <tr r="AL40" s="14"/>
      </tp>
      <tp>
        <v>3.0000000000000001E-3</v>
        <stp/>
        <stp>ContractData</stp>
        <stp>NGES5N8</stp>
        <stp>NetLastQuoteToday</stp>
        <stp/>
        <stp>T</stp>
        <tr r="X10" s="10"/>
      </tp>
      <tp>
        <v>3.0000000000000001E-3</v>
        <stp/>
        <stp>ContractData</stp>
        <stp>NGES4N8</stp>
        <stp>NetLastQuoteToday</stp>
        <stp/>
        <stp>T</stp>
        <tr r="X10" s="9"/>
      </tp>
      <tp>
        <v>-3.0000000000000001E-3</v>
        <stp/>
        <stp>ContractData</stp>
        <stp>NGES6N8</stp>
        <stp>NetLastQuoteToday</stp>
        <stp/>
        <stp>T</stp>
        <tr r="X10" s="11"/>
      </tp>
      <tp>
        <v>0</v>
        <stp/>
        <stp>ContractData</stp>
        <stp>NGES1N8</stp>
        <stp>NetLastQuoteToday</stp>
        <stp/>
        <stp>T</stp>
        <tr r="X10" s="6"/>
      </tp>
      <tp>
        <v>1E-3</v>
        <stp/>
        <stp>ContractData</stp>
        <stp>NGES3N8</stp>
        <stp>NetLastQuoteToday</stp>
        <stp/>
        <stp>T</stp>
        <tr r="X10" s="8"/>
      </tp>
      <tp>
        <v>0</v>
        <stp/>
        <stp>ContractData</stp>
        <stp>NGES2N8</stp>
        <stp>NetLastQuoteToday</stp>
        <stp/>
        <stp>T</stp>
        <tr r="X10" s="7"/>
      </tp>
      <tp>
        <v>0</v>
        <stp/>
        <stp>ContractData</stp>
        <stp>NGE?145</stp>
        <stp>Y_CVol</stp>
        <stp/>
        <stp>T</stp>
        <tr r="T152" s="16"/>
      </tp>
      <tp>
        <v>0</v>
        <stp/>
        <stp>ContractData</stp>
        <stp>NGE?105</stp>
        <stp>Y_CVol</stp>
        <stp/>
        <stp>T</stp>
        <tr r="T112" s="16"/>
      </tp>
      <tp>
        <v>0</v>
        <stp/>
        <stp>ContractData</stp>
        <stp>NGE?115</stp>
        <stp>Y_CVol</stp>
        <stp/>
        <stp>T</stp>
        <tr r="T122" s="16"/>
      </tp>
      <tp>
        <v>0</v>
        <stp/>
        <stp>ContractData</stp>
        <stp>NGE?125</stp>
        <stp>Y_CVol</stp>
        <stp/>
        <stp>T</stp>
        <tr r="T132" s="16"/>
      </tp>
      <tp>
        <v>0</v>
        <stp/>
        <stp>ContractData</stp>
        <stp>NGE?135</stp>
        <stp>Y_CVol</stp>
        <stp/>
        <stp>T</stp>
        <tr r="T142" s="16"/>
      </tp>
      <tp>
        <v>0</v>
        <stp/>
        <stp>ContractData</stp>
        <stp>NGE?145</stp>
        <stp>T_CVol</stp>
        <stp/>
        <stp>T</stp>
        <tr r="S152" s="16"/>
      </tp>
      <tp>
        <v>0</v>
        <stp/>
        <stp>ContractData</stp>
        <stp>NGE?105</stp>
        <stp>T_CVol</stp>
        <stp/>
        <stp>T</stp>
        <tr r="S112" s="16"/>
      </tp>
      <tp>
        <v>0</v>
        <stp/>
        <stp>ContractData</stp>
        <stp>NGE?115</stp>
        <stp>T_CVol</stp>
        <stp/>
        <stp>T</stp>
        <tr r="S122" s="16"/>
      </tp>
      <tp>
        <v>0</v>
        <stp/>
        <stp>ContractData</stp>
        <stp>NGE?125</stp>
        <stp>T_CVol</stp>
        <stp/>
        <stp>T</stp>
        <tr r="S132" s="16"/>
      </tp>
      <tp>
        <v>0</v>
        <stp/>
        <stp>ContractData</stp>
        <stp>NGE?135</stp>
        <stp>T_CVol</stp>
        <stp/>
        <stp>T</stp>
        <tr r="S142" s="16"/>
      </tp>
      <tp>
        <v>47450</v>
        <stp/>
        <stp>ContractData</stp>
        <stp>NGE?146</stp>
        <stp>ExpirationDate</stp>
        <stp/>
        <stp>T</stp>
        <tr r="AA153" s="16"/>
      </tp>
      <tp>
        <v>46534</v>
        <stp/>
        <stp>ContractData</stp>
        <stp>NGE?116</stp>
        <stp>ExpirationDate</stp>
        <stp/>
        <stp>T</stp>
        <tr r="AA123" s="16"/>
      </tp>
      <tp>
        <v>46232</v>
        <stp/>
        <stp>ContractData</stp>
        <stp>NGE?106</stp>
        <stp>ExpirationDate</stp>
        <stp/>
        <stp>T</stp>
        <tr r="AA113" s="16"/>
      </tp>
      <tp>
        <v>47147</v>
        <stp/>
        <stp>ContractData</stp>
        <stp>NGE?136</stp>
        <stp>ExpirationDate</stp>
        <stp/>
        <stp>T</stp>
        <tr r="AA143" s="16"/>
      </tp>
      <tp>
        <v>46841</v>
        <stp/>
        <stp>ContractData</stp>
        <stp>NGE?126</stp>
        <stp>ExpirationDate</stp>
        <stp/>
        <stp>T</stp>
        <tr r="AA133" s="16"/>
      </tp>
      <tp>
        <v>43014</v>
        <stp/>
        <stp>StudyData</stp>
        <stp>Bar(((NGEJ19+NGEK19+NGEM19+NGEN19+NGEQ19+NGEU19+NGEV19)/7),1)</stp>
        <stp>Bar</stp>
        <stp/>
        <stp>Time</stp>
        <stp>D</stp>
        <stp>0</stp>
        <stp/>
        <stp/>
        <stp/>
        <stp/>
        <stp>T</stp>
        <tr r="AJ2" s="14"/>
      </tp>
      <tp>
        <v>43014</v>
        <stp/>
        <stp>StudyData</stp>
        <stp>Bar(((NGEJ18+NGEK18+NGEM18+NGEN18+NGEQ18+NGEU18+NGEV18)/7),1)</stp>
        <stp>Bar</stp>
        <stp/>
        <stp>Time</stp>
        <stp>D</stp>
        <stp>0</stp>
        <stp/>
        <stp/>
        <stp/>
        <stp/>
        <stp>T</stp>
        <tr r="O2" s="14"/>
      </tp>
      <tp>
        <v>42990</v>
        <stp/>
        <stp>StudyData</stp>
        <stp>Bar(((NGEJ18+NGEK18+NGEM18+NGEN18+NGEQ18+NGEU18+NGEV18)/7),1)</stp>
        <stp>Bar</stp>
        <stp/>
        <stp>Time</stp>
        <stp>D</stp>
        <stp>-18</stp>
        <stp/>
        <stp/>
        <stp/>
        <stp/>
        <stp>T</stp>
        <tr r="O20" s="14"/>
      </tp>
      <tp>
        <v>42989</v>
        <stp/>
        <stp>StudyData</stp>
        <stp>Bar(((NGEJ19+NGEK19+NGEM19+NGEN19+NGEQ19+NGEU19+NGEV19)/7),1)</stp>
        <stp>Bar</stp>
        <stp/>
        <stp>Time</stp>
        <stp>D</stp>
        <stp>-19</stp>
        <stp/>
        <stp/>
        <stp/>
        <stp/>
        <stp>T</stp>
        <tr r="AJ21" s="14"/>
      </tp>
      <tp>
        <v>42975</v>
        <stp/>
        <stp>StudyData</stp>
        <stp>Bar(((NGEJ18+NGEK18+NGEM18+NGEN18+NGEQ18+NGEU18+NGEV18)/7),1)</stp>
        <stp>Bar</stp>
        <stp/>
        <stp>Time</stp>
        <stp>D</stp>
        <stp>-28</stp>
        <stp/>
        <stp/>
        <stp/>
        <stp/>
        <stp>T</stp>
        <tr r="O30" s="14"/>
      </tp>
      <tp>
        <v>42972</v>
        <stp/>
        <stp>StudyData</stp>
        <stp>Bar(((NGEJ19+NGEK19+NGEM19+NGEN19+NGEQ19+NGEU19+NGEV19)/7),1)</stp>
        <stp>Bar</stp>
        <stp/>
        <stp>Time</stp>
        <stp>D</stp>
        <stp>-29</stp>
        <stp/>
        <stp/>
        <stp/>
        <stp/>
        <stp>T</stp>
        <tr r="AJ31" s="14"/>
      </tp>
      <tp>
        <v>42961</v>
        <stp/>
        <stp>StudyData</stp>
        <stp>Bar(((NGEJ18+NGEK18+NGEM18+NGEN18+NGEQ18+NGEU18+NGEV18)/7),1)</stp>
        <stp>Bar</stp>
        <stp/>
        <stp>Time</stp>
        <stp>D</stp>
        <stp>-38</stp>
        <stp/>
        <stp/>
        <stp/>
        <stp/>
        <stp>T</stp>
        <tr r="O40" s="14"/>
      </tp>
      <tp>
        <v>42958</v>
        <stp/>
        <stp>StudyData</stp>
        <stp>Bar(((NGEJ19+NGEK19+NGEM19+NGEN19+NGEQ19+NGEU19+NGEV19)/7),1)</stp>
        <stp>Bar</stp>
        <stp/>
        <stp>Time</stp>
        <stp>D</stp>
        <stp>-39</stp>
        <stp/>
        <stp/>
        <stp/>
        <stp/>
        <stp>T</stp>
        <tr r="AJ41" s="14"/>
      </tp>
      <tp>
        <v>2.9645714299999999</v>
        <stp/>
        <stp>StudyData</stp>
        <stp>Bar(((NGEJ18+NGEK18+NGEM18+NGEN18+NGEQ18+NGEU18+NGEV18)/7),1)</stp>
        <stp>Bar</stp>
        <stp/>
        <stp>High</stp>
        <stp>D</stp>
        <stp>-18</stp>
        <stp/>
        <stp/>
        <stp/>
        <stp/>
        <stp>T</stp>
        <tr r="Q20" s="14"/>
      </tp>
      <tp>
        <v>2.7652857100000001</v>
        <stp/>
        <stp>StudyData</stp>
        <stp>Bar(((NGEJ19+NGEK19+NGEM19+NGEN19+NGEQ19+NGEU19+NGEV19)/7),1)</stp>
        <stp>Bar</stp>
        <stp/>
        <stp>High</stp>
        <stp>D</stp>
        <stp>-19</stp>
        <stp/>
        <stp/>
        <stp/>
        <stp/>
        <stp>T</stp>
        <tr r="AL21" s="14"/>
      </tp>
      <tp>
        <v>2.91185714</v>
        <stp/>
        <stp>StudyData</stp>
        <stp>Bar(((NGEJ18+NGEK18+NGEM18+NGEN18+NGEQ18+NGEU18+NGEV18)/7),1)</stp>
        <stp>Bar</stp>
        <stp/>
        <stp>High</stp>
        <stp>D</stp>
        <stp>-28</stp>
        <stp/>
        <stp/>
        <stp/>
        <stp/>
        <stp>T</stp>
        <tr r="Q30" s="14"/>
      </tp>
      <tp>
        <v>2.70514286</v>
        <stp/>
        <stp>StudyData</stp>
        <stp>Bar(((NGEJ19+NGEK19+NGEM19+NGEN19+NGEQ19+NGEU19+NGEV19)/7),1)</stp>
        <stp>Bar</stp>
        <stp/>
        <stp>High</stp>
        <stp>D</stp>
        <stp>-29</stp>
        <stp/>
        <stp/>
        <stp/>
        <stp/>
        <stp>T</stp>
        <tr r="AL31" s="14"/>
      </tp>
      <tp>
        <v>2.9091428600000002</v>
        <stp/>
        <stp>StudyData</stp>
        <stp>Bar(((NGEJ18+NGEK18+NGEM18+NGEN18+NGEQ18+NGEU18+NGEV18)/7),1)</stp>
        <stp>Bar</stp>
        <stp/>
        <stp>High</stp>
        <stp>D</stp>
        <stp>-38</stp>
        <stp/>
        <stp/>
        <stp/>
        <stp/>
        <stp>T</stp>
        <tr r="Q40" s="14"/>
      </tp>
      <tp>
        <v>2.7277142900000002</v>
        <stp/>
        <stp>StudyData</stp>
        <stp>Bar(((NGEJ19+NGEK19+NGEM19+NGEN19+NGEQ19+NGEU19+NGEV19)/7),1)</stp>
        <stp>Bar</stp>
        <stp/>
        <stp>High</stp>
        <stp>D</stp>
        <stp>-39</stp>
        <stp/>
        <stp/>
        <stp/>
        <stp/>
        <stp>T</stp>
        <tr r="AL41" s="14"/>
      </tp>
      <tp>
        <v>-3.0000000000000001E-3</v>
        <stp/>
        <stp>ContractData</stp>
        <stp>NGES5Q8</stp>
        <stp>NetLastQuoteToday</stp>
        <stp/>
        <stp>T</stp>
        <tr r="X11" s="10"/>
      </tp>
      <tp>
        <v>2E-3</v>
        <stp/>
        <stp>ContractData</stp>
        <stp>NGES4Q8</stp>
        <stp>NetLastQuoteToday</stp>
        <stp/>
        <stp>T</stp>
        <tr r="X11" s="9"/>
      </tp>
      <tp>
        <v>-4.0000000000000001E-3</v>
        <stp/>
        <stp>ContractData</stp>
        <stp>NGES6Q8</stp>
        <stp>NetLastQuoteToday</stp>
        <stp/>
        <stp>T</stp>
        <tr r="X11" s="11"/>
      </tp>
      <tp>
        <v>0</v>
        <stp/>
        <stp>ContractData</stp>
        <stp>NGES1Q8</stp>
        <stp>NetLastQuoteToday</stp>
        <stp/>
        <stp>T</stp>
        <tr r="X11" s="6"/>
      </tp>
      <tp>
        <v>-1E-3</v>
        <stp/>
        <stp>ContractData</stp>
        <stp>NGES3Q8</stp>
        <stp>NetLastQuoteToday</stp>
        <stp/>
        <stp>T</stp>
        <tr r="X11" s="8"/>
      </tp>
      <tp>
        <v>0</v>
        <stp/>
        <stp>ContractData</stp>
        <stp>NGES2Q8</stp>
        <stp>NetLastQuoteToday</stp>
        <stp/>
        <stp>T</stp>
        <tr r="X11" s="7"/>
      </tp>
      <tp>
        <v>3.1796000000000002</v>
        <stp/>
        <stp>StudyData</stp>
        <stp>Bar(((NGEX18+NGEZ18+NGEF19+NGEG19+NGEH19)/5),1)</stp>
        <stp>Bar</stp>
        <stp/>
        <stp>Close</stp>
        <stp>D</stp>
        <stp>-13</stp>
        <stp/>
        <stp/>
        <stp/>
        <stp/>
        <stp>T</stp>
        <tr r="AA15" s="14"/>
      </tp>
      <tp>
        <v>3.0914000000000001</v>
        <stp/>
        <stp>StudyData</stp>
        <stp>Bar(((NGEX18+NGEZ18+NGEF19+NGEG19+NGEH19)/5),1)</stp>
        <stp>Bar</stp>
        <stp/>
        <stp>Close</stp>
        <stp>D</stp>
        <stp>-33</stp>
        <stp/>
        <stp/>
        <stp/>
        <stp/>
        <stp>T</stp>
        <tr r="AA35" s="14"/>
      </tp>
      <tp>
        <v>3.1038000000000001</v>
        <stp/>
        <stp>StudyData</stp>
        <stp>Bar(((NGEX18+NGEZ18+NGEF19+NGEG19+NGEH19)/5),1)</stp>
        <stp>Bar</stp>
        <stp/>
        <stp>Close</stp>
        <stp>D</stp>
        <stp>-23</stp>
        <stp/>
        <stp/>
        <stp/>
        <stp/>
        <stp>T</stp>
        <tr r="AA25" s="14"/>
      </tp>
      <tp>
        <v>3.0526</v>
        <stp/>
        <stp>StudyData</stp>
        <stp>Bar(((NGEX18+NGEZ18+NGEF19+NGEG19+NGEH19)/5),1)</stp>
        <stp>Bar</stp>
        <stp/>
        <stp>Close</stp>
        <stp>D</stp>
        <stp>-43</stp>
        <stp/>
        <stp/>
        <stp/>
        <stp/>
        <stp>T</stp>
        <tr r="AA45" s="14"/>
      </tp>
      <tp>
        <v>2</v>
        <stp/>
        <stp>ContractData</stp>
        <stp>SPREAD((NGEX18+NGEZ18+NGEF19+NGEG19+NGEH19)/5)</stp>
        <stp>MT_LastAskVolume</stp>
        <stp/>
        <stp>T</stp>
        <tr r="C34" s="13"/>
      </tp>
      <tp>
        <v>57846</v>
        <stp/>
        <stp>ContractData</stp>
        <stp>NGE?1</stp>
        <stp>T_CVol</stp>
        <stp/>
        <stp>T</stp>
        <tr r="S8" s="16"/>
        <tr r="S8" s="16"/>
      </tp>
      <tp>
        <v>180003</v>
        <stp/>
        <stp>ContractData</stp>
        <stp>NGE?1</stp>
        <stp>Y_CVol</stp>
        <stp/>
        <stp>T</stp>
        <tr r="T8" s="16"/>
        <tr r="T8" s="16"/>
      </tp>
      <tp>
        <v>3.1301999999999999</v>
        <stp/>
        <stp>StudyData</stp>
        <stp>Bar(((NGEX18+NGEZ18+NGEF19+NGEG19+NGEH19)/5),1)</stp>
        <stp>Bar</stp>
        <stp/>
        <stp>LOw</stp>
        <stp>D</stp>
        <stp>-2</stp>
        <stp/>
        <stp/>
        <stp/>
        <stp/>
        <stp>T</stp>
        <tr r="Z4" s="14"/>
      </tp>
      <tp>
        <v>3.109</v>
        <stp/>
        <stp>StudyData</stp>
        <stp>Bar(((NGEX17+NGEZ17+NGEF18+NGEG18+NGEH18)/5),1)</stp>
        <stp>Bar</stp>
        <stp/>
        <stp>LOw</stp>
        <stp>D</stp>
        <stp>-3</stp>
        <stp/>
        <stp/>
        <stp/>
        <stp/>
        <stp>T</stp>
        <tr r="E5" s="14"/>
      </tp>
      <tp>
        <v>3.1345999999999998</v>
        <stp/>
        <stp>StudyData</stp>
        <stp>Bar(((NGEX18+NGEZ18+NGEF19+NGEG19+NGEH19)/5),1)</stp>
        <stp>Bar</stp>
        <stp/>
        <stp>Close</stp>
        <stp>D</stp>
        <stp>-9</stp>
        <stp/>
        <stp/>
        <stp/>
        <stp/>
        <stp>T</stp>
        <tr r="AA11" s="14"/>
      </tp>
      <tp>
        <v>3.2143999999999999</v>
        <stp/>
        <stp>StudyData</stp>
        <stp>Bar(((NGEX17+NGEZ17+NGEF18+NGEG18+NGEH18)/5),1)</stp>
        <stp>Bar</stp>
        <stp/>
        <stp>Close</stp>
        <stp>D</stp>
        <stp>-6</stp>
        <stp/>
        <stp/>
        <stp/>
        <stp/>
        <stp>T</stp>
        <tr r="F8" s="14"/>
      </tp>
      <tp>
        <v>43004</v>
        <stp/>
        <stp>StudyData</stp>
        <stp>Bar(((NGEJ18+NGEK18+NGEM18+NGEN18+NGEQ18+NGEU18+NGEV18)/7),1)</stp>
        <stp>Bar</stp>
        <stp/>
        <stp>Time</stp>
        <stp>D</stp>
        <stp>-8</stp>
        <stp/>
        <stp/>
        <stp/>
        <stp/>
        <stp>T</stp>
        <tr r="O10" s="14"/>
      </tp>
      <tp>
        <v>43004</v>
        <stp/>
        <stp>StudyData</stp>
        <stp>Bar(((NGEJ19+NGEK19+NGEM19+NGEN19+NGEQ19+NGEU19+NGEV19)/7),1)</stp>
        <stp>Bar</stp>
        <stp/>
        <stp>Time</stp>
        <stp>D</stp>
        <stp>-8</stp>
        <stp/>
        <stp/>
        <stp/>
        <stp/>
        <stp>T</stp>
        <tr r="AJ10" s="14"/>
      </tp>
      <tp>
        <v>43067</v>
        <stp/>
        <stp>ContractData</stp>
        <stp>NGE?2</stp>
        <stp>ExpirationDate</stp>
        <stp/>
        <stp>T</stp>
        <tr r="AA9" s="16"/>
      </tp>
      <tp>
        <v>3.1829999999999998</v>
        <stp/>
        <stp>StudyData</stp>
        <stp>Bar(((NGEX18+NGEZ18+NGEF19+NGEG19+NGEH19)/5),1)</stp>
        <stp>Bar</stp>
        <stp/>
        <stp>Close</stp>
        <stp>D</stp>
        <stp>-12</stp>
        <stp/>
        <stp/>
        <stp/>
        <stp/>
        <stp>T</stp>
        <tr r="AA14" s="14"/>
      </tp>
      <tp>
        <v>3.09</v>
        <stp/>
        <stp>StudyData</stp>
        <stp>Bar(((NGEX18+NGEZ18+NGEF19+NGEG19+NGEH19)/5),1)</stp>
        <stp>Bar</stp>
        <stp/>
        <stp>Close</stp>
        <stp>D</stp>
        <stp>-32</stp>
        <stp/>
        <stp/>
        <stp/>
        <stp/>
        <stp>T</stp>
        <tr r="AA34" s="14"/>
      </tp>
      <tp>
        <v>3.1160000000000001</v>
        <stp/>
        <stp>StudyData</stp>
        <stp>Bar(((NGEX18+NGEZ18+NGEF19+NGEG19+NGEH19)/5),1)</stp>
        <stp>Bar</stp>
        <stp/>
        <stp>Close</stp>
        <stp>D</stp>
        <stp>-22</stp>
        <stp/>
        <stp/>
        <stp/>
        <stp/>
        <stp>T</stp>
        <tr r="AA24" s="14"/>
      </tp>
      <tp>
        <v>3.0676000000000001</v>
        <stp/>
        <stp>StudyData</stp>
        <stp>Bar(((NGEX18+NGEZ18+NGEF19+NGEG19+NGEH19)/5),1)</stp>
        <stp>Bar</stp>
        <stp/>
        <stp>Close</stp>
        <stp>D</stp>
        <stp>-42</stp>
        <stp/>
        <stp/>
        <stp/>
        <stp/>
        <stp>T</stp>
        <tr r="AA44" s="14"/>
      </tp>
      <tp t="s">
        <v/>
        <stp/>
        <stp>ContractData</stp>
        <stp>NGES6N8</stp>
        <stp>LastTradeorSettle</stp>
        <stp/>
        <stp>T</stp>
        <tr r="W10" s="11"/>
        <tr r="F120" s="2"/>
      </tp>
      <tp t="s">
        <v/>
        <stp/>
        <stp>ContractData</stp>
        <stp>NGES5N8</stp>
        <stp>LastTradeorSettle</stp>
        <stp/>
        <stp>T</stp>
        <tr r="W10" s="10"/>
        <tr r="F101" s="2"/>
      </tp>
      <tp t="s">
        <v/>
        <stp/>
        <stp>ContractData</stp>
        <stp>NGES4N8</stp>
        <stp>LastTradeorSettle</stp>
        <stp/>
        <stp>T</stp>
        <tr r="W10" s="9"/>
        <tr r="F85" s="2"/>
      </tp>
      <tp t="s">
        <v/>
        <stp/>
        <stp>ContractData</stp>
        <stp>NGES3N8</stp>
        <stp>LastTradeorSettle</stp>
        <stp/>
        <stp>T</stp>
        <tr r="W10" s="8"/>
        <tr r="F69" s="2"/>
      </tp>
      <tp>
        <v>1.4999999999999999E-2</v>
        <stp/>
        <stp>ContractData</stp>
        <stp>NGES2N8</stp>
        <stp>LastTradeorSettle</stp>
        <stp/>
        <stp>T</stp>
        <tr r="W10" s="7"/>
        <tr r="F53" s="2"/>
      </tp>
      <tp>
        <v>-3.0000000000000001E-3</v>
        <stp/>
        <stp>ContractData</stp>
        <stp>NGES1N8</stp>
        <stp>LastTradeorSettle</stp>
        <stp/>
        <stp>T</stp>
        <tr r="W10" s="6"/>
        <tr r="F37" s="2"/>
      </tp>
      <tp>
        <v>3</v>
        <stp/>
        <stp>ContractData</stp>
        <stp>SPREAD((NGEX17+NGEZ17+NGEF18+NGEG18+NGEH18)/5)</stp>
        <stp>MT_LastAskVolume</stp>
        <stp/>
        <stp>T</stp>
        <tr r="C6" s="13"/>
      </tp>
      <tp>
        <v>3.1181999999999999</v>
        <stp/>
        <stp>StudyData</stp>
        <stp>Bar(((NGEX18+NGEZ18+NGEF19+NGEG19+NGEH19)/5),1)</stp>
        <stp>Bar</stp>
        <stp/>
        <stp>LOw</stp>
        <stp>D</stp>
        <stp>-3</stp>
        <stp/>
        <stp/>
        <stp/>
        <stp/>
        <stp>T</stp>
        <tr r="Z5" s="14"/>
      </tp>
      <tp>
        <v>3.1221999999999999</v>
        <stp/>
        <stp>StudyData</stp>
        <stp>Bar(((NGEX17+NGEZ17+NGEF18+NGEG18+NGEH18)/5),1)</stp>
        <stp>Bar</stp>
        <stp/>
        <stp>LOw</stp>
        <stp>D</stp>
        <stp>-2</stp>
        <stp/>
        <stp/>
        <stp/>
        <stp/>
        <stp>T</stp>
        <tr r="E4" s="14"/>
      </tp>
      <tp>
        <v>3.141</v>
        <stp/>
        <stp>StudyData</stp>
        <stp>Bar(((NGEX18+NGEZ18+NGEF19+NGEG19+NGEH19)/5),1)</stp>
        <stp>Bar</stp>
        <stp/>
        <stp>Close</stp>
        <stp>D</stp>
        <stp>-8</stp>
        <stp/>
        <stp/>
        <stp/>
        <stp/>
        <stp>T</stp>
        <tr r="AA10" s="14"/>
      </tp>
      <tp>
        <v>3.2450000000000001</v>
        <stp/>
        <stp>StudyData</stp>
        <stp>Bar(((NGEX17+NGEZ17+NGEF18+NGEG18+NGEH18)/5),1)</stp>
        <stp>Bar</stp>
        <stp/>
        <stp>Close</stp>
        <stp>D</stp>
        <stp>-7</stp>
        <stp/>
        <stp/>
        <stp/>
        <stp/>
        <stp>T</stp>
        <tr r="F9" s="14"/>
      </tp>
      <tp>
        <v>43003</v>
        <stp/>
        <stp>StudyData</stp>
        <stp>Bar(((NGEJ18+NGEK18+NGEM18+NGEN18+NGEQ18+NGEU18+NGEV18)/7),1)</stp>
        <stp>Bar</stp>
        <stp/>
        <stp>Time</stp>
        <stp>D</stp>
        <stp>-9</stp>
        <stp/>
        <stp/>
        <stp/>
        <stp/>
        <stp>T</stp>
        <tr r="O11" s="14"/>
      </tp>
      <tp>
        <v>43003</v>
        <stp/>
        <stp>StudyData</stp>
        <stp>Bar(((NGEJ19+NGEK19+NGEM19+NGEN19+NGEQ19+NGEU19+NGEV19)/7),1)</stp>
        <stp>Bar</stp>
        <stp/>
        <stp>Time</stp>
        <stp>D</stp>
        <stp>-9</stp>
        <stp/>
        <stp/>
        <stp/>
        <stp/>
        <stp>T</stp>
        <tr r="AJ11" s="14"/>
      </tp>
      <tp>
        <v>43096</v>
        <stp/>
        <stp>ContractData</stp>
        <stp>NGE?3</stp>
        <stp>ExpirationDate</stp>
        <stp/>
        <stp>T</stp>
        <tr r="AA10" s="16"/>
      </tp>
      <tp>
        <v>-3.3000000000000002E-2</v>
        <stp/>
        <stp>ContractData</stp>
        <stp>NGE?3</stp>
        <stp>NetLastTradeToday</stp>
        <stp/>
        <stp>T</stp>
        <tr r="G10" s="16"/>
        <tr r="E10" s="16"/>
      </tp>
      <tp>
        <v>-3.2000000000000001E-2</v>
        <stp/>
        <stp>ContractData</stp>
        <stp>NGE?2</stp>
        <stp>NetLastTradeToday</stp>
        <stp/>
        <stp>T</stp>
        <tr r="E9" s="16"/>
        <tr r="G9" s="16"/>
      </tp>
      <tp>
        <v>-2.6000000000000002E-2</v>
        <stp/>
        <stp>ContractData</stp>
        <stp>NGE?1</stp>
        <stp>NetLastTradeToday</stp>
        <stp/>
        <stp>T</stp>
        <tr r="E8" s="16"/>
        <tr r="G8" s="16"/>
      </tp>
      <tp>
        <v>3.1432000000000002</v>
        <stp/>
        <stp>StudyData</stp>
        <stp>Bar(((NGEX18+NGEZ18+NGEF19+NGEG19+NGEH19)/5),1)</stp>
        <stp>Bar</stp>
        <stp/>
        <stp>Close</stp>
        <stp>D</stp>
        <stp>-11</stp>
        <stp/>
        <stp/>
        <stp/>
        <stp/>
        <stp>T</stp>
        <tr r="AA13" s="14"/>
      </tp>
      <tp>
        <v>3.0926</v>
        <stp/>
        <stp>StudyData</stp>
        <stp>Bar(((NGEX18+NGEZ18+NGEF19+NGEG19+NGEH19)/5),1)</stp>
        <stp>Bar</stp>
        <stp/>
        <stp>Close</stp>
        <stp>D</stp>
        <stp>-31</stp>
        <stp/>
        <stp/>
        <stp/>
        <stp/>
        <stp>T</stp>
        <tr r="AA33" s="14"/>
      </tp>
      <tp>
        <v>3.1236000000000002</v>
        <stp/>
        <stp>StudyData</stp>
        <stp>Bar(((NGEX18+NGEZ18+NGEF19+NGEG19+NGEH19)/5),1)</stp>
        <stp>Bar</stp>
        <stp/>
        <stp>Close</stp>
        <stp>D</stp>
        <stp>-21</stp>
        <stp/>
        <stp/>
        <stp/>
        <stp/>
        <stp>T</stp>
        <tr r="AA23" s="14"/>
      </tp>
      <tp>
        <v>3.0739999999999998</v>
        <stp/>
        <stp>StudyData</stp>
        <stp>Bar(((NGEX18+NGEZ18+NGEF19+NGEG19+NGEH19)/5),1)</stp>
        <stp>Bar</stp>
        <stp/>
        <stp>Close</stp>
        <stp>D</stp>
        <stp>-41</stp>
        <stp/>
        <stp/>
        <stp/>
        <stp/>
        <stp>T</stp>
        <tr r="AA43" s="14"/>
      </tp>
      <tp>
        <v>-9.0000000000000011E-3</v>
        <stp/>
        <stp>ContractData</stp>
        <stp>NGE?7</stp>
        <stp>NetLastTradeToday</stp>
        <stp/>
        <stp>T</stp>
        <tr r="E14" s="16"/>
        <tr r="G14" s="16"/>
      </tp>
      <tp t="s">
        <v/>
        <stp/>
        <stp>ContractData</stp>
        <stp>NGES6M8</stp>
        <stp>LastTradeorSettle</stp>
        <stp/>
        <stp>T</stp>
        <tr r="W9" s="11"/>
        <tr r="F119" s="2"/>
      </tp>
      <tp t="s">
        <v/>
        <stp/>
        <stp>ContractData</stp>
        <stp>NGES5M8</stp>
        <stp>LastTradeorSettle</stp>
        <stp/>
        <stp>T</stp>
        <tr r="W9" s="10"/>
        <tr r="F100" s="2"/>
      </tp>
      <tp>
        <v>-3.6000000000000004E-2</v>
        <stp/>
        <stp>ContractData</stp>
        <stp>NGES4M8</stp>
        <stp>LastTradeorSettle</stp>
        <stp/>
        <stp>T</stp>
        <tr r="W9" s="9"/>
        <tr r="F84" s="2"/>
      </tp>
      <tp>
        <v>-1.3000000000000001E-2</v>
        <stp/>
        <stp>ContractData</stp>
        <stp>NGES3M8</stp>
        <stp>LastTradeorSettle</stp>
        <stp/>
        <stp>T</stp>
        <tr r="W9" s="8"/>
        <tr r="F68" s="2"/>
      </tp>
      <tp>
        <v>-0.03</v>
        <stp/>
        <stp>ContractData</stp>
        <stp>NGES2M8</stp>
        <stp>LastTradeorSettle</stp>
        <stp/>
        <stp>T</stp>
        <tr r="W9" s="7"/>
        <tr r="F52" s="2"/>
      </tp>
      <tp>
        <v>-2.7E-2</v>
        <stp/>
        <stp>ContractData</stp>
        <stp>NGES1M8</stp>
        <stp>LastTradeorSettle</stp>
        <stp/>
        <stp>T</stp>
        <tr r="W9" s="6"/>
        <tr r="F36" s="2"/>
      </tp>
      <tp>
        <v>-1.4E-2</v>
        <stp/>
        <stp>ContractData</stp>
        <stp>NGE?6</stp>
        <stp>NetLastTradeToday</stp>
        <stp/>
        <stp>T</stp>
        <tr r="G13" s="16"/>
        <tr r="E13" s="16"/>
      </tp>
      <tp>
        <v>-2.9000000000000001E-2</v>
        <stp/>
        <stp>ContractData</stp>
        <stp>NGE?5</stp>
        <stp>NetLastTradeToday</stp>
        <stp/>
        <stp>T</stp>
        <tr r="G12" s="16"/>
        <tr r="E12" s="16"/>
      </tp>
      <tp>
        <v>-3.3000000000000002E-2</v>
        <stp/>
        <stp>ContractData</stp>
        <stp>NGE?4</stp>
        <stp>NetLastTradeToday</stp>
        <stp/>
        <stp>T</stp>
        <tr r="E11" s="16"/>
        <tr r="G11" s="16"/>
      </tp>
      <tp>
        <v>-8.0000000000000002E-3</v>
        <stp/>
        <stp>ContractData</stp>
        <stp>NGE?9</stp>
        <stp>NetLastTradeToday</stp>
        <stp/>
        <stp>T</stp>
        <tr r="E16" s="16"/>
        <tr r="G16" s="16"/>
      </tp>
      <tp>
        <v>-8.0000000000000002E-3</v>
        <stp/>
        <stp>ContractData</stp>
        <stp>NGE?8</stp>
        <stp>NetLastTradeToday</stp>
        <stp/>
        <stp>T</stp>
        <tr r="G15" s="16"/>
        <tr r="E15" s="16"/>
      </tp>
      <tp t="s">
        <v/>
        <stp/>
        <stp>ContractData</stp>
        <stp>NGE?88</stp>
        <stp>LastTradeToday</stp>
        <stp/>
        <stp>T</stp>
        <tr r="F95" s="16"/>
      </tp>
      <tp t="s">
        <v/>
        <stp/>
        <stp>ContractData</stp>
        <stp>NGE?98</stp>
        <stp>LastTradeToday</stp>
        <stp/>
        <stp>T</stp>
        <tr r="F105" s="16"/>
      </tp>
      <tp t="s">
        <v/>
        <stp/>
        <stp>ContractData</stp>
        <stp>NGE?48</stp>
        <stp>LastTradeToday</stp>
        <stp/>
        <stp>T</stp>
        <tr r="F55" s="16"/>
      </tp>
      <tp t="s">
        <v/>
        <stp/>
        <stp>ContractData</stp>
        <stp>NGE?58</stp>
        <stp>LastTradeToday</stp>
        <stp/>
        <stp>T</stp>
        <tr r="F65" s="16"/>
      </tp>
      <tp t="s">
        <v/>
        <stp/>
        <stp>ContractData</stp>
        <stp>NGE?68</stp>
        <stp>LastTradeToday</stp>
        <stp/>
        <stp>T</stp>
        <tr r="F75" s="16"/>
      </tp>
      <tp t="s">
        <v/>
        <stp/>
        <stp>ContractData</stp>
        <stp>NGE?78</stp>
        <stp>LastTradeToday</stp>
        <stp/>
        <stp>T</stp>
        <tr r="F85" s="16"/>
      </tp>
      <tp t="s">
        <v/>
        <stp/>
        <stp>ContractData</stp>
        <stp>NGE?18</stp>
        <stp>LastTradeToday</stp>
        <stp/>
        <stp>T</stp>
        <tr r="F25" s="16"/>
      </tp>
      <tp t="s">
        <v/>
        <stp/>
        <stp>ContractData</stp>
        <stp>NGE?28</stp>
        <stp>LastTradeToday</stp>
        <stp/>
        <stp>T</stp>
        <tr r="F35" s="16"/>
      </tp>
      <tp t="s">
        <v/>
        <stp/>
        <stp>ContractData</stp>
        <stp>NGE?38</stp>
        <stp>LastTradeToday</stp>
        <stp/>
        <stp>T</stp>
        <tr r="F45" s="16"/>
      </tp>
      <tp>
        <v>14801</v>
        <stp/>
        <stp>ContractData</stp>
        <stp>NGE?3</stp>
        <stp>T_CVol</stp>
        <stp/>
        <stp>T</stp>
        <tr r="S10" s="16"/>
        <tr r="S10" s="16"/>
      </tp>
      <tp>
        <v>51895</v>
        <stp/>
        <stp>ContractData</stp>
        <stp>NGE?3</stp>
        <stp>Y_CVol</stp>
        <stp/>
        <stp>T</stp>
        <tr r="T10" s="16"/>
        <tr r="T10" s="16"/>
      </tp>
      <tp>
        <v>3.109</v>
        <stp/>
        <stp>StudyData</stp>
        <stp>Bar(((NGEX17+NGEZ17+NGEF18+NGEG18+NGEH18)/5),1)</stp>
        <stp>Bar</stp>
        <stp/>
        <stp>LOw</stp>
        <stp>D</stp>
        <stp>-1</stp>
        <stp/>
        <stp/>
        <stp/>
        <stp/>
        <stp>T</stp>
        <tr r="E3" s="14"/>
      </tp>
      <tp>
        <v>3.1402000000000001</v>
        <stp/>
        <stp>StudyData</stp>
        <stp>Bar(((NGEX17+NGEZ17+NGEF18+NGEG18+NGEH18)/5),1)</stp>
        <stp>Bar</stp>
        <stp/>
        <stp>Close</stp>
        <stp>D</stp>
        <stp>-4</stp>
        <stp/>
        <stp/>
        <stp/>
        <stp/>
        <stp>T</stp>
        <tr r="F6" s="14"/>
      </tp>
      <tp>
        <v>3.1514000000000002</v>
        <stp/>
        <stp>StudyData</stp>
        <stp>Bar(((NGEX18+NGEZ18+NGEF19+NGEG19+NGEH19)/5),1)</stp>
        <stp>Bar</stp>
        <stp/>
        <stp>Close</stp>
        <stp>D</stp>
        <stp>-10</stp>
        <stp/>
        <stp/>
        <stp/>
        <stp/>
        <stp>T</stp>
        <tr r="AA12" s="14"/>
      </tp>
      <tp>
        <v>3.0886</v>
        <stp/>
        <stp>StudyData</stp>
        <stp>Bar(((NGEX18+NGEZ18+NGEF19+NGEG19+NGEH19)/5),1)</stp>
        <stp>Bar</stp>
        <stp/>
        <stp>Close</stp>
        <stp>D</stp>
        <stp>-30</stp>
        <stp/>
        <stp/>
        <stp/>
        <stp/>
        <stp>T</stp>
        <tr r="AA32" s="14"/>
      </tp>
      <tp>
        <v>3.1103999999999998</v>
        <stp/>
        <stp>StudyData</stp>
        <stp>Bar(((NGEX18+NGEZ18+NGEF19+NGEG19+NGEH19)/5),1)</stp>
        <stp>Bar</stp>
        <stp/>
        <stp>Close</stp>
        <stp>D</stp>
        <stp>-20</stp>
        <stp/>
        <stp/>
        <stp/>
        <stp/>
        <stp>T</stp>
        <tr r="AA22" s="14"/>
      </tp>
      <tp>
        <v>3.09</v>
        <stp/>
        <stp>StudyData</stp>
        <stp>Bar(((NGEX18+NGEZ18+NGEF19+NGEG19+NGEH19)/5),1)</stp>
        <stp>Bar</stp>
        <stp/>
        <stp>Close</stp>
        <stp>D</stp>
        <stp>-40</stp>
        <stp/>
        <stp/>
        <stp/>
        <stp/>
        <stp>T</stp>
        <tr r="AA42" s="14"/>
      </tp>
      <tp t="s">
        <v/>
        <stp/>
        <stp>ContractData</stp>
        <stp>NGE?89</stp>
        <stp>LastTradeToday</stp>
        <stp/>
        <stp>T</stp>
        <tr r="F96" s="16"/>
      </tp>
      <tp t="s">
        <v/>
        <stp/>
        <stp>ContractData</stp>
        <stp>NGE?99</stp>
        <stp>LastTradeToday</stp>
        <stp/>
        <stp>T</stp>
        <tr r="F106" s="16"/>
      </tp>
      <tp t="s">
        <v/>
        <stp/>
        <stp>ContractData</stp>
        <stp>NGE?49</stp>
        <stp>LastTradeToday</stp>
        <stp/>
        <stp>T</stp>
        <tr r="F56" s="16"/>
      </tp>
      <tp t="s">
        <v/>
        <stp/>
        <stp>ContractData</stp>
        <stp>NGE?59</stp>
        <stp>LastTradeToday</stp>
        <stp/>
        <stp>T</stp>
        <tr r="F66" s="16"/>
      </tp>
      <tp t="s">
        <v/>
        <stp/>
        <stp>ContractData</stp>
        <stp>NGE?69</stp>
        <stp>LastTradeToday</stp>
        <stp/>
        <stp>T</stp>
        <tr r="F76" s="16"/>
      </tp>
      <tp t="s">
        <v/>
        <stp/>
        <stp>ContractData</stp>
        <stp>NGE?79</stp>
        <stp>LastTradeToday</stp>
        <stp/>
        <stp>T</stp>
        <tr r="F86" s="16"/>
      </tp>
      <tp t="s">
        <v/>
        <stp/>
        <stp>ContractData</stp>
        <stp>NGE?19</stp>
        <stp>LastTradeToday</stp>
        <stp/>
        <stp>T</stp>
        <tr r="F26" s="16"/>
      </tp>
      <tp t="s">
        <v/>
        <stp/>
        <stp>ContractData</stp>
        <stp>NGE?29</stp>
        <stp>LastTradeToday</stp>
        <stp/>
        <stp>T</stp>
        <tr r="F36" s="16"/>
      </tp>
      <tp t="s">
        <v/>
        <stp/>
        <stp>ContractData</stp>
        <stp>NGE?39</stp>
        <stp>LastTradeToday</stp>
        <stp/>
        <stp>T</stp>
        <tr r="F46" s="16"/>
      </tp>
      <tp>
        <v>22483</v>
        <stp/>
        <stp>ContractData</stp>
        <stp>NGE?2</stp>
        <stp>T_CVol</stp>
        <stp/>
        <stp>T</stp>
        <tr r="S9" s="16"/>
        <tr r="S9" s="16"/>
      </tp>
      <tp>
        <v>61729</v>
        <stp/>
        <stp>ContractData</stp>
        <stp>NGE?2</stp>
        <stp>Y_CVol</stp>
        <stp/>
        <stp>T</stp>
        <tr r="T9" s="16"/>
        <tr r="T9" s="16"/>
      </tp>
      <tp>
        <v>3.1608000000000001</v>
        <stp/>
        <stp>StudyData</stp>
        <stp>Bar(((NGEX18+NGEZ18+NGEF19+NGEG19+NGEH19)/5),1)</stp>
        <stp>Bar</stp>
        <stp/>
        <stp>LOw</stp>
        <stp>D</stp>
        <stp>-1</stp>
        <stp/>
        <stp/>
        <stp/>
        <stp/>
        <stp>T</stp>
        <tr r="Z3" s="14"/>
      </tp>
      <tp>
        <v>3</v>
        <stp/>
        <stp>ContractData</stp>
        <stp>NGE?108</stp>
        <stp>Y_Settlement</stp>
        <stp/>
        <stp>T</stp>
        <tr r="Z115" s="16"/>
      </tp>
      <tp>
        <v>3.0779999999999998</v>
        <stp/>
        <stp>ContractData</stp>
        <stp>NGE?109</stp>
        <stp>Y_Settlement</stp>
        <stp/>
        <stp>T</stp>
        <tr r="Z116" s="16"/>
      </tp>
      <tp>
        <v>2.8450000000000002</v>
        <stp/>
        <stp>ContractData</stp>
        <stp>NGE?104</stp>
        <stp>Y_Settlement</stp>
        <stp/>
        <stp>T</stp>
        <tr r="Z111" s="16"/>
      </tp>
      <tp>
        <v>2.89</v>
        <stp/>
        <stp>ContractData</stp>
        <stp>NGE?105</stp>
        <stp>Y_Settlement</stp>
        <stp/>
        <stp>T</stp>
        <tr r="Z112" s="16"/>
      </tp>
      <tp>
        <v>2.93</v>
        <stp/>
        <stp>ContractData</stp>
        <stp>NGE?106</stp>
        <stp>Y_Settlement</stp>
        <stp/>
        <stp>T</stp>
        <tr r="Z113" s="16"/>
      </tp>
      <tp>
        <v>2.9449999999999998</v>
        <stp/>
        <stp>ContractData</stp>
        <stp>NGE?107</stp>
        <stp>Y_Settlement</stp>
        <stp/>
        <stp>T</stp>
        <tr r="Z114" s="16"/>
      </tp>
      <tp>
        <v>3.24</v>
        <stp/>
        <stp>ContractData</stp>
        <stp>NGE?100</stp>
        <stp>Y_Settlement</stp>
        <stp/>
        <stp>T</stp>
        <tr r="Z107" s="16"/>
      </tp>
      <tp>
        <v>3.165</v>
        <stp/>
        <stp>ContractData</stp>
        <stp>NGE?101</stp>
        <stp>Y_Settlement</stp>
        <stp/>
        <stp>T</stp>
        <tr r="Z108" s="16"/>
      </tp>
      <tp>
        <v>2.83</v>
        <stp/>
        <stp>ContractData</stp>
        <stp>NGE?102</stp>
        <stp>Y_Settlement</stp>
        <stp/>
        <stp>T</stp>
        <tr r="Z109" s="16"/>
      </tp>
      <tp>
        <v>2.8120000000000003</v>
        <stp/>
        <stp>ContractData</stp>
        <stp>NGE?103</stp>
        <stp>Y_Settlement</stp>
        <stp/>
        <stp>T</stp>
        <tr r="Z110" s="16"/>
      </tp>
      <tp>
        <v>2.9790000000000001</v>
        <stp/>
        <stp>ContractData</stp>
        <stp>NGE?118</stp>
        <stp>Y_Settlement</stp>
        <stp/>
        <stp>T</stp>
        <tr r="Z125" s="16"/>
      </tp>
      <tp>
        <v>2.9889999999999999</v>
        <stp/>
        <stp>ContractData</stp>
        <stp>NGE?119</stp>
        <stp>Y_Settlement</stp>
        <stp/>
        <stp>T</stp>
        <tr r="Z126" s="16"/>
      </tp>
      <tp>
        <v>2.9159999999999999</v>
        <stp/>
        <stp>ContractData</stp>
        <stp>NGE?114</stp>
        <stp>Y_Settlement</stp>
        <stp/>
        <stp>T</stp>
        <tr r="Z121" s="16"/>
      </tp>
      <tp>
        <v>2.891</v>
        <stp/>
        <stp>ContractData</stp>
        <stp>NGE?115</stp>
        <stp>Y_Settlement</stp>
        <stp/>
        <stp>T</stp>
        <tr r="Z122" s="16"/>
      </tp>
      <tp>
        <v>2.9170000000000003</v>
        <stp/>
        <stp>ContractData</stp>
        <stp>NGE?116</stp>
        <stp>Y_Settlement</stp>
        <stp/>
        <stp>T</stp>
        <tr r="Z123" s="16"/>
      </tp>
      <tp>
        <v>2.9489999999999998</v>
        <stp/>
        <stp>ContractData</stp>
        <stp>NGE?117</stp>
        <stp>Y_Settlement</stp>
        <stp/>
        <stp>T</stp>
        <tr r="Z124" s="16"/>
      </tp>
      <tp>
        <v>3.2330000000000001</v>
        <stp/>
        <stp>ContractData</stp>
        <stp>NGE?110</stp>
        <stp>Y_Settlement</stp>
        <stp/>
        <stp>T</stp>
        <tr r="Z117" s="16"/>
      </tp>
      <tp>
        <v>3.3620000000000001</v>
        <stp/>
        <stp>ContractData</stp>
        <stp>NGE?111</stp>
        <stp>Y_Settlement</stp>
        <stp/>
        <stp>T</stp>
        <tr r="Z118" s="16"/>
      </tp>
      <tp>
        <v>3.3260000000000001</v>
        <stp/>
        <stp>ContractData</stp>
        <stp>NGE?112</stp>
        <stp>Y_Settlement</stp>
        <stp/>
        <stp>T</stp>
        <tr r="Z119" s="16"/>
      </tp>
      <tp>
        <v>3.2509999999999999</v>
        <stp/>
        <stp>ContractData</stp>
        <stp>NGE?113</stp>
        <stp>Y_Settlement</stp>
        <stp/>
        <stp>T</stp>
        <tr r="Z120" s="16"/>
      </tp>
      <tp>
        <v>2.9780000000000002</v>
        <stp/>
        <stp>ContractData</stp>
        <stp>NGE?128</stp>
        <stp>Y_Settlement</stp>
        <stp/>
        <stp>T</stp>
        <tr r="Z135" s="16"/>
      </tp>
      <tp>
        <v>3.0230000000000001</v>
        <stp/>
        <stp>ContractData</stp>
        <stp>NGE?129</stp>
        <stp>Y_Settlement</stp>
        <stp/>
        <stp>T</stp>
        <tr r="Z136" s="16"/>
      </tp>
      <tp>
        <v>3.3679999999999999</v>
        <stp/>
        <stp>ContractData</stp>
        <stp>NGE?124</stp>
        <stp>Y_Settlement</stp>
        <stp/>
        <stp>T</stp>
        <tr r="Z131" s="16"/>
      </tp>
      <tp>
        <v>3.2930000000000001</v>
        <stp/>
        <stp>ContractData</stp>
        <stp>NGE?125</stp>
        <stp>Y_Settlement</stp>
        <stp/>
        <stp>T</stp>
        <tr r="Z132" s="16"/>
      </tp>
      <tp>
        <v>2.9580000000000002</v>
        <stp/>
        <stp>ContractData</stp>
        <stp>NGE?126</stp>
        <stp>Y_Settlement</stp>
        <stp/>
        <stp>T</stp>
        <tr r="Z133" s="16"/>
      </tp>
      <tp>
        <v>2.9430000000000001</v>
        <stp/>
        <stp>ContractData</stp>
        <stp>NGE?127</stp>
        <stp>Y_Settlement</stp>
        <stp/>
        <stp>T</stp>
        <tr r="Z134" s="16"/>
      </tp>
      <tp>
        <v>3.0310000000000001</v>
        <stp/>
        <stp>ContractData</stp>
        <stp>NGE?120</stp>
        <stp>Y_Settlement</stp>
        <stp/>
        <stp>T</stp>
        <tr r="Z127" s="16"/>
      </tp>
      <tp>
        <v>3.109</v>
        <stp/>
        <stp>ContractData</stp>
        <stp>NGE?121</stp>
        <stp>Y_Settlement</stp>
        <stp/>
        <stp>T</stp>
        <tr r="Z128" s="16"/>
      </tp>
      <tp>
        <v>3.2640000000000002</v>
        <stp/>
        <stp>ContractData</stp>
        <stp>NGE?122</stp>
        <stp>Y_Settlement</stp>
        <stp/>
        <stp>T</stp>
        <tr r="Z129" s="16"/>
      </tp>
      <tp>
        <v>3.4039999999999999</v>
        <stp/>
        <stp>ContractData</stp>
        <stp>NGE?123</stp>
        <stp>Y_Settlement</stp>
        <stp/>
        <stp>T</stp>
        <tr r="Z130" s="16"/>
      </tp>
      <tp>
        <v>3.06</v>
        <stp/>
        <stp>ContractData</stp>
        <stp>NGE?138</stp>
        <stp>Y_Settlement</stp>
        <stp/>
        <stp>T</stp>
        <tr r="Z145" s="16"/>
      </tp>
      <tp>
        <v>3.0449999999999999</v>
        <stp/>
        <stp>ContractData</stp>
        <stp>NGE?139</stp>
        <stp>Y_Settlement</stp>
        <stp/>
        <stp>T</stp>
        <tr r="Z146" s="16"/>
      </tp>
      <tp>
        <v>3.3780000000000001</v>
        <stp/>
        <stp>ContractData</stp>
        <stp>NGE?134</stp>
        <stp>Y_Settlement</stp>
        <stp/>
        <stp>T</stp>
        <tr r="Z141" s="16"/>
      </tp>
      <tp>
        <v>3.5260000000000002</v>
        <stp/>
        <stp>ContractData</stp>
        <stp>NGE?135</stp>
        <stp>Y_Settlement</stp>
        <stp/>
        <stp>T</stp>
        <tr r="Z142" s="16"/>
      </tp>
      <tp>
        <v>3.49</v>
        <stp/>
        <stp>ContractData</stp>
        <stp>NGE?136</stp>
        <stp>Y_Settlement</stp>
        <stp/>
        <stp>T</stp>
        <tr r="Z143" s="16"/>
      </tp>
      <tp>
        <v>3.415</v>
        <stp/>
        <stp>ContractData</stp>
        <stp>NGE?137</stp>
        <stp>Y_Settlement</stp>
        <stp/>
        <stp>T</stp>
        <tr r="Z144" s="16"/>
      </tp>
      <tp>
        <v>3.0630000000000002</v>
        <stp/>
        <stp>ContractData</stp>
        <stp>NGE?130</stp>
        <stp>Y_Settlement</stp>
        <stp/>
        <stp>T</stp>
        <tr r="Z137" s="16"/>
      </tp>
      <tp>
        <v>3.0779999999999998</v>
        <stp/>
        <stp>ContractData</stp>
        <stp>NGE?131</stp>
        <stp>Y_Settlement</stp>
        <stp/>
        <stp>T</stp>
        <tr r="Z138" s="16"/>
      </tp>
      <tp>
        <v>3.133</v>
        <stp/>
        <stp>ContractData</stp>
        <stp>NGE?132</stp>
        <stp>Y_Settlement</stp>
        <stp/>
        <stp>T</stp>
        <tr r="Z139" s="16"/>
      </tp>
      <tp>
        <v>3.2130000000000001</v>
        <stp/>
        <stp>ContractData</stp>
        <stp>NGE?133</stp>
        <stp>Y_Settlement</stp>
        <stp/>
        <stp>T</stp>
        <tr r="Z140" s="16"/>
      </tp>
      <tp>
        <v>3.2349999999999999</v>
        <stp/>
        <stp>ContractData</stp>
        <stp>NGE?144</stp>
        <stp>Y_Settlement</stp>
        <stp/>
        <stp>T</stp>
        <tr r="Z151" s="16"/>
      </tp>
      <tp>
        <v>3.3149999999999999</v>
        <stp/>
        <stp>ContractData</stp>
        <stp>NGE?145</stp>
        <stp>Y_Settlement</stp>
        <stp/>
        <stp>T</stp>
        <tr r="Z152" s="16"/>
      </tp>
      <tp>
        <v>3.4830000000000001</v>
        <stp/>
        <stp>ContractData</stp>
        <stp>NGE?146</stp>
        <stp>Y_Settlement</stp>
        <stp/>
        <stp>T</stp>
        <tr r="Z153" s="16"/>
      </tp>
      <tp>
        <v>3.08</v>
        <stp/>
        <stp>ContractData</stp>
        <stp>NGE?140</stp>
        <stp>Y_Settlement</stp>
        <stp/>
        <stp>T</stp>
        <tr r="Z147" s="16"/>
      </tp>
      <tp>
        <v>3.125</v>
        <stp/>
        <stp>ContractData</stp>
        <stp>NGE?141</stp>
        <stp>Y_Settlement</stp>
        <stp/>
        <stp>T</stp>
        <tr r="Z148" s="16"/>
      </tp>
      <tp>
        <v>3.165</v>
        <stp/>
        <stp>ContractData</stp>
        <stp>NGE?142</stp>
        <stp>Y_Settlement</stp>
        <stp/>
        <stp>T</stp>
        <tr r="Z149" s="16"/>
      </tp>
      <tp>
        <v>3.18</v>
        <stp/>
        <stp>ContractData</stp>
        <stp>NGE?143</stp>
        <stp>Y_Settlement</stp>
        <stp/>
        <stp>T</stp>
        <tr r="Z150" s="16"/>
      </tp>
      <tp>
        <v>3.2176</v>
        <stp/>
        <stp>StudyData</stp>
        <stp>Bar(((NGEX17+NGEZ17+NGEF18+NGEG18+NGEH18)/5),1)</stp>
        <stp>Bar</stp>
        <stp/>
        <stp>Close</stp>
        <stp>D</stp>
        <stp>-5</stp>
        <stp/>
        <stp/>
        <stp/>
        <stp/>
        <stp>T</stp>
        <tr r="F7" s="14"/>
      </tp>
      <tp>
        <v>43035</v>
        <stp/>
        <stp>ContractData</stp>
        <stp>NGE?1</stp>
        <stp>ExpirationDate</stp>
        <stp/>
        <stp>T</stp>
        <tr r="AA8" s="16"/>
      </tp>
      <tp>
        <v>-3.0000000000000001E-3</v>
        <stp/>
        <stp>ContractData</stp>
        <stp>NGES5U8</stp>
        <stp>NetLastQuoteToday</stp>
        <stp/>
        <stp>T</stp>
        <tr r="X12" s="10"/>
      </tp>
      <tp>
        <v>-2E-3</v>
        <stp/>
        <stp>ContractData</stp>
        <stp>NGES4U8</stp>
        <stp>NetLastQuoteToday</stp>
        <stp/>
        <stp>T</stp>
        <tr r="X12" s="9"/>
      </tp>
      <tp>
        <v>-3.0000000000000001E-3</v>
        <stp/>
        <stp>ContractData</stp>
        <stp>NGES6U8</stp>
        <stp>NetLastQuoteToday</stp>
        <stp/>
        <stp>T</stp>
        <tr r="X12" s="11"/>
      </tp>
      <tp>
        <v>1E-3</v>
        <stp/>
        <stp>ContractData</stp>
        <stp>NGES1U8</stp>
        <stp>NetLastQuoteToday</stp>
        <stp/>
        <stp>T</stp>
        <tr r="X12" s="6"/>
      </tp>
      <tp>
        <v>-1E-3</v>
        <stp/>
        <stp>ContractData</stp>
        <stp>NGES3U8</stp>
        <stp>NetLastQuoteToday</stp>
        <stp/>
        <stp>T</stp>
        <tr r="X12" s="8"/>
      </tp>
      <tp>
        <v>-1E-3</v>
        <stp/>
        <stp>ContractData</stp>
        <stp>NGES2U8</stp>
        <stp>NetLastQuoteToday</stp>
        <stp/>
        <stp>T</stp>
        <tr r="X12" s="7"/>
      </tp>
      <tp>
        <v>3.1516000000000002</v>
        <stp/>
        <stp>StudyData</stp>
        <stp>Bar(((NGEX18+NGEZ18+NGEF19+NGEG19+NGEH19)/5),1)</stp>
        <stp>Bar</stp>
        <stp/>
        <stp>Close</stp>
        <stp>D</stp>
        <stp>-17</stp>
        <stp/>
        <stp/>
        <stp/>
        <stp/>
        <stp>T</stp>
        <tr r="AA19" s="14"/>
      </tp>
      <tp>
        <v>3.0781999999999998</v>
        <stp/>
        <stp>StudyData</stp>
        <stp>Bar(((NGEX18+NGEZ18+NGEF19+NGEG19+NGEH19)/5),1)</stp>
        <stp>Bar</stp>
        <stp/>
        <stp>Close</stp>
        <stp>D</stp>
        <stp>-37</stp>
        <stp/>
        <stp/>
        <stp/>
        <stp/>
        <stp>T</stp>
        <tr r="AA39" s="14"/>
      </tp>
      <tp>
        <v>3.0901999999999998</v>
        <stp/>
        <stp>StudyData</stp>
        <stp>Bar(((NGEX18+NGEZ18+NGEF19+NGEG19+NGEH19)/5),1)</stp>
        <stp>Bar</stp>
        <stp/>
        <stp>Close</stp>
        <stp>D</stp>
        <stp>-27</stp>
        <stp/>
        <stp/>
        <stp/>
        <stp/>
        <stp>T</stp>
        <tr r="AA29" s="14"/>
      </tp>
      <tp t="s">
        <v/>
        <stp/>
        <stp>ContractData</stp>
        <stp>NGES6K8</stp>
        <stp>LastTradeorSettle</stp>
        <stp/>
        <stp>T</stp>
        <tr r="W8" s="11"/>
        <tr r="F118" s="2"/>
      </tp>
      <tp>
        <v>-6.5000000000000002E-2</v>
        <stp/>
        <stp>ContractData</stp>
        <stp>NGES5K8</stp>
        <stp>LastTradeorSettle</stp>
        <stp/>
        <stp>T</stp>
        <tr r="W8" s="10"/>
        <tr r="F99" s="2"/>
      </tp>
      <tp>
        <v>-4.2000000000000003E-2</v>
        <stp/>
        <stp>ContractData</stp>
        <stp>NGES4K8</stp>
        <stp>LastTradeorSettle</stp>
        <stp/>
        <stp>T</stp>
        <tr r="W8" s="9"/>
        <tr r="F83" s="2"/>
      </tp>
      <tp>
        <v>-0.06</v>
        <stp/>
        <stp>ContractData</stp>
        <stp>NGES3K8</stp>
        <stp>LastTradeorSettle</stp>
        <stp/>
        <stp>T</stp>
        <tr r="W8" s="8"/>
        <tr r="F67" s="2"/>
      </tp>
      <tp>
        <v>-5.6000000000000001E-2</v>
        <stp/>
        <stp>ContractData</stp>
        <stp>NGES2K8</stp>
        <stp>LastTradeorSettle</stp>
        <stp/>
        <stp>T</stp>
        <tr r="W8" s="7"/>
        <tr r="F51" s="2"/>
      </tp>
      <tp>
        <v>-2.9000000000000001E-2</v>
        <stp/>
        <stp>ContractData</stp>
        <stp>NGES1K8</stp>
        <stp>LastTradeorSettle</stp>
        <stp/>
        <stp>T</stp>
        <tr r="W8" s="6"/>
        <tr r="F35" s="2"/>
      </tp>
      <tp>
        <v>3.1646000000000001</v>
        <stp/>
        <stp>StudyData</stp>
        <stp>Bar(((NGEX17+NGEZ17+NGEF18+NGEG18+NGEH18)/5),1)</stp>
        <stp>Bar</stp>
        <stp/>
        <stp>Close</stp>
        <stp>D</stp>
        <stp>-29</stp>
        <stp/>
        <stp/>
        <stp/>
        <stp/>
        <stp>T</stp>
        <tr r="F31" s="14"/>
      </tp>
      <tp>
        <v>3.2292000000000001</v>
        <stp/>
        <stp>StudyData</stp>
        <stp>Bar(((NGEX17+NGEZ17+NGEF18+NGEG18+NGEH18)/5),1)</stp>
        <stp>Bar</stp>
        <stp/>
        <stp>Close</stp>
        <stp>D</stp>
        <stp>-39</stp>
        <stp/>
        <stp/>
        <stp/>
        <stp/>
        <stp>T</stp>
        <tr r="F41" s="14"/>
      </tp>
      <tp>
        <v>3.2048000000000001</v>
        <stp/>
        <stp>StudyData</stp>
        <stp>Bar(((NGEX17+NGEZ17+NGEF18+NGEG18+NGEH18)/5),1)</stp>
        <stp>Bar</stp>
        <stp/>
        <stp>Close</stp>
        <stp>D</stp>
        <stp>-19</stp>
        <stp/>
        <stp/>
        <stp/>
        <stp/>
        <stp>T</stp>
        <tr r="F21" s="14"/>
      </tp>
      <tp>
        <v>8085</v>
        <stp/>
        <stp>ContractData</stp>
        <stp>NGE?5</stp>
        <stp>T_CVol</stp>
        <stp/>
        <stp>T</stp>
        <tr r="S12" s="16"/>
        <tr r="S12" s="16"/>
      </tp>
      <tp>
        <v>27805</v>
        <stp/>
        <stp>ContractData</stp>
        <stp>NGE?5</stp>
        <stp>Y_CVol</stp>
        <stp/>
        <stp>T</stp>
        <tr r="T12" s="16"/>
        <tr r="T12" s="16"/>
      </tp>
      <tp>
        <v>3.1414</v>
        <stp/>
        <stp>StudyData</stp>
        <stp>Bar(((NGEX18+NGEZ18+NGEF19+NGEG19+NGEH19)/5),1)</stp>
        <stp>Bar</stp>
        <stp/>
        <stp>LOw</stp>
        <stp>D</stp>
        <stp>-6</stp>
        <stp/>
        <stp/>
        <stp/>
        <stp/>
        <stp>T</stp>
        <tr r="Z8" s="14"/>
      </tp>
      <tp>
        <v>3.19</v>
        <stp/>
        <stp>StudyData</stp>
        <stp>Bar(((NGEX17+NGEZ17+NGEF18+NGEG18+NGEH18)/5),1)</stp>
        <stp>Bar</stp>
        <stp/>
        <stp>LOw</stp>
        <stp>D</stp>
        <stp>-7</stp>
        <stp/>
        <stp/>
        <stp/>
        <stp/>
        <stp>T</stp>
        <tr r="E9" s="14"/>
      </tp>
      <tp>
        <v>3.1503999999999999</v>
        <stp/>
        <stp>StudyData</stp>
        <stp>Bar(((NGEX17+NGEZ17+NGEF18+NGEG18+NGEH18)/5),1)</stp>
        <stp>Bar</stp>
        <stp/>
        <stp>Close</stp>
        <stp>D</stp>
        <stp>-2</stp>
        <stp/>
        <stp/>
        <stp/>
        <stp/>
        <stp>T</stp>
        <tr r="F4" s="14"/>
      </tp>
      <tp>
        <v>43186</v>
        <stp/>
        <stp>ContractData</stp>
        <stp>NGE?6</stp>
        <stp>ExpirationDate</stp>
        <stp/>
        <stp>T</stp>
        <tr r="AA13" s="16"/>
      </tp>
      <tp>
        <v>1E-3</v>
        <stp/>
        <stp>ContractData</stp>
        <stp>NGES2Z7</stp>
        <stp>NetLastTradeToday</stp>
        <stp/>
        <stp>T</stp>
        <tr r="H46" s="2"/>
        <tr r="G46" s="2"/>
      </tp>
      <tp>
        <v>-2E-3</v>
        <stp/>
        <stp>ContractData</stp>
        <stp>NGES3Z7</stp>
        <stp>NetLastTradeToday</stp>
        <stp/>
        <stp>T</stp>
        <tr r="H62" s="2"/>
        <tr r="G62" s="2"/>
      </tp>
      <tp>
        <v>1E-3</v>
        <stp/>
        <stp>ContractData</stp>
        <stp>NGES1Z7</stp>
        <stp>NetLastTradeToday</stp>
        <stp/>
        <stp>T</stp>
        <tr r="H30" s="2"/>
        <tr r="G30" s="2"/>
      </tp>
      <tp>
        <v>-2.1000000000000001E-2</v>
        <stp/>
        <stp>ContractData</stp>
        <stp>NGES6Z7</stp>
        <stp>NetLastTradeToday</stp>
        <stp/>
        <stp>T</stp>
        <tr r="G113" s="2"/>
        <tr r="H113" s="2"/>
      </tp>
      <tp>
        <v>-1.8000000000000002E-2</v>
        <stp/>
        <stp>ContractData</stp>
        <stp>NGES4Z7</stp>
        <stp>NetLastTradeToday</stp>
        <stp/>
        <stp>T</stp>
        <tr r="G78" s="2"/>
        <tr r="H78" s="2"/>
      </tp>
      <tp>
        <v>-0.02</v>
        <stp/>
        <stp>ContractData</stp>
        <stp>NGES5Z7</stp>
        <stp>NetLastTradeToday</stp>
        <stp/>
        <stp>T</stp>
        <tr r="G94" s="2"/>
        <tr r="H94" s="2"/>
      </tp>
      <tp>
        <v>3.1509999999999998</v>
        <stp/>
        <stp>StudyData</stp>
        <stp>Bar(((NGEX18+NGEZ18+NGEF19+NGEG19+NGEH19)/5),1)</stp>
        <stp>Bar</stp>
        <stp/>
        <stp>Close</stp>
        <stp>D</stp>
        <stp>-16</stp>
        <stp/>
        <stp/>
        <stp/>
        <stp/>
        <stp>T</stp>
        <tr r="AA18" s="14"/>
      </tp>
      <tp>
        <v>3.0731999999999999</v>
        <stp/>
        <stp>StudyData</stp>
        <stp>Bar(((NGEX18+NGEZ18+NGEF19+NGEG19+NGEH19)/5),1)</stp>
        <stp>Bar</stp>
        <stp/>
        <stp>Close</stp>
        <stp>D</stp>
        <stp>-36</stp>
        <stp/>
        <stp/>
        <stp/>
        <stp/>
        <stp>T</stp>
        <tr r="AA38" s="14"/>
      </tp>
      <tp>
        <v>3.09</v>
        <stp/>
        <stp>StudyData</stp>
        <stp>Bar(((NGEX18+NGEZ18+NGEF19+NGEG19+NGEH19)/5),1)</stp>
        <stp>Bar</stp>
        <stp/>
        <stp>Close</stp>
        <stp>D</stp>
        <stp>-26</stp>
        <stp/>
        <stp/>
        <stp/>
        <stp/>
        <stp>T</stp>
        <tr r="AA28" s="14"/>
      </tp>
      <tp>
        <v>-4.1000000000000002E-2</v>
        <stp/>
        <stp>ContractData</stp>
        <stp>NGES6J8</stp>
        <stp>LastTradeorSettle</stp>
        <stp/>
        <stp>T</stp>
        <tr r="W7" s="11"/>
        <tr r="F117" s="2"/>
      </tp>
      <tp>
        <v>-1.8000000000000002E-2</v>
        <stp/>
        <stp>ContractData</stp>
        <stp>NGES5J8</stp>
        <stp>LastTradeorSettle</stp>
        <stp/>
        <stp>T</stp>
        <tr r="W7" s="10"/>
        <tr r="F98" s="2"/>
      </tp>
      <tp>
        <v>-3.6000000000000004E-2</v>
        <stp/>
        <stp>ContractData</stp>
        <stp>NGES4J8</stp>
        <stp>LastTradeorSettle</stp>
        <stp/>
        <stp>T</stp>
        <tr r="W7" s="9"/>
        <tr r="F82" s="2"/>
      </tp>
      <tp>
        <v>-3.3000000000000002E-2</v>
        <stp/>
        <stp>ContractData</stp>
        <stp>NGES3J8</stp>
        <stp>LastTradeorSettle</stp>
        <stp/>
        <stp>T</stp>
        <tr r="W7" s="8"/>
        <tr r="F66" s="2"/>
      </tp>
      <tp>
        <v>-5.0000000000000001E-3</v>
        <stp/>
        <stp>ContractData</stp>
        <stp>NGES2J8</stp>
        <stp>LastTradeorSettle</stp>
        <stp/>
        <stp>T</stp>
        <tr r="W7" s="7"/>
        <tr r="F50" s="2"/>
      </tp>
      <tp>
        <v>2.4E-2</v>
        <stp/>
        <stp>ContractData</stp>
        <stp>NGES1J8</stp>
        <stp>LastTradeorSettle</stp>
        <stp/>
        <stp>T</stp>
        <tr r="W7" s="6"/>
        <tr r="F34" s="2"/>
      </tp>
      <tp>
        <v>3.1886000000000001</v>
        <stp/>
        <stp>StudyData</stp>
        <stp>Bar(((NGEX17+NGEZ17+NGEF18+NGEG18+NGEH18)/5),1)</stp>
        <stp>Bar</stp>
        <stp/>
        <stp>Close</stp>
        <stp>D</stp>
        <stp>-28</stp>
        <stp/>
        <stp/>
        <stp/>
        <stp/>
        <stp>T</stp>
        <tr r="F30" s="14"/>
      </tp>
      <tp>
        <v>3.2130000000000001</v>
        <stp/>
        <stp>StudyData</stp>
        <stp>Bar(((NGEX17+NGEZ17+NGEF18+NGEG18+NGEH18)/5),1)</stp>
        <stp>Bar</stp>
        <stp/>
        <stp>Close</stp>
        <stp>D</stp>
        <stp>-38</stp>
        <stp/>
        <stp/>
        <stp/>
        <stp/>
        <stp>T</stp>
        <tr r="F40" s="14"/>
      </tp>
      <tp>
        <v>3.2454000000000001</v>
        <stp/>
        <stp>StudyData</stp>
        <stp>Bar(((NGEX17+NGEZ17+NGEF18+NGEG18+NGEH18)/5),1)</stp>
        <stp>Bar</stp>
        <stp/>
        <stp>Close</stp>
        <stp>D</stp>
        <stp>-18</stp>
        <stp/>
        <stp/>
        <stp/>
        <stp/>
        <stp>T</stp>
        <tr r="F20" s="14"/>
      </tp>
      <tp>
        <v>5067</v>
        <stp/>
        <stp>ContractData</stp>
        <stp>NGE?4</stp>
        <stp>T_CVol</stp>
        <stp/>
        <stp>T</stp>
        <tr r="S11" s="16"/>
        <tr r="S11" s="16"/>
      </tp>
      <tp>
        <v>20062</v>
        <stp/>
        <stp>ContractData</stp>
        <stp>NGE?4</stp>
        <stp>Y_CVol</stp>
        <stp/>
        <stp>T</stp>
        <tr r="T11" s="16"/>
        <tr r="T11" s="16"/>
      </tp>
      <tp>
        <v>3.141</v>
        <stp/>
        <stp>StudyData</stp>
        <stp>Bar(((NGEX18+NGEZ18+NGEF19+NGEG19+NGEH19)/5),1)</stp>
        <stp>Bar</stp>
        <stp/>
        <stp>LOw</stp>
        <stp>D</stp>
        <stp>-7</stp>
        <stp/>
        <stp/>
        <stp/>
        <stp/>
        <stp>T</stp>
        <tr r="Z9" s="14"/>
      </tp>
      <tp>
        <v>3.2029999999999998</v>
        <stp/>
        <stp>StudyData</stp>
        <stp>Bar(((NGEX17+NGEZ17+NGEF18+NGEG18+NGEH18)/5),1)</stp>
        <stp>Bar</stp>
        <stp/>
        <stp>LOw</stp>
        <stp>D</stp>
        <stp>-6</stp>
        <stp/>
        <stp/>
        <stp/>
        <stp/>
        <stp>T</stp>
        <tr r="E8" s="14"/>
      </tp>
      <tp>
        <v>3.1219999999999999</v>
        <stp/>
        <stp>StudyData</stp>
        <stp>Bar(((NGEX17+NGEZ17+NGEF18+NGEG18+NGEH18)/5),1)</stp>
        <stp>Bar</stp>
        <stp/>
        <stp>Close</stp>
        <stp>D</stp>
        <stp>-3</stp>
        <stp/>
        <stp/>
        <stp/>
        <stp/>
        <stp>T</stp>
        <tr r="F5" s="14"/>
      </tp>
      <tp>
        <v>43216</v>
        <stp/>
        <stp>ContractData</stp>
        <stp>NGE?7</stp>
        <stp>ExpirationDate</stp>
        <stp/>
        <stp>T</stp>
        <tr r="AA14" s="16"/>
      </tp>
      <tp>
        <v>43014.385300925926</v>
        <stp/>
        <stp>SystemInfo</stp>
        <stp>Linetime</stp>
        <tr r="U3" s="2"/>
        <tr r="U2" s="13"/>
        <tr r="AB5" s="16"/>
        <tr r="Y2" s="16"/>
      </tp>
      <tp>
        <v>3.1692</v>
        <stp/>
        <stp>StudyData</stp>
        <stp>Bar(((NGEX18+NGEZ18+NGEF19+NGEG19+NGEH19)/5),1)</stp>
        <stp>Bar</stp>
        <stp/>
        <stp>Close</stp>
        <stp>D</stp>
        <stp>-15</stp>
        <stp/>
        <stp/>
        <stp/>
        <stp/>
        <stp>T</stp>
        <tr r="AA17" s="14"/>
      </tp>
      <tp>
        <v>3.073</v>
        <stp/>
        <stp>StudyData</stp>
        <stp>Bar(((NGEX18+NGEZ18+NGEF19+NGEG19+NGEH19)/5),1)</stp>
        <stp>Bar</stp>
        <stp/>
        <stp>Close</stp>
        <stp>D</stp>
        <stp>-35</stp>
        <stp/>
        <stp/>
        <stp/>
        <stp/>
        <stp>T</stp>
        <tr r="AA37" s="14"/>
      </tp>
      <tp>
        <v>3.1038000000000001</v>
        <stp/>
        <stp>StudyData</stp>
        <stp>Bar(((NGEX18+NGEZ18+NGEF19+NGEG19+NGEH19)/5),1)</stp>
        <stp>Bar</stp>
        <stp/>
        <stp>Close</stp>
        <stp>D</stp>
        <stp>-25</stp>
        <stp/>
        <stp/>
        <stp/>
        <stp/>
        <stp>T</stp>
        <tr r="AA27" s="14"/>
      </tp>
      <tp>
        <v>1940</v>
        <stp/>
        <stp>ContractData</stp>
        <stp>NGE?7</stp>
        <stp>T_CVol</stp>
        <stp/>
        <stp>T</stp>
        <tr r="S14" s="16"/>
        <tr r="S14" s="16"/>
      </tp>
      <tp>
        <v>9760</v>
        <stp/>
        <stp>ContractData</stp>
        <stp>NGE?7</stp>
        <stp>Y_CVol</stp>
        <stp/>
        <stp>T</stp>
        <tr r="T14" s="16"/>
        <tr r="T14" s="16"/>
      </tp>
      <tp>
        <v>3.1042000000000001</v>
        <stp/>
        <stp>StudyData</stp>
        <stp>Bar(((NGEX18+NGEZ18+NGEF19+NGEG19+NGEH19)/5),1)</stp>
        <stp>Bar</stp>
        <stp/>
        <stp>LOw</stp>
        <stp>D</stp>
        <stp>-4</stp>
        <stp/>
        <stp/>
        <stp/>
        <stp/>
        <stp>T</stp>
        <tr r="Z6" s="14"/>
      </tp>
      <tp>
        <v>3.1922000000000001</v>
        <stp/>
        <stp>StudyData</stp>
        <stp>Bar(((NGEX17+NGEZ17+NGEF18+NGEG18+NGEH18)/5),1)</stp>
        <stp>Bar</stp>
        <stp/>
        <stp>LOw</stp>
        <stp>D</stp>
        <stp>-5</stp>
        <stp/>
        <stp/>
        <stp/>
        <stp/>
        <stp>T</stp>
        <tr r="E7" s="14"/>
      </tp>
      <tp>
        <v>3.1048</v>
        <stp/>
        <stp>StudyData</stp>
        <stp>Bar(((NGEX17+NGEZ17+NGEF18+NGEG18+NGEH18)/5),1)</stp>
        <stp>Bar</stp>
        <stp/>
        <stp>Close</stp>
        <stp>D</stp>
        <stp>0</stp>
        <stp/>
        <stp/>
        <stp/>
        <stp/>
        <stp>T</stp>
        <tr r="F2" s="14"/>
      </tp>
      <tp>
        <v>2.9062857100000001</v>
        <stp/>
        <stp>StudyData</stp>
        <stp>Bar(((NGEJ18+NGEK18+NGEM18+NGEN18+NGEQ18+NGEU18+NGEV18)/7),1)</stp>
        <stp>Bar</stp>
        <stp/>
        <stp>Open</stp>
        <stp>D</stp>
        <stp>-38</stp>
        <stp/>
        <stp/>
        <stp/>
        <stp/>
        <stp>T</stp>
        <tr r="P40" s="14"/>
      </tp>
      <tp>
        <v>2.7250000000000001</v>
        <stp/>
        <stp>StudyData</stp>
        <stp>Bar(((NGEJ19+NGEK19+NGEM19+NGEN19+NGEQ19+NGEU19+NGEV19)/7),1)</stp>
        <stp>Bar</stp>
        <stp/>
        <stp>Open</stp>
        <stp>D</stp>
        <stp>-39</stp>
        <stp/>
        <stp/>
        <stp/>
        <stp/>
        <stp>T</stp>
        <tr r="AK41" s="14"/>
      </tp>
      <tp>
        <v>2.8901428600000001</v>
        <stp/>
        <stp>StudyData</stp>
        <stp>Bar(((NGEJ18+NGEK18+NGEM18+NGEN18+NGEQ18+NGEU18+NGEV18)/7),1)</stp>
        <stp>Bar</stp>
        <stp/>
        <stp>Open</stp>
        <stp>D</stp>
        <stp>-28</stp>
        <stp/>
        <stp/>
        <stp/>
        <stp/>
        <stp>T</stp>
        <tr r="P30" s="14"/>
      </tp>
      <tp>
        <v>2.7034285699999998</v>
        <stp/>
        <stp>StudyData</stp>
        <stp>Bar(((NGEJ19+NGEK19+NGEM19+NGEN19+NGEQ19+NGEU19+NGEV19)/7),1)</stp>
        <stp>Bar</stp>
        <stp/>
        <stp>Open</stp>
        <stp>D</stp>
        <stp>-29</stp>
        <stp/>
        <stp/>
        <stp/>
        <stp/>
        <stp>T</stp>
        <tr r="AK31" s="14"/>
      </tp>
      <tp>
        <v>2.9378571400000002</v>
        <stp/>
        <stp>StudyData</stp>
        <stp>Bar(((NGEJ18+NGEK18+NGEM18+NGEN18+NGEQ18+NGEU18+NGEV18)/7),1)</stp>
        <stp>Bar</stp>
        <stp/>
        <stp>Open</stp>
        <stp>D</stp>
        <stp>-18</stp>
        <stp/>
        <stp/>
        <stp/>
        <stp/>
        <stp>T</stp>
        <tr r="P20" s="14"/>
      </tp>
      <tp>
        <v>2.7478571399999998</v>
        <stp/>
        <stp>StudyData</stp>
        <stp>Bar(((NGEJ19+NGEK19+NGEM19+NGEN19+NGEQ19+NGEU19+NGEV19)/7),1)</stp>
        <stp>Bar</stp>
        <stp/>
        <stp>Open</stp>
        <stp>D</stp>
        <stp>-19</stp>
        <stp/>
        <stp/>
        <stp/>
        <stp/>
        <stp>T</stp>
        <tr r="AK21" s="14"/>
      </tp>
      <tp>
        <v>43129</v>
        <stp/>
        <stp>ContractData</stp>
        <stp>NGE?4</stp>
        <stp>ExpirationDate</stp>
        <stp/>
        <stp>T</stp>
        <tr r="AA11" s="16"/>
      </tp>
      <tp>
        <v>7.0000000000000001E-3</v>
        <stp/>
        <stp>ContractData</stp>
        <stp>NGES2X7</stp>
        <stp>NetLastTradeToday</stp>
        <stp/>
        <stp>T</stp>
        <tr r="G45" s="2"/>
        <tr r="H45" s="2"/>
      </tp>
      <tp>
        <v>6.0000000000000001E-3</v>
        <stp/>
        <stp>ContractData</stp>
        <stp>NGES3X7</stp>
        <stp>NetLastTradeToday</stp>
        <stp/>
        <stp>T</stp>
        <tr r="G61" s="2"/>
        <tr r="H61" s="2"/>
      </tp>
      <tp>
        <v>7.0000000000000001E-3</v>
        <stp/>
        <stp>ContractData</stp>
        <stp>NGES1X7</stp>
        <stp>NetLastTradeToday</stp>
        <stp/>
        <stp>T</stp>
        <tr r="H29" s="2"/>
        <tr r="G29" s="2"/>
      </tp>
      <tp>
        <v>-1.7000000000000001E-2</v>
        <stp/>
        <stp>ContractData</stp>
        <stp>NGES6X7</stp>
        <stp>NetLastTradeToday</stp>
        <stp/>
        <stp>T</stp>
        <tr r="G112" s="2"/>
        <tr r="H112" s="2"/>
      </tp>
      <tp>
        <v>4.0000000000000001E-3</v>
        <stp/>
        <stp>ContractData</stp>
        <stp>NGES4X7</stp>
        <stp>NetLastTradeToday</stp>
        <stp/>
        <stp>T</stp>
        <tr r="H77" s="2"/>
        <tr r="G77" s="2"/>
      </tp>
      <tp>
        <v>-1.3000000000000001E-2</v>
        <stp/>
        <stp>ContractData</stp>
        <stp>NGES5X7</stp>
        <stp>NetLastTradeToday</stp>
        <stp/>
        <stp>T</stp>
        <tr r="G93" s="2"/>
        <tr r="H93" s="2"/>
      </tp>
      <tp>
        <v>-3.3000000000000002E-2</v>
        <stp/>
        <stp>ContractData</stp>
        <stp>F.NGE?3</stp>
        <stp>NetLastQuoteToday</stp>
        <stp/>
        <stp>T</stp>
        <tr r="U4" s="6"/>
        <tr r="U4" s="8"/>
        <tr r="U4" s="9"/>
        <tr r="U4" s="7"/>
        <tr r="U4" s="10"/>
        <tr r="U4" s="11"/>
      </tp>
      <tp>
        <v>-4.0000000000000001E-3</v>
        <stp/>
        <stp>ContractData</stp>
        <stp>NGES5V8</stp>
        <stp>NetLastQuoteToday</stp>
        <stp/>
        <stp>T</stp>
        <tr r="X13" s="10"/>
      </tp>
      <tp>
        <v>-4.0000000000000001E-3</v>
        <stp/>
        <stp>ContractData</stp>
        <stp>NGES4V8</stp>
        <stp>NetLastQuoteToday</stp>
        <stp/>
        <stp>T</stp>
        <tr r="X13" s="9"/>
      </tp>
      <tp>
        <v>-1.3000000000000001E-2</v>
        <stp/>
        <stp>ContractData</stp>
        <stp>NGES6V8</stp>
        <stp>NetLastQuoteToday</stp>
        <stp/>
        <stp>T</stp>
        <tr r="X13" s="11"/>
      </tp>
      <tp>
        <v>1E-3</v>
        <stp/>
        <stp>ContractData</stp>
        <stp>NGES1V8</stp>
        <stp>NetLastQuoteToday</stp>
        <stp/>
        <stp>T</stp>
        <tr r="X13" s="6"/>
      </tp>
      <tp>
        <v>-1E-3</v>
        <stp/>
        <stp>ContractData</stp>
        <stp>NGES3V8</stp>
        <stp>NetLastQuoteToday</stp>
        <stp/>
        <stp>T</stp>
        <tr r="X13" s="8"/>
      </tp>
      <tp>
        <v>-1E-3</v>
        <stp/>
        <stp>ContractData</stp>
        <stp>NGES2V8</stp>
        <stp>NetLastQuoteToday</stp>
        <stp/>
        <stp>T</stp>
        <tr r="X13" s="7"/>
      </tp>
      <tp>
        <v>-3.2000000000000001E-2</v>
        <stp/>
        <stp>ContractData</stp>
        <stp>F.NGE?2</stp>
        <stp>NetLastQuoteToday</stp>
        <stp/>
        <stp>T</stp>
        <tr r="U3" s="6"/>
        <tr r="U3" s="8"/>
        <tr r="U3" s="9"/>
        <tr r="U3" s="10"/>
        <tr r="U3" s="7"/>
        <tr r="U3" s="11"/>
      </tp>
      <tp>
        <v>-2.6000000000000002E-2</v>
        <stp/>
        <stp>ContractData</stp>
        <stp>F.NGE?1</stp>
        <stp>NetLastQuoteToday</stp>
        <stp/>
        <stp>T</stp>
        <tr r="U2" s="6"/>
        <tr r="U2" s="10"/>
        <tr r="U2" s="8"/>
        <tr r="U2" s="9"/>
        <tr r="U2" s="7"/>
        <tr r="U2" s="11"/>
      </tp>
      <tp>
        <v>3.1804000000000001</v>
        <stp/>
        <stp>StudyData</stp>
        <stp>Bar(((NGEX18+NGEZ18+NGEF19+NGEG19+NGEH19)/5),1)</stp>
        <stp>Bar</stp>
        <stp/>
        <stp>Close</stp>
        <stp>D</stp>
        <stp>-14</stp>
        <stp/>
        <stp/>
        <stp/>
        <stp/>
        <stp>T</stp>
        <tr r="AA16" s="14"/>
      </tp>
      <tp>
        <v>3.0768</v>
        <stp/>
        <stp>StudyData</stp>
        <stp>Bar(((NGEX18+NGEZ18+NGEF19+NGEG19+NGEH19)/5),1)</stp>
        <stp>Bar</stp>
        <stp/>
        <stp>Close</stp>
        <stp>D</stp>
        <stp>-34</stp>
        <stp/>
        <stp/>
        <stp/>
        <stp/>
        <stp>T</stp>
        <tr r="AA36" s="14"/>
      </tp>
      <tp>
        <v>3.1225999999999998</v>
        <stp/>
        <stp>StudyData</stp>
        <stp>Bar(((NGEX18+NGEZ18+NGEF19+NGEG19+NGEH19)/5),1)</stp>
        <stp>Bar</stp>
        <stp/>
        <stp>Close</stp>
        <stp>D</stp>
        <stp>-24</stp>
        <stp/>
        <stp/>
        <stp/>
        <stp/>
        <stp>T</stp>
        <tr r="AA26" s="14"/>
      </tp>
      <tp>
        <v>3.0491999999999999</v>
        <stp/>
        <stp>StudyData</stp>
        <stp>Bar(((NGEX18+NGEZ18+NGEF19+NGEG19+NGEH19)/5),1)</stp>
        <stp>Bar</stp>
        <stp/>
        <stp>Close</stp>
        <stp>D</stp>
        <stp>-44</stp>
        <stp/>
        <stp/>
        <stp/>
        <stp/>
        <stp>T</stp>
        <tr r="AA46" s="14"/>
      </tp>
      <tp t="s">
        <v/>
        <stp/>
        <stp>ContractData</stp>
        <stp>NGES6H8</stp>
        <stp>LastTradeorSettle</stp>
        <stp/>
        <stp>T</stp>
        <tr r="W6" s="11"/>
        <tr r="F116" s="2"/>
      </tp>
      <tp t="s">
        <v/>
        <stp/>
        <stp>ContractData</stp>
        <stp>NGES5H8</stp>
        <stp>LastTradeorSettle</stp>
        <stp/>
        <stp>T</stp>
        <tr r="W6" s="10"/>
        <tr r="F97" s="2"/>
      </tp>
      <tp>
        <v>0.21299999999999999</v>
        <stp/>
        <stp>ContractData</stp>
        <stp>NGES4H8</stp>
        <stp>LastTradeorSettle</stp>
        <stp/>
        <stp>T</stp>
        <tr r="W6" s="9"/>
        <tr r="F81" s="2"/>
      </tp>
      <tp>
        <v>0.23300000000000001</v>
        <stp/>
        <stp>ContractData</stp>
        <stp>NGES3H8</stp>
        <stp>LastTradeorSettle</stp>
        <stp/>
        <stp>T</stp>
        <tr r="W6" s="8"/>
        <tr r="F65" s="2"/>
      </tp>
      <tp>
        <v>0.26300000000000001</v>
        <stp/>
        <stp>ContractData</stp>
        <stp>NGES2H8</stp>
        <stp>LastTradeorSettle</stp>
        <stp/>
        <stp>T</stp>
        <tr r="W6" s="7"/>
        <tr r="F49" s="2"/>
      </tp>
      <tp>
        <v>0.23800000000000002</v>
        <stp/>
        <stp>ContractData</stp>
        <stp>NGES1H8</stp>
        <stp>LastTradeorSettle</stp>
        <stp/>
        <stp>T</stp>
        <tr r="W6" s="6"/>
        <tr r="F33" s="2"/>
      </tp>
      <tp>
        <v>-0.01</v>
        <stp/>
        <stp>ContractData</stp>
        <stp>F.NGE?7</stp>
        <stp>NetLastQuoteToday</stp>
        <stp/>
        <stp>T</stp>
        <tr r="U8" s="6"/>
        <tr r="U8" s="9"/>
        <tr r="U8" s="10"/>
        <tr r="U8" s="7"/>
        <tr r="U8" s="8"/>
        <tr r="U8" s="11"/>
      </tp>
      <tp>
        <v>-1.4E-2</v>
        <stp/>
        <stp>ContractData</stp>
        <stp>F.NGE?6</stp>
        <stp>NetLastQuoteToday</stp>
        <stp/>
        <stp>T</stp>
        <tr r="U7" s="6"/>
        <tr r="U7" s="8"/>
        <tr r="U7" s="10"/>
        <tr r="U7" s="7"/>
        <tr r="U7" s="9"/>
        <tr r="U7" s="11"/>
      </tp>
      <tp>
        <v>-0.03</v>
        <stp/>
        <stp>ContractData</stp>
        <stp>F.NGE?5</stp>
        <stp>NetLastQuoteToday</stp>
        <stp/>
        <stp>T</stp>
        <tr r="U6" s="6"/>
        <tr r="U6" s="10"/>
        <tr r="U6" s="7"/>
        <tr r="U6" s="8"/>
        <tr r="U6" s="9"/>
        <tr r="U6" s="11"/>
      </tp>
      <tp>
        <v>-3.2000000000000001E-2</v>
        <stp/>
        <stp>ContractData</stp>
        <stp>F.NGE?4</stp>
        <stp>NetLastQuoteToday</stp>
        <stp/>
        <stp>T</stp>
        <tr r="U5" s="6"/>
        <tr r="U5" s="7"/>
        <tr r="U5" s="10"/>
        <tr r="U5" s="9"/>
        <tr r="U5" s="8"/>
        <tr r="U5" s="11"/>
      </tp>
      <tp>
        <v>-8.0000000000000002E-3</v>
        <stp/>
        <stp>ContractData</stp>
        <stp>F.NGE?9</stp>
        <stp>NetLastQuoteToday</stp>
        <stp/>
        <stp>T</stp>
        <tr r="U10" s="6"/>
        <tr r="U10" s="8"/>
        <tr r="U10" s="10"/>
        <tr r="U10" s="7"/>
        <tr r="U10" s="9"/>
        <tr r="U10" s="11"/>
      </tp>
      <tp>
        <v>-8.0000000000000002E-3</v>
        <stp/>
        <stp>ContractData</stp>
        <stp>F.NGE?8</stp>
        <stp>NetLastQuoteToday</stp>
        <stp/>
        <stp>T</stp>
        <tr r="U9" s="6"/>
        <tr r="U9" s="7"/>
        <tr r="U9" s="8"/>
        <tr r="U9" s="9"/>
        <tr r="U9" s="10"/>
        <tr r="U9" s="11"/>
      </tp>
      <tp>
        <v>5093</v>
        <stp/>
        <stp>ContractData</stp>
        <stp>NGE?6</stp>
        <stp>T_CVol</stp>
        <stp/>
        <stp>T</stp>
        <tr r="S13" s="16"/>
        <tr r="S13" s="16"/>
      </tp>
      <tp>
        <v>23294</v>
        <stp/>
        <stp>ContractData</stp>
        <stp>NGE?6</stp>
        <stp>Y_CVol</stp>
        <stp/>
        <stp>T</stp>
        <tr r="T13" s="16"/>
        <tr r="T13" s="16"/>
      </tp>
      <tp>
        <v>3.1356000000000002</v>
        <stp/>
        <stp>StudyData</stp>
        <stp>Bar(((NGEX18+NGEZ18+NGEF19+NGEG19+NGEH19)/5),1)</stp>
        <stp>Bar</stp>
        <stp/>
        <stp>LOw</stp>
        <stp>D</stp>
        <stp>-5</stp>
        <stp/>
        <stp/>
        <stp/>
        <stp/>
        <stp>T</stp>
        <tr r="Z7" s="14"/>
      </tp>
      <tp>
        <v>3.1103999999999998</v>
        <stp/>
        <stp>StudyData</stp>
        <stp>Bar(((NGEX17+NGEZ17+NGEF18+NGEG18+NGEH18)/5),1)</stp>
        <stp>Bar</stp>
        <stp/>
        <stp>LOw</stp>
        <stp>D</stp>
        <stp>-4</stp>
        <stp/>
        <stp/>
        <stp/>
        <stp/>
        <stp>T</stp>
        <tr r="E6" s="14"/>
      </tp>
      <tp>
        <v>3.1558000000000002</v>
        <stp/>
        <stp>StudyData</stp>
        <stp>Bar(((NGEX18+NGEZ18+NGEF19+NGEG19+NGEH19)/5),1)</stp>
        <stp>Bar</stp>
        <stp/>
        <stp>Close</stp>
        <stp>D</stp>
        <stp>0</stp>
        <stp/>
        <stp/>
        <stp/>
        <stp/>
        <stp>T</stp>
        <tr r="AA2" s="14"/>
      </tp>
      <tp>
        <v>3.1107999999999998</v>
        <stp/>
        <stp>StudyData</stp>
        <stp>Bar(((NGEX17+NGEZ17+NGEF18+NGEG18+NGEH18)/5),1)</stp>
        <stp>Bar</stp>
        <stp/>
        <stp>Close</stp>
        <stp>D</stp>
        <stp>-1</stp>
        <stp/>
        <stp/>
        <stp/>
        <stp/>
        <stp>T</stp>
        <tr r="F3" s="14"/>
      </tp>
      <tp>
        <v>2.8958571399999999</v>
        <stp/>
        <stp>StudyData</stp>
        <stp>Bar(((NGEJ18+NGEK18+NGEM18+NGEN18+NGEQ18+NGEU18+NGEV18)/7),1)</stp>
        <stp>Bar</stp>
        <stp/>
        <stp>Open</stp>
        <stp>D</stp>
        <stp>-39</stp>
        <stp/>
        <stp/>
        <stp/>
        <stp/>
        <stp>T</stp>
        <tr r="P41" s="14"/>
      </tp>
      <tp>
        <v>2.7237142900000002</v>
        <stp/>
        <stp>StudyData</stp>
        <stp>Bar(((NGEJ19+NGEK19+NGEM19+NGEN19+NGEQ19+NGEU19+NGEV19)/7),1)</stp>
        <stp>Bar</stp>
        <stp/>
        <stp>Open</stp>
        <stp>D</stp>
        <stp>-38</stp>
        <stp/>
        <stp/>
        <stp/>
        <stp/>
        <stp>T</stp>
        <tr r="AK40" s="14"/>
      </tp>
      <tp>
        <v>2.90271429</v>
        <stp/>
        <stp>StudyData</stp>
        <stp>Bar(((NGEJ18+NGEK18+NGEM18+NGEN18+NGEQ18+NGEU18+NGEV18)/7),1)</stp>
        <stp>Bar</stp>
        <stp/>
        <stp>Open</stp>
        <stp>D</stp>
        <stp>-29</stp>
        <stp/>
        <stp/>
        <stp/>
        <stp/>
        <stp>T</stp>
        <tr r="P31" s="14"/>
      </tp>
      <tp>
        <v>2.6989999999999998</v>
        <stp/>
        <stp>StudyData</stp>
        <stp>Bar(((NGEJ19+NGEK19+NGEM19+NGEN19+NGEQ19+NGEU19+NGEV19)/7),1)</stp>
        <stp>Bar</stp>
        <stp/>
        <stp>Open</stp>
        <stp>D</stp>
        <stp>-28</stp>
        <stp/>
        <stp/>
        <stp/>
        <stp/>
        <stp>T</stp>
        <tr r="AK30" s="14"/>
      </tp>
      <tp>
        <v>2.9159999999999999</v>
        <stp/>
        <stp>StudyData</stp>
        <stp>Bar(((NGEJ18+NGEK18+NGEM18+NGEN18+NGEQ18+NGEU18+NGEV18)/7),1)</stp>
        <stp>Bar</stp>
        <stp/>
        <stp>Open</stp>
        <stp>D</stp>
        <stp>-19</stp>
        <stp/>
        <stp/>
        <stp/>
        <stp/>
        <stp>T</stp>
        <tr r="P21" s="14"/>
      </tp>
      <tp>
        <v>2.7634285699999999</v>
        <stp/>
        <stp>StudyData</stp>
        <stp>Bar(((NGEJ19+NGEK19+NGEM19+NGEN19+NGEQ19+NGEU19+NGEV19)/7),1)</stp>
        <stp>Bar</stp>
        <stp/>
        <stp>Open</stp>
        <stp>D</stp>
        <stp>-18</stp>
        <stp/>
        <stp/>
        <stp/>
        <stp/>
        <stp>T</stp>
        <tr r="AK20" s="14"/>
      </tp>
      <tp>
        <v>43157</v>
        <stp/>
        <stp>ContractData</stp>
        <stp>NGE?5</stp>
        <stp>ExpirationDate</stp>
        <stp/>
        <stp>T</stp>
        <tr r="AA12" s="16"/>
      </tp>
      <tp>
        <v>0.24399999999999999</v>
        <stp/>
        <stp>ContractData</stp>
        <stp>NGES6G8</stp>
        <stp>LastTradeorSettle</stp>
        <stp/>
        <stp>T</stp>
        <tr r="W5" s="11"/>
        <tr r="F115" s="2"/>
      </tp>
      <tp>
        <v>0.247</v>
        <stp/>
        <stp>ContractData</stp>
        <stp>NGES5G8</stp>
        <stp>LastTradeorSettle</stp>
        <stp/>
        <stp>T</stp>
        <tr r="W5" s="10"/>
        <tr r="F96" s="2"/>
      </tp>
      <tp>
        <v>0.27500000000000002</v>
        <stp/>
        <stp>ContractData</stp>
        <stp>NGES4G8</stp>
        <stp>LastTradeorSettle</stp>
        <stp/>
        <stp>T</stp>
        <tr r="W5" s="9"/>
        <tr r="F80" s="2"/>
      </tp>
      <tp>
        <v>0.30099999999999999</v>
        <stp/>
        <stp>ContractData</stp>
        <stp>NGES3G8</stp>
        <stp>LastTradeorSettle</stp>
        <stp/>
        <stp>T</stp>
        <tr r="W5" s="8"/>
        <tr r="F64" s="2"/>
      </tp>
      <tp>
        <v>0.27900000000000003</v>
        <stp/>
        <stp>ContractData</stp>
        <stp>NGES2G8</stp>
        <stp>LastTradeorSettle</stp>
        <stp/>
        <stp>T</stp>
        <tr r="W5" s="7"/>
        <tr r="F48" s="2"/>
      </tp>
      <tp>
        <v>3.9E-2</v>
        <stp/>
        <stp>ContractData</stp>
        <stp>NGES1G8</stp>
        <stp>LastTradeorSettle</stp>
        <stp/>
        <stp>T</stp>
        <tr r="W5" s="6"/>
        <tr r="F32" s="2"/>
      </tp>
      <tp>
        <v>3.2469999999999999</v>
        <stp/>
        <stp>StudyData</stp>
        <stp>Bar(((NGEX17+NGEZ17+NGEF18+NGEG18+NGEH18)/5),1)</stp>
        <stp>Bar</stp>
        <stp/>
        <stp>Close</stp>
        <stp>D</stp>
        <stp>-25</stp>
        <stp/>
        <stp/>
        <stp/>
        <stp/>
        <stp>T</stp>
        <tr r="F27" s="14"/>
      </tp>
      <tp>
        <v>3.1936</v>
        <stp/>
        <stp>StudyData</stp>
        <stp>Bar(((NGEX17+NGEZ17+NGEF18+NGEG18+NGEH18)/5),1)</stp>
        <stp>Bar</stp>
        <stp/>
        <stp>Close</stp>
        <stp>D</stp>
        <stp>-35</stp>
        <stp/>
        <stp/>
        <stp/>
        <stp/>
        <stp>T</stp>
        <tr r="F37" s="14"/>
      </tp>
      <tp>
        <v>3.2665999999999999</v>
        <stp/>
        <stp>StudyData</stp>
        <stp>Bar(((NGEX17+NGEZ17+NGEF18+NGEG18+NGEH18)/5),1)</stp>
        <stp>Bar</stp>
        <stp/>
        <stp>Close</stp>
        <stp>D</stp>
        <stp>-15</stp>
        <stp/>
        <stp/>
        <stp/>
        <stp/>
        <stp>T</stp>
        <tr r="F17" s="14"/>
      </tp>
      <tp>
        <v>0.26600000000000001</v>
        <stp/>
        <stp>ContractData</stp>
        <stp>NGES5F8</stp>
        <stp>Open</stp>
        <stp/>
        <stp>T</stp>
        <tr r="C95" s="2"/>
      </tp>
      <tp>
        <v>0.251</v>
        <stp/>
        <stp>ContractData</stp>
        <stp>NGES5G8</stp>
        <stp>Open</stp>
        <stp/>
        <stp>T</stp>
        <tr r="C96" s="2"/>
      </tp>
      <tp>
        <v>-0.128</v>
        <stp/>
        <stp>ContractData</stp>
        <stp>NGES2Z7</stp>
        <stp>High</stp>
        <stp/>
        <stp>T</stp>
        <tr r="D46" s="2"/>
      </tp>
      <tp>
        <v>-0.29399999999999998</v>
        <stp/>
        <stp>ContractData</stp>
        <stp>NGES2X7</stp>
        <stp>High</stp>
        <stp/>
        <stp>T</stp>
        <tr r="D45" s="2"/>
      </tp>
      <tp t="s">
        <v/>
        <stp/>
        <stp>ContractData</stp>
        <stp>NGES5N8</stp>
        <stp>Open</stp>
        <stp/>
        <stp>T</stp>
        <tr r="C101" s="2"/>
      </tp>
      <tp>
        <v>-0.19</v>
        <stp/>
        <stp>ContractData</stp>
        <stp>NGES2V8</stp>
        <stp>High</stp>
        <stp/>
        <stp>T</stp>
        <tr r="D56" s="2"/>
      </tp>
      <tp t="s">
        <v/>
        <stp/>
        <stp>ContractData</stp>
        <stp>NGES2U8</stp>
        <stp>High</stp>
        <stp/>
        <stp>T</stp>
        <tr r="D55" s="2"/>
      </tp>
      <tp t="s">
        <v/>
        <stp/>
        <stp>ContractData</stp>
        <stp>NGES5M8</stp>
        <stp>Open</stp>
        <stp/>
        <stp>T</stp>
        <tr r="C100" s="2"/>
      </tp>
      <tp>
        <v>-1.8000000000000002E-2</v>
        <stp/>
        <stp>ContractData</stp>
        <stp>NGES5J8</stp>
        <stp>Open</stp>
        <stp/>
        <stp>T</stp>
        <tr r="C98" s="2"/>
      </tp>
      <tp>
        <v>-6.4000000000000001E-2</v>
        <stp/>
        <stp>ContractData</stp>
        <stp>NGES5K8</stp>
        <stp>Open</stp>
        <stp/>
        <stp>T</stp>
        <tr r="C99" s="2"/>
      </tp>
      <tp t="s">
        <v/>
        <stp/>
        <stp>ContractData</stp>
        <stp>NGES5H8</stp>
        <stp>Open</stp>
        <stp/>
        <stp>T</stp>
        <tr r="C97" s="2"/>
      </tp>
      <tp>
        <v>-5.0000000000000001E-3</v>
        <stp/>
        <stp>ContractData</stp>
        <stp>NGES2Q8</stp>
        <stp>High</stp>
        <stp/>
        <stp>T</stp>
        <tr r="D54" s="2"/>
      </tp>
      <tp t="s">
        <v/>
        <stp/>
        <stp>ContractData</stp>
        <stp>NGES5V8</stp>
        <stp>Open</stp>
        <stp/>
        <stp>T</stp>
        <tr r="C104" s="2"/>
      </tp>
      <tp>
        <v>1.6E-2</v>
        <stp/>
        <stp>ContractData</stp>
        <stp>NGES2N8</stp>
        <stp>High</stp>
        <stp/>
        <stp>T</stp>
        <tr r="D53" s="2"/>
      </tp>
      <tp>
        <v>-0.03</v>
        <stp/>
        <stp>ContractData</stp>
        <stp>NGES2M8</stp>
        <stp>High</stp>
        <stp/>
        <stp>T</stp>
        <tr r="D52" s="2"/>
      </tp>
      <tp t="s">
        <v/>
        <stp/>
        <stp>ContractData</stp>
        <stp>NGES5U8</stp>
        <stp>Open</stp>
        <stp/>
        <stp>T</stp>
        <tr r="C103" s="2"/>
      </tp>
      <tp>
        <v>-5.6000000000000001E-2</v>
        <stp/>
        <stp>ContractData</stp>
        <stp>NGES2K8</stp>
        <stp>High</stp>
        <stp/>
        <stp>T</stp>
        <tr r="D51" s="2"/>
      </tp>
      <tp>
        <v>-3.0000000000000001E-3</v>
        <stp/>
        <stp>ContractData</stp>
        <stp>NGES2J8</stp>
        <stp>High</stp>
        <stp/>
        <stp>T</stp>
        <tr r="D50" s="2"/>
      </tp>
      <tp t="s">
        <v/>
        <stp/>
        <stp>ContractData</stp>
        <stp>NGES5Q8</stp>
        <stp>Open</stp>
        <stp/>
        <stp>T</stp>
        <tr r="C102" s="2"/>
      </tp>
      <tp>
        <v>0.27100000000000002</v>
        <stp/>
        <stp>ContractData</stp>
        <stp>NGES2H8</stp>
        <stp>High</stp>
        <stp/>
        <stp>T</stp>
        <tr r="D49" s="2"/>
      </tp>
      <tp>
        <v>0.28899999999999998</v>
        <stp/>
        <stp>ContractData</stp>
        <stp>NGES2G8</stp>
        <stp>High</stp>
        <stp/>
        <stp>T</stp>
        <tr r="D48" s="2"/>
      </tp>
      <tp>
        <v>3.9E-2</v>
        <stp/>
        <stp>ContractData</stp>
        <stp>NGES2F8</stp>
        <stp>High</stp>
        <stp/>
        <stp>T</stp>
        <tr r="D47" s="2"/>
      </tp>
      <tp>
        <v>0.17300000000000001</v>
        <stp/>
        <stp>ContractData</stp>
        <stp>NGES5Z7</stp>
        <stp>Open</stp>
        <stp/>
        <stp>T</stp>
        <tr r="C94" s="2"/>
      </tp>
      <tp>
        <v>-0.02</v>
        <stp/>
        <stp>ContractData</stp>
        <stp>NGES5X7</stp>
        <stp>Open</stp>
        <stp/>
        <stp>T</stp>
        <tr r="C93" s="2"/>
      </tp>
      <tp t="s">
        <v/>
        <stp/>
        <stp>ContractData</stp>
        <stp>NGE?82</stp>
        <stp>LastTradeToday</stp>
        <stp/>
        <stp>T</stp>
        <tr r="F89" s="16"/>
      </tp>
      <tp t="s">
        <v/>
        <stp/>
        <stp>ContractData</stp>
        <stp>NGE?92</stp>
        <stp>LastTradeToday</stp>
        <stp/>
        <stp>T</stp>
        <tr r="F99" s="16"/>
      </tp>
      <tp t="s">
        <v/>
        <stp/>
        <stp>ContractData</stp>
        <stp>NGE?42</stp>
        <stp>LastTradeToday</stp>
        <stp/>
        <stp>T</stp>
        <tr r="F49" s="16"/>
      </tp>
      <tp t="s">
        <v/>
        <stp/>
        <stp>ContractData</stp>
        <stp>NGE?52</stp>
        <stp>LastTradeToday</stp>
        <stp/>
        <stp>T</stp>
        <tr r="F59" s="16"/>
      </tp>
      <tp t="s">
        <v/>
        <stp/>
        <stp>ContractData</stp>
        <stp>NGE?62</stp>
        <stp>LastTradeToday</stp>
        <stp/>
        <stp>T</stp>
        <tr r="F69" s="16"/>
      </tp>
      <tp t="s">
        <v/>
        <stp/>
        <stp>ContractData</stp>
        <stp>NGE?72</stp>
        <stp>LastTradeToday</stp>
        <stp/>
        <stp>T</stp>
        <tr r="F79" s="16"/>
      </tp>
      <tp>
        <v>2.9670000000000001</v>
        <stp/>
        <stp>ContractData</stp>
        <stp>NGE?12</stp>
        <stp>LastTradeToday</stp>
        <stp/>
        <stp>T</stp>
        <tr r="F19" s="16"/>
      </tp>
      <tp t="s">
        <v/>
        <stp/>
        <stp>ContractData</stp>
        <stp>NGE?22</stp>
        <stp>LastTradeToday</stp>
        <stp/>
        <stp>T</stp>
        <tr r="F29" s="16"/>
      </tp>
      <tp t="s">
        <v/>
        <stp/>
        <stp>ContractData</stp>
        <stp>NGE?32</stp>
        <stp>LastTradeToday</stp>
        <stp/>
        <stp>T</stp>
        <tr r="F39" s="16"/>
      </tp>
      <tp>
        <v>942</v>
        <stp/>
        <stp>ContractData</stp>
        <stp>NGE?9</stp>
        <stp>T_CVol</stp>
        <stp/>
        <stp>T</stp>
        <tr r="S16" s="16"/>
        <tr r="S16" s="16"/>
      </tp>
      <tp>
        <v>3231</v>
        <stp/>
        <stp>ContractData</stp>
        <stp>NGE?9</stp>
        <stp>Y_CVol</stp>
        <stp/>
        <stp>T</stp>
        <tr r="T16" s="16"/>
        <tr r="T16" s="16"/>
      </tp>
      <tp>
        <v>3.1614</v>
        <stp/>
        <stp>StudyData</stp>
        <stp>Bar(((NGEX18+NGEZ18+NGEF19+NGEG19+NGEH19)/5),1)</stp>
        <stp>Bar</stp>
        <stp/>
        <stp>Close</stp>
        <stp>D</stp>
        <stp>-1</stp>
        <stp/>
        <stp/>
        <stp/>
        <stp/>
        <stp>T</stp>
        <tr r="AA3" s="14"/>
      </tp>
      <tp>
        <v>2.8878571399999999</v>
        <stp/>
        <stp>StudyData</stp>
        <stp>Bar(((NGEJ18+NGEK18+NGEM18+NGEN18+NGEQ18+NGEU18+NGEV18)/7),1)</stp>
        <stp>Bar</stp>
        <stp/>
        <stp>Open</stp>
        <stp>D</stp>
        <stp>-36</stp>
        <stp/>
        <stp/>
        <stp/>
        <stp/>
        <stp>T</stp>
        <tr r="P38" s="14"/>
      </tp>
      <tp>
        <v>2.72571429</v>
        <stp/>
        <stp>StudyData</stp>
        <stp>Bar(((NGEJ19+NGEK19+NGEM19+NGEN19+NGEQ19+NGEU19+NGEV19)/7),1)</stp>
        <stp>Bar</stp>
        <stp/>
        <stp>Open</stp>
        <stp>D</stp>
        <stp>-37</stp>
        <stp/>
        <stp/>
        <stp/>
        <stp/>
        <stp>T</stp>
        <tr r="AK39" s="14"/>
      </tp>
      <tp>
        <v>2.9011428600000002</v>
        <stp/>
        <stp>StudyData</stp>
        <stp>Bar(((NGEJ18+NGEK18+NGEM18+NGEN18+NGEQ18+NGEU18+NGEV18)/7),1)</stp>
        <stp>Bar</stp>
        <stp/>
        <stp>Open</stp>
        <stp>D</stp>
        <stp>-26</stp>
        <stp/>
        <stp/>
        <stp/>
        <stp/>
        <stp>T</stp>
        <tr r="P28" s="14"/>
      </tp>
      <tp>
        <v>2.70914286</v>
        <stp/>
        <stp>StudyData</stp>
        <stp>Bar(((NGEJ19+NGEK19+NGEM19+NGEN19+NGEQ19+NGEU19+NGEV19)/7),1)</stp>
        <stp>Bar</stp>
        <stp/>
        <stp>Open</stp>
        <stp>D</stp>
        <stp>-27</stp>
        <stp/>
        <stp/>
        <stp/>
        <stp/>
        <stp>T</stp>
        <tr r="AK29" s="14"/>
      </tp>
      <tp>
        <v>2.9561428599999999</v>
        <stp/>
        <stp>StudyData</stp>
        <stp>Bar(((NGEJ18+NGEK18+NGEM18+NGEN18+NGEQ18+NGEU18+NGEV18)/7),1)</stp>
        <stp>Bar</stp>
        <stp/>
        <stp>Open</stp>
        <stp>D</stp>
        <stp>-16</stp>
        <stp/>
        <stp/>
        <stp/>
        <stp/>
        <stp>T</stp>
        <tr r="P18" s="14"/>
      </tp>
      <tp>
        <v>2.7717142899999998</v>
        <stp/>
        <stp>StudyData</stp>
        <stp>Bar(((NGEJ19+NGEK19+NGEM19+NGEN19+NGEQ19+NGEU19+NGEV19)/7),1)</stp>
        <stp>Bar</stp>
        <stp/>
        <stp>Open</stp>
        <stp>D</stp>
        <stp>-17</stp>
        <stp/>
        <stp/>
        <stp/>
        <stp/>
        <stp>T</stp>
        <tr r="AK19" s="14"/>
      </tp>
      <tp>
        <v>0</v>
        <stp/>
        <stp>ContractData</stp>
        <stp>NGES2V8</stp>
        <stp>NetLastTradeToday</stp>
        <stp/>
        <stp>T</stp>
        <tr r="H56" s="2"/>
        <tr r="G56" s="2"/>
      </tp>
      <tp>
        <v>-1E-3</v>
        <stp/>
        <stp>ContractData</stp>
        <stp>NGES3V8</stp>
        <stp>NetLastTradeToday</stp>
        <stp/>
        <stp>T</stp>
        <tr r="H72" s="2"/>
        <tr r="G72" s="2"/>
      </tp>
      <tp>
        <v>1E-3</v>
        <stp/>
        <stp>ContractData</stp>
        <stp>NGES1V8</stp>
        <stp>NetLastTradeToday</stp>
        <stp/>
        <stp>T</stp>
        <tr r="H40" s="2"/>
        <tr r="G40" s="2"/>
      </tp>
      <tp t="s">
        <v/>
        <stp/>
        <stp>ContractData</stp>
        <stp>NGES6V8</stp>
        <stp>NetLastTradeToday</stp>
        <stp/>
        <stp>T</stp>
        <tr r="H123" s="2"/>
        <tr r="G123" s="2"/>
      </tp>
      <tp t="s">
        <v/>
        <stp/>
        <stp>ContractData</stp>
        <stp>NGES4V8</stp>
        <stp>NetLastTradeToday</stp>
        <stp/>
        <stp>T</stp>
        <tr r="H88" s="2"/>
        <tr r="G88" s="2"/>
      </tp>
      <tp t="s">
        <v/>
        <stp/>
        <stp>ContractData</stp>
        <stp>NGES5V8</stp>
        <stp>NetLastTradeToday</stp>
        <stp/>
        <stp>T</stp>
        <tr r="G104" s="2"/>
        <tr r="H104" s="2"/>
      </tp>
      <tp>
        <v>0.24299999999999999</v>
        <stp/>
        <stp>ContractData</stp>
        <stp>NGES6F8</stp>
        <stp>LastTradeorSettle</stp>
        <stp/>
        <stp>T</stp>
        <tr r="W4" s="11"/>
        <tr r="F114" s="2"/>
      </tp>
      <tp>
        <v>0.27</v>
        <stp/>
        <stp>ContractData</stp>
        <stp>NGES5F8</stp>
        <stp>LastTradeorSettle</stp>
        <stp/>
        <stp>T</stp>
        <tr r="W4" s="10"/>
        <tr r="F95" s="2"/>
      </tp>
      <tp>
        <v>0.29799999999999999</v>
        <stp/>
        <stp>ContractData</stp>
        <stp>NGES4F8</stp>
        <stp>LastTradeorSettle</stp>
        <stp/>
        <stp>T</stp>
        <tr r="W4" s="9"/>
        <tr r="F79" s="2"/>
      </tp>
      <tp>
        <v>0.27200000000000002</v>
        <stp/>
        <stp>ContractData</stp>
        <stp>NGES3F8</stp>
        <stp>LastTradeorSettle</stp>
        <stp/>
        <stp>T</stp>
        <tr r="W4" s="8"/>
        <tr r="F63" s="2"/>
      </tp>
      <tp>
        <v>3.3000000000000002E-2</v>
        <stp/>
        <stp>ContractData</stp>
        <stp>NGES2F8</stp>
        <stp>LastTradeorSettle</stp>
        <stp/>
        <stp>T</stp>
        <tr r="W4" s="7"/>
        <tr r="F47" s="2"/>
      </tp>
      <tp>
        <v>-6.0000000000000001E-3</v>
        <stp/>
        <stp>ContractData</stp>
        <stp>NGES1F8</stp>
        <stp>LastTradeorSettle</stp>
        <stp/>
        <stp>T</stp>
        <tr r="W4" s="6"/>
        <tr r="F31" s="2"/>
      </tp>
      <tp>
        <v>3.0804</v>
        <stp/>
        <stp>StudyData</stp>
        <stp>Bar(((NGEX17+NGEZ17+NGEF18+NGEG18+NGEH18)/5),1)</stp>
        <stp>Bar</stp>
        <stp/>
        <stp>Close</stp>
        <stp>D</stp>
        <stp>-44</stp>
        <stp/>
        <stp/>
        <stp/>
        <stp/>
        <stp>T</stp>
        <tr r="F46" s="14"/>
      </tp>
      <tp>
        <v>3.2522000000000002</v>
        <stp/>
        <stp>StudyData</stp>
        <stp>Bar(((NGEX17+NGEZ17+NGEF18+NGEG18+NGEH18)/5),1)</stp>
        <stp>Bar</stp>
        <stp/>
        <stp>Close</stp>
        <stp>D</stp>
        <stp>-24</stp>
        <stp/>
        <stp/>
        <stp/>
        <stp/>
        <stp>T</stp>
        <tr r="F26" s="14"/>
      </tp>
      <tp>
        <v>3.1684000000000001</v>
        <stp/>
        <stp>StudyData</stp>
        <stp>Bar(((NGEX17+NGEZ17+NGEF18+NGEG18+NGEH18)/5),1)</stp>
        <stp>Bar</stp>
        <stp/>
        <stp>Close</stp>
        <stp>D</stp>
        <stp>-34</stp>
        <stp/>
        <stp/>
        <stp/>
        <stp/>
        <stp>T</stp>
        <tr r="F36" s="14"/>
      </tp>
      <tp>
        <v>3.3618000000000001</v>
        <stp/>
        <stp>StudyData</stp>
        <stp>Bar(((NGEX17+NGEZ17+NGEF18+NGEG18+NGEH18)/5),1)</stp>
        <stp>Bar</stp>
        <stp/>
        <stp>Close</stp>
        <stp>D</stp>
        <stp>-14</stp>
        <stp/>
        <stp/>
        <stp/>
        <stp/>
        <stp>T</stp>
        <tr r="F16" s="14"/>
      </tp>
      <tp>
        <v>2.9347142900000001</v>
        <stp/>
        <stp>StudyData</stp>
        <stp>Bar(((NGEJ18+NGEK18+NGEM18+NGEN18+NGEQ18+NGEU18+NGEV18)/7),1)</stp>
        <stp>Bar</stp>
        <stp/>
        <stp>LOw</stp>
        <stp>D</stp>
        <stp>0</stp>
        <stp/>
        <stp/>
        <stp/>
        <stp/>
        <stp>T</stp>
        <tr r="R2" s="14"/>
      </tp>
      <tp>
        <v>2.7532857100000001</v>
        <stp/>
        <stp>StudyData</stp>
        <stp>Bar(((NGEJ19+NGEK19+NGEM19+NGEN19+NGEQ19+NGEU19+NGEV19)/7),1)</stp>
        <stp>Bar</stp>
        <stp/>
        <stp>LOw</stp>
        <stp>D</stp>
        <stp>0</stp>
        <stp/>
        <stp/>
        <stp/>
        <stp/>
        <stp>T</stp>
        <tr r="AM2" s="14"/>
      </tp>
      <tp>
        <v>2.9347142900000001</v>
        <stp/>
        <stp>StudyData</stp>
        <stp>Bar(((NGEJ18+NGEK18+NGEM18+NGEN18+NGEQ18+NGEU18+NGEV18)/7),1)</stp>
        <stp>Bar</stp>
        <stp/>
        <stp>Low</stp>
        <stp>D</stp>
        <stp>0</stp>
        <stp/>
        <stp/>
        <stp/>
        <stp/>
        <stp>T</stp>
        <tr r="E25" s="13"/>
      </tp>
      <tp>
        <v>2.7532857100000001</v>
        <stp/>
        <stp>StudyData</stp>
        <stp>Bar(((NGEJ19+NGEK19+NGEM19+NGEN19+NGEQ19+NGEU19+NGEV19)/7),1)</stp>
        <stp>Bar</stp>
        <stp/>
        <stp>Low</stp>
        <stp>D</stp>
        <stp>0</stp>
        <stp/>
        <stp/>
        <stp/>
        <stp/>
        <stp>T</stp>
        <tr r="E53" s="13"/>
      </tp>
      <tp>
        <v>-1.3000000000000001E-2</v>
        <stp/>
        <stp>ContractData</stp>
        <stp>NGES5X7</stp>
        <stp>NetLastQuoteToday</stp>
        <stp/>
        <stp>T</stp>
        <tr r="X2" s="10"/>
      </tp>
      <tp>
        <v>4.0000000000000001E-3</v>
        <stp/>
        <stp>ContractData</stp>
        <stp>NGES4X7</stp>
        <stp>NetLastQuoteToday</stp>
        <stp/>
        <stp>T</stp>
        <tr r="X2" s="9"/>
      </tp>
      <tp>
        <v>-1.7000000000000001E-2</v>
        <stp/>
        <stp>ContractData</stp>
        <stp>NGES6X7</stp>
        <stp>NetLastQuoteToday</stp>
        <stp/>
        <stp>T</stp>
        <tr r="X2" s="11"/>
      </tp>
      <tp>
        <v>7.0000000000000001E-3</v>
        <stp/>
        <stp>ContractData</stp>
        <stp>NGES1X7</stp>
        <stp>NetLastQuoteToday</stp>
        <stp/>
        <stp>T</stp>
        <tr r="X2" s="6"/>
      </tp>
      <tp>
        <v>6.0000000000000001E-3</v>
        <stp/>
        <stp>ContractData</stp>
        <stp>NGES3X7</stp>
        <stp>NetLastQuoteToday</stp>
        <stp/>
        <stp>T</stp>
        <tr r="X2" s="8"/>
      </tp>
      <tp>
        <v>7.0000000000000001E-3</v>
        <stp/>
        <stp>ContractData</stp>
        <stp>NGES2X7</stp>
        <stp>NetLastQuoteToday</stp>
        <stp/>
        <stp>T</stp>
        <tr r="X2" s="7"/>
      </tp>
      <tp>
        <v>0.31</v>
        <stp/>
        <stp>ContractData</stp>
        <stp>NGES4F8</stp>
        <stp>Open</stp>
        <stp/>
        <stp>T</stp>
        <tr r="C79" s="2"/>
      </tp>
      <tp>
        <v>0.27300000000000002</v>
        <stp/>
        <stp>ContractData</stp>
        <stp>NGES4G8</stp>
        <stp>Open</stp>
        <stp/>
        <stp>T</stp>
        <tr r="C80" s="2"/>
      </tp>
      <tp>
        <v>-8.6000000000000007E-2</v>
        <stp/>
        <stp>ContractData</stp>
        <stp>NGES3Z7</stp>
        <stp>High</stp>
        <stp/>
        <stp>T</stp>
        <tr r="D62" s="2"/>
      </tp>
      <tp>
        <v>-0.3</v>
        <stp/>
        <stp>ContractData</stp>
        <stp>NGES3X7</stp>
        <stp>High</stp>
        <stp/>
        <stp>T</stp>
        <tr r="D61" s="2"/>
      </tp>
      <tp t="s">
        <v/>
        <stp/>
        <stp>ContractData</stp>
        <stp>NGES4N8</stp>
        <stp>Open</stp>
        <stp/>
        <stp>T</stp>
        <tr r="C85" s="2"/>
      </tp>
      <tp>
        <v>-0.27300000000000002</v>
        <stp/>
        <stp>ContractData</stp>
        <stp>NGES3V8</stp>
        <stp>High</stp>
        <stp/>
        <stp>T</stp>
        <tr r="D72" s="2"/>
      </tp>
      <tp>
        <v>-0.21099999999999999</v>
        <stp/>
        <stp>ContractData</stp>
        <stp>NGES3U8</stp>
        <stp>High</stp>
        <stp/>
        <stp>T</stp>
        <tr r="D71" s="2"/>
      </tp>
      <tp>
        <v>-3.6000000000000004E-2</v>
        <stp/>
        <stp>ContractData</stp>
        <stp>NGES4M8</stp>
        <stp>Open</stp>
        <stp/>
        <stp>T</stp>
        <tr r="C84" s="2"/>
      </tp>
      <tp>
        <v>-3.3000000000000002E-2</v>
        <stp/>
        <stp>ContractData</stp>
        <stp>NGES4J8</stp>
        <stp>Open</stp>
        <stp/>
        <stp>T</stp>
        <tr r="C82" s="2"/>
      </tp>
      <tp>
        <v>-3.9E-2</v>
        <stp/>
        <stp>ContractData</stp>
        <stp>NGES4K8</stp>
        <stp>Open</stp>
        <stp/>
        <stp>T</stp>
        <tr r="C83" s="2"/>
      </tp>
      <tp>
        <v>0.21</v>
        <stp/>
        <stp>ContractData</stp>
        <stp>NGES4H8</stp>
        <stp>Open</stp>
        <stp/>
        <stp>T</stp>
        <tr r="C81" s="2"/>
      </tp>
      <tp t="s">
        <v/>
        <stp/>
        <stp>ContractData</stp>
        <stp>NGES3Q8</stp>
        <stp>High</stp>
        <stp/>
        <stp>T</stp>
        <tr r="D70" s="2"/>
      </tp>
      <tp t="s">
        <v/>
        <stp/>
        <stp>ContractData</stp>
        <stp>NGES4V8</stp>
        <stp>Open</stp>
        <stp/>
        <stp>T</stp>
        <tr r="C88" s="2"/>
      </tp>
      <tp t="s">
        <v/>
        <stp/>
        <stp>ContractData</stp>
        <stp>NGES3N8</stp>
        <stp>High</stp>
        <stp/>
        <stp>T</stp>
        <tr r="D69" s="2"/>
      </tp>
      <tp>
        <v>-1.2E-2</v>
        <stp/>
        <stp>ContractData</stp>
        <stp>NGES3M8</stp>
        <stp>High</stp>
        <stp/>
        <stp>T</stp>
        <tr r="D68" s="2"/>
      </tp>
      <tp t="s">
        <v/>
        <stp/>
        <stp>ContractData</stp>
        <stp>NGES4U8</stp>
        <stp>Open</stp>
        <stp/>
        <stp>T</stp>
        <tr r="C87" s="2"/>
      </tp>
      <tp>
        <v>-5.8000000000000003E-2</v>
        <stp/>
        <stp>ContractData</stp>
        <stp>NGES3K8</stp>
        <stp>High</stp>
        <stp/>
        <stp>T</stp>
        <tr r="D67" s="2"/>
      </tp>
      <tp>
        <v>-0.03</v>
        <stp/>
        <stp>ContractData</stp>
        <stp>NGES3J8</stp>
        <stp>High</stp>
        <stp/>
        <stp>T</stp>
        <tr r="D66" s="2"/>
      </tp>
      <tp t="s">
        <v/>
        <stp/>
        <stp>ContractData</stp>
        <stp>NGES4Q8</stp>
        <stp>Open</stp>
        <stp/>
        <stp>T</stp>
        <tr r="C86" s="2"/>
      </tp>
      <tp>
        <v>0.24199999999999999</v>
        <stp/>
        <stp>ContractData</stp>
        <stp>NGES3H8</stp>
        <stp>High</stp>
        <stp/>
        <stp>T</stp>
        <tr r="D65" s="2"/>
      </tp>
      <tp>
        <v>0.31</v>
        <stp/>
        <stp>ContractData</stp>
        <stp>NGES3G8</stp>
        <stp>High</stp>
        <stp/>
        <stp>T</stp>
        <tr r="D64" s="2"/>
      </tp>
      <tp>
        <v>0.28400000000000003</v>
        <stp/>
        <stp>ContractData</stp>
        <stp>NGES3F8</stp>
        <stp>High</stp>
        <stp/>
        <stp>T</stp>
        <tr r="D63" s="2"/>
      </tp>
      <tp>
        <v>0.157</v>
        <stp/>
        <stp>ContractData</stp>
        <stp>NGES4Z7</stp>
        <stp>Open</stp>
        <stp/>
        <stp>T</stp>
        <tr r="C78" s="2"/>
      </tp>
      <tp>
        <v>-0.26300000000000001</v>
        <stp/>
        <stp>ContractData</stp>
        <stp>NGES4X7</stp>
        <stp>Open</stp>
        <stp/>
        <stp>T</stp>
        <tr r="C77" s="2"/>
      </tp>
      <tp t="s">
        <v/>
        <stp/>
        <stp>ContractData</stp>
        <stp>NGE?83</stp>
        <stp>LastTradeToday</stp>
        <stp/>
        <stp>T</stp>
        <tr r="F90" s="16"/>
      </tp>
      <tp t="s">
        <v/>
        <stp/>
        <stp>ContractData</stp>
        <stp>NGE?93</stp>
        <stp>LastTradeToday</stp>
        <stp/>
        <stp>T</stp>
        <tr r="F100" s="16"/>
      </tp>
      <tp t="s">
        <v/>
        <stp/>
        <stp>ContractData</stp>
        <stp>NGE?43</stp>
        <stp>LastTradeToday</stp>
        <stp/>
        <stp>T</stp>
        <tr r="F50" s="16"/>
      </tp>
      <tp t="s">
        <v/>
        <stp/>
        <stp>ContractData</stp>
        <stp>NGE?53</stp>
        <stp>LastTradeToday</stp>
        <stp/>
        <stp>T</stp>
        <tr r="F60" s="16"/>
      </tp>
      <tp t="s">
        <v/>
        <stp/>
        <stp>ContractData</stp>
        <stp>NGE?63</stp>
        <stp>LastTradeToday</stp>
        <stp/>
        <stp>T</stp>
        <tr r="F70" s="16"/>
      </tp>
      <tp t="s">
        <v/>
        <stp/>
        <stp>ContractData</stp>
        <stp>NGE?73</stp>
        <stp>LastTradeToday</stp>
        <stp/>
        <stp>T</stp>
        <tr r="F80" s="16"/>
      </tp>
      <tp>
        <v>3.0209999999999999</v>
        <stp/>
        <stp>ContractData</stp>
        <stp>NGE?13</stp>
        <stp>LastTradeToday</stp>
        <stp/>
        <stp>T</stp>
        <tr r="F20" s="16"/>
      </tp>
      <tp t="s">
        <v/>
        <stp/>
        <stp>ContractData</stp>
        <stp>NGE?23</stp>
        <stp>LastTradeToday</stp>
        <stp/>
        <stp>T</stp>
        <tr r="F30" s="16"/>
      </tp>
      <tp t="s">
        <v/>
        <stp/>
        <stp>ContractData</stp>
        <stp>NGE?33</stp>
        <stp>LastTradeToday</stp>
        <stp/>
        <stp>T</stp>
        <tr r="F40" s="16"/>
      </tp>
      <tp>
        <v>243</v>
        <stp/>
        <stp>ContractData</stp>
        <stp>NGE?8</stp>
        <stp>T_CVol</stp>
        <stp/>
        <stp>T</stp>
        <tr r="S15" s="16"/>
        <tr r="S15" s="16"/>
      </tp>
      <tp>
        <v>3964</v>
        <stp/>
        <stp>ContractData</stp>
        <stp>NGE?8</stp>
        <stp>Y_CVol</stp>
        <stp/>
        <stp>T</stp>
        <tr r="T15" s="16"/>
        <tr r="T15" s="16"/>
      </tp>
      <tp>
        <v>43013</v>
        <stp/>
        <stp>StudyData</stp>
        <stp>Bar(((NGEJ18+NGEK18+NGEM18+NGEN18+NGEQ18+NGEU18+NGEV18)/7),1)</stp>
        <stp>Bar</stp>
        <stp/>
        <stp>Time</stp>
        <stp>D</stp>
        <stp>-1</stp>
        <stp/>
        <stp/>
        <stp/>
        <stp/>
        <stp>T</stp>
        <tr r="O3" s="14"/>
      </tp>
      <tp>
        <v>43013</v>
        <stp/>
        <stp>StudyData</stp>
        <stp>Bar(((NGEJ19+NGEK19+NGEM19+NGEN19+NGEQ19+NGEU19+NGEV19)/7),1)</stp>
        <stp>Bar</stp>
        <stp/>
        <stp>Time</stp>
        <stp>D</stp>
        <stp>-1</stp>
        <stp/>
        <stp/>
        <stp/>
        <stp/>
        <stp>T</stp>
        <tr r="AJ3" s="14"/>
      </tp>
      <tp>
        <v>2.90357143</v>
        <stp/>
        <stp>StudyData</stp>
        <stp>Bar(((NGEJ18+NGEK18+NGEM18+NGEN18+NGEQ18+NGEU18+NGEV18)/7),1)</stp>
        <stp>Bar</stp>
        <stp/>
        <stp>Open</stp>
        <stp>D</stp>
        <stp>-37</stp>
        <stp/>
        <stp/>
        <stp/>
        <stp/>
        <stp>T</stp>
        <tr r="P39" s="14"/>
      </tp>
      <tp>
        <v>2.7151428599999998</v>
        <stp/>
        <stp>StudyData</stp>
        <stp>Bar(((NGEJ19+NGEK19+NGEM19+NGEN19+NGEQ19+NGEU19+NGEV19)/7),1)</stp>
        <stp>Bar</stp>
        <stp/>
        <stp>Open</stp>
        <stp>D</stp>
        <stp>-36</stp>
        <stp/>
        <stp/>
        <stp/>
        <stp/>
        <stp>T</stp>
        <tr r="AK38" s="14"/>
      </tp>
      <tp>
        <v>2.90357143</v>
        <stp/>
        <stp>StudyData</stp>
        <stp>Bar(((NGEJ18+NGEK18+NGEM18+NGEN18+NGEQ18+NGEU18+NGEV18)/7),1)</stp>
        <stp>Bar</stp>
        <stp/>
        <stp>Open</stp>
        <stp>D</stp>
        <stp>-27</stp>
        <stp/>
        <stp/>
        <stp/>
        <stp/>
        <stp>T</stp>
        <tr r="P29" s="14"/>
      </tp>
      <tp>
        <v>2.7202857100000002</v>
        <stp/>
        <stp>StudyData</stp>
        <stp>Bar(((NGEJ19+NGEK19+NGEM19+NGEN19+NGEQ19+NGEU19+NGEV19)/7),1)</stp>
        <stp>Bar</stp>
        <stp/>
        <stp>Open</stp>
        <stp>D</stp>
        <stp>-26</stp>
        <stp/>
        <stp/>
        <stp/>
        <stp/>
        <stp>T</stp>
        <tr r="AK28" s="14"/>
      </tp>
      <tp>
        <v>2.9467142900000001</v>
        <stp/>
        <stp>StudyData</stp>
        <stp>Bar(((NGEJ18+NGEK18+NGEM18+NGEN18+NGEQ18+NGEU18+NGEV18)/7),1)</stp>
        <stp>Bar</stp>
        <stp/>
        <stp>Open</stp>
        <stp>D</stp>
        <stp>-17</stp>
        <stp/>
        <stp/>
        <stp/>
        <stp/>
        <stp>T</stp>
        <tr r="P19" s="14"/>
      </tp>
      <tp>
        <v>2.7647142900000001</v>
        <stp/>
        <stp>StudyData</stp>
        <stp>Bar(((NGEJ19+NGEK19+NGEM19+NGEN19+NGEQ19+NGEU19+NGEV19)/7),1)</stp>
        <stp>Bar</stp>
        <stp/>
        <stp>Open</stp>
        <stp>D</stp>
        <stp>-16</stp>
        <stp/>
        <stp/>
        <stp/>
        <stp/>
        <stp>T</stp>
        <tr r="AK18" s="14"/>
      </tp>
      <tp t="s">
        <v/>
        <stp/>
        <stp>ContractData</stp>
        <stp>NGES2U8</stp>
        <stp>NetLastTradeToday</stp>
        <stp/>
        <stp>T</stp>
        <tr r="G55" s="2"/>
        <tr r="H55" s="2"/>
      </tp>
      <tp>
        <v>2E-3</v>
        <stp/>
        <stp>ContractData</stp>
        <stp>NGES3U8</stp>
        <stp>NetLastTradeToday</stp>
        <stp/>
        <stp>T</stp>
        <tr r="H71" s="2"/>
        <tr r="G71" s="2"/>
      </tp>
      <tp>
        <v>0</v>
        <stp/>
        <stp>ContractData</stp>
        <stp>NGES1U8</stp>
        <stp>NetLastTradeToday</stp>
        <stp/>
        <stp>T</stp>
        <tr r="H39" s="2"/>
        <tr r="G39" s="2"/>
      </tp>
      <tp t="s">
        <v/>
        <stp/>
        <stp>ContractData</stp>
        <stp>NGES6U8</stp>
        <stp>NetLastTradeToday</stp>
        <stp/>
        <stp>T</stp>
        <tr r="H122" s="2"/>
        <tr r="G122" s="2"/>
      </tp>
      <tp t="s">
        <v/>
        <stp/>
        <stp>ContractData</stp>
        <stp>NGES4U8</stp>
        <stp>NetLastTradeToday</stp>
        <stp/>
        <stp>T</stp>
        <tr r="H87" s="2"/>
        <tr r="G87" s="2"/>
      </tp>
      <tp t="s">
        <v/>
        <stp/>
        <stp>ContractData</stp>
        <stp>NGES5U8</stp>
        <stp>NetLastTradeToday</stp>
        <stp/>
        <stp>T</stp>
        <tr r="G103" s="2"/>
        <tr r="H103" s="2"/>
      </tp>
      <tp>
        <v>3.1316000000000002</v>
        <stp/>
        <stp>StudyData</stp>
        <stp>Bar(((NGEX18+NGEZ18+NGEF19+NGEG19+NGEH19)/5),1)</stp>
        <stp>Bar</stp>
        <stp/>
        <stp>Close</stp>
        <stp>D</stp>
        <stp>-19</stp>
        <stp/>
        <stp/>
        <stp/>
        <stp/>
        <stp>T</stp>
        <tr r="AA21" s="14"/>
      </tp>
      <tp>
        <v>3.0935999999999999</v>
        <stp/>
        <stp>StudyData</stp>
        <stp>Bar(((NGEX18+NGEZ18+NGEF19+NGEG19+NGEH19)/5),1)</stp>
        <stp>Bar</stp>
        <stp/>
        <stp>Close</stp>
        <stp>D</stp>
        <stp>-39</stp>
        <stp/>
        <stp/>
        <stp/>
        <stp/>
        <stp>T</stp>
        <tr r="AA41" s="14"/>
      </tp>
      <tp>
        <v>3.0785999999999998</v>
        <stp/>
        <stp>StudyData</stp>
        <stp>Bar(((NGEX18+NGEZ18+NGEF19+NGEG19+NGEH19)/5),1)</stp>
        <stp>Bar</stp>
        <stp/>
        <stp>Close</stp>
        <stp>D</stp>
        <stp>-29</stp>
        <stp/>
        <stp/>
        <stp/>
        <stp/>
        <stp>T</stp>
        <tr r="AA31" s="14"/>
      </tp>
      <tp>
        <v>3.2042000000000002</v>
        <stp/>
        <stp>StudyData</stp>
        <stp>Bar(((NGEX17+NGEZ17+NGEF18+NGEG18+NGEH18)/5),1)</stp>
        <stp>Bar</stp>
        <stp/>
        <stp>Close</stp>
        <stp>D</stp>
        <stp>-27</stp>
        <stp/>
        <stp/>
        <stp/>
        <stp/>
        <stp>T</stp>
        <tr r="F29" s="14"/>
      </tp>
      <tp>
        <v>3.1854</v>
        <stp/>
        <stp>StudyData</stp>
        <stp>Bar(((NGEX17+NGEZ17+NGEF18+NGEG18+NGEH18)/5),1)</stp>
        <stp>Bar</stp>
        <stp/>
        <stp>Close</stp>
        <stp>D</stp>
        <stp>-37</stp>
        <stp/>
        <stp/>
        <stp/>
        <stp/>
        <stp>T</stp>
        <tr r="F39" s="14"/>
      </tp>
      <tp>
        <v>3.2871999999999999</v>
        <stp/>
        <stp>StudyData</stp>
        <stp>Bar(((NGEX17+NGEZ17+NGEF18+NGEG18+NGEH18)/5),1)</stp>
        <stp>Bar</stp>
        <stp/>
        <stp>Close</stp>
        <stp>D</stp>
        <stp>-17</stp>
        <stp/>
        <stp/>
        <stp/>
        <stp/>
        <stp>T</stp>
        <tr r="F19" s="14"/>
      </tp>
      <tp t="s">
        <v/>
        <stp/>
        <stp>ContractData</stp>
        <stp>NGE?80</stp>
        <stp>LastTradeToday</stp>
        <stp/>
        <stp>T</stp>
        <tr r="F87" s="16"/>
      </tp>
      <tp t="s">
        <v/>
        <stp/>
        <stp>ContractData</stp>
        <stp>NGE?90</stp>
        <stp>LastTradeToday</stp>
        <stp/>
        <stp>T</stp>
        <tr r="F97" s="16"/>
      </tp>
      <tp t="s">
        <v/>
        <stp/>
        <stp>ContractData</stp>
        <stp>NGE?40</stp>
        <stp>LastTradeToday</stp>
        <stp/>
        <stp>T</stp>
        <tr r="F47" s="16"/>
      </tp>
      <tp t="s">
        <v/>
        <stp/>
        <stp>ContractData</stp>
        <stp>NGE?50</stp>
        <stp>LastTradeToday</stp>
        <stp/>
        <stp>T</stp>
        <tr r="F57" s="16"/>
      </tp>
      <tp t="s">
        <v/>
        <stp/>
        <stp>ContractData</stp>
        <stp>NGE?60</stp>
        <stp>LastTradeToday</stp>
        <stp/>
        <stp>T</stp>
        <tr r="F67" s="16"/>
      </tp>
      <tp t="s">
        <v/>
        <stp/>
        <stp>ContractData</stp>
        <stp>NGE?70</stp>
        <stp>LastTradeToday</stp>
        <stp/>
        <stp>T</stp>
        <tr r="F77" s="16"/>
      </tp>
      <tp>
        <v>2.96</v>
        <stp/>
        <stp>ContractData</stp>
        <stp>NGE?10</stp>
        <stp>LastTradeToday</stp>
        <stp/>
        <stp>T</stp>
        <tr r="F17" s="16"/>
      </tp>
      <tp t="s">
        <v/>
        <stp/>
        <stp>ContractData</stp>
        <stp>NGE?20</stp>
        <stp>LastTradeToday</stp>
        <stp/>
        <stp>T</stp>
        <tr r="F27" s="16"/>
      </tp>
      <tp t="s">
        <v/>
        <stp/>
        <stp>ContractData</stp>
        <stp>NGE?30</stp>
        <stp>LastTradeToday</stp>
        <stp/>
        <stp>T</stp>
        <tr r="F37" s="16"/>
      </tp>
      <tp>
        <v>3.1261999999999999</v>
        <stp/>
        <stp>StudyData</stp>
        <stp>Bar(((NGEX18+NGEZ18+NGEF19+NGEG19+NGEH19)/5),1)</stp>
        <stp>Bar</stp>
        <stp/>
        <stp>LOw</stp>
        <stp>D</stp>
        <stp>-8</stp>
        <stp/>
        <stp/>
        <stp/>
        <stp/>
        <stp>T</stp>
        <tr r="Z10" s="14"/>
      </tp>
      <tp>
        <v>3.1753999999999998</v>
        <stp/>
        <stp>StudyData</stp>
        <stp>Bar(((NGEX17+NGEZ17+NGEF18+NGEG18+NGEH18)/5),1)</stp>
        <stp>Bar</stp>
        <stp/>
        <stp>LOw</stp>
        <stp>D</stp>
        <stp>-9</stp>
        <stp/>
        <stp/>
        <stp/>
        <stp/>
        <stp>T</stp>
        <tr r="E11" s="14"/>
      </tp>
      <tp>
        <v>3.1301999999999999</v>
        <stp/>
        <stp>StudyData</stp>
        <stp>Bar(((NGEX18+NGEZ18+NGEF19+NGEG19+NGEH19)/5),1)</stp>
        <stp>Bar</stp>
        <stp/>
        <stp>Close</stp>
        <stp>D</stp>
        <stp>-3</stp>
        <stp/>
        <stp/>
        <stp/>
        <stp/>
        <stp>T</stp>
        <tr r="AA5" s="14"/>
      </tp>
      <tp>
        <v>43012</v>
        <stp/>
        <stp>StudyData</stp>
        <stp>Bar(((NGEJ18+NGEK18+NGEM18+NGEN18+NGEQ18+NGEU18+NGEV18)/7),1)</stp>
        <stp>Bar</stp>
        <stp/>
        <stp>Time</stp>
        <stp>D</stp>
        <stp>-2</stp>
        <stp/>
        <stp/>
        <stp/>
        <stp/>
        <stp>T</stp>
        <tr r="O4" s="14"/>
      </tp>
      <tp>
        <v>43012</v>
        <stp/>
        <stp>StudyData</stp>
        <stp>Bar(((NGEJ19+NGEK19+NGEM19+NGEN19+NGEQ19+NGEU19+NGEV19)/7),1)</stp>
        <stp>Bar</stp>
        <stp/>
        <stp>Time</stp>
        <stp>D</stp>
        <stp>-2</stp>
        <stp/>
        <stp/>
        <stp/>
        <stp/>
        <stp>T</stp>
        <tr r="AJ4" s="14"/>
      </tp>
      <tp>
        <v>2.8815714300000002</v>
        <stp/>
        <stp>StudyData</stp>
        <stp>Bar(((NGEJ18+NGEK18+NGEM18+NGEN18+NGEQ18+NGEU18+NGEV18)/7),1)</stp>
        <stp>Bar</stp>
        <stp/>
        <stp>Open</stp>
        <stp>D</stp>
        <stp>-34</stp>
        <stp/>
        <stp/>
        <stp/>
        <stp/>
        <stp>T</stp>
        <tr r="P36" s="14"/>
      </tp>
      <tp>
        <v>2.7004285700000001</v>
        <stp/>
        <stp>StudyData</stp>
        <stp>Bar(((NGEJ19+NGEK19+NGEM19+NGEN19+NGEQ19+NGEU19+NGEV19)/7),1)</stp>
        <stp>Bar</stp>
        <stp/>
        <stp>Open</stp>
        <stp>D</stp>
        <stp>-35</stp>
        <stp/>
        <stp/>
        <stp/>
        <stp/>
        <stp>T</stp>
        <tr r="AK37" s="14"/>
      </tp>
      <tp>
        <v>2.9157142899999999</v>
        <stp/>
        <stp>StudyData</stp>
        <stp>Bar(((NGEJ18+NGEK18+NGEM18+NGEN18+NGEQ18+NGEU18+NGEV18)/7),1)</stp>
        <stp>Bar</stp>
        <stp/>
        <stp>Open</stp>
        <stp>D</stp>
        <stp>-24</stp>
        <stp/>
        <stp/>
        <stp/>
        <stp/>
        <stp>T</stp>
        <tr r="P26" s="14"/>
      </tp>
      <tp>
        <v>2.72157143</v>
        <stp/>
        <stp>StudyData</stp>
        <stp>Bar(((NGEJ19+NGEK19+NGEM19+NGEN19+NGEQ19+NGEU19+NGEV19)/7),1)</stp>
        <stp>Bar</stp>
        <stp/>
        <stp>Open</stp>
        <stp>D</stp>
        <stp>-25</stp>
        <stp/>
        <stp/>
        <stp/>
        <stp/>
        <stp>T</stp>
        <tr r="AK27" s="14"/>
      </tp>
      <tp>
        <v>2.9648571399999999</v>
        <stp/>
        <stp>StudyData</stp>
        <stp>Bar(((NGEJ18+NGEK18+NGEM18+NGEN18+NGEQ18+NGEU18+NGEV18)/7),1)</stp>
        <stp>Bar</stp>
        <stp/>
        <stp>Open</stp>
        <stp>D</stp>
        <stp>-14</stp>
        <stp/>
        <stp/>
        <stp/>
        <stp/>
        <stp>T</stp>
        <tr r="P16" s="14"/>
      </tp>
      <tp>
        <v>2.7724285700000002</v>
        <stp/>
        <stp>StudyData</stp>
        <stp>Bar(((NGEJ19+NGEK19+NGEM19+NGEN19+NGEQ19+NGEU19+NGEV19)/7),1)</stp>
        <stp>Bar</stp>
        <stp/>
        <stp>Open</stp>
        <stp>D</stp>
        <stp>-15</stp>
        <stp/>
        <stp/>
        <stp/>
        <stp/>
        <stp>T</stp>
        <tr r="AK17" s="14"/>
      </tp>
      <tp>
        <v>2.8450000000000002</v>
        <stp/>
        <stp>StudyData</stp>
        <stp>Bar(((NGEJ18+NGEK18+NGEM18+NGEN18+NGEQ18+NGEU18+NGEV18)/7),1)</stp>
        <stp>Bar</stp>
        <stp/>
        <stp>Open</stp>
        <stp>D</stp>
        <stp>-44</stp>
        <stp/>
        <stp/>
        <stp/>
        <stp/>
        <stp>T</stp>
        <tr r="P46" s="14"/>
      </tp>
      <tp>
        <v>43249</v>
        <stp/>
        <stp>ContractData</stp>
        <stp>NGE?8</stp>
        <stp>ExpirationDate</stp>
        <stp/>
        <stp>T</stp>
        <tr r="AA15" s="16"/>
      </tp>
      <tp t="s">
        <v>Natural Gas (Globex) Calendar Spread 1, Jul 18, Aug 18</v>
        <stp/>
        <stp>ContractData</stp>
        <stp>NGES1N8</stp>
        <stp>LongDescription</stp>
        <stp/>
        <stp>T</stp>
        <tr r="AI10" s="6"/>
      </tp>
      <tp t="s">
        <v>Natural Gas (Globex) Calendar Spread 1, Jun 18, Jul 18</v>
        <stp/>
        <stp>ContractData</stp>
        <stp>NGES1M8</stp>
        <stp>LongDescription</stp>
        <stp/>
        <stp>T</stp>
        <tr r="AI9" s="6"/>
      </tp>
      <tp t="s">
        <v>Natural Gas (Globex) Calendar Spread 1, May 18, Jun 18</v>
        <stp/>
        <stp>ContractData</stp>
        <stp>NGES1K8</stp>
        <stp>LongDescription</stp>
        <stp/>
        <stp>T</stp>
        <tr r="AI8" s="6"/>
      </tp>
      <tp t="s">
        <v>Natural Gas (Globex) Calendar Spread 1, Apr 18, May 18</v>
        <stp/>
        <stp>ContractData</stp>
        <stp>NGES1J8</stp>
        <stp>LongDescription</stp>
        <stp/>
        <stp>T</stp>
        <tr r="AI7" s="6"/>
      </tp>
      <tp t="s">
        <v>Natural Gas (Globex) Calendar Spread 1, Mar 18, Apr 18</v>
        <stp/>
        <stp>ContractData</stp>
        <stp>NGES1H8</stp>
        <stp>LongDescription</stp>
        <stp/>
        <stp>T</stp>
        <tr r="AI6" s="6"/>
      </tp>
      <tp t="s">
        <v>Natural Gas (Globex) Calendar Spread 1, Feb 18, Mar 18</v>
        <stp/>
        <stp>ContractData</stp>
        <stp>NGES1G8</stp>
        <stp>LongDescription</stp>
        <stp/>
        <stp>T</stp>
        <tr r="AI5" s="6"/>
      </tp>
      <tp t="s">
        <v>Natural Gas (Globex) Calendar Spread 1, Jan 18, Feb 18</v>
        <stp/>
        <stp>ContractData</stp>
        <stp>NGES1F8</stp>
        <stp>LongDescription</stp>
        <stp/>
        <stp>T</stp>
        <tr r="AI4" s="6"/>
      </tp>
      <tp t="s">
        <v>Natural Gas (Globex) Calendar Spread 1, Dec 17, Jan 18</v>
        <stp/>
        <stp>ContractData</stp>
        <stp>NGES1Z7</stp>
        <stp>LongDescription</stp>
        <stp/>
        <stp>T</stp>
        <tr r="AI3" s="6"/>
      </tp>
      <tp t="s">
        <v>Natural Gas (Globex) Calendar Spread 1, Nov 17, Dec 17</v>
        <stp/>
        <stp>ContractData</stp>
        <stp>NGES1X7</stp>
        <stp>LongDescription</stp>
        <stp/>
        <stp>T</stp>
        <tr r="AI2" s="6"/>
      </tp>
      <tp t="s">
        <v>Natural Gas (Globex) Calendar Spread 1, Oct 18, Nov 18</v>
        <stp/>
        <stp>ContractData</stp>
        <stp>NGES1V8</stp>
        <stp>LongDescription</stp>
        <stp/>
        <stp>T</stp>
        <tr r="AI13" s="6"/>
      </tp>
      <tp t="s">
        <v>Natural Gas (Globex) Calendar Spread 1, Sep 18, Oct 18</v>
        <stp/>
        <stp>ContractData</stp>
        <stp>NGES1U8</stp>
        <stp>LongDescription</stp>
        <stp/>
        <stp>T</stp>
        <tr r="AI12" s="6"/>
      </tp>
      <tp t="s">
        <v>Natural Gas (Globex) Calendar Spread 1, Aug 18, Sep 18</v>
        <stp/>
        <stp>ContractData</stp>
        <stp>NGES1Q8</stp>
        <stp>LongDescription</stp>
        <stp/>
        <stp>T</stp>
        <tr r="AI11" s="6"/>
      </tp>
      <tp t="s">
        <v>Natural Gas (Globex) Calendar Spread 2, Jul 18, Sep 18</v>
        <stp/>
        <stp>ContractData</stp>
        <stp>NGES2N8</stp>
        <stp>LongDescription</stp>
        <stp/>
        <stp>T</stp>
        <tr r="AI10" s="7"/>
      </tp>
      <tp t="s">
        <v>Natural Gas (Globex) Calendar Spread 2, Jun 18, Aug 18</v>
        <stp/>
        <stp>ContractData</stp>
        <stp>NGES2M8</stp>
        <stp>LongDescription</stp>
        <stp/>
        <stp>T</stp>
        <tr r="AI9" s="7"/>
      </tp>
      <tp t="s">
        <v>Natural Gas (Globex) Calendar Spread 2, May 18, Jul 18</v>
        <stp/>
        <stp>ContractData</stp>
        <stp>NGES2K8</stp>
        <stp>LongDescription</stp>
        <stp/>
        <stp>T</stp>
        <tr r="AI8" s="7"/>
      </tp>
      <tp t="s">
        <v>Natural Gas (Globex) Calendar Spread 2, Apr 18, Jun 18</v>
        <stp/>
        <stp>ContractData</stp>
        <stp>NGES2J8</stp>
        <stp>LongDescription</stp>
        <stp/>
        <stp>T</stp>
        <tr r="AI7" s="7"/>
      </tp>
      <tp t="s">
        <v>Natural Gas (Globex) Calendar Spread 2, Mar 18, May 18</v>
        <stp/>
        <stp>ContractData</stp>
        <stp>NGES2H8</stp>
        <stp>LongDescription</stp>
        <stp/>
        <stp>T</stp>
        <tr r="AI6" s="7"/>
      </tp>
      <tp t="s">
        <v>Natural Gas (Globex) Calendar Spread 2, Feb 18, Apr 18</v>
        <stp/>
        <stp>ContractData</stp>
        <stp>NGES2G8</stp>
        <stp>LongDescription</stp>
        <stp/>
        <stp>T</stp>
        <tr r="AI5" s="7"/>
      </tp>
      <tp t="s">
        <v>Natural Gas (Globex) Calendar Spread 2, Jan 18, Mar 18</v>
        <stp/>
        <stp>ContractData</stp>
        <stp>NGES2F8</stp>
        <stp>LongDescription</stp>
        <stp/>
        <stp>T</stp>
        <tr r="AI4" s="7"/>
      </tp>
      <tp t="s">
        <v>Natural Gas (Globex) Calendar Spread 2, Dec 17, Feb 18</v>
        <stp/>
        <stp>ContractData</stp>
        <stp>NGES2Z7</stp>
        <stp>LongDescription</stp>
        <stp/>
        <stp>T</stp>
        <tr r="AI3" s="7"/>
      </tp>
      <tp t="s">
        <v>Natural Gas (Globex) Calendar Spread 2, Nov 17, Jan 18</v>
        <stp/>
        <stp>ContractData</stp>
        <stp>NGES2X7</stp>
        <stp>LongDescription</stp>
        <stp/>
        <stp>T</stp>
        <tr r="AI2" s="7"/>
      </tp>
      <tp t="s">
        <v>Natural Gas (Globex) Calendar Spread 2, Oct 18, Dec 18</v>
        <stp/>
        <stp>ContractData</stp>
        <stp>NGES2V8</stp>
        <stp>LongDescription</stp>
        <stp/>
        <stp>T</stp>
        <tr r="AI13" s="7"/>
      </tp>
      <tp t="s">
        <v>Natural Gas (Globex) Calendar Spread 2, Sep 18, Nov 18</v>
        <stp/>
        <stp>ContractData</stp>
        <stp>NGES2U8</stp>
        <stp>LongDescription</stp>
        <stp/>
        <stp>T</stp>
        <tr r="AI12" s="7"/>
      </tp>
      <tp t="s">
        <v>Natural Gas (Globex) Calendar Spread 2, Aug 18, Oct 18</v>
        <stp/>
        <stp>ContractData</stp>
        <stp>NGES2Q8</stp>
        <stp>LongDescription</stp>
        <stp/>
        <stp>T</stp>
        <tr r="AI11" s="7"/>
      </tp>
      <tp t="s">
        <v>Natural Gas (Globex) Calendar Spread 3, Jul 18, Oct 18</v>
        <stp/>
        <stp>ContractData</stp>
        <stp>NGES3N8</stp>
        <stp>LongDescription</stp>
        <stp/>
        <stp>T</stp>
        <tr r="AI10" s="8"/>
      </tp>
      <tp t="s">
        <v>Natural Gas (Globex) Calendar Spread 3, Jun 18, Sep 18</v>
        <stp/>
        <stp>ContractData</stp>
        <stp>NGES3M8</stp>
        <stp>LongDescription</stp>
        <stp/>
        <stp>T</stp>
        <tr r="AI9" s="8"/>
      </tp>
      <tp t="s">
        <v>Natural Gas (Globex) Calendar Spread 3, May 18, Aug 18</v>
        <stp/>
        <stp>ContractData</stp>
        <stp>NGES3K8</stp>
        <stp>LongDescription</stp>
        <stp/>
        <stp>T</stp>
        <tr r="AI8" s="8"/>
      </tp>
      <tp t="s">
        <v>Natural Gas (Globex) Calendar Spread 3, Apr 18, Jul 18</v>
        <stp/>
        <stp>ContractData</stp>
        <stp>NGES3J8</stp>
        <stp>LongDescription</stp>
        <stp/>
        <stp>T</stp>
        <tr r="AI7" s="8"/>
      </tp>
      <tp t="s">
        <v>Natural Gas (Globex) Calendar Spread 3, Mar 18, Jun 18</v>
        <stp/>
        <stp>ContractData</stp>
        <stp>NGES3H8</stp>
        <stp>LongDescription</stp>
        <stp/>
        <stp>T</stp>
        <tr r="AI6" s="8"/>
      </tp>
      <tp t="s">
        <v>Natural Gas (Globex) Calendar Spread 3, Feb 18, May 18</v>
        <stp/>
        <stp>ContractData</stp>
        <stp>NGES3G8</stp>
        <stp>LongDescription</stp>
        <stp/>
        <stp>T</stp>
        <tr r="AI5" s="8"/>
      </tp>
      <tp t="s">
        <v>Natural Gas (Globex) Calendar Spread 3, Jan 18, Apr 18</v>
        <stp/>
        <stp>ContractData</stp>
        <stp>NGES3F8</stp>
        <stp>LongDescription</stp>
        <stp/>
        <stp>T</stp>
        <tr r="AI4" s="8"/>
      </tp>
      <tp t="s">
        <v>Natural Gas (Globex) Calendar Spread 3, Dec 17, Mar 18</v>
        <stp/>
        <stp>ContractData</stp>
        <stp>NGES3Z7</stp>
        <stp>LongDescription</stp>
        <stp/>
        <stp>T</stp>
        <tr r="AI3" s="8"/>
      </tp>
      <tp t="s">
        <v>Natural Gas (Globex) Calendar Spread 3, Nov 17, Feb 18</v>
        <stp/>
        <stp>ContractData</stp>
        <stp>NGES3X7</stp>
        <stp>LongDescription</stp>
        <stp/>
        <stp>T</stp>
        <tr r="AI2" s="8"/>
      </tp>
      <tp t="s">
        <v>Natural Gas (Globex) Calendar Spread 3, Oct 18, Jan 19</v>
        <stp/>
        <stp>ContractData</stp>
        <stp>NGES3V8</stp>
        <stp>LongDescription</stp>
        <stp/>
        <stp>T</stp>
        <tr r="AI13" s="8"/>
      </tp>
      <tp t="s">
        <v>Natural Gas (Globex) Calendar Spread 3, Sep 18, Dec 18</v>
        <stp/>
        <stp>ContractData</stp>
        <stp>NGES3U8</stp>
        <stp>LongDescription</stp>
        <stp/>
        <stp>T</stp>
        <tr r="AI12" s="8"/>
      </tp>
      <tp t="s">
        <v>Natural Gas (Globex) Calendar Spread 3, Aug 18, Nov 18</v>
        <stp/>
        <stp>ContractData</stp>
        <stp>NGES3Q8</stp>
        <stp>LongDescription</stp>
        <stp/>
        <stp>T</stp>
        <tr r="AI11" s="8"/>
      </tp>
      <tp t="s">
        <v>Natural Gas (Globex) Calendar Spread 5, Jul 18, Nov 18</v>
        <stp/>
        <stp>ContractData</stp>
        <stp>NGES4N8</stp>
        <stp>LongDescription</stp>
        <stp/>
        <stp>T</stp>
        <tr r="AI10" s="9"/>
      </tp>
      <tp t="s">
        <v>Natural Gas (Globex) Calendar Spread 5, Jun 18, Oct 18</v>
        <stp/>
        <stp>ContractData</stp>
        <stp>NGES4M8</stp>
        <stp>LongDescription</stp>
        <stp/>
        <stp>T</stp>
        <tr r="AI9" s="9"/>
      </tp>
      <tp t="s">
        <v>Natural Gas (Globex) Calendar Spread 5, May 18, Sep 18</v>
        <stp/>
        <stp>ContractData</stp>
        <stp>NGES4K8</stp>
        <stp>LongDescription</stp>
        <stp/>
        <stp>T</stp>
        <tr r="AI8" s="9"/>
      </tp>
      <tp t="s">
        <v>Natural Gas (Globex) Calendar Spread 5, Apr 18, Aug 18</v>
        <stp/>
        <stp>ContractData</stp>
        <stp>NGES4J8</stp>
        <stp>LongDescription</stp>
        <stp/>
        <stp>T</stp>
        <tr r="AI7" s="9"/>
      </tp>
      <tp t="s">
        <v>Natural Gas (Globex) Calendar Spread 5, Mar 18, Jul 18</v>
        <stp/>
        <stp>ContractData</stp>
        <stp>NGES4H8</stp>
        <stp>LongDescription</stp>
        <stp/>
        <stp>T</stp>
        <tr r="AI6" s="9"/>
      </tp>
      <tp t="s">
        <v>Natural Gas (Globex) Calendar Spread 5, Feb 18, Jun 18</v>
        <stp/>
        <stp>ContractData</stp>
        <stp>NGES4G8</stp>
        <stp>LongDescription</stp>
        <stp/>
        <stp>T</stp>
        <tr r="AI5" s="9"/>
      </tp>
      <tp t="s">
        <v>Natural Gas (Globex) Calendar Spread 5, Jan 18, May 18</v>
        <stp/>
        <stp>ContractData</stp>
        <stp>NGES4F8</stp>
        <stp>LongDescription</stp>
        <stp/>
        <stp>T</stp>
        <tr r="AI4" s="9"/>
      </tp>
      <tp t="s">
        <v>Natural Gas (Globex) Calendar Spread 5, Dec 17, Apr 18</v>
        <stp/>
        <stp>ContractData</stp>
        <stp>NGES4Z7</stp>
        <stp>LongDescription</stp>
        <stp/>
        <stp>T</stp>
        <tr r="AI3" s="9"/>
      </tp>
      <tp t="s">
        <v>Natural Gas (Globex) Calendar Spread 5, Nov 17, Mar 18</v>
        <stp/>
        <stp>ContractData</stp>
        <stp>NGES4X7</stp>
        <stp>LongDescription</stp>
        <stp/>
        <stp>T</stp>
        <tr r="AI2" s="9"/>
      </tp>
      <tp t="s">
        <v>Natural Gas (Globex) Calendar Spread 5, Oct 18, Feb 19</v>
        <stp/>
        <stp>ContractData</stp>
        <stp>NGES4V8</stp>
        <stp>LongDescription</stp>
        <stp/>
        <stp>T</stp>
        <tr r="AI13" s="9"/>
      </tp>
      <tp t="s">
        <v>Natural Gas (Globex) Calendar Spread 5, Sep 18, Jan 19</v>
        <stp/>
        <stp>ContractData</stp>
        <stp>NGES4U8</stp>
        <stp>LongDescription</stp>
        <stp/>
        <stp>T</stp>
        <tr r="AI12" s="9"/>
      </tp>
      <tp t="s">
        <v>Natural Gas (Globex) Calendar Spread 5, Aug 18, Dec 18</v>
        <stp/>
        <stp>ContractData</stp>
        <stp>NGES4Q8</stp>
        <stp>LongDescription</stp>
        <stp/>
        <stp>T</stp>
        <tr r="AI11" s="9"/>
      </tp>
      <tp t="s">
        <v>Natural Gas (Globex) Calendar Spread 5, Jul 18, Dec 18</v>
        <stp/>
        <stp>ContractData</stp>
        <stp>NGES5N8</stp>
        <stp>LongDescription</stp>
        <stp/>
        <stp>T</stp>
        <tr r="AI10" s="10"/>
      </tp>
      <tp t="s">
        <v>Natural Gas (Globex) Calendar Spread 5, Jun 18, Nov 18</v>
        <stp/>
        <stp>ContractData</stp>
        <stp>NGES5M8</stp>
        <stp>LongDescription</stp>
        <stp/>
        <stp>T</stp>
        <tr r="AI9" s="10"/>
      </tp>
      <tp t="s">
        <v>Natural Gas (Globex) Calendar Spread 5, May 18, Oct 18</v>
        <stp/>
        <stp>ContractData</stp>
        <stp>NGES5K8</stp>
        <stp>LongDescription</stp>
        <stp/>
        <stp>T</stp>
        <tr r="AI8" s="10"/>
      </tp>
      <tp t="s">
        <v>Natural Gas (Globex) Calendar Spread 5, Apr 18, Sep 18</v>
        <stp/>
        <stp>ContractData</stp>
        <stp>NGES5J8</stp>
        <stp>LongDescription</stp>
        <stp/>
        <stp>T</stp>
        <tr r="AI7" s="10"/>
      </tp>
      <tp t="s">
        <v>Natural Gas (Globex) Calendar Spread 5, Mar 18, Aug 18</v>
        <stp/>
        <stp>ContractData</stp>
        <stp>NGES5H8</stp>
        <stp>LongDescription</stp>
        <stp/>
        <stp>T</stp>
        <tr r="AI6" s="10"/>
      </tp>
      <tp t="s">
        <v>Natural Gas (Globex) Calendar Spread 5, Feb 18, Jul 18</v>
        <stp/>
        <stp>ContractData</stp>
        <stp>NGES5G8</stp>
        <stp>LongDescription</stp>
        <stp/>
        <stp>T</stp>
        <tr r="AI5" s="10"/>
      </tp>
      <tp t="s">
        <v>Natural Gas (Globex) Calendar Spread 5, Jan 18, Jun 18</v>
        <stp/>
        <stp>ContractData</stp>
        <stp>NGES5F8</stp>
        <stp>LongDescription</stp>
        <stp/>
        <stp>T</stp>
        <tr r="AI4" s="10"/>
      </tp>
      <tp t="s">
        <v>Natural Gas (Globex) Calendar Spread 5, Dec 17, May 18</v>
        <stp/>
        <stp>ContractData</stp>
        <stp>NGES5Z7</stp>
        <stp>LongDescription</stp>
        <stp/>
        <stp>T</stp>
        <tr r="AI3" s="10"/>
      </tp>
      <tp t="s">
        <v>Natural Gas (Globex) Calendar Spread 5, Nov 17, Apr 18</v>
        <stp/>
        <stp>ContractData</stp>
        <stp>NGES5X7</stp>
        <stp>LongDescription</stp>
        <stp/>
        <stp>T</stp>
        <tr r="AI2" s="10"/>
      </tp>
      <tp t="s">
        <v>Natural Gas (Globex) Calendar Spread 5, Oct 18, Mar 19</v>
        <stp/>
        <stp>ContractData</stp>
        <stp>NGES5V8</stp>
        <stp>LongDescription</stp>
        <stp/>
        <stp>T</stp>
        <tr r="AI13" s="10"/>
      </tp>
      <tp t="s">
        <v>Natural Gas (Globex) Calendar Spread 5, Sep 18, Feb 19</v>
        <stp/>
        <stp>ContractData</stp>
        <stp>NGES5U8</stp>
        <stp>LongDescription</stp>
        <stp/>
        <stp>T</stp>
        <tr r="AI12" s="10"/>
      </tp>
      <tp t="s">
        <v>Natural Gas (Globex) Calendar Spread 5, Aug 18, Jan 19</v>
        <stp/>
        <stp>ContractData</stp>
        <stp>NGES5Q8</stp>
        <stp>LongDescription</stp>
        <stp/>
        <stp>T</stp>
        <tr r="AI11" s="10"/>
      </tp>
      <tp t="s">
        <v>Natural Gas (Globex) Calendar Spread 6, Jul 18, Jan 19</v>
        <stp/>
        <stp>ContractData</stp>
        <stp>NGES6N8</stp>
        <stp>LongDescription</stp>
        <stp/>
        <stp>T</stp>
        <tr r="AI10" s="11"/>
      </tp>
      <tp t="s">
        <v>Natural Gas (Globex) Calendar Spread 6, Jun 18, Dec 18</v>
        <stp/>
        <stp>ContractData</stp>
        <stp>NGES6M8</stp>
        <stp>LongDescription</stp>
        <stp/>
        <stp>T</stp>
        <tr r="AI9" s="11"/>
      </tp>
      <tp t="s">
        <v>Natural Gas (Globex) Calendar Spread 6, May 18, Nov 18</v>
        <stp/>
        <stp>ContractData</stp>
        <stp>NGES6K8</stp>
        <stp>LongDescription</stp>
        <stp/>
        <stp>T</stp>
        <tr r="AI8" s="11"/>
      </tp>
      <tp t="s">
        <v>Natural Gas (Globex) Calendar Spread 6, Apr 18, Oct 18</v>
        <stp/>
        <stp>ContractData</stp>
        <stp>NGES6J8</stp>
        <stp>LongDescription</stp>
        <stp/>
        <stp>T</stp>
        <tr r="AI7" s="11"/>
      </tp>
      <tp t="s">
        <v>Natural Gas (Globex) Calendar Spread 6, Mar 18, Sep 18</v>
        <stp/>
        <stp>ContractData</stp>
        <stp>NGES6H8</stp>
        <stp>LongDescription</stp>
        <stp/>
        <stp>T</stp>
        <tr r="AI6" s="11"/>
      </tp>
      <tp t="s">
        <v>Natural Gas (Globex) Calendar Spread 6, Feb 18, Aug 18</v>
        <stp/>
        <stp>ContractData</stp>
        <stp>NGES6G8</stp>
        <stp>LongDescription</stp>
        <stp/>
        <stp>T</stp>
        <tr r="AI5" s="11"/>
      </tp>
      <tp t="s">
        <v>Natural Gas (Globex) Calendar Spread 6, Jan 18, Jul 18</v>
        <stp/>
        <stp>ContractData</stp>
        <stp>NGES6F8</stp>
        <stp>LongDescription</stp>
        <stp/>
        <stp>T</stp>
        <tr r="AI4" s="11"/>
      </tp>
      <tp t="s">
        <v>Natural Gas (Globex) Calendar Spread 6, Dec 17, Jun 18</v>
        <stp/>
        <stp>ContractData</stp>
        <stp>NGES6Z7</stp>
        <stp>LongDescription</stp>
        <stp/>
        <stp>T</stp>
        <tr r="AI3" s="11"/>
      </tp>
      <tp t="s">
        <v>Natural Gas (Globex) Calendar Spread 6, Nov 17, May 18</v>
        <stp/>
        <stp>ContractData</stp>
        <stp>NGES6X7</stp>
        <stp>LongDescription</stp>
        <stp/>
        <stp>T</stp>
        <tr r="AI2" s="11"/>
      </tp>
      <tp t="s">
        <v>Natural Gas (Globex) Calendar Spread 6, Oct 18, Apr 19</v>
        <stp/>
        <stp>ContractData</stp>
        <stp>NGES6V8</stp>
        <stp>LongDescription</stp>
        <stp/>
        <stp>T</stp>
        <tr r="AI13" s="11"/>
      </tp>
      <tp t="s">
        <v>Natural Gas (Globex) Calendar Spread 6, Sep 18, Mar 19</v>
        <stp/>
        <stp>ContractData</stp>
        <stp>NGES6U8</stp>
        <stp>LongDescription</stp>
        <stp/>
        <stp>T</stp>
        <tr r="AI12" s="11"/>
      </tp>
      <tp t="s">
        <v>Natural Gas (Globex) Calendar Spread 6, Aug 18, Feb 19</v>
        <stp/>
        <stp>ContractData</stp>
        <stp>NGES6Q8</stp>
        <stp>LongDescription</stp>
        <stp/>
        <stp>T</stp>
        <tr r="AI11" s="11"/>
      </tp>
      <tp>
        <v>3.14</v>
        <stp/>
        <stp>StudyData</stp>
        <stp>Bar(((NGEX18+NGEZ18+NGEF19+NGEG19+NGEH19)/5),1)</stp>
        <stp>Bar</stp>
        <stp/>
        <stp>Close</stp>
        <stp>D</stp>
        <stp>-18</stp>
        <stp/>
        <stp/>
        <stp/>
        <stp/>
        <stp>T</stp>
        <tr r="AA20" s="14"/>
      </tp>
      <tp>
        <v>3.0977999999999999</v>
        <stp/>
        <stp>StudyData</stp>
        <stp>Bar(((NGEX18+NGEZ18+NGEF19+NGEG19+NGEH19)/5),1)</stp>
        <stp>Bar</stp>
        <stp/>
        <stp>Close</stp>
        <stp>D</stp>
        <stp>-38</stp>
        <stp/>
        <stp/>
        <stp/>
        <stp/>
        <stp>T</stp>
        <tr r="AA40" s="14"/>
      </tp>
      <tp>
        <v>3.0920000000000001</v>
        <stp/>
        <stp>StudyData</stp>
        <stp>Bar(((NGEX18+NGEZ18+NGEF19+NGEG19+NGEH19)/5),1)</stp>
        <stp>Bar</stp>
        <stp/>
        <stp>Close</stp>
        <stp>D</stp>
        <stp>-28</stp>
        <stp/>
        <stp/>
        <stp/>
        <stp/>
        <stp>T</stp>
        <tr r="AA30" s="14"/>
      </tp>
      <tp>
        <v>3.1787999999999998</v>
        <stp/>
        <stp>StudyData</stp>
        <stp>Bar(((NGEX17+NGEZ17+NGEF18+NGEG18+NGEH18)/5),1)</stp>
        <stp>Bar</stp>
        <stp/>
        <stp>Close</stp>
        <stp>D</stp>
        <stp>-26</stp>
        <stp/>
        <stp/>
        <stp/>
        <stp/>
        <stp>T</stp>
        <tr r="F28" s="14"/>
      </tp>
      <tp>
        <v>3.1619999999999999</v>
        <stp/>
        <stp>StudyData</stp>
        <stp>Bar(((NGEX17+NGEZ17+NGEF18+NGEG18+NGEH18)/5),1)</stp>
        <stp>Bar</stp>
        <stp/>
        <stp>Close</stp>
        <stp>D</stp>
        <stp>-36</stp>
        <stp/>
        <stp/>
        <stp/>
        <stp/>
        <stp>T</stp>
        <tr r="F38" s="14"/>
      </tp>
      <tp>
        <v>3.2913999999999999</v>
        <stp/>
        <stp>StudyData</stp>
        <stp>Bar(((NGEX17+NGEZ17+NGEF18+NGEG18+NGEH18)/5),1)</stp>
        <stp>Bar</stp>
        <stp/>
        <stp>Close</stp>
        <stp>D</stp>
        <stp>-16</stp>
        <stp/>
        <stp/>
        <stp/>
        <stp/>
        <stp>T</stp>
        <tr r="F18" s="14"/>
      </tp>
      <tp>
        <v>-2.1000000000000001E-2</v>
        <stp/>
        <stp>ContractData</stp>
        <stp>NGES5Z7</stp>
        <stp>NetLastQuoteToday</stp>
        <stp/>
        <stp>T</stp>
        <tr r="X3" s="10"/>
      </tp>
      <tp>
        <v>-1.8000000000000002E-2</v>
        <stp/>
        <stp>ContractData</stp>
        <stp>NGES4Z7</stp>
        <stp>NetLastQuoteToday</stp>
        <stp/>
        <stp>T</stp>
        <tr r="X3" s="9"/>
      </tp>
      <tp>
        <v>-2.6000000000000002E-2</v>
        <stp/>
        <stp>ContractData</stp>
        <stp>NGES6Z7</stp>
        <stp>NetLastQuoteToday</stp>
        <stp/>
        <stp>T</stp>
        <tr r="X3" s="11"/>
      </tp>
      <tp>
        <v>1E-3</v>
        <stp/>
        <stp>ContractData</stp>
        <stp>NGES1Z7</stp>
        <stp>NetLastQuoteToday</stp>
        <stp/>
        <stp>T</stp>
        <tr r="X3" s="6"/>
      </tp>
      <tp>
        <v>-2E-3</v>
        <stp/>
        <stp>ContractData</stp>
        <stp>NGES3Z7</stp>
        <stp>NetLastQuoteToday</stp>
        <stp/>
        <stp>T</stp>
        <tr r="X3" s="8"/>
      </tp>
      <tp>
        <v>1E-3</v>
        <stp/>
        <stp>ContractData</stp>
        <stp>NGES2Z7</stp>
        <stp>NetLastQuoteToday</stp>
        <stp/>
        <stp>T</stp>
        <tr r="X3" s="7"/>
      </tp>
      <tp>
        <v>0.24199999999999999</v>
        <stp/>
        <stp>ContractData</stp>
        <stp>NGES6F8</stp>
        <stp>Open</stp>
        <stp/>
        <stp>T</stp>
        <tr r="C114" s="2"/>
      </tp>
      <tp>
        <v>0.24399999999999999</v>
        <stp/>
        <stp>ContractData</stp>
        <stp>NGES6G8</stp>
        <stp>Open</stp>
        <stp/>
        <stp>T</stp>
        <tr r="C115" s="2"/>
      </tp>
      <tp>
        <v>-0.124</v>
        <stp/>
        <stp>ContractData</stp>
        <stp>NGES1Z7</stp>
        <stp>High</stp>
        <stp/>
        <stp>T</stp>
        <tr r="D30" s="2"/>
      </tp>
      <tp>
        <v>-0.17</v>
        <stp/>
        <stp>ContractData</stp>
        <stp>NGES1X7</stp>
        <stp>High</stp>
        <stp/>
        <stp>T</stp>
        <tr r="D29" s="2"/>
      </tp>
      <tp t="s">
        <v/>
        <stp/>
        <stp>ContractData</stp>
        <stp>NGES6N8</stp>
        <stp>Open</stp>
        <stp/>
        <stp>T</stp>
        <tr r="C120" s="2"/>
      </tp>
      <tp>
        <v>-5.2999999999999999E-2</v>
        <stp/>
        <stp>ContractData</stp>
        <stp>NGES1V8</stp>
        <stp>High</stp>
        <stp/>
        <stp>T</stp>
        <tr r="D40" s="2"/>
      </tp>
      <tp>
        <v>-2.3E-2</v>
        <stp/>
        <stp>ContractData</stp>
        <stp>NGES1U8</stp>
        <stp>High</stp>
        <stp/>
        <stp>T</stp>
        <tr r="D39" s="2"/>
      </tp>
      <tp t="s">
        <v/>
        <stp/>
        <stp>ContractData</stp>
        <stp>NGES6M8</stp>
        <stp>Open</stp>
        <stp/>
        <stp>T</stp>
        <tr r="C119" s="2"/>
      </tp>
      <tp>
        <v>-3.6999999999999998E-2</v>
        <stp/>
        <stp>ContractData</stp>
        <stp>NGES6J8</stp>
        <stp>Open</stp>
        <stp/>
        <stp>T</stp>
        <tr r="C117" s="2"/>
      </tp>
      <tp t="s">
        <v/>
        <stp/>
        <stp>ContractData</stp>
        <stp>NGES6K8</stp>
        <stp>Open</stp>
        <stp/>
        <stp>T</stp>
        <tr r="C118" s="2"/>
      </tp>
      <tp t="s">
        <v/>
        <stp/>
        <stp>ContractData</stp>
        <stp>NGES6H8</stp>
        <stp>Open</stp>
        <stp/>
        <stp>T</stp>
        <tr r="C116" s="2"/>
      </tp>
      <tp>
        <v>1.8000000000000002E-2</v>
        <stp/>
        <stp>ContractData</stp>
        <stp>NGES1Q8</stp>
        <stp>High</stp>
        <stp/>
        <stp>T</stp>
        <tr r="D38" s="2"/>
      </tp>
      <tp t="s">
        <v/>
        <stp/>
        <stp>ContractData</stp>
        <stp>NGES6V8</stp>
        <stp>Open</stp>
        <stp/>
        <stp>T</stp>
        <tr r="C123" s="2"/>
      </tp>
      <tp>
        <v>-2E-3</v>
        <stp/>
        <stp>ContractData</stp>
        <stp>NGES1N8</stp>
        <stp>High</stp>
        <stp/>
        <stp>T</stp>
        <tr r="D37" s="2"/>
      </tp>
      <tp>
        <v>-2.6000000000000002E-2</v>
        <stp/>
        <stp>ContractData</stp>
        <stp>NGES1M8</stp>
        <stp>High</stp>
        <stp/>
        <stp>T</stp>
        <tr r="D36" s="2"/>
      </tp>
      <tp t="s">
        <v/>
        <stp/>
        <stp>ContractData</stp>
        <stp>NGES6U8</stp>
        <stp>Open</stp>
        <stp/>
        <stp>T</stp>
        <tr r="C122" s="2"/>
      </tp>
      <tp>
        <v>-2.9000000000000001E-2</v>
        <stp/>
        <stp>ContractData</stp>
        <stp>NGES1K8</stp>
        <stp>High</stp>
        <stp/>
        <stp>T</stp>
        <tr r="D35" s="2"/>
      </tp>
      <tp>
        <v>2.6000000000000002E-2</v>
        <stp/>
        <stp>ContractData</stp>
        <stp>NGES1J8</stp>
        <stp>High</stp>
        <stp/>
        <stp>T</stp>
        <tr r="D34" s="2"/>
      </tp>
      <tp t="s">
        <v/>
        <stp/>
        <stp>ContractData</stp>
        <stp>NGES6Q8</stp>
        <stp>Open</stp>
        <stp/>
        <stp>T</stp>
        <tr r="C121" s="2"/>
      </tp>
      <tp>
        <v>0.248</v>
        <stp/>
        <stp>ContractData</stp>
        <stp>NGES1H8</stp>
        <stp>High</stp>
        <stp/>
        <stp>T</stp>
        <tr r="D33" s="2"/>
      </tp>
      <tp>
        <v>4.3000000000000003E-2</v>
        <stp/>
        <stp>ContractData</stp>
        <stp>NGES1G8</stp>
        <stp>High</stp>
        <stp/>
        <stp>T</stp>
        <tr r="D32" s="2"/>
      </tp>
      <tp>
        <v>-4.0000000000000001E-3</v>
        <stp/>
        <stp>ContractData</stp>
        <stp>NGES1F8</stp>
        <stp>High</stp>
        <stp/>
        <stp>T</stp>
        <tr r="D31" s="2"/>
      </tp>
      <tp>
        <v>0.14300000000000002</v>
        <stp/>
        <stp>ContractData</stp>
        <stp>NGES6Z7</stp>
        <stp>Open</stp>
        <stp/>
        <stp>T</stp>
        <tr r="C113" s="2"/>
      </tp>
      <tp>
        <v>3.0000000000000001E-3</v>
        <stp/>
        <stp>ContractData</stp>
        <stp>NGES6X7</stp>
        <stp>Open</stp>
        <stp/>
        <stp>T</stp>
        <tr r="C112" s="2"/>
      </tp>
      <tp t="s">
        <v/>
        <stp/>
        <stp>ContractData</stp>
        <stp>NGE?81</stp>
        <stp>LastTradeToday</stp>
        <stp/>
        <stp>T</stp>
        <tr r="F88" s="16"/>
      </tp>
      <tp t="s">
        <v/>
        <stp/>
        <stp>ContractData</stp>
        <stp>NGE?91</stp>
        <stp>LastTradeToday</stp>
        <stp/>
        <stp>T</stp>
        <tr r="F98" s="16"/>
      </tp>
      <tp t="s">
        <v/>
        <stp/>
        <stp>ContractData</stp>
        <stp>NGE?41</stp>
        <stp>LastTradeToday</stp>
        <stp/>
        <stp>T</stp>
        <tr r="F48" s="16"/>
      </tp>
      <tp t="s">
        <v/>
        <stp/>
        <stp>ContractData</stp>
        <stp>NGE?51</stp>
        <stp>LastTradeToday</stp>
        <stp/>
        <stp>T</stp>
        <tr r="F58" s="16"/>
      </tp>
      <tp t="s">
        <v/>
        <stp/>
        <stp>ContractData</stp>
        <stp>NGE?61</stp>
        <stp>LastTradeToday</stp>
        <stp/>
        <stp>T</stp>
        <tr r="F68" s="16"/>
      </tp>
      <tp t="s">
        <v/>
        <stp/>
        <stp>ContractData</stp>
        <stp>NGE?71</stp>
        <stp>LastTradeToday</stp>
        <stp/>
        <stp>T</stp>
        <tr r="F78" s="16"/>
      </tp>
      <tp>
        <v>2.9420000000000002</v>
        <stp/>
        <stp>ContractData</stp>
        <stp>NGE?11</stp>
        <stp>LastTradeToday</stp>
        <stp/>
        <stp>T</stp>
        <tr r="F18" s="16"/>
      </tp>
      <tp t="s">
        <v/>
        <stp/>
        <stp>ContractData</stp>
        <stp>NGE?21</stp>
        <stp>LastTradeToday</stp>
        <stp/>
        <stp>T</stp>
        <tr r="F28" s="16"/>
      </tp>
      <tp t="s">
        <v/>
        <stp/>
        <stp>ContractData</stp>
        <stp>NGE?31</stp>
        <stp>LastTradeToday</stp>
        <stp/>
        <stp>T</stp>
        <tr r="F38" s="16"/>
      </tp>
      <tp>
        <v>3.1328</v>
        <stp/>
        <stp>StudyData</stp>
        <stp>Bar(((NGEX18+NGEZ18+NGEF19+NGEG19+NGEH19)/5),1)</stp>
        <stp>Bar</stp>
        <stp/>
        <stp>LOw</stp>
        <stp>D</stp>
        <stp>-9</stp>
        <stp/>
        <stp/>
        <stp/>
        <stp/>
        <stp>T</stp>
        <tr r="Z11" s="14"/>
      </tp>
      <tp>
        <v>3.1722000000000001</v>
        <stp/>
        <stp>StudyData</stp>
        <stp>Bar(((NGEX17+NGEZ17+NGEF18+NGEG18+NGEH18)/5),1)</stp>
        <stp>Bar</stp>
        <stp/>
        <stp>LOw</stp>
        <stp>D</stp>
        <stp>-8</stp>
        <stp/>
        <stp/>
        <stp/>
        <stp/>
        <stp>T</stp>
        <tr r="E10" s="14"/>
      </tp>
      <tp t="s">
        <v/>
        <stp/>
        <stp>ContractData</stp>
        <stp>NGE?142</stp>
        <stp>High</stp>
        <stp/>
        <stp>T</stp>
        <tr r="Q149" s="16"/>
      </tp>
      <tp t="s">
        <v/>
        <stp/>
        <stp>ContractData</stp>
        <stp>NGE?143</stp>
        <stp>High</stp>
        <stp/>
        <stp>T</stp>
        <tr r="Q150" s="16"/>
      </tp>
      <tp t="s">
        <v/>
        <stp/>
        <stp>ContractData</stp>
        <stp>NGE?140</stp>
        <stp>High</stp>
        <stp/>
        <stp>T</stp>
        <tr r="Q147" s="16"/>
      </tp>
      <tp t="s">
        <v/>
        <stp/>
        <stp>ContractData</stp>
        <stp>NGE?141</stp>
        <stp>High</stp>
        <stp/>
        <stp>T</stp>
        <tr r="Q148" s="16"/>
      </tp>
      <tp t="s">
        <v/>
        <stp/>
        <stp>ContractData</stp>
        <stp>NGE?146</stp>
        <stp>High</stp>
        <stp/>
        <stp>T</stp>
        <tr r="Q153" s="16"/>
      </tp>
      <tp t="s">
        <v/>
        <stp/>
        <stp>ContractData</stp>
        <stp>NGE?144</stp>
        <stp>High</stp>
        <stp/>
        <stp>T</stp>
        <tr r="Q151" s="16"/>
      </tp>
      <tp t="s">
        <v/>
        <stp/>
        <stp>ContractData</stp>
        <stp>NGE?145</stp>
        <stp>High</stp>
        <stp/>
        <stp>T</stp>
        <tr r="Q152" s="16"/>
      </tp>
      <tp t="s">
        <v/>
        <stp/>
        <stp>ContractData</stp>
        <stp>NGE?138</stp>
        <stp>High</stp>
        <stp/>
        <stp>T</stp>
        <tr r="Q145" s="16"/>
      </tp>
      <tp t="s">
        <v/>
        <stp/>
        <stp>ContractData</stp>
        <stp>NGE?139</stp>
        <stp>High</stp>
        <stp/>
        <stp>T</stp>
        <tr r="Q146" s="16"/>
      </tp>
      <tp t="s">
        <v/>
        <stp/>
        <stp>ContractData</stp>
        <stp>NGE?132</stp>
        <stp>High</stp>
        <stp/>
        <stp>T</stp>
        <tr r="Q139" s="16"/>
      </tp>
      <tp t="s">
        <v/>
        <stp/>
        <stp>ContractData</stp>
        <stp>NGE?133</stp>
        <stp>High</stp>
        <stp/>
        <stp>T</stp>
        <tr r="Q140" s="16"/>
      </tp>
      <tp t="s">
        <v/>
        <stp/>
        <stp>ContractData</stp>
        <stp>NGE?130</stp>
        <stp>High</stp>
        <stp/>
        <stp>T</stp>
        <tr r="Q137" s="16"/>
      </tp>
      <tp t="s">
        <v/>
        <stp/>
        <stp>ContractData</stp>
        <stp>NGE?131</stp>
        <stp>High</stp>
        <stp/>
        <stp>T</stp>
        <tr r="Q138" s="16"/>
      </tp>
      <tp t="s">
        <v/>
        <stp/>
        <stp>ContractData</stp>
        <stp>NGE?136</stp>
        <stp>High</stp>
        <stp/>
        <stp>T</stp>
        <tr r="Q143" s="16"/>
      </tp>
      <tp t="s">
        <v/>
        <stp/>
        <stp>ContractData</stp>
        <stp>NGE?137</stp>
        <stp>High</stp>
        <stp/>
        <stp>T</stp>
        <tr r="Q144" s="16"/>
      </tp>
      <tp t="s">
        <v/>
        <stp/>
        <stp>ContractData</stp>
        <stp>NGE?134</stp>
        <stp>High</stp>
        <stp/>
        <stp>T</stp>
        <tr r="Q141" s="16"/>
      </tp>
      <tp t="s">
        <v/>
        <stp/>
        <stp>ContractData</stp>
        <stp>NGE?135</stp>
        <stp>High</stp>
        <stp/>
        <stp>T</stp>
        <tr r="Q142" s="16"/>
      </tp>
      <tp t="s">
        <v/>
        <stp/>
        <stp>ContractData</stp>
        <stp>NGE?128</stp>
        <stp>High</stp>
        <stp/>
        <stp>T</stp>
        <tr r="Q135" s="16"/>
      </tp>
      <tp t="s">
        <v/>
        <stp/>
        <stp>ContractData</stp>
        <stp>NGE?129</stp>
        <stp>High</stp>
        <stp/>
        <stp>T</stp>
        <tr r="Q136" s="16"/>
      </tp>
      <tp t="s">
        <v/>
        <stp/>
        <stp>ContractData</stp>
        <stp>NGE?122</stp>
        <stp>High</stp>
        <stp/>
        <stp>T</stp>
        <tr r="Q129" s="16"/>
      </tp>
      <tp t="s">
        <v/>
        <stp/>
        <stp>ContractData</stp>
        <stp>NGE?123</stp>
        <stp>High</stp>
        <stp/>
        <stp>T</stp>
        <tr r="Q130" s="16"/>
      </tp>
      <tp t="s">
        <v/>
        <stp/>
        <stp>ContractData</stp>
        <stp>NGE?120</stp>
        <stp>High</stp>
        <stp/>
        <stp>T</stp>
        <tr r="Q127" s="16"/>
      </tp>
      <tp t="s">
        <v/>
        <stp/>
        <stp>ContractData</stp>
        <stp>NGE?121</stp>
        <stp>High</stp>
        <stp/>
        <stp>T</stp>
        <tr r="Q128" s="16"/>
      </tp>
      <tp t="s">
        <v/>
        <stp/>
        <stp>ContractData</stp>
        <stp>NGE?126</stp>
        <stp>High</stp>
        <stp/>
        <stp>T</stp>
        <tr r="Q133" s="16"/>
      </tp>
      <tp t="s">
        <v/>
        <stp/>
        <stp>ContractData</stp>
        <stp>NGE?127</stp>
        <stp>High</stp>
        <stp/>
        <stp>T</stp>
        <tr r="Q134" s="16"/>
      </tp>
      <tp t="s">
        <v/>
        <stp/>
        <stp>ContractData</stp>
        <stp>NGE?124</stp>
        <stp>High</stp>
        <stp/>
        <stp>T</stp>
        <tr r="Q131" s="16"/>
      </tp>
      <tp t="s">
        <v/>
        <stp/>
        <stp>ContractData</stp>
        <stp>NGE?125</stp>
        <stp>High</stp>
        <stp/>
        <stp>T</stp>
        <tr r="Q132" s="16"/>
      </tp>
      <tp t="s">
        <v/>
        <stp/>
        <stp>ContractData</stp>
        <stp>NGE?118</stp>
        <stp>High</stp>
        <stp/>
        <stp>T</stp>
        <tr r="Q125" s="16"/>
      </tp>
      <tp t="s">
        <v/>
        <stp/>
        <stp>ContractData</stp>
        <stp>NGE?119</stp>
        <stp>High</stp>
        <stp/>
        <stp>T</stp>
        <tr r="Q126" s="16"/>
      </tp>
      <tp t="s">
        <v/>
        <stp/>
        <stp>ContractData</stp>
        <stp>NGE?112</stp>
        <stp>High</stp>
        <stp/>
        <stp>T</stp>
        <tr r="Q119" s="16"/>
      </tp>
      <tp t="s">
        <v/>
        <stp/>
        <stp>ContractData</stp>
        <stp>NGE?113</stp>
        <stp>High</stp>
        <stp/>
        <stp>T</stp>
        <tr r="Q120" s="16"/>
      </tp>
      <tp t="s">
        <v/>
        <stp/>
        <stp>ContractData</stp>
        <stp>NGE?110</stp>
        <stp>High</stp>
        <stp/>
        <stp>T</stp>
        <tr r="Q117" s="16"/>
      </tp>
      <tp t="s">
        <v/>
        <stp/>
        <stp>ContractData</stp>
        <stp>NGE?111</stp>
        <stp>High</stp>
        <stp/>
        <stp>T</stp>
        <tr r="Q118" s="16"/>
      </tp>
      <tp t="s">
        <v/>
        <stp/>
        <stp>ContractData</stp>
        <stp>NGE?116</stp>
        <stp>High</stp>
        <stp/>
        <stp>T</stp>
        <tr r="Q123" s="16"/>
      </tp>
      <tp t="s">
        <v/>
        <stp/>
        <stp>ContractData</stp>
        <stp>NGE?117</stp>
        <stp>High</stp>
        <stp/>
        <stp>T</stp>
        <tr r="Q124" s="16"/>
      </tp>
      <tp t="s">
        <v/>
        <stp/>
        <stp>ContractData</stp>
        <stp>NGE?114</stp>
        <stp>High</stp>
        <stp/>
        <stp>T</stp>
        <tr r="Q121" s="16"/>
      </tp>
      <tp t="s">
        <v/>
        <stp/>
        <stp>ContractData</stp>
        <stp>NGE?115</stp>
        <stp>High</stp>
        <stp/>
        <stp>T</stp>
        <tr r="Q122" s="16"/>
      </tp>
      <tp t="s">
        <v/>
        <stp/>
        <stp>ContractData</stp>
        <stp>NGE?108</stp>
        <stp>High</stp>
        <stp/>
        <stp>T</stp>
        <tr r="Q115" s="16"/>
      </tp>
      <tp t="s">
        <v/>
        <stp/>
        <stp>ContractData</stp>
        <stp>NGE?109</stp>
        <stp>High</stp>
        <stp/>
        <stp>T</stp>
        <tr r="Q116" s="16"/>
      </tp>
      <tp t="s">
        <v/>
        <stp/>
        <stp>ContractData</stp>
        <stp>NGE?102</stp>
        <stp>High</stp>
        <stp/>
        <stp>T</stp>
        <tr r="Q109" s="16"/>
      </tp>
      <tp t="s">
        <v/>
        <stp/>
        <stp>ContractData</stp>
        <stp>NGE?103</stp>
        <stp>High</stp>
        <stp/>
        <stp>T</stp>
        <tr r="Q110" s="16"/>
      </tp>
      <tp t="s">
        <v/>
        <stp/>
        <stp>ContractData</stp>
        <stp>NGE?100</stp>
        <stp>High</stp>
        <stp/>
        <stp>T</stp>
        <tr r="Q107" s="16"/>
      </tp>
      <tp t="s">
        <v/>
        <stp/>
        <stp>ContractData</stp>
        <stp>NGE?101</stp>
        <stp>High</stp>
        <stp/>
        <stp>T</stp>
        <tr r="Q108" s="16"/>
      </tp>
      <tp t="s">
        <v/>
        <stp/>
        <stp>ContractData</stp>
        <stp>NGE?106</stp>
        <stp>High</stp>
        <stp/>
        <stp>T</stp>
        <tr r="Q113" s="16"/>
      </tp>
      <tp t="s">
        <v/>
        <stp/>
        <stp>ContractData</stp>
        <stp>NGE?107</stp>
        <stp>High</stp>
        <stp/>
        <stp>T</stp>
        <tr r="Q114" s="16"/>
      </tp>
      <tp t="s">
        <v/>
        <stp/>
        <stp>ContractData</stp>
        <stp>NGE?104</stp>
        <stp>High</stp>
        <stp/>
        <stp>T</stp>
        <tr r="Q111" s="16"/>
      </tp>
      <tp t="s">
        <v/>
        <stp/>
        <stp>ContractData</stp>
        <stp>NGE?105</stp>
        <stp>High</stp>
        <stp/>
        <stp>T</stp>
        <tr r="Q112" s="16"/>
      </tp>
      <tp>
        <v>3.1623999999999999</v>
        <stp/>
        <stp>StudyData</stp>
        <stp>Bar(((NGEX18+NGEZ18+NGEF19+NGEG19+NGEH19)/5),1)</stp>
        <stp>Bar</stp>
        <stp/>
        <stp>Close</stp>
        <stp>D</stp>
        <stp>-2</stp>
        <stp/>
        <stp/>
        <stp/>
        <stp/>
        <stp>T</stp>
        <tr r="AA4" s="14"/>
      </tp>
      <tp>
        <v>43011</v>
        <stp/>
        <stp>StudyData</stp>
        <stp>Bar(((NGEJ18+NGEK18+NGEM18+NGEN18+NGEQ18+NGEU18+NGEV18)/7),1)</stp>
        <stp>Bar</stp>
        <stp/>
        <stp>Time</stp>
        <stp>D</stp>
        <stp>-3</stp>
        <stp/>
        <stp/>
        <stp/>
        <stp/>
        <stp>T</stp>
        <tr r="O5" s="14"/>
      </tp>
      <tp>
        <v>43011</v>
        <stp/>
        <stp>StudyData</stp>
        <stp>Bar(((NGEJ19+NGEK19+NGEM19+NGEN19+NGEQ19+NGEU19+NGEV19)/7),1)</stp>
        <stp>Bar</stp>
        <stp/>
        <stp>Time</stp>
        <stp>D</stp>
        <stp>-3</stp>
        <stp/>
        <stp/>
        <stp/>
        <stp/>
        <stp>T</stp>
        <tr r="AJ5" s="14"/>
      </tp>
      <tp>
        <v>2.8772857100000002</v>
        <stp/>
        <stp>StudyData</stp>
        <stp>Bar(((NGEJ18+NGEK18+NGEM18+NGEN18+NGEQ18+NGEU18+NGEV18)/7),1)</stp>
        <stp>Bar</stp>
        <stp/>
        <stp>Open</stp>
        <stp>D</stp>
        <stp>-35</stp>
        <stp/>
        <stp/>
        <stp/>
        <stp/>
        <stp>T</stp>
        <tr r="P37" s="14"/>
      </tp>
      <tp>
        <v>2.7092857100000001</v>
        <stp/>
        <stp>StudyData</stp>
        <stp>Bar(((NGEJ19+NGEK19+NGEM19+NGEN19+NGEQ19+NGEU19+NGEV19)/7),1)</stp>
        <stp>Bar</stp>
        <stp/>
        <stp>Open</stp>
        <stp>D</stp>
        <stp>-34</stp>
        <stp/>
        <stp/>
        <stp/>
        <stp/>
        <stp>T</stp>
        <tr r="AK36" s="14"/>
      </tp>
      <tp>
        <v>2.8964285699999999</v>
        <stp/>
        <stp>StudyData</stp>
        <stp>Bar(((NGEJ18+NGEK18+NGEM18+NGEN18+NGEQ18+NGEU18+NGEV18)/7),1)</stp>
        <stp>Bar</stp>
        <stp/>
        <stp>Open</stp>
        <stp>D</stp>
        <stp>-25</stp>
        <stp/>
        <stp/>
        <stp/>
        <stp/>
        <stp>T</stp>
        <tr r="P27" s="14"/>
      </tp>
      <tp>
        <v>2.7357142900000002</v>
        <stp/>
        <stp>StudyData</stp>
        <stp>Bar(((NGEJ19+NGEK19+NGEM19+NGEN19+NGEQ19+NGEU19+NGEV19)/7),1)</stp>
        <stp>Bar</stp>
        <stp/>
        <stp>Open</stp>
        <stp>D</stp>
        <stp>-24</stp>
        <stp/>
        <stp/>
        <stp/>
        <stp/>
        <stp>T</stp>
        <tr r="AK26" s="14"/>
      </tp>
      <tp>
        <v>2.9532857099999998</v>
        <stp/>
        <stp>StudyData</stp>
        <stp>Bar(((NGEJ18+NGEK18+NGEM18+NGEN18+NGEQ18+NGEU18+NGEV18)/7),1)</stp>
        <stp>Bar</stp>
        <stp/>
        <stp>Open</stp>
        <stp>D</stp>
        <stp>-15</stp>
        <stp/>
        <stp/>
        <stp/>
        <stp/>
        <stp>T</stp>
        <tr r="P17" s="14"/>
      </tp>
      <tp>
        <v>2.7775714300000001</v>
        <stp/>
        <stp>StudyData</stp>
        <stp>Bar(((NGEJ19+NGEK19+NGEM19+NGEN19+NGEQ19+NGEU19+NGEV19)/7),1)</stp>
        <stp>Bar</stp>
        <stp/>
        <stp>Open</stp>
        <stp>D</stp>
        <stp>-14</stp>
        <stp/>
        <stp/>
        <stp/>
        <stp/>
        <stp>T</stp>
        <tr r="AK16" s="14"/>
      </tp>
      <tp>
        <v>2.7241428600000002</v>
        <stp/>
        <stp>StudyData</stp>
        <stp>Bar(((NGEJ19+NGEK19+NGEM19+NGEN19+NGEQ19+NGEU19+NGEV19)/7),1)</stp>
        <stp>Bar</stp>
        <stp/>
        <stp>Open</stp>
        <stp>D</stp>
        <stp>-44</stp>
        <stp/>
        <stp/>
        <stp/>
        <stp/>
        <stp>T</stp>
        <tr r="AK46" s="14"/>
      </tp>
      <tp>
        <v>43278</v>
        <stp/>
        <stp>ContractData</stp>
        <stp>NGE?9</stp>
        <stp>ExpirationDate</stp>
        <stp/>
        <stp>T</stp>
        <tr r="AA16" s="16"/>
      </tp>
      <tp>
        <v>3.1522000000000001</v>
        <stp/>
        <stp>StudyData</stp>
        <stp>Bar(((NGEX17+NGEZ17+NGEF18+NGEG18+NGEH18)/5),1)</stp>
        <stp>Bar</stp>
        <stp/>
        <stp>Close</stp>
        <stp>D</stp>
        <stp>-41</stp>
        <stp/>
        <stp/>
        <stp/>
        <stp/>
        <stp>T</stp>
        <tr r="F43" s="14"/>
      </tp>
      <tp>
        <v>3.2185999999999999</v>
        <stp/>
        <stp>StudyData</stp>
        <stp>Bar(((NGEX17+NGEZ17+NGEF18+NGEG18+NGEH18)/5),1)</stp>
        <stp>Bar</stp>
        <stp/>
        <stp>Close</stp>
        <stp>D</stp>
        <stp>-21</stp>
        <stp/>
        <stp/>
        <stp/>
        <stp/>
        <stp>T</stp>
        <tr r="F23" s="14"/>
      </tp>
      <tp>
        <v>3.1962000000000002</v>
        <stp/>
        <stp>StudyData</stp>
        <stp>Bar(((NGEX17+NGEZ17+NGEF18+NGEG18+NGEH18)/5),1)</stp>
        <stp>Bar</stp>
        <stp/>
        <stp>Close</stp>
        <stp>D</stp>
        <stp>-31</stp>
        <stp/>
        <stp/>
        <stp/>
        <stp/>
        <stp>T</stp>
        <tr r="F33" s="14"/>
      </tp>
      <tp>
        <v>3.2021999999999999</v>
        <stp/>
        <stp>StudyData</stp>
        <stp>Bar(((NGEX17+NGEZ17+NGEF18+NGEG18+NGEH18)/5),1)</stp>
        <stp>Bar</stp>
        <stp/>
        <stp>Close</stp>
        <stp>D</stp>
        <stp>-11</stp>
        <stp/>
        <stp/>
        <stp/>
        <stp/>
        <stp>T</stp>
        <tr r="F13" s="14"/>
      </tp>
      <tp>
        <v>3.1520000000000001</v>
        <stp/>
        <stp>ContractData</stp>
        <stp>SPREAD((NGEX18+NGEZ18+NGEF19+NGEG19+NGEH19)/5)</stp>
        <stp>Bid</stp>
        <stp/>
        <stp>T</stp>
        <tr r="D36" s="13"/>
      </tp>
      <tp>
        <v>-5.0000000000000001E-3</v>
        <stp/>
        <stp>ContractData</stp>
        <stp>NGES1F8</stp>
        <stp>Open</stp>
        <stp/>
        <stp>T</stp>
        <tr r="C31" s="2"/>
      </tp>
      <tp>
        <v>4.3000000000000003E-2</v>
        <stp/>
        <stp>ContractData</stp>
        <stp>NGES1G8</stp>
        <stp>Open</stp>
        <stp/>
        <stp>T</stp>
        <tr r="C32" s="2"/>
      </tp>
      <tp>
        <v>3.157</v>
        <stp/>
        <stp>ContractData</stp>
        <stp>SPREAD((NGEX18+NGEZ18+NGEF19+NGEG19+NGEH19)/5)</stp>
        <stp>Ask</stp>
        <stp/>
        <stp>T</stp>
        <tr r="D34" s="13"/>
      </tp>
      <tp>
        <v>0.14300000000000002</v>
        <stp/>
        <stp>ContractData</stp>
        <stp>NGES6Z7</stp>
        <stp>High</stp>
        <stp/>
        <stp>T</stp>
        <tr r="D113" s="2"/>
      </tp>
      <tp>
        <v>8.0000000000000002E-3</v>
        <stp/>
        <stp>ContractData</stp>
        <stp>NGES6X7</stp>
        <stp>High</stp>
        <stp/>
        <stp>T</stp>
        <tr r="D112" s="2"/>
      </tp>
      <tp>
        <v>-3.0000000000000001E-3</v>
        <stp/>
        <stp>ContractData</stp>
        <stp>NGES1N8</stp>
        <stp>Open</stp>
        <stp/>
        <stp>T</stp>
        <tr r="C37" s="2"/>
      </tp>
      <tp t="s">
        <v/>
        <stp/>
        <stp>ContractData</stp>
        <stp>NGES6V8</stp>
        <stp>High</stp>
        <stp/>
        <stp>T</stp>
        <tr r="D123" s="2"/>
      </tp>
      <tp t="s">
        <v/>
        <stp/>
        <stp>ContractData</stp>
        <stp>NGES6U8</stp>
        <stp>High</stp>
        <stp/>
        <stp>T</stp>
        <tr r="D122" s="2"/>
      </tp>
      <tp>
        <v>-2.6000000000000002E-2</v>
        <stp/>
        <stp>ContractData</stp>
        <stp>NGES1M8</stp>
        <stp>Open</stp>
        <stp/>
        <stp>T</stp>
        <tr r="C36" s="2"/>
      </tp>
      <tp>
        <v>2.6000000000000002E-2</v>
        <stp/>
        <stp>ContractData</stp>
        <stp>NGES1J8</stp>
        <stp>Open</stp>
        <stp/>
        <stp>T</stp>
        <tr r="C34" s="2"/>
      </tp>
      <tp>
        <v>-2.9000000000000001E-2</v>
        <stp/>
        <stp>ContractData</stp>
        <stp>NGES1K8</stp>
        <stp>Open</stp>
        <stp/>
        <stp>T</stp>
        <tr r="C35" s="2"/>
      </tp>
      <tp>
        <v>0.245</v>
        <stp/>
        <stp>ContractData</stp>
        <stp>NGES1H8</stp>
        <stp>Open</stp>
        <stp/>
        <stp>T</stp>
        <tr r="C33" s="2"/>
      </tp>
      <tp t="s">
        <v/>
        <stp/>
        <stp>ContractData</stp>
        <stp>NGES6Q8</stp>
        <stp>High</stp>
        <stp/>
        <stp>T</stp>
        <tr r="D121" s="2"/>
      </tp>
      <tp>
        <v>-5.3999999999999999E-2</v>
        <stp/>
        <stp>ContractData</stp>
        <stp>NGES1V8</stp>
        <stp>Open</stp>
        <stp/>
        <stp>T</stp>
        <tr r="C40" s="2"/>
      </tp>
      <tp t="s">
        <v/>
        <stp/>
        <stp>ContractData</stp>
        <stp>NGES6N8</stp>
        <stp>High</stp>
        <stp/>
        <stp>T</stp>
        <tr r="D120" s="2"/>
      </tp>
      <tp t="s">
        <v/>
        <stp/>
        <stp>ContractData</stp>
        <stp>NGES6M8</stp>
        <stp>High</stp>
        <stp/>
        <stp>T</stp>
        <tr r="D119" s="2"/>
      </tp>
      <tp>
        <v>-2.3E-2</v>
        <stp/>
        <stp>ContractData</stp>
        <stp>NGES1U8</stp>
        <stp>Open</stp>
        <stp/>
        <stp>T</stp>
        <tr r="C39" s="2"/>
      </tp>
      <tp t="s">
        <v/>
        <stp/>
        <stp>ContractData</stp>
        <stp>NGES6K8</stp>
        <stp>High</stp>
        <stp/>
        <stp>T</stp>
        <tr r="D118" s="2"/>
      </tp>
      <tp>
        <v>-3.6000000000000004E-2</v>
        <stp/>
        <stp>ContractData</stp>
        <stp>NGES6J8</stp>
        <stp>High</stp>
        <stp/>
        <stp>T</stp>
        <tr r="D117" s="2"/>
      </tp>
      <tp>
        <v>1.8000000000000002E-2</v>
        <stp/>
        <stp>ContractData</stp>
        <stp>NGES1Q8</stp>
        <stp>Open</stp>
        <stp/>
        <stp>T</stp>
        <tr r="C38" s="2"/>
      </tp>
      <tp t="s">
        <v/>
        <stp/>
        <stp>ContractData</stp>
        <stp>NGES6H8</stp>
        <stp>High</stp>
        <stp/>
        <stp>T</stp>
        <tr r="D116" s="2"/>
      </tp>
      <tp>
        <v>0.24399999999999999</v>
        <stp/>
        <stp>ContractData</stp>
        <stp>NGES6G8</stp>
        <stp>High</stp>
        <stp/>
        <stp>T</stp>
        <tr r="D115" s="2"/>
      </tp>
      <tp>
        <v>0.24299999999999999</v>
        <stp/>
        <stp>ContractData</stp>
        <stp>NGES6F8</stp>
        <stp>High</stp>
        <stp/>
        <stp>T</stp>
        <tr r="D114" s="2"/>
      </tp>
      <tp>
        <v>-0.126</v>
        <stp/>
        <stp>ContractData</stp>
        <stp>NGES1Z7</stp>
        <stp>Open</stp>
        <stp/>
        <stp>T</stp>
        <tr r="C30" s="2"/>
      </tp>
      <tp>
        <v>-0.18099999999999999</v>
        <stp/>
        <stp>ContractData</stp>
        <stp>NGES1X7</stp>
        <stp>Open</stp>
        <stp/>
        <stp>T</stp>
        <tr r="C29" s="2"/>
      </tp>
      <tp t="s">
        <v/>
        <stp/>
        <stp>ContractData</stp>
        <stp>NGE?86</stp>
        <stp>LastTradeToday</stp>
        <stp/>
        <stp>T</stp>
        <tr r="F93" s="16"/>
      </tp>
      <tp t="s">
        <v/>
        <stp/>
        <stp>ContractData</stp>
        <stp>NGE?96</stp>
        <stp>LastTradeToday</stp>
        <stp/>
        <stp>T</stp>
        <tr r="F103" s="16"/>
      </tp>
      <tp t="s">
        <v/>
        <stp/>
        <stp>ContractData</stp>
        <stp>NGE?46</stp>
        <stp>LastTradeToday</stp>
        <stp/>
        <stp>T</stp>
        <tr r="F53" s="16"/>
      </tp>
      <tp t="s">
        <v/>
        <stp/>
        <stp>ContractData</stp>
        <stp>NGE?56</stp>
        <stp>LastTradeToday</stp>
        <stp/>
        <stp>T</stp>
        <tr r="F63" s="16"/>
      </tp>
      <tp t="s">
        <v/>
        <stp/>
        <stp>ContractData</stp>
        <stp>NGE?66</stp>
        <stp>LastTradeToday</stp>
        <stp/>
        <stp>T</stp>
        <tr r="F73" s="16"/>
      </tp>
      <tp t="s">
        <v/>
        <stp/>
        <stp>ContractData</stp>
        <stp>NGE?76</stp>
        <stp>LastTradeToday</stp>
        <stp/>
        <stp>T</stp>
        <tr r="F83" s="16"/>
      </tp>
      <tp t="s">
        <v/>
        <stp/>
        <stp>ContractData</stp>
        <stp>NGE?16</stp>
        <stp>LastTradeToday</stp>
        <stp/>
        <stp>T</stp>
        <tr r="F23" s="16"/>
      </tp>
      <tp t="s">
        <v/>
        <stp/>
        <stp>ContractData</stp>
        <stp>NGE?26</stp>
        <stp>LastTradeToday</stp>
        <stp/>
        <stp>T</stp>
        <tr r="F33" s="16"/>
      </tp>
      <tp t="s">
        <v/>
        <stp/>
        <stp>ContractData</stp>
        <stp>NGE?36</stp>
        <stp>LastTradeToday</stp>
        <stp/>
        <stp>T</stp>
        <tr r="F43" s="16"/>
      </tp>
      <tp t="s">
        <v/>
        <stp/>
        <stp>ContractData</stp>
        <stp>NGE?140</stp>
        <stp>Open</stp>
        <stp/>
        <stp>T</stp>
        <tr r="P147" s="16"/>
      </tp>
      <tp t="s">
        <v/>
        <stp/>
        <stp>ContractData</stp>
        <stp>NGE?141</stp>
        <stp>Open</stp>
        <stp/>
        <stp>T</stp>
        <tr r="P148" s="16"/>
      </tp>
      <tp t="s">
        <v/>
        <stp/>
        <stp>ContractData</stp>
        <stp>NGE?142</stp>
        <stp>Open</stp>
        <stp/>
        <stp>T</stp>
        <tr r="P149" s="16"/>
      </tp>
      <tp t="s">
        <v/>
        <stp/>
        <stp>ContractData</stp>
        <stp>NGE?143</stp>
        <stp>Open</stp>
        <stp/>
        <stp>T</stp>
        <tr r="P150" s="16"/>
      </tp>
      <tp t="s">
        <v/>
        <stp/>
        <stp>ContractData</stp>
        <stp>NGE?144</stp>
        <stp>Open</stp>
        <stp/>
        <stp>T</stp>
        <tr r="P151" s="16"/>
      </tp>
      <tp t="s">
        <v/>
        <stp/>
        <stp>ContractData</stp>
        <stp>NGE?145</stp>
        <stp>Open</stp>
        <stp/>
        <stp>T</stp>
        <tr r="P152" s="16"/>
      </tp>
      <tp t="s">
        <v/>
        <stp/>
        <stp>ContractData</stp>
        <stp>NGE?146</stp>
        <stp>Open</stp>
        <stp/>
        <stp>T</stp>
        <tr r="P153" s="16"/>
      </tp>
      <tp t="s">
        <v/>
        <stp/>
        <stp>ContractData</stp>
        <stp>NGE?128</stp>
        <stp>Open</stp>
        <stp/>
        <stp>T</stp>
        <tr r="P135" s="16"/>
      </tp>
      <tp t="s">
        <v/>
        <stp/>
        <stp>ContractData</stp>
        <stp>NGE?129</stp>
        <stp>Open</stp>
        <stp/>
        <stp>T</stp>
        <tr r="P136" s="16"/>
      </tp>
      <tp t="s">
        <v/>
        <stp/>
        <stp>ContractData</stp>
        <stp>NGE?120</stp>
        <stp>Open</stp>
        <stp/>
        <stp>T</stp>
        <tr r="P127" s="16"/>
      </tp>
      <tp t="s">
        <v/>
        <stp/>
        <stp>ContractData</stp>
        <stp>NGE?121</stp>
        <stp>Open</stp>
        <stp/>
        <stp>T</stp>
        <tr r="P128" s="16"/>
      </tp>
      <tp t="s">
        <v/>
        <stp/>
        <stp>ContractData</stp>
        <stp>NGE?122</stp>
        <stp>Open</stp>
        <stp/>
        <stp>T</stp>
        <tr r="P129" s="16"/>
      </tp>
      <tp t="s">
        <v/>
        <stp/>
        <stp>ContractData</stp>
        <stp>NGE?123</stp>
        <stp>Open</stp>
        <stp/>
        <stp>T</stp>
        <tr r="P130" s="16"/>
      </tp>
      <tp t="s">
        <v/>
        <stp/>
        <stp>ContractData</stp>
        <stp>NGE?124</stp>
        <stp>Open</stp>
        <stp/>
        <stp>T</stp>
        <tr r="P131" s="16"/>
      </tp>
      <tp t="s">
        <v/>
        <stp/>
        <stp>ContractData</stp>
        <stp>NGE?125</stp>
        <stp>Open</stp>
        <stp/>
        <stp>T</stp>
        <tr r="P132" s="16"/>
      </tp>
      <tp t="s">
        <v/>
        <stp/>
        <stp>ContractData</stp>
        <stp>NGE?126</stp>
        <stp>Open</stp>
        <stp/>
        <stp>T</stp>
        <tr r="P133" s="16"/>
      </tp>
      <tp t="s">
        <v/>
        <stp/>
        <stp>ContractData</stp>
        <stp>NGE?127</stp>
        <stp>Open</stp>
        <stp/>
        <stp>T</stp>
        <tr r="P134" s="16"/>
      </tp>
      <tp t="s">
        <v/>
        <stp/>
        <stp>ContractData</stp>
        <stp>NGE?138</stp>
        <stp>Open</stp>
        <stp/>
        <stp>T</stp>
        <tr r="P145" s="16"/>
      </tp>
      <tp t="s">
        <v/>
        <stp/>
        <stp>ContractData</stp>
        <stp>NGE?139</stp>
        <stp>Open</stp>
        <stp/>
        <stp>T</stp>
        <tr r="P146" s="16"/>
      </tp>
      <tp t="s">
        <v/>
        <stp/>
        <stp>ContractData</stp>
        <stp>NGE?130</stp>
        <stp>Open</stp>
        <stp/>
        <stp>T</stp>
        <tr r="P137" s="16"/>
      </tp>
      <tp t="s">
        <v/>
        <stp/>
        <stp>ContractData</stp>
        <stp>NGE?131</stp>
        <stp>Open</stp>
        <stp/>
        <stp>T</stp>
        <tr r="P138" s="16"/>
      </tp>
      <tp t="s">
        <v/>
        <stp/>
        <stp>ContractData</stp>
        <stp>NGE?132</stp>
        <stp>Open</stp>
        <stp/>
        <stp>T</stp>
        <tr r="P139" s="16"/>
      </tp>
      <tp t="s">
        <v/>
        <stp/>
        <stp>ContractData</stp>
        <stp>NGE?133</stp>
        <stp>Open</stp>
        <stp/>
        <stp>T</stp>
        <tr r="P140" s="16"/>
      </tp>
      <tp t="s">
        <v/>
        <stp/>
        <stp>ContractData</stp>
        <stp>NGE?134</stp>
        <stp>Open</stp>
        <stp/>
        <stp>T</stp>
        <tr r="P141" s="16"/>
      </tp>
      <tp t="s">
        <v/>
        <stp/>
        <stp>ContractData</stp>
        <stp>NGE?135</stp>
        <stp>Open</stp>
        <stp/>
        <stp>T</stp>
        <tr r="P142" s="16"/>
      </tp>
      <tp t="s">
        <v/>
        <stp/>
        <stp>ContractData</stp>
        <stp>NGE?136</stp>
        <stp>Open</stp>
        <stp/>
        <stp>T</stp>
        <tr r="P143" s="16"/>
      </tp>
      <tp t="s">
        <v/>
        <stp/>
        <stp>ContractData</stp>
        <stp>NGE?137</stp>
        <stp>Open</stp>
        <stp/>
        <stp>T</stp>
        <tr r="P144" s="16"/>
      </tp>
      <tp t="s">
        <v/>
        <stp/>
        <stp>ContractData</stp>
        <stp>NGE?108</stp>
        <stp>Open</stp>
        <stp/>
        <stp>T</stp>
        <tr r="P115" s="16"/>
      </tp>
      <tp t="s">
        <v/>
        <stp/>
        <stp>ContractData</stp>
        <stp>NGE?109</stp>
        <stp>Open</stp>
        <stp/>
        <stp>T</stp>
        <tr r="P116" s="16"/>
      </tp>
      <tp t="s">
        <v/>
        <stp/>
        <stp>ContractData</stp>
        <stp>NGE?100</stp>
        <stp>Open</stp>
        <stp/>
        <stp>T</stp>
        <tr r="P107" s="16"/>
      </tp>
      <tp t="s">
        <v/>
        <stp/>
        <stp>ContractData</stp>
        <stp>NGE?101</stp>
        <stp>Open</stp>
        <stp/>
        <stp>T</stp>
        <tr r="P108" s="16"/>
      </tp>
      <tp t="s">
        <v/>
        <stp/>
        <stp>ContractData</stp>
        <stp>NGE?102</stp>
        <stp>Open</stp>
        <stp/>
        <stp>T</stp>
        <tr r="P109" s="16"/>
      </tp>
      <tp t="s">
        <v/>
        <stp/>
        <stp>ContractData</stp>
        <stp>NGE?103</stp>
        <stp>Open</stp>
        <stp/>
        <stp>T</stp>
        <tr r="P110" s="16"/>
      </tp>
      <tp t="s">
        <v/>
        <stp/>
        <stp>ContractData</stp>
        <stp>NGE?104</stp>
        <stp>Open</stp>
        <stp/>
        <stp>T</stp>
        <tr r="P111" s="16"/>
      </tp>
      <tp t="s">
        <v/>
        <stp/>
        <stp>ContractData</stp>
        <stp>NGE?105</stp>
        <stp>Open</stp>
        <stp/>
        <stp>T</stp>
        <tr r="P112" s="16"/>
      </tp>
      <tp t="s">
        <v/>
        <stp/>
        <stp>ContractData</stp>
        <stp>NGE?106</stp>
        <stp>Open</stp>
        <stp/>
        <stp>T</stp>
        <tr r="P113" s="16"/>
      </tp>
      <tp t="s">
        <v/>
        <stp/>
        <stp>ContractData</stp>
        <stp>NGE?107</stp>
        <stp>Open</stp>
        <stp/>
        <stp>T</stp>
        <tr r="P114" s="16"/>
      </tp>
      <tp t="s">
        <v/>
        <stp/>
        <stp>ContractData</stp>
        <stp>NGE?118</stp>
        <stp>Open</stp>
        <stp/>
        <stp>T</stp>
        <tr r="P125" s="16"/>
      </tp>
      <tp t="s">
        <v/>
        <stp/>
        <stp>ContractData</stp>
        <stp>NGE?119</stp>
        <stp>Open</stp>
        <stp/>
        <stp>T</stp>
        <tr r="P126" s="16"/>
      </tp>
      <tp t="s">
        <v/>
        <stp/>
        <stp>ContractData</stp>
        <stp>NGE?110</stp>
        <stp>Open</stp>
        <stp/>
        <stp>T</stp>
        <tr r="P117" s="16"/>
      </tp>
      <tp t="s">
        <v/>
        <stp/>
        <stp>ContractData</stp>
        <stp>NGE?111</stp>
        <stp>Open</stp>
        <stp/>
        <stp>T</stp>
        <tr r="P118" s="16"/>
      </tp>
      <tp t="s">
        <v/>
        <stp/>
        <stp>ContractData</stp>
        <stp>NGE?112</stp>
        <stp>Open</stp>
        <stp/>
        <stp>T</stp>
        <tr r="P119" s="16"/>
      </tp>
      <tp t="s">
        <v/>
        <stp/>
        <stp>ContractData</stp>
        <stp>NGE?113</stp>
        <stp>Open</stp>
        <stp/>
        <stp>T</stp>
        <tr r="P120" s="16"/>
      </tp>
      <tp t="s">
        <v/>
        <stp/>
        <stp>ContractData</stp>
        <stp>NGE?114</stp>
        <stp>Open</stp>
        <stp/>
        <stp>T</stp>
        <tr r="P121" s="16"/>
      </tp>
      <tp t="s">
        <v/>
        <stp/>
        <stp>ContractData</stp>
        <stp>NGE?115</stp>
        <stp>Open</stp>
        <stp/>
        <stp>T</stp>
        <tr r="P122" s="16"/>
      </tp>
      <tp t="s">
        <v/>
        <stp/>
        <stp>ContractData</stp>
        <stp>NGE?116</stp>
        <stp>Open</stp>
        <stp/>
        <stp>T</stp>
        <tr r="P123" s="16"/>
      </tp>
      <tp t="s">
        <v/>
        <stp/>
        <stp>ContractData</stp>
        <stp>NGE?117</stp>
        <stp>Open</stp>
        <stp/>
        <stp>T</stp>
        <tr r="P124" s="16"/>
      </tp>
      <tp>
        <v>3.1394000000000002</v>
        <stp/>
        <stp>StudyData</stp>
        <stp>Bar(((NGEX18+NGEZ18+NGEF19+NGEG19+NGEH19)/5),1)</stp>
        <stp>Bar</stp>
        <stp/>
        <stp>Close</stp>
        <stp>D</stp>
        <stp>-5</stp>
        <stp/>
        <stp/>
        <stp/>
        <stp/>
        <stp>T</stp>
        <tr r="AA7" s="14"/>
      </tp>
      <tp>
        <v>43010</v>
        <stp/>
        <stp>StudyData</stp>
        <stp>Bar(((NGEJ18+NGEK18+NGEM18+NGEN18+NGEQ18+NGEU18+NGEV18)/7),1)</stp>
        <stp>Bar</stp>
        <stp/>
        <stp>Time</stp>
        <stp>D</stp>
        <stp>-4</stp>
        <stp/>
        <stp/>
        <stp/>
        <stp/>
        <stp>T</stp>
        <tr r="O6" s="14"/>
      </tp>
      <tp>
        <v>43010</v>
        <stp/>
        <stp>StudyData</stp>
        <stp>Bar(((NGEJ19+NGEK19+NGEM19+NGEN19+NGEQ19+NGEU19+NGEV19)/7),1)</stp>
        <stp>Bar</stp>
        <stp/>
        <stp>Time</stp>
        <stp>D</stp>
        <stp>-4</stp>
        <stp/>
        <stp/>
        <stp/>
        <stp/>
        <stp>T</stp>
        <tr r="AJ6" s="14"/>
      </tp>
      <tp>
        <v>2.89942857</v>
        <stp/>
        <stp>StudyData</stp>
        <stp>Bar(((NGEJ18+NGEK18+NGEM18+NGEN18+NGEQ18+NGEU18+NGEV18)/7),1)</stp>
        <stp>Bar</stp>
        <stp/>
        <stp>Open</stp>
        <stp>D</stp>
        <stp>-32</stp>
        <stp/>
        <stp/>
        <stp/>
        <stp/>
        <stp>T</stp>
        <tr r="P34" s="14"/>
      </tp>
      <tp>
        <v>2.70914286</v>
        <stp/>
        <stp>StudyData</stp>
        <stp>Bar(((NGEJ19+NGEK19+NGEM19+NGEN19+NGEQ19+NGEU19+NGEV19)/7),1)</stp>
        <stp>Bar</stp>
        <stp/>
        <stp>Open</stp>
        <stp>D</stp>
        <stp>-33</stp>
        <stp/>
        <stp/>
        <stp/>
        <stp/>
        <stp>T</stp>
        <tr r="AK35" s="14"/>
      </tp>
      <tp>
        <v>2.91128571</v>
        <stp/>
        <stp>StudyData</stp>
        <stp>Bar(((NGEJ18+NGEK18+NGEM18+NGEN18+NGEQ18+NGEU18+NGEV18)/7),1)</stp>
        <stp>Bar</stp>
        <stp/>
        <stp>Open</stp>
        <stp>D</stp>
        <stp>-22</stp>
        <stp/>
        <stp/>
        <stp/>
        <stp/>
        <stp>T</stp>
        <tr r="P24" s="14"/>
      </tp>
      <tp>
        <v>2.7357142900000002</v>
        <stp/>
        <stp>StudyData</stp>
        <stp>Bar(((NGEJ19+NGEK19+NGEM19+NGEN19+NGEQ19+NGEU19+NGEV19)/7),1)</stp>
        <stp>Bar</stp>
        <stp/>
        <stp>Open</stp>
        <stp>D</stp>
        <stp>-23</stp>
        <stp/>
        <stp/>
        <stp/>
        <stp/>
        <stp>T</stp>
        <tr r="AK25" s="14"/>
      </tp>
      <tp>
        <v>2.9742857100000002</v>
        <stp/>
        <stp>StudyData</stp>
        <stp>Bar(((NGEJ18+NGEK18+NGEM18+NGEN18+NGEQ18+NGEU18+NGEV18)/7),1)</stp>
        <stp>Bar</stp>
        <stp/>
        <stp>Open</stp>
        <stp>D</stp>
        <stp>-12</stp>
        <stp/>
        <stp/>
        <stp/>
        <stp/>
        <stp>T</stp>
        <tr r="P14" s="14"/>
      </tp>
      <tp>
        <v>2.7850000000000001</v>
        <stp/>
        <stp>StudyData</stp>
        <stp>Bar(((NGEJ19+NGEK19+NGEM19+NGEN19+NGEQ19+NGEU19+NGEV19)/7),1)</stp>
        <stp>Bar</stp>
        <stp/>
        <stp>Open</stp>
        <stp>D</stp>
        <stp>-13</stp>
        <stp/>
        <stp/>
        <stp/>
        <stp/>
        <stp>T</stp>
        <tr r="AK15" s="14"/>
      </tp>
      <tp>
        <v>2.8455714300000001</v>
        <stp/>
        <stp>StudyData</stp>
        <stp>Bar(((NGEJ18+NGEK18+NGEM18+NGEN18+NGEQ18+NGEU18+NGEV18)/7),1)</stp>
        <stp>Bar</stp>
        <stp/>
        <stp>Open</stp>
        <stp>D</stp>
        <stp>-42</stp>
        <stp/>
        <stp/>
        <stp/>
        <stp/>
        <stp>T</stp>
        <tr r="P44" s="14"/>
      </tp>
      <tp>
        <v>2.70985714</v>
        <stp/>
        <stp>StudyData</stp>
        <stp>Bar(((NGEJ19+NGEK19+NGEM19+NGEN19+NGEQ19+NGEU19+NGEV19)/7),1)</stp>
        <stp>Bar</stp>
        <stp/>
        <stp>Open</stp>
        <stp>D</stp>
        <stp>-43</stp>
        <stp/>
        <stp/>
        <stp/>
        <stp/>
        <stp>T</stp>
        <tr r="AK45" s="14"/>
      </tp>
      <tp t="s">
        <v>NGEJ8</v>
        <stp/>
        <stp>ContractData</stp>
        <stp>NGEJ18</stp>
        <stp>Symbol</stp>
        <tr r="K18" s="13"/>
      </tp>
      <tp t="s">
        <v>NGEJ9</v>
        <stp/>
        <stp>ContractData</stp>
        <stp>NGEJ19</stp>
        <stp>Symbol</stp>
        <tr r="A54" s="13"/>
      </tp>
      <tp t="s">
        <v>NGEK8</v>
        <stp/>
        <stp>ContractData</stp>
        <stp>NGEK18</stp>
        <stp>Symbol</stp>
        <tr r="L18" s="13"/>
      </tp>
      <tp t="s">
        <v>NGEK9</v>
        <stp/>
        <stp>ContractData</stp>
        <stp>NGEK19</stp>
        <stp>Symbol</stp>
        <tr r="A55" s="13"/>
      </tp>
      <tp t="s">
        <v>NGEH8</v>
        <stp/>
        <stp>ContractData</stp>
        <stp>NGEH18</stp>
        <stp>Symbol</stp>
        <tr r="A17" s="13"/>
      </tp>
      <tp t="s">
        <v>NGEH9</v>
        <stp/>
        <stp>ContractData</stp>
        <stp>NGEH19</stp>
        <stp>Symbol</stp>
        <tr r="A45" s="13"/>
      </tp>
      <tp t="s">
        <v>NGEN8</v>
        <stp/>
        <stp>ContractData</stp>
        <stp>NGEN18</stp>
        <stp>Symbol</stp>
        <tr r="N18" s="13"/>
      </tp>
      <tp t="s">
        <v>NGEN9</v>
        <stp/>
        <stp>ContractData</stp>
        <stp>NGEN19</stp>
        <stp>Symbol</stp>
        <tr r="A57" s="13"/>
      </tp>
      <tp t="s">
        <v>NGEM8</v>
        <stp/>
        <stp>ContractData</stp>
        <stp>NGEM18</stp>
        <stp>Symbol</stp>
        <tr r="M18" s="13"/>
      </tp>
      <tp t="s">
        <v>NGEM9</v>
        <stp/>
        <stp>ContractData</stp>
        <stp>NGEM19</stp>
        <stp>Symbol</stp>
        <tr r="A56" s="13"/>
      </tp>
      <tp t="s">
        <v>NGEF8</v>
        <stp/>
        <stp>ContractData</stp>
        <stp>NGEF18</stp>
        <stp>Symbol</stp>
        <tr r="A15" s="13"/>
      </tp>
      <tp t="s">
        <v>NGEF9</v>
        <stp/>
        <stp>ContractData</stp>
        <stp>NGEF19</stp>
        <stp>Symbol</stp>
        <tr r="A43" s="13"/>
      </tp>
      <tp t="s">
        <v>NGEG8</v>
        <stp/>
        <stp>ContractData</stp>
        <stp>NGEG18</stp>
        <stp>Symbol</stp>
        <tr r="A16" s="13"/>
      </tp>
      <tp t="s">
        <v>NGEG9</v>
        <stp/>
        <stp>ContractData</stp>
        <stp>NGEG19</stp>
        <stp>Symbol</stp>
        <tr r="A44" s="13"/>
      </tp>
      <tp t="s">
        <v>NGEZ8</v>
        <stp/>
        <stp>ContractData</stp>
        <stp>NGEZ18</stp>
        <stp>Symbol</stp>
        <tr r="A42" s="13"/>
      </tp>
      <tp t="s">
        <v>NGEZ7</v>
        <stp/>
        <stp>ContractData</stp>
        <stp>NGEZ17</stp>
        <stp>Symbol</stp>
        <tr r="A14" s="13"/>
      </tp>
      <tp t="s">
        <v>NGEX8</v>
        <stp/>
        <stp>ContractData</stp>
        <stp>NGEX18</stp>
        <stp>Symbol</stp>
        <tr r="A41" s="13"/>
      </tp>
      <tp t="s">
        <v>NGEX7</v>
        <stp/>
        <stp>ContractData</stp>
        <stp>NGEX17</stp>
        <stp>Symbol</stp>
        <tr r="A13" s="13"/>
      </tp>
      <tp>
        <v>3.218</v>
        <stp/>
        <stp>StudyData</stp>
        <stp>Bar(((NGEX17+NGEZ17+NGEF18+NGEG18+NGEH18)/5),1)</stp>
        <stp>Bar</stp>
        <stp/>
        <stp>Close</stp>
        <stp>D</stp>
        <stp>-40</stp>
        <stp/>
        <stp/>
        <stp/>
        <stp/>
        <stp>T</stp>
        <tr r="F42" s="14"/>
      </tp>
      <tp>
        <v>3.157</v>
        <stp/>
        <stp>StudyData</stp>
        <stp>Bar(((NGEX17+NGEZ17+NGEF18+NGEG18+NGEH18)/5),1)</stp>
        <stp>Bar</stp>
        <stp/>
        <stp>Close</stp>
        <stp>D</stp>
        <stp>-20</stp>
        <stp/>
        <stp/>
        <stp/>
        <stp/>
        <stp>T</stp>
        <tr r="F22" s="14"/>
      </tp>
      <tp>
        <v>3.2040000000000002</v>
        <stp/>
        <stp>StudyData</stp>
        <stp>Bar(((NGEX17+NGEZ17+NGEF18+NGEG18+NGEH18)/5),1)</stp>
        <stp>Bar</stp>
        <stp/>
        <stp>Close</stp>
        <stp>D</stp>
        <stp>-30</stp>
        <stp/>
        <stp/>
        <stp/>
        <stp/>
        <stp>T</stp>
        <tr r="F32" s="14"/>
      </tp>
      <tp>
        <v>3.1996000000000002</v>
        <stp/>
        <stp>StudyData</stp>
        <stp>Bar(((NGEX17+NGEZ17+NGEF18+NGEG18+NGEH18)/5),1)</stp>
        <stp>Bar</stp>
        <stp/>
        <stp>Close</stp>
        <stp>D</stp>
        <stp>-10</stp>
        <stp/>
        <stp/>
        <stp/>
        <stp/>
        <stp>T</stp>
        <tr r="F12" s="14"/>
      </tp>
      <tp t="s">
        <v>NGEQ8</v>
        <stp/>
        <stp>ContractData</stp>
        <stp>NGEQ18</stp>
        <stp>Symbol</stp>
        <tr r="O18" s="13"/>
      </tp>
      <tp t="s">
        <v>NGEQ9</v>
        <stp/>
        <stp>ContractData</stp>
        <stp>NGEQ19</stp>
        <stp>Symbol</stp>
        <tr r="A58" s="13"/>
      </tp>
      <tp t="s">
        <v>NGEV8</v>
        <stp/>
        <stp>ContractData</stp>
        <stp>NGEV18</stp>
        <stp>Symbol</stp>
        <tr r="Q18" s="13"/>
      </tp>
      <tp t="s">
        <v>NGEV9</v>
        <stp/>
        <stp>ContractData</stp>
        <stp>NGEV19</stp>
        <stp>Symbol</stp>
        <tr r="A60" s="13"/>
      </tp>
      <tp t="s">
        <v>NGEU8</v>
        <stp/>
        <stp>ContractData</stp>
        <stp>NGEU18</stp>
        <stp>Symbol</stp>
        <tr r="P18" s="13"/>
      </tp>
      <tp t="s">
        <v>NGEU9</v>
        <stp/>
        <stp>ContractData</stp>
        <stp>NGEU19</stp>
        <stp>Symbol</stp>
        <tr r="A59" s="13"/>
      </tp>
      <tp>
        <v>3.1040000000000001</v>
        <stp/>
        <stp>ContractData</stp>
        <stp>SPREAD((NGEX17+NGEZ17+NGEF18+NGEG18+NGEH18)/5)</stp>
        <stp>Bid</stp>
        <stp/>
        <stp>T</stp>
        <tr r="D8" s="13"/>
      </tp>
      <tp>
        <v>3.1070000000000002</v>
        <stp/>
        <stp>ContractData</stp>
        <stp>SPREAD((NGEX17+NGEZ17+NGEF18+NGEG18+NGEH18)/5)</stp>
        <stp>Ask</stp>
        <stp/>
        <stp>T</stp>
        <tr r="D6" s="13"/>
      </tp>
      <tp t="s">
        <v/>
        <stp/>
        <stp>ContractData</stp>
        <stp>NGE?87</stp>
        <stp>LastTradeToday</stp>
        <stp/>
        <stp>T</stp>
        <tr r="F94" s="16"/>
      </tp>
      <tp t="s">
        <v/>
        <stp/>
        <stp>ContractData</stp>
        <stp>NGE?97</stp>
        <stp>LastTradeToday</stp>
        <stp/>
        <stp>T</stp>
        <tr r="F104" s="16"/>
      </tp>
      <tp t="s">
        <v/>
        <stp/>
        <stp>ContractData</stp>
        <stp>NGE?47</stp>
        <stp>LastTradeToday</stp>
        <stp/>
        <stp>T</stp>
        <tr r="F54" s="16"/>
      </tp>
      <tp t="s">
        <v/>
        <stp/>
        <stp>ContractData</stp>
        <stp>NGE?57</stp>
        <stp>LastTradeToday</stp>
        <stp/>
        <stp>T</stp>
        <tr r="F64" s="16"/>
      </tp>
      <tp t="s">
        <v/>
        <stp/>
        <stp>ContractData</stp>
        <stp>NGE?67</stp>
        <stp>LastTradeToday</stp>
        <stp/>
        <stp>T</stp>
        <tr r="F74" s="16"/>
      </tp>
      <tp t="s">
        <v/>
        <stp/>
        <stp>ContractData</stp>
        <stp>NGE?77</stp>
        <stp>LastTradeToday</stp>
        <stp/>
        <stp>T</stp>
        <tr r="F84" s="16"/>
      </tp>
      <tp t="s">
        <v/>
        <stp/>
        <stp>ContractData</stp>
        <stp>NGE?17</stp>
        <stp>LastTradeToday</stp>
        <stp/>
        <stp>T</stp>
        <tr r="F24" s="16"/>
      </tp>
      <tp t="s">
        <v/>
        <stp/>
        <stp>ContractData</stp>
        <stp>NGE?27</stp>
        <stp>LastTradeToday</stp>
        <stp/>
        <stp>T</stp>
        <tr r="F34" s="16"/>
      </tp>
      <tp t="s">
        <v/>
        <stp/>
        <stp>ContractData</stp>
        <stp>NGE?37</stp>
        <stp>LastTradeToday</stp>
        <stp/>
        <stp>T</stp>
        <tr r="F44" s="16"/>
      </tp>
      <tp>
        <v>3.1269999999999998</v>
        <stp/>
        <stp>StudyData</stp>
        <stp>Bar(((NGEX18+NGEZ18+NGEF19+NGEG19+NGEH19)/5),1)</stp>
        <stp>Bar</stp>
        <stp/>
        <stp>Close</stp>
        <stp>D</stp>
        <stp>-4</stp>
        <stp/>
        <stp/>
        <stp/>
        <stp/>
        <stp>T</stp>
        <tr r="AA6" s="14"/>
      </tp>
      <tp t="s">
        <v>NGEV8</v>
        <stp/>
        <stp>ContractData</stp>
        <stp>NGE?12</stp>
        <stp>Symbol</stp>
        <tr r="Q13" s="6"/>
        <tr r="Q13" s="7"/>
        <tr r="Q13" s="10"/>
        <tr r="Q13" s="9"/>
        <tr r="Q13" s="8"/>
        <tr r="Q13" s="11"/>
        <tr r="A24" s="2"/>
      </tp>
      <tp t="s">
        <v>NGEQ8</v>
        <stp/>
        <stp>ContractData</stp>
        <stp>NGE?10</stp>
        <stp>Symbol</stp>
        <tr r="Q11" s="6"/>
        <tr r="Q11" s="9"/>
        <tr r="Q11" s="8"/>
        <tr r="Q11" s="10"/>
        <tr r="Q11" s="7"/>
        <tr r="Q11" s="11"/>
        <tr r="A22" s="2"/>
      </tp>
      <tp t="s">
        <v>NGEU8</v>
        <stp/>
        <stp>ContractData</stp>
        <stp>NGE?11</stp>
        <stp>Symbol</stp>
        <tr r="Q12" s="6"/>
        <tr r="Q12" s="9"/>
        <tr r="Q12" s="10"/>
        <tr r="Q12" s="7"/>
        <tr r="Q12" s="8"/>
        <tr r="Q12" s="11"/>
        <tr r="A23" s="2"/>
      </tp>
      <tp>
        <v>43007</v>
        <stp/>
        <stp>StudyData</stp>
        <stp>Bar(((NGEJ18+NGEK18+NGEM18+NGEN18+NGEQ18+NGEU18+NGEV18)/7),1)</stp>
        <stp>Bar</stp>
        <stp/>
        <stp>Time</stp>
        <stp>D</stp>
        <stp>-5</stp>
        <stp/>
        <stp/>
        <stp/>
        <stp/>
        <stp>T</stp>
        <tr r="O7" s="14"/>
      </tp>
      <tp>
        <v>43007</v>
        <stp/>
        <stp>StudyData</stp>
        <stp>Bar(((NGEJ19+NGEK19+NGEM19+NGEN19+NGEQ19+NGEU19+NGEV19)/7),1)</stp>
        <stp>Bar</stp>
        <stp/>
        <stp>Time</stp>
        <stp>D</stp>
        <stp>-5</stp>
        <stp/>
        <stp/>
        <stp/>
        <stp/>
        <stp>T</stp>
        <tr r="AJ7" s="14"/>
      </tp>
      <tp>
        <v>2.8841428599999999</v>
        <stp/>
        <stp>StudyData</stp>
        <stp>Bar(((NGEJ18+NGEK18+NGEM18+NGEN18+NGEQ18+NGEU18+NGEV18)/7),1)</stp>
        <stp>Bar</stp>
        <stp/>
        <stp>Open</stp>
        <stp>D</stp>
        <stp>-33</stp>
        <stp/>
        <stp/>
        <stp/>
        <stp/>
        <stp>T</stp>
        <tr r="P35" s="14"/>
      </tp>
      <tp>
        <v>2.7238571399999998</v>
        <stp/>
        <stp>StudyData</stp>
        <stp>Bar(((NGEJ19+NGEK19+NGEM19+NGEN19+NGEQ19+NGEU19+NGEV19)/7),1)</stp>
        <stp>Bar</stp>
        <stp/>
        <stp>Open</stp>
        <stp>D</stp>
        <stp>-32</stp>
        <stp/>
        <stp/>
        <stp/>
        <stp/>
        <stp>T</stp>
        <tr r="AK34" s="14"/>
      </tp>
      <tp>
        <v>2.9264285700000001</v>
        <stp/>
        <stp>StudyData</stp>
        <stp>Bar(((NGEJ18+NGEK18+NGEM18+NGEN18+NGEQ18+NGEU18+NGEV18)/7),1)</stp>
        <stp>Bar</stp>
        <stp/>
        <stp>Open</stp>
        <stp>D</stp>
        <stp>-23</stp>
        <stp/>
        <stp/>
        <stp/>
        <stp/>
        <stp>T</stp>
        <tr r="P25" s="14"/>
      </tp>
      <tp>
        <v>2.7294285700000001</v>
        <stp/>
        <stp>StudyData</stp>
        <stp>Bar(((NGEJ19+NGEK19+NGEM19+NGEN19+NGEQ19+NGEU19+NGEV19)/7),1)</stp>
        <stp>Bar</stp>
        <stp/>
        <stp>Open</stp>
        <stp>D</stp>
        <stp>-22</stp>
        <stp/>
        <stp/>
        <stp/>
        <stp/>
        <stp>T</stp>
        <tr r="AK24" s="14"/>
      </tp>
      <tp>
        <v>2.9754285700000001</v>
        <stp/>
        <stp>StudyData</stp>
        <stp>Bar(((NGEJ18+NGEK18+NGEM18+NGEN18+NGEQ18+NGEU18+NGEV18)/7),1)</stp>
        <stp>Bar</stp>
        <stp/>
        <stp>Open</stp>
        <stp>D</stp>
        <stp>-13</stp>
        <stp/>
        <stp/>
        <stp/>
        <stp/>
        <stp>T</stp>
        <tr r="P15" s="14"/>
      </tp>
      <tp>
        <v>2.7844285700000002</v>
        <stp/>
        <stp>StudyData</stp>
        <stp>Bar(((NGEJ19+NGEK19+NGEM19+NGEN19+NGEQ19+NGEU19+NGEV19)/7),1)</stp>
        <stp>Bar</stp>
        <stp/>
        <stp>Open</stp>
        <stp>D</stp>
        <stp>-12</stp>
        <stp/>
        <stp/>
        <stp/>
        <stp/>
        <stp>T</stp>
        <tr r="AK14" s="14"/>
      </tp>
      <tp>
        <v>2.8394285699999999</v>
        <stp/>
        <stp>StudyData</stp>
        <stp>Bar(((NGEJ18+NGEK18+NGEM18+NGEN18+NGEQ18+NGEU18+NGEV18)/7),1)</stp>
        <stp>Bar</stp>
        <stp/>
        <stp>Open</stp>
        <stp>D</stp>
        <stp>-43</stp>
        <stp/>
        <stp/>
        <stp/>
        <stp/>
        <stp>T</stp>
        <tr r="P45" s="14"/>
      </tp>
      <tp>
        <v>2.71828571</v>
        <stp/>
        <stp>StudyData</stp>
        <stp>Bar(((NGEJ19+NGEK19+NGEM19+NGEN19+NGEQ19+NGEU19+NGEV19)/7),1)</stp>
        <stp>Bar</stp>
        <stp/>
        <stp>Open</stp>
        <stp>D</stp>
        <stp>-42</stp>
        <stp/>
        <stp/>
        <stp/>
        <stp/>
        <stp>T</stp>
        <tr r="AK44" s="14"/>
      </tp>
      <tp>
        <v>0</v>
        <stp/>
        <stp>ContractData</stp>
        <stp>NGES2Q8</stp>
        <stp>NetLastTradeToday</stp>
        <stp/>
        <stp>T</stp>
        <tr r="G54" s="2"/>
        <tr r="H54" s="2"/>
      </tp>
      <tp t="s">
        <v/>
        <stp/>
        <stp>ContractData</stp>
        <stp>NGES3Q8</stp>
        <stp>NetLastTradeToday</stp>
        <stp/>
        <stp>T</stp>
        <tr r="G70" s="2"/>
        <tr r="H70" s="2"/>
      </tp>
      <tp>
        <v>0</v>
        <stp/>
        <stp>ContractData</stp>
        <stp>NGES1Q8</stp>
        <stp>NetLastTradeToday</stp>
        <stp/>
        <stp>T</stp>
        <tr r="G38" s="2"/>
        <tr r="H38" s="2"/>
      </tp>
      <tp t="s">
        <v/>
        <stp/>
        <stp>ContractData</stp>
        <stp>NGES6Q8</stp>
        <stp>NetLastTradeToday</stp>
        <stp/>
        <stp>T</stp>
        <tr r="H121" s="2"/>
        <tr r="G121" s="2"/>
      </tp>
      <tp t="s">
        <v/>
        <stp/>
        <stp>ContractData</stp>
        <stp>NGES4Q8</stp>
        <stp>NetLastTradeToday</stp>
        <stp/>
        <stp>T</stp>
        <tr r="G86" s="2"/>
        <tr r="H86" s="2"/>
      </tp>
      <tp t="s">
        <v/>
        <stp/>
        <stp>ContractData</stp>
        <stp>NGES5Q8</stp>
        <stp>NetLastTradeToday</stp>
        <stp/>
        <stp>T</stp>
        <tr r="G102" s="2"/>
        <tr r="H102" s="2"/>
      </tp>
      <tp>
        <v>3.0941999999999998</v>
        <stp/>
        <stp>StudyData</stp>
        <stp>Bar(((NGEX17+NGEZ17+NGEF18+NGEG18+NGEH18)/5),1)</stp>
        <stp>Bar</stp>
        <stp/>
        <stp>Close</stp>
        <stp>D</stp>
        <stp>-43</stp>
        <stp/>
        <stp/>
        <stp/>
        <stp/>
        <stp>T</stp>
        <tr r="F45" s="14"/>
      </tp>
      <tp>
        <v>3.2096</v>
        <stp/>
        <stp>StudyData</stp>
        <stp>Bar(((NGEX17+NGEZ17+NGEF18+NGEG18+NGEH18)/5),1)</stp>
        <stp>Bar</stp>
        <stp/>
        <stp>Close</stp>
        <stp>D</stp>
        <stp>-23</stp>
        <stp/>
        <stp/>
        <stp/>
        <stp/>
        <stp>T</stp>
        <tr r="F25" s="14"/>
      </tp>
      <tp>
        <v>3.2153999999999998</v>
        <stp/>
        <stp>StudyData</stp>
        <stp>Bar(((NGEX17+NGEZ17+NGEF18+NGEG18+NGEH18)/5),1)</stp>
        <stp>Bar</stp>
        <stp/>
        <stp>Close</stp>
        <stp>D</stp>
        <stp>-33</stp>
        <stp/>
        <stp/>
        <stp/>
        <stp/>
        <stp>T</stp>
        <tr r="F35" s="14"/>
      </tp>
      <tp>
        <v>3.3359999999999999</v>
        <stp/>
        <stp>StudyData</stp>
        <stp>Bar(((NGEX17+NGEZ17+NGEF18+NGEG18+NGEH18)/5),1)</stp>
        <stp>Bar</stp>
        <stp/>
        <stp>Close</stp>
        <stp>D</stp>
        <stp>-13</stp>
        <stp/>
        <stp/>
        <stp/>
        <stp/>
        <stp>T</stp>
        <tr r="F15" s="14"/>
      </tp>
      <tp>
        <v>0.28000000000000003</v>
        <stp/>
        <stp>ContractData</stp>
        <stp>NGES3F8</stp>
        <stp>Open</stp>
        <stp/>
        <stp>T</stp>
        <tr r="C63" s="2"/>
      </tp>
      <tp>
        <v>0.30299999999999999</v>
        <stp/>
        <stp>ContractData</stp>
        <stp>NGES3G8</stp>
        <stp>Open</stp>
        <stp/>
        <stp>T</stp>
        <tr r="C64" s="2"/>
      </tp>
      <tp>
        <v>0.159</v>
        <stp/>
        <stp>ContractData</stp>
        <stp>NGES4Z7</stp>
        <stp>High</stp>
        <stp/>
        <stp>T</stp>
        <tr r="D78" s="2"/>
      </tp>
      <tp>
        <v>-0.26</v>
        <stp/>
        <stp>ContractData</stp>
        <stp>NGES4X7</stp>
        <stp>High</stp>
        <stp/>
        <stp>T</stp>
        <tr r="D77" s="2"/>
      </tp>
      <tp t="s">
        <v/>
        <stp/>
        <stp>ContractData</stp>
        <stp>NGES3N8</stp>
        <stp>Open</stp>
        <stp/>
        <stp>T</stp>
        <tr r="C69" s="2"/>
      </tp>
      <tp t="s">
        <v/>
        <stp/>
        <stp>ContractData</stp>
        <stp>NGES4V8</stp>
        <stp>High</stp>
        <stp/>
        <stp>T</stp>
        <tr r="D88" s="2"/>
      </tp>
      <tp t="s">
        <v/>
        <stp/>
        <stp>ContractData</stp>
        <stp>NGES4U8</stp>
        <stp>High</stp>
        <stp/>
        <stp>T</stp>
        <tr r="D87" s="2"/>
      </tp>
      <tp>
        <v>-1.2E-2</v>
        <stp/>
        <stp>ContractData</stp>
        <stp>NGES3M8</stp>
        <stp>Open</stp>
        <stp/>
        <stp>T</stp>
        <tr r="C68" s="2"/>
      </tp>
      <tp>
        <v>-0.03</v>
        <stp/>
        <stp>ContractData</stp>
        <stp>NGES3J8</stp>
        <stp>Open</stp>
        <stp/>
        <stp>T</stp>
        <tr r="C66" s="2"/>
      </tp>
      <tp>
        <v>-5.8000000000000003E-2</v>
        <stp/>
        <stp>ContractData</stp>
        <stp>NGES3K8</stp>
        <stp>Open</stp>
        <stp/>
        <stp>T</stp>
        <tr r="C67" s="2"/>
      </tp>
      <tp>
        <v>0.24199999999999999</v>
        <stp/>
        <stp>ContractData</stp>
        <stp>NGES3H8</stp>
        <stp>Open</stp>
        <stp/>
        <stp>T</stp>
        <tr r="C65" s="2"/>
      </tp>
      <tp t="s">
        <v/>
        <stp/>
        <stp>ContractData</stp>
        <stp>NGES4Q8</stp>
        <stp>High</stp>
        <stp/>
        <stp>T</stp>
        <tr r="D86" s="2"/>
      </tp>
      <tp>
        <v>-0.27400000000000002</v>
        <stp/>
        <stp>ContractData</stp>
        <stp>NGES3V8</stp>
        <stp>Open</stp>
        <stp/>
        <stp>T</stp>
        <tr r="C72" s="2"/>
      </tp>
      <tp t="s">
        <v/>
        <stp/>
        <stp>ContractData</stp>
        <stp>NGES4N8</stp>
        <stp>High</stp>
        <stp/>
        <stp>T</stp>
        <tr r="D85" s="2"/>
      </tp>
      <tp>
        <v>-3.6000000000000004E-2</v>
        <stp/>
        <stp>ContractData</stp>
        <stp>NGES4M8</stp>
        <stp>High</stp>
        <stp/>
        <stp>T</stp>
        <tr r="D84" s="2"/>
      </tp>
      <tp>
        <v>-0.21099999999999999</v>
        <stp/>
        <stp>ContractData</stp>
        <stp>NGES3U8</stp>
        <stp>Open</stp>
        <stp/>
        <stp>T</stp>
        <tr r="C71" s="2"/>
      </tp>
      <tp>
        <v>-3.9E-2</v>
        <stp/>
        <stp>ContractData</stp>
        <stp>NGES4K8</stp>
        <stp>High</stp>
        <stp/>
        <stp>T</stp>
        <tr r="D83" s="2"/>
      </tp>
      <tp>
        <v>-3.3000000000000002E-2</v>
        <stp/>
        <stp>ContractData</stp>
        <stp>NGES4J8</stp>
        <stp>High</stp>
        <stp/>
        <stp>T</stp>
        <tr r="D82" s="2"/>
      </tp>
      <tp t="s">
        <v/>
        <stp/>
        <stp>ContractData</stp>
        <stp>NGES3Q8</stp>
        <stp>Open</stp>
        <stp/>
        <stp>T</stp>
        <tr r="C70" s="2"/>
      </tp>
      <tp>
        <v>0.21299999999999999</v>
        <stp/>
        <stp>ContractData</stp>
        <stp>NGES4H8</stp>
        <stp>High</stp>
        <stp/>
        <stp>T</stp>
        <tr r="D81" s="2"/>
      </tp>
      <tp>
        <v>0.28000000000000003</v>
        <stp/>
        <stp>ContractData</stp>
        <stp>NGES4G8</stp>
        <stp>High</stp>
        <stp/>
        <stp>T</stp>
        <tr r="D80" s="2"/>
      </tp>
      <tp>
        <v>0.31</v>
        <stp/>
        <stp>ContractData</stp>
        <stp>NGES4F8</stp>
        <stp>High</stp>
        <stp/>
        <stp>T</stp>
        <tr r="D79" s="2"/>
      </tp>
      <tp>
        <v>-8.7000000000000008E-2</v>
        <stp/>
        <stp>ContractData</stp>
        <stp>NGES3Z7</stp>
        <stp>Open</stp>
        <stp/>
        <stp>T</stp>
        <tr r="C62" s="2"/>
      </tp>
      <tp>
        <v>-0.311</v>
        <stp/>
        <stp>ContractData</stp>
        <stp>NGES3X7</stp>
        <stp>Open</stp>
        <stp/>
        <stp>T</stp>
        <tr r="C61" s="2"/>
      </tp>
      <tp t="s">
        <v/>
        <stp/>
        <stp>ContractData</stp>
        <stp>NGE?84</stp>
        <stp>LastTradeToday</stp>
        <stp/>
        <stp>T</stp>
        <tr r="F91" s="16"/>
      </tp>
      <tp t="s">
        <v/>
        <stp/>
        <stp>ContractData</stp>
        <stp>NGE?94</stp>
        <stp>LastTradeToday</stp>
        <stp/>
        <stp>T</stp>
        <tr r="F101" s="16"/>
      </tp>
      <tp t="s">
        <v/>
        <stp/>
        <stp>ContractData</stp>
        <stp>NGE?44</stp>
        <stp>LastTradeToday</stp>
        <stp/>
        <stp>T</stp>
        <tr r="F51" s="16"/>
      </tp>
      <tp t="s">
        <v/>
        <stp/>
        <stp>ContractData</stp>
        <stp>NGE?54</stp>
        <stp>LastTradeToday</stp>
        <stp/>
        <stp>T</stp>
        <tr r="F61" s="16"/>
      </tp>
      <tp t="s">
        <v/>
        <stp/>
        <stp>ContractData</stp>
        <stp>NGE?64</stp>
        <stp>LastTradeToday</stp>
        <stp/>
        <stp>T</stp>
        <tr r="F71" s="16"/>
      </tp>
      <tp t="s">
        <v/>
        <stp/>
        <stp>ContractData</stp>
        <stp>NGE?74</stp>
        <stp>LastTradeToday</stp>
        <stp/>
        <stp>T</stp>
        <tr r="F81" s="16"/>
      </tp>
      <tp>
        <v>3.15</v>
        <stp/>
        <stp>ContractData</stp>
        <stp>NGE?14</stp>
        <stp>LastTradeToday</stp>
        <stp/>
        <stp>T</stp>
        <tr r="F21" s="16"/>
      </tp>
      <tp t="s">
        <v/>
        <stp/>
        <stp>ContractData</stp>
        <stp>NGE?24</stp>
        <stp>LastTradeToday</stp>
        <stp/>
        <stp>T</stp>
        <tr r="F31" s="16"/>
      </tp>
      <tp t="s">
        <v/>
        <stp/>
        <stp>ContractData</stp>
        <stp>NGE?34</stp>
        <stp>LastTradeToday</stp>
        <stp/>
        <stp>T</stp>
        <tr r="F41" s="16"/>
      </tp>
      <tp>
        <v>3.1496</v>
        <stp/>
        <stp>StudyData</stp>
        <stp>Bar(((NGEX18+NGEZ18+NGEF19+NGEG19+NGEH19)/5),1)</stp>
        <stp>Bar</stp>
        <stp/>
        <stp>Close</stp>
        <stp>D</stp>
        <stp>-7</stp>
        <stp/>
        <stp/>
        <stp/>
        <stp/>
        <stp>T</stp>
        <tr r="AA9" s="14"/>
      </tp>
      <tp t="s">
        <v/>
        <stp/>
        <stp>ContractData</stp>
        <stp>NGE?108</stp>
        <stp>T_Settlement</stp>
        <stp/>
        <stp>T</stp>
        <tr r="Y115" s="16"/>
      </tp>
      <tp t="s">
        <v/>
        <stp/>
        <stp>ContractData</stp>
        <stp>NGE?109</stp>
        <stp>T_Settlement</stp>
        <stp/>
        <stp>T</stp>
        <tr r="Y116" s="16"/>
      </tp>
      <tp t="s">
        <v/>
        <stp/>
        <stp>ContractData</stp>
        <stp>NGE?104</stp>
        <stp>T_Settlement</stp>
        <stp/>
        <stp>T</stp>
        <tr r="Y111" s="16"/>
      </tp>
      <tp t="s">
        <v/>
        <stp/>
        <stp>ContractData</stp>
        <stp>NGE?105</stp>
        <stp>T_Settlement</stp>
        <stp/>
        <stp>T</stp>
        <tr r="Y112" s="16"/>
      </tp>
      <tp t="s">
        <v/>
        <stp/>
        <stp>ContractData</stp>
        <stp>NGE?106</stp>
        <stp>T_Settlement</stp>
        <stp/>
        <stp>T</stp>
        <tr r="Y113" s="16"/>
      </tp>
      <tp t="s">
        <v/>
        <stp/>
        <stp>ContractData</stp>
        <stp>NGE?107</stp>
        <stp>T_Settlement</stp>
        <stp/>
        <stp>T</stp>
        <tr r="Y114" s="16"/>
      </tp>
      <tp t="s">
        <v/>
        <stp/>
        <stp>ContractData</stp>
        <stp>NGE?100</stp>
        <stp>T_Settlement</stp>
        <stp/>
        <stp>T</stp>
        <tr r="Y107" s="16"/>
      </tp>
      <tp t="s">
        <v/>
        <stp/>
        <stp>ContractData</stp>
        <stp>NGE?101</stp>
        <stp>T_Settlement</stp>
        <stp/>
        <stp>T</stp>
        <tr r="Y108" s="16"/>
      </tp>
      <tp t="s">
        <v/>
        <stp/>
        <stp>ContractData</stp>
        <stp>NGE?102</stp>
        <stp>T_Settlement</stp>
        <stp/>
        <stp>T</stp>
        <tr r="Y109" s="16"/>
      </tp>
      <tp t="s">
        <v/>
        <stp/>
        <stp>ContractData</stp>
        <stp>NGE?103</stp>
        <stp>T_Settlement</stp>
        <stp/>
        <stp>T</stp>
        <tr r="Y110" s="16"/>
      </tp>
      <tp t="s">
        <v/>
        <stp/>
        <stp>ContractData</stp>
        <stp>NGE?118</stp>
        <stp>T_Settlement</stp>
        <stp/>
        <stp>T</stp>
        <tr r="Y125" s="16"/>
      </tp>
      <tp t="s">
        <v/>
        <stp/>
        <stp>ContractData</stp>
        <stp>NGE?119</stp>
        <stp>T_Settlement</stp>
        <stp/>
        <stp>T</stp>
        <tr r="Y126" s="16"/>
      </tp>
      <tp t="s">
        <v/>
        <stp/>
        <stp>ContractData</stp>
        <stp>NGE?114</stp>
        <stp>T_Settlement</stp>
        <stp/>
        <stp>T</stp>
        <tr r="Y121" s="16"/>
      </tp>
      <tp t="s">
        <v/>
        <stp/>
        <stp>ContractData</stp>
        <stp>NGE?115</stp>
        <stp>T_Settlement</stp>
        <stp/>
        <stp>T</stp>
        <tr r="Y122" s="16"/>
      </tp>
      <tp t="s">
        <v/>
        <stp/>
        <stp>ContractData</stp>
        <stp>NGE?116</stp>
        <stp>T_Settlement</stp>
        <stp/>
        <stp>T</stp>
        <tr r="Y123" s="16"/>
      </tp>
      <tp t="s">
        <v/>
        <stp/>
        <stp>ContractData</stp>
        <stp>NGE?117</stp>
        <stp>T_Settlement</stp>
        <stp/>
        <stp>T</stp>
        <tr r="Y124" s="16"/>
      </tp>
      <tp t="s">
        <v/>
        <stp/>
        <stp>ContractData</stp>
        <stp>NGE?110</stp>
        <stp>T_Settlement</stp>
        <stp/>
        <stp>T</stp>
        <tr r="Y117" s="16"/>
      </tp>
      <tp t="s">
        <v/>
        <stp/>
        <stp>ContractData</stp>
        <stp>NGE?111</stp>
        <stp>T_Settlement</stp>
        <stp/>
        <stp>T</stp>
        <tr r="Y118" s="16"/>
      </tp>
      <tp t="s">
        <v/>
        <stp/>
        <stp>ContractData</stp>
        <stp>NGE?112</stp>
        <stp>T_Settlement</stp>
        <stp/>
        <stp>T</stp>
        <tr r="Y119" s="16"/>
      </tp>
      <tp t="s">
        <v/>
        <stp/>
        <stp>ContractData</stp>
        <stp>NGE?113</stp>
        <stp>T_Settlement</stp>
        <stp/>
        <stp>T</stp>
        <tr r="Y120" s="16"/>
      </tp>
      <tp t="s">
        <v/>
        <stp/>
        <stp>ContractData</stp>
        <stp>NGE?128</stp>
        <stp>T_Settlement</stp>
        <stp/>
        <stp>T</stp>
        <tr r="Y135" s="16"/>
      </tp>
      <tp t="s">
        <v/>
        <stp/>
        <stp>ContractData</stp>
        <stp>NGE?129</stp>
        <stp>T_Settlement</stp>
        <stp/>
        <stp>T</stp>
        <tr r="Y136" s="16"/>
      </tp>
      <tp t="s">
        <v/>
        <stp/>
        <stp>ContractData</stp>
        <stp>NGE?124</stp>
        <stp>T_Settlement</stp>
        <stp/>
        <stp>T</stp>
        <tr r="Y131" s="16"/>
      </tp>
      <tp t="s">
        <v/>
        <stp/>
        <stp>ContractData</stp>
        <stp>NGE?125</stp>
        <stp>T_Settlement</stp>
        <stp/>
        <stp>T</stp>
        <tr r="Y132" s="16"/>
      </tp>
      <tp t="s">
        <v/>
        <stp/>
        <stp>ContractData</stp>
        <stp>NGE?126</stp>
        <stp>T_Settlement</stp>
        <stp/>
        <stp>T</stp>
        <tr r="Y133" s="16"/>
      </tp>
      <tp t="s">
        <v/>
        <stp/>
        <stp>ContractData</stp>
        <stp>NGE?127</stp>
        <stp>T_Settlement</stp>
        <stp/>
        <stp>T</stp>
        <tr r="Y134" s="16"/>
      </tp>
      <tp t="s">
        <v/>
        <stp/>
        <stp>ContractData</stp>
        <stp>NGE?120</stp>
        <stp>T_Settlement</stp>
        <stp/>
        <stp>T</stp>
        <tr r="Y127" s="16"/>
      </tp>
      <tp t="s">
        <v/>
        <stp/>
        <stp>ContractData</stp>
        <stp>NGE?121</stp>
        <stp>T_Settlement</stp>
        <stp/>
        <stp>T</stp>
        <tr r="Y128" s="16"/>
      </tp>
      <tp t="s">
        <v/>
        <stp/>
        <stp>ContractData</stp>
        <stp>NGE?122</stp>
        <stp>T_Settlement</stp>
        <stp/>
        <stp>T</stp>
        <tr r="Y129" s="16"/>
      </tp>
      <tp t="s">
        <v/>
        <stp/>
        <stp>ContractData</stp>
        <stp>NGE?123</stp>
        <stp>T_Settlement</stp>
        <stp/>
        <stp>T</stp>
        <tr r="Y130" s="16"/>
      </tp>
      <tp t="s">
        <v/>
        <stp/>
        <stp>ContractData</stp>
        <stp>NGE?138</stp>
        <stp>T_Settlement</stp>
        <stp/>
        <stp>T</stp>
        <tr r="Y145" s="16"/>
      </tp>
      <tp t="s">
        <v/>
        <stp/>
        <stp>ContractData</stp>
        <stp>NGE?139</stp>
        <stp>T_Settlement</stp>
        <stp/>
        <stp>T</stp>
        <tr r="Y146" s="16"/>
      </tp>
      <tp t="s">
        <v/>
        <stp/>
        <stp>ContractData</stp>
        <stp>NGE?134</stp>
        <stp>T_Settlement</stp>
        <stp/>
        <stp>T</stp>
        <tr r="Y141" s="16"/>
      </tp>
      <tp t="s">
        <v/>
        <stp/>
        <stp>ContractData</stp>
        <stp>NGE?135</stp>
        <stp>T_Settlement</stp>
        <stp/>
        <stp>T</stp>
        <tr r="Y142" s="16"/>
      </tp>
      <tp t="s">
        <v/>
        <stp/>
        <stp>ContractData</stp>
        <stp>NGE?136</stp>
        <stp>T_Settlement</stp>
        <stp/>
        <stp>T</stp>
        <tr r="Y143" s="16"/>
      </tp>
      <tp t="s">
        <v/>
        <stp/>
        <stp>ContractData</stp>
        <stp>NGE?137</stp>
        <stp>T_Settlement</stp>
        <stp/>
        <stp>T</stp>
        <tr r="Y144" s="16"/>
      </tp>
      <tp t="s">
        <v/>
        <stp/>
        <stp>ContractData</stp>
        <stp>NGE?130</stp>
        <stp>T_Settlement</stp>
        <stp/>
        <stp>T</stp>
        <tr r="Y137" s="16"/>
      </tp>
      <tp t="s">
        <v/>
        <stp/>
        <stp>ContractData</stp>
        <stp>NGE?131</stp>
        <stp>T_Settlement</stp>
        <stp/>
        <stp>T</stp>
        <tr r="Y138" s="16"/>
      </tp>
      <tp t="s">
        <v/>
        <stp/>
        <stp>ContractData</stp>
        <stp>NGE?132</stp>
        <stp>T_Settlement</stp>
        <stp/>
        <stp>T</stp>
        <tr r="Y139" s="16"/>
      </tp>
      <tp t="s">
        <v/>
        <stp/>
        <stp>ContractData</stp>
        <stp>NGE?133</stp>
        <stp>T_Settlement</stp>
        <stp/>
        <stp>T</stp>
        <tr r="Y140" s="16"/>
      </tp>
      <tp t="s">
        <v/>
        <stp/>
        <stp>ContractData</stp>
        <stp>NGE?144</stp>
        <stp>T_Settlement</stp>
        <stp/>
        <stp>T</stp>
        <tr r="Y151" s="16"/>
      </tp>
      <tp t="s">
        <v/>
        <stp/>
        <stp>ContractData</stp>
        <stp>NGE?145</stp>
        <stp>T_Settlement</stp>
        <stp/>
        <stp>T</stp>
        <tr r="Y152" s="16"/>
      </tp>
      <tp t="s">
        <v/>
        <stp/>
        <stp>ContractData</stp>
        <stp>NGE?146</stp>
        <stp>T_Settlement</stp>
        <stp/>
        <stp>T</stp>
        <tr r="Y153" s="16"/>
      </tp>
      <tp t="s">
        <v/>
        <stp/>
        <stp>ContractData</stp>
        <stp>NGE?140</stp>
        <stp>T_Settlement</stp>
        <stp/>
        <stp>T</stp>
        <tr r="Y147" s="16"/>
      </tp>
      <tp t="s">
        <v/>
        <stp/>
        <stp>ContractData</stp>
        <stp>NGE?141</stp>
        <stp>T_Settlement</stp>
        <stp/>
        <stp>T</stp>
        <tr r="Y148" s="16"/>
      </tp>
      <tp t="s">
        <v/>
        <stp/>
        <stp>ContractData</stp>
        <stp>NGE?142</stp>
        <stp>T_Settlement</stp>
        <stp/>
        <stp>T</stp>
        <tr r="Y149" s="16"/>
      </tp>
      <tp t="s">
        <v/>
        <stp/>
        <stp>ContractData</stp>
        <stp>NGE?143</stp>
        <stp>T_Settlement</stp>
        <stp/>
        <stp>T</stp>
        <tr r="Y150" s="16"/>
      </tp>
      <tp>
        <v>3.1898</v>
        <stp/>
        <stp>StudyData</stp>
        <stp>Bar(((NGEX17+NGEZ17+NGEF18+NGEG18+NGEH18)/5),1)</stp>
        <stp>Bar</stp>
        <stp/>
        <stp>Close</stp>
        <stp>D</stp>
        <stp>-8</stp>
        <stp/>
        <stp/>
        <stp/>
        <stp/>
        <stp>T</stp>
        <tr r="F10" s="14"/>
      </tp>
      <tp>
        <v>43006</v>
        <stp/>
        <stp>StudyData</stp>
        <stp>Bar(((NGEJ18+NGEK18+NGEM18+NGEN18+NGEQ18+NGEU18+NGEV18)/7),1)</stp>
        <stp>Bar</stp>
        <stp/>
        <stp>Time</stp>
        <stp>D</stp>
        <stp>-6</stp>
        <stp/>
        <stp/>
        <stp/>
        <stp/>
        <stp>T</stp>
        <tr r="O8" s="14"/>
      </tp>
      <tp>
        <v>43006</v>
        <stp/>
        <stp>StudyData</stp>
        <stp>Bar(((NGEJ19+NGEK19+NGEM19+NGEN19+NGEQ19+NGEU19+NGEV19)/7),1)</stp>
        <stp>Bar</stp>
        <stp/>
        <stp>Time</stp>
        <stp>D</stp>
        <stp>-6</stp>
        <stp/>
        <stp/>
        <stp/>
        <stp/>
        <stp>T</stp>
        <tr r="AJ8" s="14"/>
      </tp>
      <tp>
        <v>2.9051428600000002</v>
        <stp/>
        <stp>StudyData</stp>
        <stp>Bar(((NGEJ18+NGEK18+NGEM18+NGEN18+NGEQ18+NGEU18+NGEV18)/7),1)</stp>
        <stp>Bar</stp>
        <stp/>
        <stp>Open</stp>
        <stp>D</stp>
        <stp>-30</stp>
        <stp/>
        <stp/>
        <stp/>
        <stp/>
        <stp>T</stp>
        <tr r="P32" s="14"/>
      </tp>
      <tp>
        <v>2.7112857099999998</v>
        <stp/>
        <stp>StudyData</stp>
        <stp>Bar(((NGEJ19+NGEK19+NGEM19+NGEN19+NGEQ19+NGEU19+NGEV19)/7),1)</stp>
        <stp>Bar</stp>
        <stp/>
        <stp>Open</stp>
        <stp>D</stp>
        <stp>-31</stp>
        <stp/>
        <stp/>
        <stp/>
        <stp/>
        <stp>T</stp>
        <tr r="AK33" s="14"/>
      </tp>
      <tp>
        <v>2.93128571</v>
        <stp/>
        <stp>StudyData</stp>
        <stp>Bar(((NGEJ18+NGEK18+NGEM18+NGEN18+NGEQ18+NGEU18+NGEV18)/7),1)</stp>
        <stp>Bar</stp>
        <stp/>
        <stp>Open</stp>
        <stp>D</stp>
        <stp>-20</stp>
        <stp/>
        <stp/>
        <stp/>
        <stp/>
        <stp>T</stp>
        <tr r="P22" s="14"/>
      </tp>
      <tp>
        <v>2.7344285699999999</v>
        <stp/>
        <stp>StudyData</stp>
        <stp>Bar(((NGEJ19+NGEK19+NGEM19+NGEN19+NGEQ19+NGEU19+NGEV19)/7),1)</stp>
        <stp>Bar</stp>
        <stp/>
        <stp>Open</stp>
        <stp>D</stp>
        <stp>-21</stp>
        <stp/>
        <stp/>
        <stp/>
        <stp/>
        <stp>T</stp>
        <tr r="AK23" s="14"/>
      </tp>
      <tp>
        <v>2.9365714299999999</v>
        <stp/>
        <stp>StudyData</stp>
        <stp>Bar(((NGEJ18+NGEK18+NGEM18+NGEN18+NGEQ18+NGEU18+NGEV18)/7),1)</stp>
        <stp>Bar</stp>
        <stp/>
        <stp>Open</stp>
        <stp>D</stp>
        <stp>-10</stp>
        <stp/>
        <stp/>
        <stp/>
        <stp/>
        <stp>T</stp>
        <tr r="P12" s="14"/>
      </tp>
      <tp>
        <v>2.7837142899999998</v>
        <stp/>
        <stp>StudyData</stp>
        <stp>Bar(((NGEJ19+NGEK19+NGEM19+NGEN19+NGEQ19+NGEU19+NGEV19)/7),1)</stp>
        <stp>Bar</stp>
        <stp/>
        <stp>Open</stp>
        <stp>D</stp>
        <stp>-11</stp>
        <stp/>
        <stp/>
        <stp/>
        <stp/>
        <stp>T</stp>
        <tr r="AK13" s="14"/>
      </tp>
      <tp>
        <v>2.8757142899999999</v>
        <stp/>
        <stp>StudyData</stp>
        <stp>Bar(((NGEJ18+NGEK18+NGEM18+NGEN18+NGEQ18+NGEU18+NGEV18)/7),1)</stp>
        <stp>Bar</stp>
        <stp/>
        <stp>Open</stp>
        <stp>D</stp>
        <stp>-40</stp>
        <stp/>
        <stp/>
        <stp/>
        <stp/>
        <stp>T</stp>
        <tr r="P42" s="14"/>
      </tp>
      <tp>
        <v>2.7292857100000001</v>
        <stp/>
        <stp>StudyData</stp>
        <stp>Bar(((NGEJ19+NGEK19+NGEM19+NGEN19+NGEQ19+NGEU19+NGEV19)/7),1)</stp>
        <stp>Bar</stp>
        <stp/>
        <stp>Open</stp>
        <stp>D</stp>
        <stp>-41</stp>
        <stp/>
        <stp/>
        <stp/>
        <stp/>
        <stp>T</stp>
        <tr r="AK43" s="14"/>
      </tp>
      <tp>
        <v>3.1025999999999998</v>
        <stp/>
        <stp>StudyData</stp>
        <stp>Bar(((NGEX17+NGEZ17+NGEF18+NGEG18+NGEH18)/5),1)</stp>
        <stp>Bar</stp>
        <stp/>
        <stp>Close</stp>
        <stp>D</stp>
        <stp>-42</stp>
        <stp/>
        <stp/>
        <stp/>
        <stp/>
        <stp>T</stp>
        <tr r="F44" s="14"/>
      </tp>
      <tp>
        <v>3.2393999999999998</v>
        <stp/>
        <stp>StudyData</stp>
        <stp>Bar(((NGEX17+NGEZ17+NGEF18+NGEG18+NGEH18)/5),1)</stp>
        <stp>Bar</stp>
        <stp/>
        <stp>Close</stp>
        <stp>D</stp>
        <stp>-22</stp>
        <stp/>
        <stp/>
        <stp/>
        <stp/>
        <stp>T</stp>
        <tr r="F24" s="14"/>
      </tp>
      <tp>
        <v>3.1930000000000001</v>
        <stp/>
        <stp>StudyData</stp>
        <stp>Bar(((NGEX17+NGEZ17+NGEF18+NGEG18+NGEH18)/5),1)</stp>
        <stp>Bar</stp>
        <stp/>
        <stp>Close</stp>
        <stp>D</stp>
        <stp>-32</stp>
        <stp/>
        <stp/>
        <stp/>
        <stp/>
        <stp>T</stp>
        <tr r="F34" s="14"/>
      </tp>
      <tp>
        <v>3.3068</v>
        <stp/>
        <stp>StudyData</stp>
        <stp>Bar(((NGEX17+NGEZ17+NGEF18+NGEG18+NGEH18)/5),1)</stp>
        <stp>Bar</stp>
        <stp/>
        <stp>Close</stp>
        <stp>D</stp>
        <stp>-12</stp>
        <stp/>
        <stp/>
        <stp/>
        <stp/>
        <stp>T</stp>
        <tr r="F14" s="14"/>
      </tp>
      <tp>
        <v>3.6999999999999998E-2</v>
        <stp/>
        <stp>ContractData</stp>
        <stp>NGES2F8</stp>
        <stp>Open</stp>
        <stp/>
        <stp>T</stp>
        <tr r="C47" s="2"/>
      </tp>
      <tp>
        <v>0.28800000000000003</v>
        <stp/>
        <stp>ContractData</stp>
        <stp>NGES2G8</stp>
        <stp>Open</stp>
        <stp/>
        <stp>T</stp>
        <tr r="C48" s="2"/>
      </tp>
      <tp>
        <v>0.18</v>
        <stp/>
        <stp>ContractData</stp>
        <stp>NGES5Z7</stp>
        <stp>High</stp>
        <stp/>
        <stp>T</stp>
        <tr r="D94" s="2"/>
      </tp>
      <tp>
        <v>-1.4999999999999999E-2</v>
        <stp/>
        <stp>ContractData</stp>
        <stp>NGES5X7</stp>
        <stp>High</stp>
        <stp/>
        <stp>T</stp>
        <tr r="D93" s="2"/>
      </tp>
      <tp>
        <v>1.4999999999999999E-2</v>
        <stp/>
        <stp>ContractData</stp>
        <stp>NGES2N8</stp>
        <stp>Open</stp>
        <stp/>
        <stp>T</stp>
        <tr r="C53" s="2"/>
      </tp>
      <tp t="s">
        <v/>
        <stp/>
        <stp>ContractData</stp>
        <stp>NGES5V8</stp>
        <stp>High</stp>
        <stp/>
        <stp>T</stp>
        <tr r="D104" s="2"/>
      </tp>
      <tp t="s">
        <v/>
        <stp/>
        <stp>ContractData</stp>
        <stp>NGES5U8</stp>
        <stp>High</stp>
        <stp/>
        <stp>T</stp>
        <tr r="D103" s="2"/>
      </tp>
      <tp>
        <v>-3.1E-2</v>
        <stp/>
        <stp>ContractData</stp>
        <stp>NGES2M8</stp>
        <stp>Open</stp>
        <stp/>
        <stp>T</stp>
        <tr r="C52" s="2"/>
      </tp>
      <tp>
        <v>-3.0000000000000001E-3</v>
        <stp/>
        <stp>ContractData</stp>
        <stp>NGES2J8</stp>
        <stp>Open</stp>
        <stp/>
        <stp>T</stp>
        <tr r="C50" s="2"/>
      </tp>
      <tp>
        <v>-5.6000000000000001E-2</v>
        <stp/>
        <stp>ContractData</stp>
        <stp>NGES2K8</stp>
        <stp>Open</stp>
        <stp/>
        <stp>T</stp>
        <tr r="C51" s="2"/>
      </tp>
      <tp>
        <v>0.26700000000000002</v>
        <stp/>
        <stp>ContractData</stp>
        <stp>NGES2H8</stp>
        <stp>Open</stp>
        <stp/>
        <stp>T</stp>
        <tr r="C49" s="2"/>
      </tp>
      <tp t="s">
        <v/>
        <stp/>
        <stp>ContractData</stp>
        <stp>NGES5Q8</stp>
        <stp>High</stp>
        <stp/>
        <stp>T</stp>
        <tr r="D102" s="2"/>
      </tp>
      <tp>
        <v>-0.19</v>
        <stp/>
        <stp>ContractData</stp>
        <stp>NGES2V8</stp>
        <stp>Open</stp>
        <stp/>
        <stp>T</stp>
        <tr r="C56" s="2"/>
      </tp>
      <tp t="s">
        <v/>
        <stp/>
        <stp>ContractData</stp>
        <stp>NGES5N8</stp>
        <stp>High</stp>
        <stp/>
        <stp>T</stp>
        <tr r="D101" s="2"/>
      </tp>
      <tp t="s">
        <v/>
        <stp/>
        <stp>ContractData</stp>
        <stp>NGES5M8</stp>
        <stp>High</stp>
        <stp/>
        <stp>T</stp>
        <tr r="D100" s="2"/>
      </tp>
      <tp t="s">
        <v/>
        <stp/>
        <stp>ContractData</stp>
        <stp>NGES2U8</stp>
        <stp>Open</stp>
        <stp/>
        <stp>T</stp>
        <tr r="C55" s="2"/>
      </tp>
      <tp>
        <v>-6.4000000000000001E-2</v>
        <stp/>
        <stp>ContractData</stp>
        <stp>NGES5K8</stp>
        <stp>High</stp>
        <stp/>
        <stp>T</stp>
        <tr r="D99" s="2"/>
      </tp>
      <tp>
        <v>-1.7000000000000001E-2</v>
        <stp/>
        <stp>ContractData</stp>
        <stp>NGES5J8</stp>
        <stp>High</stp>
        <stp/>
        <stp>T</stp>
        <tr r="D98" s="2"/>
      </tp>
      <tp>
        <v>-5.0000000000000001E-3</v>
        <stp/>
        <stp>ContractData</stp>
        <stp>NGES2Q8</stp>
        <stp>Open</stp>
        <stp/>
        <stp>T</stp>
        <tr r="C54" s="2"/>
      </tp>
      <tp t="s">
        <v/>
        <stp/>
        <stp>ContractData</stp>
        <stp>NGES5H8</stp>
        <stp>High</stp>
        <stp/>
        <stp>T</stp>
        <tr r="D97" s="2"/>
      </tp>
      <tp>
        <v>0.251</v>
        <stp/>
        <stp>ContractData</stp>
        <stp>NGES5G8</stp>
        <stp>High</stp>
        <stp/>
        <stp>T</stp>
        <tr r="D96" s="2"/>
      </tp>
      <tp>
        <v>0.27</v>
        <stp/>
        <stp>ContractData</stp>
        <stp>NGES5F8</stp>
        <stp>High</stp>
        <stp/>
        <stp>T</stp>
        <tr r="D95" s="2"/>
      </tp>
      <tp>
        <v>-0.13100000000000001</v>
        <stp/>
        <stp>ContractData</stp>
        <stp>NGES2Z7</stp>
        <stp>Open</stp>
        <stp/>
        <stp>T</stp>
        <tr r="C46" s="2"/>
      </tp>
      <tp>
        <v>-0.30399999999999999</v>
        <stp/>
        <stp>ContractData</stp>
        <stp>NGES2X7</stp>
        <stp>Open</stp>
        <stp/>
        <stp>T</stp>
        <tr r="C45" s="2"/>
      </tp>
      <tp t="s">
        <v/>
        <stp/>
        <stp>ContractData</stp>
        <stp>NGE?85</stp>
        <stp>LastTradeToday</stp>
        <stp/>
        <stp>T</stp>
        <tr r="F92" s="16"/>
      </tp>
      <tp t="s">
        <v/>
        <stp/>
        <stp>ContractData</stp>
        <stp>NGE?95</stp>
        <stp>LastTradeToday</stp>
        <stp/>
        <stp>T</stp>
        <tr r="F102" s="16"/>
      </tp>
      <tp t="s">
        <v/>
        <stp/>
        <stp>ContractData</stp>
        <stp>NGE?45</stp>
        <stp>LastTradeToday</stp>
        <stp/>
        <stp>T</stp>
        <tr r="F52" s="16"/>
      </tp>
      <tp t="s">
        <v/>
        <stp/>
        <stp>ContractData</stp>
        <stp>NGE?55</stp>
        <stp>LastTradeToday</stp>
        <stp/>
        <stp>T</stp>
        <tr r="F62" s="16"/>
      </tp>
      <tp t="s">
        <v/>
        <stp/>
        <stp>ContractData</stp>
        <stp>NGE?65</stp>
        <stp>LastTradeToday</stp>
        <stp/>
        <stp>T</stp>
        <tr r="F72" s="16"/>
      </tp>
      <tp t="s">
        <v/>
        <stp/>
        <stp>ContractData</stp>
        <stp>NGE?75</stp>
        <stp>LastTradeToday</stp>
        <stp/>
        <stp>T</stp>
        <tr r="F82" s="16"/>
      </tp>
      <tp>
        <v>3.2410000000000001</v>
        <stp/>
        <stp>ContractData</stp>
        <stp>NGE?15</stp>
        <stp>LastTradeToday</stp>
        <stp/>
        <stp>T</stp>
        <tr r="F22" s="16"/>
      </tp>
      <tp t="s">
        <v/>
        <stp/>
        <stp>ContractData</stp>
        <stp>NGE?25</stp>
        <stp>LastTradeToday</stp>
        <stp/>
        <stp>T</stp>
        <tr r="F32" s="16"/>
      </tp>
      <tp t="s">
        <v/>
        <stp/>
        <stp>ContractData</stp>
        <stp>NGE?35</stp>
        <stp>LastTradeToday</stp>
        <stp/>
        <stp>T</stp>
        <tr r="F42" s="16"/>
      </tp>
      <tp>
        <v>3.1427999999999998</v>
        <stp/>
        <stp>StudyData</stp>
        <stp>Bar(((NGEX18+NGEZ18+NGEF19+NGEG19+NGEH19)/5),1)</stp>
        <stp>Bar</stp>
        <stp/>
        <stp>Close</stp>
        <stp>D</stp>
        <stp>-6</stp>
        <stp/>
        <stp/>
        <stp/>
        <stp/>
        <stp>T</stp>
        <tr r="AA8" s="14"/>
      </tp>
      <tp>
        <v>3.1821999999999999</v>
        <stp/>
        <stp>StudyData</stp>
        <stp>Bar(((NGEX17+NGEZ17+NGEF18+NGEG18+NGEH18)/5),1)</stp>
        <stp>Bar</stp>
        <stp/>
        <stp>Close</stp>
        <stp>D</stp>
        <stp>-9</stp>
        <stp/>
        <stp/>
        <stp/>
        <stp/>
        <stp>T</stp>
        <tr r="F11" s="14"/>
      </tp>
      <tp>
        <v>43005</v>
        <stp/>
        <stp>StudyData</stp>
        <stp>Bar(((NGEJ18+NGEK18+NGEM18+NGEN18+NGEQ18+NGEU18+NGEV18)/7),1)</stp>
        <stp>Bar</stp>
        <stp/>
        <stp>Time</stp>
        <stp>D</stp>
        <stp>-7</stp>
        <stp/>
        <stp/>
        <stp/>
        <stp/>
        <stp>T</stp>
        <tr r="O9" s="14"/>
      </tp>
      <tp>
        <v>43005</v>
        <stp/>
        <stp>StudyData</stp>
        <stp>Bar(((NGEJ19+NGEK19+NGEM19+NGEN19+NGEQ19+NGEU19+NGEV19)/7),1)</stp>
        <stp>Bar</stp>
        <stp/>
        <stp>Time</stp>
        <stp>D</stp>
        <stp>-7</stp>
        <stp/>
        <stp/>
        <stp/>
        <stp/>
        <stp>T</stp>
        <tr r="AJ9" s="14"/>
      </tp>
      <tp>
        <v>2.9024285700000001</v>
        <stp/>
        <stp>StudyData</stp>
        <stp>Bar(((NGEJ18+NGEK18+NGEM18+NGEN18+NGEQ18+NGEU18+NGEV18)/7),1)</stp>
        <stp>Bar</stp>
        <stp/>
        <stp>Open</stp>
        <stp>D</stp>
        <stp>-31</stp>
        <stp/>
        <stp/>
        <stp/>
        <stp/>
        <stp>T</stp>
        <tr r="P33" s="14"/>
      </tp>
      <tp>
        <v>2.7120000000000002</v>
        <stp/>
        <stp>StudyData</stp>
        <stp>Bar(((NGEJ19+NGEK19+NGEM19+NGEN19+NGEQ19+NGEU19+NGEV19)/7),1)</stp>
        <stp>Bar</stp>
        <stp/>
        <stp>Open</stp>
        <stp>D</stp>
        <stp>-30</stp>
        <stp/>
        <stp/>
        <stp/>
        <stp/>
        <stp>T</stp>
        <tr r="AK32" s="14"/>
      </tp>
      <tp>
        <v>2.9267142900000001</v>
        <stp/>
        <stp>StudyData</stp>
        <stp>Bar(((NGEJ18+NGEK18+NGEM18+NGEN18+NGEQ18+NGEU18+NGEV18)/7),1)</stp>
        <stp>Bar</stp>
        <stp/>
        <stp>Open</stp>
        <stp>D</stp>
        <stp>-21</stp>
        <stp/>
        <stp/>
        <stp/>
        <stp/>
        <stp>T</stp>
        <tr r="P23" s="14"/>
      </tp>
      <tp>
        <v>2.7490000000000001</v>
        <stp/>
        <stp>StudyData</stp>
        <stp>Bar(((NGEJ19+NGEK19+NGEM19+NGEN19+NGEQ19+NGEU19+NGEV19)/7),1)</stp>
        <stp>Bar</stp>
        <stp/>
        <stp>Open</stp>
        <stp>D</stp>
        <stp>-20</stp>
        <stp/>
        <stp/>
        <stp/>
        <stp/>
        <stp>T</stp>
        <tr r="AK22" s="14"/>
      </tp>
      <tp>
        <v>2.9767142899999999</v>
        <stp/>
        <stp>StudyData</stp>
        <stp>Bar(((NGEJ18+NGEK18+NGEM18+NGEN18+NGEQ18+NGEU18+NGEV18)/7),1)</stp>
        <stp>Bar</stp>
        <stp/>
        <stp>Open</stp>
        <stp>D</stp>
        <stp>-11</stp>
        <stp/>
        <stp/>
        <stp/>
        <stp/>
        <stp>T</stp>
        <tr r="P13" s="14"/>
      </tp>
      <tp>
        <v>2.7715714299999998</v>
        <stp/>
        <stp>StudyData</stp>
        <stp>Bar(((NGEJ19+NGEK19+NGEM19+NGEN19+NGEQ19+NGEU19+NGEV19)/7),1)</stp>
        <stp>Bar</stp>
        <stp/>
        <stp>Open</stp>
        <stp>D</stp>
        <stp>-10</stp>
        <stp/>
        <stp/>
        <stp/>
        <stp/>
        <stp>T</stp>
        <tr r="AK12" s="14"/>
      </tp>
      <tp>
        <v>2.86342857</v>
        <stp/>
        <stp>StudyData</stp>
        <stp>Bar(((NGEJ18+NGEK18+NGEM18+NGEN18+NGEQ18+NGEU18+NGEV18)/7),1)</stp>
        <stp>Bar</stp>
        <stp/>
        <stp>Open</stp>
        <stp>D</stp>
        <stp>-41</stp>
        <stp/>
        <stp/>
        <stp/>
        <stp/>
        <stp>T</stp>
        <tr r="P43" s="14"/>
      </tp>
      <tp>
        <v>2.7198571399999998</v>
        <stp/>
        <stp>StudyData</stp>
        <stp>Bar(((NGEJ19+NGEK19+NGEM19+NGEN19+NGEQ19+NGEU19+NGEV19)/7),1)</stp>
        <stp>Bar</stp>
        <stp/>
        <stp>Open</stp>
        <stp>D</stp>
        <stp>-40</stp>
        <stp/>
        <stp/>
        <stp/>
        <stp/>
        <stp>T</stp>
        <tr r="AK42" s="14"/>
      </tp>
      <tp>
        <v>2.96</v>
        <stp/>
        <stp>StudyData</stp>
        <stp>Close(NGE?6)when (LocalMonth(NGE?6)=9 and LocalDay(NGE?6)=14 and LocalYear(NGEJ8)=2017)</stp>
        <stp>Bar</stp>
        <stp/>
        <stp>Close</stp>
        <stp>D</stp>
        <stp>0</stp>
        <stp>ALL</stp>
        <stp/>
        <stp/>
        <stp>FALSE</stp>
        <stp>T</stp>
        <tr r="E21" s="10"/>
      </tp>
      <tp>
        <v>0</v>
        <stp/>
        <stp>ContractData</stp>
        <stp>NGE?53</stp>
        <stp>MT_LastBidVolume</stp>
        <stp/>
        <stp>T</stp>
        <tr r="J60" s="16"/>
      </tp>
      <tp>
        <v>5</v>
        <stp/>
        <stp>ContractData</stp>
        <stp>NGE?52</stp>
        <stp>MT_LastBidVolume</stp>
        <stp/>
        <stp>T</stp>
        <tr r="J59" s="16"/>
        <tr r="J59" s="16"/>
      </tp>
      <tp>
        <v>11</v>
        <stp/>
        <stp>ContractData</stp>
        <stp>NGE?51</stp>
        <stp>MT_LastBidVolume</stp>
        <stp/>
        <stp>T</stp>
        <tr r="J58" s="16"/>
        <tr r="J58" s="16"/>
      </tp>
      <tp>
        <v>1</v>
        <stp/>
        <stp>ContractData</stp>
        <stp>NGE?50</stp>
        <stp>MT_LastBidVolume</stp>
        <stp/>
        <stp>T</stp>
        <tr r="J57" s="16"/>
        <tr r="J57" s="16"/>
      </tp>
      <tp>
        <v>5</v>
        <stp/>
        <stp>ContractData</stp>
        <stp>NGE?57</stp>
        <stp>MT_LastBidVolume</stp>
        <stp/>
        <stp>T</stp>
        <tr r="J64" s="16"/>
        <tr r="J64" s="16"/>
      </tp>
      <tp>
        <v>0</v>
        <stp/>
        <stp>ContractData</stp>
        <stp>NGE?56</stp>
        <stp>MT_LastBidVolume</stp>
        <stp/>
        <stp>T</stp>
        <tr r="J63" s="16"/>
      </tp>
      <tp>
        <v>0</v>
        <stp/>
        <stp>ContractData</stp>
        <stp>NGE?55</stp>
        <stp>MT_LastBidVolume</stp>
        <stp/>
        <stp>T</stp>
        <tr r="J62" s="16"/>
      </tp>
      <tp>
        <v>0</v>
        <stp/>
        <stp>ContractData</stp>
        <stp>NGE?54</stp>
        <stp>MT_LastBidVolume</stp>
        <stp/>
        <stp>T</stp>
        <tr r="J61" s="16"/>
      </tp>
      <tp>
        <v>5</v>
        <stp/>
        <stp>ContractData</stp>
        <stp>NGE?59</stp>
        <stp>MT_LastBidVolume</stp>
        <stp/>
        <stp>T</stp>
        <tr r="J66" s="16"/>
        <tr r="J66" s="16"/>
      </tp>
      <tp>
        <v>5</v>
        <stp/>
        <stp>ContractData</stp>
        <stp>NGE?58</stp>
        <stp>MT_LastBidVolume</stp>
        <stp/>
        <stp>T</stp>
        <tr r="J65" s="16"/>
        <tr r="J65" s="16"/>
      </tp>
      <tp>
        <v>0</v>
        <stp/>
        <stp>ContractData</stp>
        <stp>NGE?43</stp>
        <stp>MT_LastBidVolume</stp>
        <stp/>
        <stp>T</stp>
        <tr r="J50" s="16"/>
      </tp>
      <tp>
        <v>0</v>
        <stp/>
        <stp>ContractData</stp>
        <stp>NGE?42</stp>
        <stp>MT_LastBidVolume</stp>
        <stp/>
        <stp>T</stp>
        <tr r="J49" s="16"/>
      </tp>
      <tp>
        <v>0</v>
        <stp/>
        <stp>ContractData</stp>
        <stp>NGE?41</stp>
        <stp>MT_LastBidVolume</stp>
        <stp/>
        <stp>T</stp>
        <tr r="J48" s="16"/>
      </tp>
      <tp>
        <v>1</v>
        <stp/>
        <stp>ContractData</stp>
        <stp>NGE?40</stp>
        <stp>MT_LastBidVolume</stp>
        <stp/>
        <stp>T</stp>
        <tr r="J47" s="16"/>
        <tr r="J47" s="16"/>
      </tp>
      <tp>
        <v>0</v>
        <stp/>
        <stp>ContractData</stp>
        <stp>NGE?47</stp>
        <stp>MT_LastBidVolume</stp>
        <stp/>
        <stp>T</stp>
        <tr r="J54" s="16"/>
      </tp>
      <tp>
        <v>0</v>
        <stp/>
        <stp>ContractData</stp>
        <stp>NGE?46</stp>
        <stp>MT_LastBidVolume</stp>
        <stp/>
        <stp>T</stp>
        <tr r="J53" s="16"/>
      </tp>
      <tp>
        <v>0</v>
        <stp/>
        <stp>ContractData</stp>
        <stp>NGE?45</stp>
        <stp>MT_LastBidVolume</stp>
        <stp/>
        <stp>T</stp>
        <tr r="J52" s="16"/>
      </tp>
      <tp>
        <v>0</v>
        <stp/>
        <stp>ContractData</stp>
        <stp>NGE?44</stp>
        <stp>MT_LastBidVolume</stp>
        <stp/>
        <stp>T</stp>
        <tr r="J51" s="16"/>
      </tp>
      <tp>
        <v>0</v>
        <stp/>
        <stp>ContractData</stp>
        <stp>NGE?49</stp>
        <stp>MT_LastBidVolume</stp>
        <stp/>
        <stp>T</stp>
        <tr r="J56" s="16"/>
      </tp>
      <tp>
        <v>1</v>
        <stp/>
        <stp>ContractData</stp>
        <stp>NGE?48</stp>
        <stp>MT_LastBidVolume</stp>
        <stp/>
        <stp>T</stp>
        <tr r="J55" s="16"/>
        <tr r="J55" s="16"/>
      </tp>
      <tp>
        <v>11</v>
        <stp/>
        <stp>ContractData</stp>
        <stp>NGE?73</stp>
        <stp>MT_LastBidVolume</stp>
        <stp/>
        <stp>T</stp>
        <tr r="J80" s="16"/>
        <tr r="J80" s="16"/>
      </tp>
      <tp>
        <v>0</v>
        <stp/>
        <stp>ContractData</stp>
        <stp>NGE?72</stp>
        <stp>MT_LastBidVolume</stp>
        <stp/>
        <stp>T</stp>
        <tr r="J79" s="16"/>
      </tp>
      <tp>
        <v>0</v>
        <stp/>
        <stp>ContractData</stp>
        <stp>NGE?71</stp>
        <stp>MT_LastBidVolume</stp>
        <stp/>
        <stp>T</stp>
        <tr r="J78" s="16"/>
      </tp>
      <tp>
        <v>0</v>
        <stp/>
        <stp>ContractData</stp>
        <stp>NGE?70</stp>
        <stp>MT_LastBidVolume</stp>
        <stp/>
        <stp>T</stp>
        <tr r="J77" s="16"/>
      </tp>
      <tp>
        <v>0</v>
        <stp/>
        <stp>ContractData</stp>
        <stp>NGE?77</stp>
        <stp>MT_LastBidVolume</stp>
        <stp/>
        <stp>T</stp>
        <tr r="J84" s="16"/>
      </tp>
      <tp>
        <v>0</v>
        <stp/>
        <stp>ContractData</stp>
        <stp>NGE?76</stp>
        <stp>MT_LastBidVolume</stp>
        <stp/>
        <stp>T</stp>
        <tr r="J83" s="16"/>
      </tp>
      <tp>
        <v>0</v>
        <stp/>
        <stp>ContractData</stp>
        <stp>NGE?75</stp>
        <stp>MT_LastBidVolume</stp>
        <stp/>
        <stp>T</stp>
        <tr r="J82" s="16"/>
      </tp>
      <tp>
        <v>0</v>
        <stp/>
        <stp>ContractData</stp>
        <stp>NGE?74</stp>
        <stp>MT_LastBidVolume</stp>
        <stp/>
        <stp>T</stp>
        <tr r="J81" s="16"/>
      </tp>
      <tp>
        <v>0</v>
        <stp/>
        <stp>ContractData</stp>
        <stp>NGE?79</stp>
        <stp>MT_LastBidVolume</stp>
        <stp/>
        <stp>T</stp>
        <tr r="J86" s="16"/>
      </tp>
      <tp>
        <v>0</v>
        <stp/>
        <stp>ContractData</stp>
        <stp>NGE?78</stp>
        <stp>MT_LastBidVolume</stp>
        <stp/>
        <stp>T</stp>
        <tr r="J85" s="16"/>
      </tp>
      <tp>
        <v>11</v>
        <stp/>
        <stp>ContractData</stp>
        <stp>NGE?63</stp>
        <stp>MT_LastBidVolume</stp>
        <stp/>
        <stp>T</stp>
        <tr r="J70" s="16"/>
        <tr r="J70" s="16"/>
      </tp>
      <tp>
        <v>0</v>
        <stp/>
        <stp>ContractData</stp>
        <stp>NGE?62</stp>
        <stp>MT_LastBidVolume</stp>
        <stp/>
        <stp>T</stp>
        <tr r="J69" s="16"/>
      </tp>
      <tp>
        <v>0</v>
        <stp/>
        <stp>ContractData</stp>
        <stp>NGE?61</stp>
        <stp>MT_LastBidVolume</stp>
        <stp/>
        <stp>T</stp>
        <tr r="J68" s="16"/>
      </tp>
      <tp>
        <v>0</v>
        <stp/>
        <stp>ContractData</stp>
        <stp>NGE?60</stp>
        <stp>MT_LastBidVolume</stp>
        <stp/>
        <stp>T</stp>
        <tr r="J67" s="16"/>
      </tp>
      <tp>
        <v>0</v>
        <stp/>
        <stp>ContractData</stp>
        <stp>NGE?67</stp>
        <stp>MT_LastBidVolume</stp>
        <stp/>
        <stp>T</stp>
        <tr r="J74" s="16"/>
      </tp>
      <tp>
        <v>0</v>
        <stp/>
        <stp>ContractData</stp>
        <stp>NGE?66</stp>
        <stp>MT_LastBidVolume</stp>
        <stp/>
        <stp>T</stp>
        <tr r="J73" s="16"/>
      </tp>
      <tp>
        <v>0</v>
        <stp/>
        <stp>ContractData</stp>
        <stp>NGE?65</stp>
        <stp>MT_LastBidVolume</stp>
        <stp/>
        <stp>T</stp>
        <tr r="J72" s="16"/>
      </tp>
      <tp>
        <v>11</v>
        <stp/>
        <stp>ContractData</stp>
        <stp>NGE?64</stp>
        <stp>MT_LastBidVolume</stp>
        <stp/>
        <stp>T</stp>
        <tr r="J71" s="16"/>
        <tr r="J71" s="16"/>
      </tp>
      <tp>
        <v>0</v>
        <stp/>
        <stp>ContractData</stp>
        <stp>NGE?69</stp>
        <stp>MT_LastBidVolume</stp>
        <stp/>
        <stp>T</stp>
        <tr r="J76" s="16"/>
      </tp>
      <tp>
        <v>0</v>
        <stp/>
        <stp>ContractData</stp>
        <stp>NGE?68</stp>
        <stp>MT_LastBidVolume</stp>
        <stp/>
        <stp>T</stp>
        <tr r="J75" s="16"/>
      </tp>
      <tp>
        <v>6</v>
        <stp/>
        <stp>ContractData</stp>
        <stp>NGE?13</stp>
        <stp>MT_LastBidVolume</stp>
        <stp/>
        <stp>T</stp>
        <tr r="J20" s="16"/>
        <tr r="J20" s="16"/>
      </tp>
      <tp>
        <v>12</v>
        <stp/>
        <stp>ContractData</stp>
        <stp>NGE?12</stp>
        <stp>MT_LastBidVolume</stp>
        <stp/>
        <stp>T</stp>
        <tr r="J19" s="16"/>
        <tr r="J19" s="16"/>
      </tp>
      <tp>
        <v>2</v>
        <stp/>
        <stp>ContractData</stp>
        <stp>NGE?11</stp>
        <stp>MT_LastBidVolume</stp>
        <stp/>
        <stp>T</stp>
        <tr r="J18" s="16"/>
        <tr r="J18" s="16"/>
      </tp>
      <tp>
        <v>11</v>
        <stp/>
        <stp>ContractData</stp>
        <stp>NGE?10</stp>
        <stp>MT_LastBidVolume</stp>
        <stp/>
        <stp>T</stp>
        <tr r="J17" s="16"/>
        <tr r="J17" s="16"/>
      </tp>
      <tp>
        <v>2</v>
        <stp/>
        <stp>ContractData</stp>
        <stp>NGE?17</stp>
        <stp>MT_LastBidVolume</stp>
        <stp/>
        <stp>T</stp>
        <tr r="J24" s="16"/>
        <tr r="J24" s="16"/>
      </tp>
      <tp>
        <v>2</v>
        <stp/>
        <stp>ContractData</stp>
        <stp>NGE?16</stp>
        <stp>MT_LastBidVolume</stp>
        <stp/>
        <stp>T</stp>
        <tr r="J23" s="16"/>
        <tr r="J23" s="16"/>
      </tp>
      <tp>
        <v>5</v>
        <stp/>
        <stp>ContractData</stp>
        <stp>NGE?15</stp>
        <stp>MT_LastBidVolume</stp>
        <stp/>
        <stp>T</stp>
        <tr r="J22" s="16"/>
        <tr r="J22" s="16"/>
      </tp>
      <tp>
        <v>4</v>
        <stp/>
        <stp>ContractData</stp>
        <stp>NGE?14</stp>
        <stp>MT_LastBidVolume</stp>
        <stp/>
        <stp>T</stp>
        <tr r="J21" s="16"/>
        <tr r="J21" s="16"/>
      </tp>
      <tp>
        <v>6</v>
        <stp/>
        <stp>ContractData</stp>
        <stp>NGE?19</stp>
        <stp>MT_LastBidVolume</stp>
        <stp/>
        <stp>T</stp>
        <tr r="J26" s="16"/>
        <tr r="J26" s="16"/>
      </tp>
      <tp>
        <v>1</v>
        <stp/>
        <stp>ContractData</stp>
        <stp>NGE?18</stp>
        <stp>MT_LastBidVolume</stp>
        <stp/>
        <stp>T</stp>
        <tr r="J25" s="16"/>
        <tr r="J25" s="16"/>
      </tp>
      <tp>
        <v>0</v>
        <stp/>
        <stp>ContractData</stp>
        <stp>NGE?33</stp>
        <stp>MT_LastBidVolume</stp>
        <stp/>
        <stp>T</stp>
        <tr r="J40" s="16"/>
      </tp>
      <tp>
        <v>0</v>
        <stp/>
        <stp>ContractData</stp>
        <stp>NGE?32</stp>
        <stp>MT_LastBidVolume</stp>
        <stp/>
        <stp>T</stp>
        <tr r="J39" s="16"/>
      </tp>
      <tp>
        <v>1</v>
        <stp/>
        <stp>ContractData</stp>
        <stp>NGE?31</stp>
        <stp>MT_LastBidVolume</stp>
        <stp/>
        <stp>T</stp>
        <tr r="J38" s="16"/>
        <tr r="J38" s="16"/>
      </tp>
      <tp>
        <v>5</v>
        <stp/>
        <stp>ContractData</stp>
        <stp>NGE?30</stp>
        <stp>MT_LastBidVolume</stp>
        <stp/>
        <stp>T</stp>
        <tr r="J37" s="16"/>
        <tr r="J37" s="16"/>
      </tp>
      <tp>
        <v>1</v>
        <stp/>
        <stp>ContractData</stp>
        <stp>NGE?37</stp>
        <stp>MT_LastBidVolume</stp>
        <stp/>
        <stp>T</stp>
        <tr r="J44" s="16"/>
        <tr r="J44" s="16"/>
      </tp>
      <tp>
        <v>0</v>
        <stp/>
        <stp>ContractData</stp>
        <stp>NGE?36</stp>
        <stp>MT_LastBidVolume</stp>
        <stp/>
        <stp>T</stp>
        <tr r="J43" s="16"/>
      </tp>
      <tp>
        <v>0</v>
        <stp/>
        <stp>ContractData</stp>
        <stp>NGE?35</stp>
        <stp>MT_LastBidVolume</stp>
        <stp/>
        <stp>T</stp>
        <tr r="J42" s="16"/>
      </tp>
      <tp>
        <v>0</v>
        <stp/>
        <stp>ContractData</stp>
        <stp>NGE?34</stp>
        <stp>MT_LastBidVolume</stp>
        <stp/>
        <stp>T</stp>
        <tr r="J41" s="16"/>
      </tp>
      <tp>
        <v>10</v>
        <stp/>
        <stp>ContractData</stp>
        <stp>NGE?39</stp>
        <stp>MT_LastBidVolume</stp>
        <stp/>
        <stp>T</stp>
        <tr r="J46" s="16"/>
        <tr r="J46" s="16"/>
      </tp>
      <tp>
        <v>1</v>
        <stp/>
        <stp>ContractData</stp>
        <stp>NGE?38</stp>
        <stp>MT_LastBidVolume</stp>
        <stp/>
        <stp>T</stp>
        <tr r="J45" s="16"/>
        <tr r="J45" s="16"/>
      </tp>
      <tp>
        <v>3</v>
        <stp/>
        <stp>ContractData</stp>
        <stp>NGE?23</stp>
        <stp>MT_LastBidVolume</stp>
        <stp/>
        <stp>T</stp>
        <tr r="J30" s="16"/>
        <tr r="J30" s="16"/>
      </tp>
      <tp>
        <v>3</v>
        <stp/>
        <stp>ContractData</stp>
        <stp>NGE?22</stp>
        <stp>MT_LastBidVolume</stp>
        <stp/>
        <stp>T</stp>
        <tr r="J29" s="16"/>
        <tr r="J29" s="16"/>
      </tp>
      <tp>
        <v>4</v>
        <stp/>
        <stp>ContractData</stp>
        <stp>NGE?21</stp>
        <stp>MT_LastBidVolume</stp>
        <stp/>
        <stp>T</stp>
        <tr r="J28" s="16"/>
        <tr r="J28" s="16"/>
      </tp>
      <tp>
        <v>4</v>
        <stp/>
        <stp>ContractData</stp>
        <stp>NGE?20</stp>
        <stp>MT_LastBidVolume</stp>
        <stp/>
        <stp>T</stp>
        <tr r="J27" s="16"/>
        <tr r="J27" s="16"/>
      </tp>
      <tp>
        <v>1</v>
        <stp/>
        <stp>ContractData</stp>
        <stp>NGE?27</stp>
        <stp>MT_LastBidVolume</stp>
        <stp/>
        <stp>T</stp>
        <tr r="J34" s="16"/>
        <tr r="J34" s="16"/>
      </tp>
      <tp>
        <v>1</v>
        <stp/>
        <stp>ContractData</stp>
        <stp>NGE?26</stp>
        <stp>MT_LastBidVolume</stp>
        <stp/>
        <stp>T</stp>
        <tr r="J33" s="16"/>
        <tr r="J33" s="16"/>
      </tp>
      <tp>
        <v>1</v>
        <stp/>
        <stp>ContractData</stp>
        <stp>NGE?25</stp>
        <stp>MT_LastBidVolume</stp>
        <stp/>
        <stp>T</stp>
        <tr r="J32" s="16"/>
        <tr r="J32" s="16"/>
      </tp>
      <tp>
        <v>1</v>
        <stp/>
        <stp>ContractData</stp>
        <stp>NGE?24</stp>
        <stp>MT_LastBidVolume</stp>
        <stp/>
        <stp>T</stp>
        <tr r="J31" s="16"/>
        <tr r="J31" s="16"/>
      </tp>
      <tp>
        <v>1</v>
        <stp/>
        <stp>ContractData</stp>
        <stp>NGE?29</stp>
        <stp>MT_LastBidVolume</stp>
        <stp/>
        <stp>T</stp>
        <tr r="J36" s="16"/>
        <tr r="J36" s="16"/>
      </tp>
      <tp>
        <v>1</v>
        <stp/>
        <stp>ContractData</stp>
        <stp>NGE?28</stp>
        <stp>MT_LastBidVolume</stp>
        <stp/>
        <stp>T</stp>
        <tr r="J35" s="16"/>
        <tr r="J35" s="16"/>
      </tp>
      <tp>
        <v>0</v>
        <stp/>
        <stp>ContractData</stp>
        <stp>NGE?93</stp>
        <stp>MT_LastBidVolume</stp>
        <stp/>
        <stp>T</stp>
        <tr r="J100" s="16"/>
      </tp>
      <tp>
        <v>0</v>
        <stp/>
        <stp>ContractData</stp>
        <stp>NGE?92</stp>
        <stp>MT_LastBidVolume</stp>
        <stp/>
        <stp>T</stp>
        <tr r="J99" s="16"/>
      </tp>
      <tp>
        <v>0</v>
        <stp/>
        <stp>ContractData</stp>
        <stp>NGE?91</stp>
        <stp>MT_LastBidVolume</stp>
        <stp/>
        <stp>T</stp>
        <tr r="J98" s="16"/>
      </tp>
      <tp>
        <v>0</v>
        <stp/>
        <stp>ContractData</stp>
        <stp>NGE?90</stp>
        <stp>MT_LastBidVolume</stp>
        <stp/>
        <stp>T</stp>
        <tr r="J97" s="16"/>
      </tp>
      <tp>
        <v>0</v>
        <stp/>
        <stp>ContractData</stp>
        <stp>NGE?97</stp>
        <stp>MT_LastBidVolume</stp>
        <stp/>
        <stp>T</stp>
        <tr r="J104" s="16"/>
      </tp>
      <tp>
        <v>0</v>
        <stp/>
        <stp>ContractData</stp>
        <stp>NGE?96</stp>
        <stp>MT_LastBidVolume</stp>
        <stp/>
        <stp>T</stp>
        <tr r="J103" s="16"/>
      </tp>
      <tp>
        <v>0</v>
        <stp/>
        <stp>ContractData</stp>
        <stp>NGE?95</stp>
        <stp>MT_LastBidVolume</stp>
        <stp/>
        <stp>T</stp>
        <tr r="J102" s="16"/>
      </tp>
      <tp>
        <v>0</v>
        <stp/>
        <stp>ContractData</stp>
        <stp>NGE?94</stp>
        <stp>MT_LastBidVolume</stp>
        <stp/>
        <stp>T</stp>
        <tr r="J101" s="16"/>
      </tp>
      <tp>
        <v>0</v>
        <stp/>
        <stp>ContractData</stp>
        <stp>NGE?99</stp>
        <stp>MT_LastBidVolume</stp>
        <stp/>
        <stp>T</stp>
        <tr r="J106" s="16"/>
      </tp>
      <tp>
        <v>0</v>
        <stp/>
        <stp>ContractData</stp>
        <stp>NGE?98</stp>
        <stp>MT_LastBidVolume</stp>
        <stp/>
        <stp>T</stp>
        <tr r="J105" s="16"/>
      </tp>
      <tp>
        <v>0</v>
        <stp/>
        <stp>ContractData</stp>
        <stp>NGE?83</stp>
        <stp>MT_LastBidVolume</stp>
        <stp/>
        <stp>T</stp>
        <tr r="J90" s="16"/>
      </tp>
      <tp>
        <v>0</v>
        <stp/>
        <stp>ContractData</stp>
        <stp>NGE?82</stp>
        <stp>MT_LastBidVolume</stp>
        <stp/>
        <stp>T</stp>
        <tr r="J89" s="16"/>
      </tp>
      <tp>
        <v>0</v>
        <stp/>
        <stp>ContractData</stp>
        <stp>NGE?81</stp>
        <stp>MT_LastBidVolume</stp>
        <stp/>
        <stp>T</stp>
        <tr r="J88" s="16"/>
      </tp>
      <tp>
        <v>0</v>
        <stp/>
        <stp>ContractData</stp>
        <stp>NGE?80</stp>
        <stp>MT_LastBidVolume</stp>
        <stp/>
        <stp>T</stp>
        <tr r="J87" s="16"/>
      </tp>
      <tp>
        <v>0</v>
        <stp/>
        <stp>ContractData</stp>
        <stp>NGE?87</stp>
        <stp>MT_LastBidVolume</stp>
        <stp/>
        <stp>T</stp>
        <tr r="J94" s="16"/>
      </tp>
      <tp>
        <v>0</v>
        <stp/>
        <stp>ContractData</stp>
        <stp>NGE?86</stp>
        <stp>MT_LastBidVolume</stp>
        <stp/>
        <stp>T</stp>
        <tr r="J93" s="16"/>
      </tp>
      <tp>
        <v>0</v>
        <stp/>
        <stp>ContractData</stp>
        <stp>NGE?85</stp>
        <stp>MT_LastBidVolume</stp>
        <stp/>
        <stp>T</stp>
        <tr r="J92" s="16"/>
      </tp>
      <tp>
        <v>0</v>
        <stp/>
        <stp>ContractData</stp>
        <stp>NGE?84</stp>
        <stp>MT_LastBidVolume</stp>
        <stp/>
        <stp>T</stp>
        <tr r="J91" s="16"/>
      </tp>
      <tp>
        <v>0</v>
        <stp/>
        <stp>ContractData</stp>
        <stp>NGE?89</stp>
        <stp>MT_LastBidVolume</stp>
        <stp/>
        <stp>T</stp>
        <tr r="J96" s="16"/>
      </tp>
      <tp>
        <v>0</v>
        <stp/>
        <stp>ContractData</stp>
        <stp>NGE?88</stp>
        <stp>MT_LastBidVolume</stp>
        <stp/>
        <stp>T</stp>
        <tr r="J95" s="16"/>
      </tp>
      <tp>
        <v>43522</v>
        <stp/>
        <stp>ContractData</stp>
        <stp>NGE?17</stp>
        <stp>ExpirationDate</stp>
        <stp/>
        <stp>T</stp>
        <tr r="AA24" s="16"/>
      </tp>
      <tp>
        <v>43826</v>
        <stp/>
        <stp>ContractData</stp>
        <stp>NGE?27</stp>
        <stp>ExpirationDate</stp>
        <stp/>
        <stp>T</stp>
        <tr r="AA34" s="16"/>
      </tp>
      <tp>
        <v>44132</v>
        <stp/>
        <stp>ContractData</stp>
        <stp>NGE?37</stp>
        <stp>ExpirationDate</stp>
        <stp/>
        <stp>T</stp>
        <tr r="AA44" s="16"/>
      </tp>
      <tp>
        <v>44435</v>
        <stp/>
        <stp>ContractData</stp>
        <stp>NGE?47</stp>
        <stp>ExpirationDate</stp>
        <stp/>
        <stp>T</stp>
        <tr r="AA54" s="16"/>
      </tp>
      <tp>
        <v>44740</v>
        <stp/>
        <stp>ContractData</stp>
        <stp>NGE?57</stp>
        <stp>ExpirationDate</stp>
        <stp/>
        <stp>T</stp>
        <tr r="AA64" s="16"/>
      </tp>
      <tp>
        <v>45042</v>
        <stp/>
        <stp>ContractData</stp>
        <stp>NGE?67</stp>
        <stp>ExpirationDate</stp>
        <stp/>
        <stp>T</stp>
        <tr r="AA74" s="16"/>
      </tp>
      <tp>
        <v>45349</v>
        <stp/>
        <stp>ContractData</stp>
        <stp>NGE?77</stp>
        <stp>ExpirationDate</stp>
        <stp/>
        <stp>T</stp>
        <tr r="AA84" s="16"/>
      </tp>
      <tp>
        <v>45653</v>
        <stp/>
        <stp>ContractData</stp>
        <stp>NGE?87</stp>
        <stp>ExpirationDate</stp>
        <stp/>
        <stp>T</stp>
        <tr r="AA94" s="16"/>
      </tp>
      <tp>
        <v>45959</v>
        <stp/>
        <stp>ContractData</stp>
        <stp>NGE?97</stp>
        <stp>ExpirationDate</stp>
        <stp/>
        <stp>T</stp>
        <tr r="AA104" s="16"/>
      </tp>
      <tp t="s">
        <v/>
        <stp/>
        <stp>ContractData</stp>
        <stp>NGEJ17</stp>
        <stp>ExpirationDate</stp>
        <stp/>
        <stp>T</stp>
        <tr r="S14" s="15"/>
      </tp>
      <tp>
        <v>43035</v>
        <stp/>
        <stp>ContractData</stp>
        <stp>NGEX17</stp>
        <stp>ExpirationDate</stp>
        <stp/>
        <stp>T</stp>
        <tr r="S2" s="15"/>
      </tp>
      <tp>
        <v>2.9740000000000002</v>
        <stp/>
        <stp>ContractData</stp>
        <stp>NGEV18</stp>
        <stp>Y_Settlement</stp>
        <stp/>
        <stp>T</stp>
        <tr r="Q23" s="13"/>
      </tp>
      <tp>
        <v>66</v>
        <stp/>
        <stp>ContractData</stp>
        <stp>NGE?14</stp>
        <stp>T_CVol</stp>
        <stp/>
        <stp>T</stp>
        <tr r="S21" s="16"/>
        <tr r="S21" s="16"/>
      </tp>
      <tp>
        <v>0</v>
        <stp/>
        <stp>ContractData</stp>
        <stp>NGE?34</stp>
        <stp>T_CVol</stp>
        <stp/>
        <stp>T</stp>
        <tr r="S41" s="16"/>
      </tp>
      <tp>
        <v>0</v>
        <stp/>
        <stp>ContractData</stp>
        <stp>NGE?24</stp>
        <stp>T_CVol</stp>
        <stp/>
        <stp>T</stp>
        <tr r="S31" s="16"/>
      </tp>
      <tp>
        <v>0</v>
        <stp/>
        <stp>ContractData</stp>
        <stp>NGE?54</stp>
        <stp>T_CVol</stp>
        <stp/>
        <stp>T</stp>
        <tr r="S61" s="16"/>
      </tp>
      <tp>
        <v>0</v>
        <stp/>
        <stp>ContractData</stp>
        <stp>NGE?44</stp>
        <stp>T_CVol</stp>
        <stp/>
        <stp>T</stp>
        <tr r="S51" s="16"/>
      </tp>
      <tp>
        <v>0</v>
        <stp/>
        <stp>ContractData</stp>
        <stp>NGE?74</stp>
        <stp>T_CVol</stp>
        <stp/>
        <stp>T</stp>
        <tr r="S81" s="16"/>
      </tp>
      <tp>
        <v>0</v>
        <stp/>
        <stp>ContractData</stp>
        <stp>NGE?64</stp>
        <stp>T_CVol</stp>
        <stp/>
        <stp>T</stp>
        <tr r="S71" s="16"/>
      </tp>
      <tp>
        <v>0</v>
        <stp/>
        <stp>ContractData</stp>
        <stp>NGE?94</stp>
        <stp>T_CVol</stp>
        <stp/>
        <stp>T</stp>
        <tr r="S101" s="16"/>
      </tp>
      <tp>
        <v>0</v>
        <stp/>
        <stp>ContractData</stp>
        <stp>NGE?84</stp>
        <stp>T_CVol</stp>
        <stp/>
        <stp>T</stp>
        <tr r="S91" s="16"/>
      </tp>
      <tp>
        <v>1751</v>
        <stp/>
        <stp>ContractData</stp>
        <stp>NGE?14</stp>
        <stp>Y_CVol</stp>
        <stp/>
        <stp>T</stp>
        <tr r="T21" s="16"/>
        <tr r="T21" s="16"/>
      </tp>
      <tp>
        <v>0</v>
        <stp/>
        <stp>ContractData</stp>
        <stp>NGE?34</stp>
        <stp>Y_CVol</stp>
        <stp/>
        <stp>T</stp>
        <tr r="T41" s="16"/>
      </tp>
      <tp>
        <v>747</v>
        <stp/>
        <stp>ContractData</stp>
        <stp>NGE?24</stp>
        <stp>Y_CVol</stp>
        <stp/>
        <stp>T</stp>
        <tr r="T31" s="16"/>
        <tr r="T31" s="16"/>
      </tp>
      <tp>
        <v>0</v>
        <stp/>
        <stp>ContractData</stp>
        <stp>NGE?54</stp>
        <stp>Y_CVol</stp>
        <stp/>
        <stp>T</stp>
        <tr r="T61" s="16"/>
      </tp>
      <tp>
        <v>0</v>
        <stp/>
        <stp>ContractData</stp>
        <stp>NGE?44</stp>
        <stp>Y_CVol</stp>
        <stp/>
        <stp>T</stp>
        <tr r="T51" s="16"/>
      </tp>
      <tp>
        <v>0</v>
        <stp/>
        <stp>ContractData</stp>
        <stp>NGE?74</stp>
        <stp>Y_CVol</stp>
        <stp/>
        <stp>T</stp>
        <tr r="T81" s="16"/>
      </tp>
      <tp>
        <v>0</v>
        <stp/>
        <stp>ContractData</stp>
        <stp>NGE?64</stp>
        <stp>Y_CVol</stp>
        <stp/>
        <stp>T</stp>
        <tr r="T71" s="16"/>
      </tp>
      <tp>
        <v>0</v>
        <stp/>
        <stp>ContractData</stp>
        <stp>NGE?94</stp>
        <stp>Y_CVol</stp>
        <stp/>
        <stp>T</stp>
        <tr r="T101" s="16"/>
      </tp>
      <tp>
        <v>0</v>
        <stp/>
        <stp>ContractData</stp>
        <stp>NGE?84</stp>
        <stp>Y_CVol</stp>
        <stp/>
        <stp>T</stp>
        <tr r="T91" s="16"/>
      </tp>
      <tp>
        <v>2.96</v>
        <stp/>
        <stp>StudyData</stp>
        <stp>Close(NGE?6)when (LocalMonth(NGE?6)=9 and LocalDay(NGE?6)=14 and LocalYear(NGE?6)=2017)</stp>
        <stp>Bar</stp>
        <stp/>
        <stp>Close</stp>
        <stp>D</stp>
        <stp>0</stp>
        <stp>ALL</stp>
        <stp/>
        <stp/>
        <stp>FALSE</stp>
        <stp>T</stp>
        <tr r="E21" s="6"/>
        <tr r="E21" s="9"/>
        <tr r="E21" s="7"/>
        <tr r="E21" s="8"/>
        <tr r="E21" s="11"/>
      </tp>
      <tp>
        <v>2.9220000000000002</v>
        <stp/>
        <stp>StudyData</stp>
        <stp>Close(NGE?7)when (LocalMonth(NGE?7)=9 and LocalDay(NGE?7)=14 and LocalYear(NGEK8)=2017)</stp>
        <stp>Bar</stp>
        <stp/>
        <stp>Close</stp>
        <stp>D</stp>
        <stp>0</stp>
        <stp>ALL</stp>
        <stp/>
        <stp/>
        <stp>FALSE</stp>
        <stp>T</stp>
        <tr r="E22" s="10"/>
      </tp>
      <tp>
        <v>43494</v>
        <stp/>
        <stp>ContractData</stp>
        <stp>NGE?16</stp>
        <stp>ExpirationDate</stp>
        <stp/>
        <stp>T</stp>
        <tr r="AA23" s="16"/>
      </tp>
      <tp>
        <v>43795</v>
        <stp/>
        <stp>ContractData</stp>
        <stp>NGE?26</stp>
        <stp>ExpirationDate</stp>
        <stp/>
        <stp>T</stp>
        <tr r="AA33" s="16"/>
      </tp>
      <tp>
        <v>44102</v>
        <stp/>
        <stp>ContractData</stp>
        <stp>NGE?36</stp>
        <stp>ExpirationDate</stp>
        <stp/>
        <stp>T</stp>
        <tr r="AA43" s="16"/>
      </tp>
      <tp>
        <v>44405</v>
        <stp/>
        <stp>ContractData</stp>
        <stp>NGE?46</stp>
        <stp>ExpirationDate</stp>
        <stp/>
        <stp>T</stp>
        <tr r="AA53" s="16"/>
      </tp>
      <tp>
        <v>44708</v>
        <stp/>
        <stp>ContractData</stp>
        <stp>NGE?56</stp>
        <stp>ExpirationDate</stp>
        <stp/>
        <stp>T</stp>
        <tr r="AA63" s="16"/>
      </tp>
      <tp>
        <v>45014</v>
        <stp/>
        <stp>ContractData</stp>
        <stp>NGE?66</stp>
        <stp>ExpirationDate</stp>
        <stp/>
        <stp>T</stp>
        <tr r="AA73" s="16"/>
      </tp>
      <tp>
        <v>45320</v>
        <stp/>
        <stp>ContractData</stp>
        <stp>NGE?76</stp>
        <stp>ExpirationDate</stp>
        <stp/>
        <stp>T</stp>
        <tr r="AA83" s="16"/>
      </tp>
      <tp>
        <v>45623</v>
        <stp/>
        <stp>ContractData</stp>
        <stp>NGE?86</stp>
        <stp>ExpirationDate</stp>
        <stp/>
        <stp>T</stp>
        <tr r="AA93" s="16"/>
      </tp>
      <tp>
        <v>45926</v>
        <stp/>
        <stp>ContractData</stp>
        <stp>NGE?96</stp>
        <stp>ExpirationDate</stp>
        <stp/>
        <stp>T</stp>
        <tr r="AA103" s="16"/>
      </tp>
      <tp t="s">
        <v/>
        <stp/>
        <stp>ContractData</stp>
        <stp>NGEX16</stp>
        <stp>ExpirationDate</stp>
        <stp/>
        <stp>T</stp>
        <tr r="S1" s="15"/>
      </tp>
      <tp>
        <v>263</v>
        <stp/>
        <stp>ContractData</stp>
        <stp>NGE?15</stp>
        <stp>T_CVol</stp>
        <stp/>
        <stp>T</stp>
        <tr r="S22" s="16"/>
        <tr r="S22" s="16"/>
      </tp>
      <tp>
        <v>0</v>
        <stp/>
        <stp>ContractData</stp>
        <stp>NGE?35</stp>
        <stp>T_CVol</stp>
        <stp/>
        <stp>T</stp>
        <tr r="S42" s="16"/>
      </tp>
      <tp>
        <v>0</v>
        <stp/>
        <stp>ContractData</stp>
        <stp>NGE?25</stp>
        <stp>T_CVol</stp>
        <stp/>
        <stp>T</stp>
        <tr r="S32" s="16"/>
      </tp>
      <tp>
        <v>0</v>
        <stp/>
        <stp>ContractData</stp>
        <stp>NGE?55</stp>
        <stp>T_CVol</stp>
        <stp/>
        <stp>T</stp>
        <tr r="S62" s="16"/>
      </tp>
      <tp>
        <v>0</v>
        <stp/>
        <stp>ContractData</stp>
        <stp>NGE?45</stp>
        <stp>T_CVol</stp>
        <stp/>
        <stp>T</stp>
        <tr r="S52" s="16"/>
      </tp>
      <tp>
        <v>0</v>
        <stp/>
        <stp>ContractData</stp>
        <stp>NGE?75</stp>
        <stp>T_CVol</stp>
        <stp/>
        <stp>T</stp>
        <tr r="S82" s="16"/>
      </tp>
      <tp>
        <v>0</v>
        <stp/>
        <stp>ContractData</stp>
        <stp>NGE?65</stp>
        <stp>T_CVol</stp>
        <stp/>
        <stp>T</stp>
        <tr r="S72" s="16"/>
      </tp>
      <tp>
        <v>0</v>
        <stp/>
        <stp>ContractData</stp>
        <stp>NGE?95</stp>
        <stp>T_CVol</stp>
        <stp/>
        <stp>T</stp>
        <tr r="S102" s="16"/>
      </tp>
      <tp>
        <v>0</v>
        <stp/>
        <stp>ContractData</stp>
        <stp>NGE?85</stp>
        <stp>T_CVol</stp>
        <stp/>
        <stp>T</stp>
        <tr r="S92" s="16"/>
      </tp>
      <tp>
        <v>2106</v>
        <stp/>
        <stp>ContractData</stp>
        <stp>NGE?15</stp>
        <stp>Y_CVol</stp>
        <stp/>
        <stp>T</stp>
        <tr r="T22" s="16"/>
        <tr r="T22" s="16"/>
      </tp>
      <tp>
        <v>0</v>
        <stp/>
        <stp>ContractData</stp>
        <stp>NGE?35</stp>
        <stp>Y_CVol</stp>
        <stp/>
        <stp>T</stp>
        <tr r="T42" s="16"/>
      </tp>
      <tp>
        <v>4</v>
        <stp/>
        <stp>ContractData</stp>
        <stp>NGE?25</stp>
        <stp>Y_CVol</stp>
        <stp/>
        <stp>T</stp>
        <tr r="T32" s="16"/>
        <tr r="T32" s="16"/>
      </tp>
      <tp>
        <v>0</v>
        <stp/>
        <stp>ContractData</stp>
        <stp>NGE?55</stp>
        <stp>Y_CVol</stp>
        <stp/>
        <stp>T</stp>
        <tr r="T62" s="16"/>
      </tp>
      <tp>
        <v>0</v>
        <stp/>
        <stp>ContractData</stp>
        <stp>NGE?45</stp>
        <stp>Y_CVol</stp>
        <stp/>
        <stp>T</stp>
        <tr r="T52" s="16"/>
      </tp>
      <tp>
        <v>0</v>
        <stp/>
        <stp>ContractData</stp>
        <stp>NGE?75</stp>
        <stp>Y_CVol</stp>
        <stp/>
        <stp>T</stp>
        <tr r="T82" s="16"/>
      </tp>
      <tp>
        <v>0</v>
        <stp/>
        <stp>ContractData</stp>
        <stp>NGE?65</stp>
        <stp>Y_CVol</stp>
        <stp/>
        <stp>T</stp>
        <tr r="T72" s="16"/>
      </tp>
      <tp>
        <v>0</v>
        <stp/>
        <stp>ContractData</stp>
        <stp>NGE?95</stp>
        <stp>Y_CVol</stp>
        <stp/>
        <stp>T</stp>
        <tr r="T102" s="16"/>
      </tp>
      <tp>
        <v>0</v>
        <stp/>
        <stp>ContractData</stp>
        <stp>NGE?85</stp>
        <stp>Y_CVol</stp>
        <stp/>
        <stp>T</stp>
        <tr r="T92" s="16"/>
      </tp>
      <tp>
        <v>2.9220000000000002</v>
        <stp/>
        <stp>StudyData</stp>
        <stp>Close(NGE?7)when (LocalMonth(NGE?7)=9 and LocalDay(NGE?7)=14 and LocalYear(NGE?7)=2017)</stp>
        <stp>Bar</stp>
        <stp/>
        <stp>Close</stp>
        <stp>D</stp>
        <stp>0</stp>
        <stp>ALL</stp>
        <stp/>
        <stp/>
        <stp>FALSE</stp>
        <stp>T</stp>
        <tr r="E22" s="6"/>
        <tr r="E22" s="7"/>
        <tr r="E22" s="8"/>
        <tr r="E22" s="9"/>
        <tr r="E22" s="11"/>
      </tp>
      <tp>
        <v>3.37</v>
        <stp/>
        <stp>StudyData</stp>
        <stp>Close(NGE?4)when (LocalMonth(NGE?4)=9 and LocalDay(NGE?4)=14 and LocalYear(NGEG8)=2017)</stp>
        <stp>Bar</stp>
        <stp/>
        <stp>Close</stp>
        <stp>D</stp>
        <stp>0</stp>
        <stp>ALL</stp>
        <stp/>
        <stp/>
        <stp>FALSE</stp>
        <stp>T</stp>
        <tr r="E19" s="10"/>
      </tp>
      <tp>
        <v>43461</v>
        <stp/>
        <stp>ContractData</stp>
        <stp>NGE?15</stp>
        <stp>ExpirationDate</stp>
        <stp/>
        <stp>T</stp>
        <tr r="AA22" s="16"/>
      </tp>
      <tp>
        <v>43767</v>
        <stp/>
        <stp>ContractData</stp>
        <stp>NGE?25</stp>
        <stp>ExpirationDate</stp>
        <stp/>
        <stp>T</stp>
        <tr r="AA32" s="16"/>
      </tp>
      <tp>
        <v>44070</v>
        <stp/>
        <stp>ContractData</stp>
        <stp>NGE?35</stp>
        <stp>ExpirationDate</stp>
        <stp/>
        <stp>T</stp>
        <tr r="AA42" s="16"/>
      </tp>
      <tp>
        <v>44375</v>
        <stp/>
        <stp>ContractData</stp>
        <stp>NGE?45</stp>
        <stp>ExpirationDate</stp>
        <stp/>
        <stp>T</stp>
        <tr r="AA52" s="16"/>
      </tp>
      <tp>
        <v>44678</v>
        <stp/>
        <stp>ContractData</stp>
        <stp>NGE?55</stp>
        <stp>ExpirationDate</stp>
        <stp/>
        <stp>T</stp>
        <tr r="AA62" s="16"/>
      </tp>
      <tp>
        <v>44981</v>
        <stp/>
        <stp>ContractData</stp>
        <stp>NGE?65</stp>
        <stp>ExpirationDate</stp>
        <stp/>
        <stp>T</stp>
        <tr r="AA72" s="16"/>
      </tp>
      <tp>
        <v>45287</v>
        <stp/>
        <stp>ContractData</stp>
        <stp>NGE?75</stp>
        <stp>ExpirationDate</stp>
        <stp/>
        <stp>T</stp>
        <tr r="AA82" s="16"/>
      </tp>
      <tp>
        <v>45594</v>
        <stp/>
        <stp>ContractData</stp>
        <stp>NGE?85</stp>
        <stp>ExpirationDate</stp>
        <stp/>
        <stp>T</stp>
        <tr r="AA92" s="16"/>
      </tp>
      <tp>
        <v>45896</v>
        <stp/>
        <stp>ContractData</stp>
        <stp>NGE?95</stp>
        <stp>ExpirationDate</stp>
        <stp/>
        <stp>T</stp>
        <tr r="AA102" s="16"/>
      </tp>
      <tp>
        <v>45743</v>
        <stp/>
        <stp>ContractData</stp>
        <stp>NGEJ25</stp>
        <stp>ExpirationDate</stp>
        <stp/>
        <stp>T</stp>
        <tr r="S22" s="15"/>
      </tp>
      <tp>
        <v>23</v>
        <stp/>
        <stp>ContractData</stp>
        <stp>NGE?16</stp>
        <stp>T_CVol</stp>
        <stp/>
        <stp>T</stp>
        <tr r="S23" s="16"/>
        <tr r="S23" s="16"/>
      </tp>
      <tp>
        <v>0</v>
        <stp/>
        <stp>ContractData</stp>
        <stp>NGE?36</stp>
        <stp>T_CVol</stp>
        <stp/>
        <stp>T</stp>
        <tr r="S43" s="16"/>
      </tp>
      <tp>
        <v>1</v>
        <stp/>
        <stp>ContractData</stp>
        <stp>NGE?26</stp>
        <stp>T_CVol</stp>
        <stp/>
        <stp>T</stp>
        <tr r="S33" s="16"/>
        <tr r="S33" s="16"/>
      </tp>
      <tp>
        <v>0</v>
        <stp/>
        <stp>ContractData</stp>
        <stp>NGE?56</stp>
        <stp>T_CVol</stp>
        <stp/>
        <stp>T</stp>
        <tr r="S63" s="16"/>
      </tp>
      <tp>
        <v>0</v>
        <stp/>
        <stp>ContractData</stp>
        <stp>NGE?46</stp>
        <stp>T_CVol</stp>
        <stp/>
        <stp>T</stp>
        <tr r="S53" s="16"/>
      </tp>
      <tp>
        <v>0</v>
        <stp/>
        <stp>ContractData</stp>
        <stp>NGE?76</stp>
        <stp>T_CVol</stp>
        <stp/>
        <stp>T</stp>
        <tr r="S83" s="16"/>
      </tp>
      <tp>
        <v>0</v>
        <stp/>
        <stp>ContractData</stp>
        <stp>NGE?66</stp>
        <stp>T_CVol</stp>
        <stp/>
        <stp>T</stp>
        <tr r="S73" s="16"/>
      </tp>
      <tp>
        <v>0</v>
        <stp/>
        <stp>ContractData</stp>
        <stp>NGE?96</stp>
        <stp>T_CVol</stp>
        <stp/>
        <stp>T</stp>
        <tr r="S103" s="16"/>
      </tp>
      <tp>
        <v>0</v>
        <stp/>
        <stp>ContractData</stp>
        <stp>NGE?86</stp>
        <stp>T_CVol</stp>
        <stp/>
        <stp>T</stp>
        <tr r="S93" s="16"/>
      </tp>
      <tp>
        <v>217</v>
        <stp/>
        <stp>ContractData</stp>
        <stp>NGE?16</stp>
        <stp>Y_CVol</stp>
        <stp/>
        <stp>T</stp>
        <tr r="T23" s="16"/>
        <tr r="T23" s="16"/>
      </tp>
      <tp>
        <v>0</v>
        <stp/>
        <stp>ContractData</stp>
        <stp>NGE?36</stp>
        <stp>Y_CVol</stp>
        <stp/>
        <stp>T</stp>
        <tr r="T43" s="16"/>
      </tp>
      <tp>
        <v>30</v>
        <stp/>
        <stp>ContractData</stp>
        <stp>NGE?26</stp>
        <stp>Y_CVol</stp>
        <stp/>
        <stp>T</stp>
        <tr r="T33" s="16"/>
        <tr r="T33" s="16"/>
      </tp>
      <tp>
        <v>0</v>
        <stp/>
        <stp>ContractData</stp>
        <stp>NGE?56</stp>
        <stp>Y_CVol</stp>
        <stp/>
        <stp>T</stp>
        <tr r="T63" s="16"/>
      </tp>
      <tp>
        <v>0</v>
        <stp/>
        <stp>ContractData</stp>
        <stp>NGE?46</stp>
        <stp>Y_CVol</stp>
        <stp/>
        <stp>T</stp>
        <tr r="T53" s="16"/>
      </tp>
      <tp>
        <v>0</v>
        <stp/>
        <stp>ContractData</stp>
        <stp>NGE?76</stp>
        <stp>Y_CVol</stp>
        <stp/>
        <stp>T</stp>
        <tr r="T83" s="16"/>
      </tp>
      <tp>
        <v>0</v>
        <stp/>
        <stp>ContractData</stp>
        <stp>NGE?66</stp>
        <stp>Y_CVol</stp>
        <stp/>
        <stp>T</stp>
        <tr r="T73" s="16"/>
      </tp>
      <tp>
        <v>0</v>
        <stp/>
        <stp>ContractData</stp>
        <stp>NGE?96</stp>
        <stp>Y_CVol</stp>
        <stp/>
        <stp>T</stp>
        <tr r="T103" s="16"/>
      </tp>
      <tp>
        <v>0</v>
        <stp/>
        <stp>ContractData</stp>
        <stp>NGE?86</stp>
        <stp>Y_CVol</stp>
        <stp/>
        <stp>T</stp>
        <tr r="T93" s="16"/>
      </tp>
      <tp>
        <v>3.37</v>
        <stp/>
        <stp>StudyData</stp>
        <stp>Close(NGE?4)when (LocalMonth(NGE?4)=9 and LocalDay(NGE?4)=14 and LocalYear(NGE?4)=2017)</stp>
        <stp>Bar</stp>
        <stp/>
        <stp>Close</stp>
        <stp>D</stp>
        <stp>0</stp>
        <stp>ALL</stp>
        <stp/>
        <stp/>
        <stp>FALSE</stp>
        <stp>T</stp>
        <tr r="E19" s="6"/>
        <tr r="E19" s="9"/>
        <tr r="E19" s="7"/>
        <tr r="E19" s="8"/>
        <tr r="E19" s="11"/>
      </tp>
      <tp>
        <v>3.32</v>
        <stp/>
        <stp>StudyData</stp>
        <stp>Close(NGE?5)when (LocalMonth(NGE?5)=9 and LocalDay(NGE?5)=14 and LocalYear(NGEH8)=2017)</stp>
        <stp>Bar</stp>
        <stp/>
        <stp>Close</stp>
        <stp>D</stp>
        <stp>0</stp>
        <stp>ALL</stp>
        <stp/>
        <stp/>
        <stp>FALSE</stp>
        <stp>T</stp>
        <tr r="E20" s="10"/>
      </tp>
      <tp>
        <v>43432</v>
        <stp/>
        <stp>ContractData</stp>
        <stp>NGE?14</stp>
        <stp>ExpirationDate</stp>
        <stp/>
        <stp>T</stp>
        <tr r="AA21" s="16"/>
      </tp>
      <tp>
        <v>43734</v>
        <stp/>
        <stp>ContractData</stp>
        <stp>NGE?24</stp>
        <stp>ExpirationDate</stp>
        <stp/>
        <stp>T</stp>
        <tr r="AA31" s="16"/>
      </tp>
      <tp>
        <v>44041</v>
        <stp/>
        <stp>ContractData</stp>
        <stp>NGE?34</stp>
        <stp>ExpirationDate</stp>
        <stp/>
        <stp>T</stp>
        <tr r="AA41" s="16"/>
      </tp>
      <tp>
        <v>44343</v>
        <stp/>
        <stp>ContractData</stp>
        <stp>NGE?44</stp>
        <stp>ExpirationDate</stp>
        <stp/>
        <stp>T</stp>
        <tr r="AA51" s="16"/>
      </tp>
      <tp>
        <v>44649</v>
        <stp/>
        <stp>ContractData</stp>
        <stp>NGE?54</stp>
        <stp>ExpirationDate</stp>
        <stp/>
        <stp>T</stp>
        <tr r="AA61" s="16"/>
      </tp>
      <tp>
        <v>44953</v>
        <stp/>
        <stp>ContractData</stp>
        <stp>NGE?64</stp>
        <stp>ExpirationDate</stp>
        <stp/>
        <stp>T</stp>
        <tr r="AA71" s="16"/>
      </tp>
      <tp>
        <v>45258</v>
        <stp/>
        <stp>ContractData</stp>
        <stp>NGE?74</stp>
        <stp>ExpirationDate</stp>
        <stp/>
        <stp>T</stp>
        <tr r="AA81" s="16"/>
      </tp>
      <tp>
        <v>45561</v>
        <stp/>
        <stp>ContractData</stp>
        <stp>NGE?84</stp>
        <stp>ExpirationDate</stp>
        <stp/>
        <stp>T</stp>
        <tr r="AA91" s="16"/>
      </tp>
      <tp>
        <v>45867</v>
        <stp/>
        <stp>ContractData</stp>
        <stp>NGE?94</stp>
        <stp>ExpirationDate</stp>
        <stp/>
        <stp>T</stp>
        <tr r="AA101" s="16"/>
      </tp>
      <tp>
        <v>45378</v>
        <stp/>
        <stp>ContractData</stp>
        <stp>NGEJ24</stp>
        <stp>ExpirationDate</stp>
        <stp/>
        <stp>T</stp>
        <tr r="S21" s="15"/>
      </tp>
      <tp>
        <v>45594</v>
        <stp/>
        <stp>ContractData</stp>
        <stp>NGEX24</stp>
        <stp>ExpirationDate</stp>
        <stp/>
        <stp>T</stp>
        <tr r="S9" s="15"/>
      </tp>
      <tp>
        <v>2.9510000000000001</v>
        <stp/>
        <stp>ContractData</stp>
        <stp>NGEU18</stp>
        <stp>Y_Settlement</stp>
        <stp/>
        <stp>T</stp>
        <tr r="P23" s="13"/>
      </tp>
      <tp>
        <v>27</v>
        <stp/>
        <stp>ContractData</stp>
        <stp>NGE?17</stp>
        <stp>T_CVol</stp>
        <stp/>
        <stp>T</stp>
        <tr r="S24" s="16"/>
        <tr r="S24" s="16"/>
      </tp>
      <tp>
        <v>0</v>
        <stp/>
        <stp>ContractData</stp>
        <stp>NGE?37</stp>
        <stp>T_CVol</stp>
        <stp/>
        <stp>T</stp>
        <tr r="S44" s="16"/>
      </tp>
      <tp>
        <v>0</v>
        <stp/>
        <stp>ContractData</stp>
        <stp>NGE?27</stp>
        <stp>T_CVol</stp>
        <stp/>
        <stp>T</stp>
        <tr r="S34" s="16"/>
      </tp>
      <tp>
        <v>0</v>
        <stp/>
        <stp>ContractData</stp>
        <stp>NGE?57</stp>
        <stp>T_CVol</stp>
        <stp/>
        <stp>T</stp>
        <tr r="S64" s="16"/>
      </tp>
      <tp>
        <v>0</v>
        <stp/>
        <stp>ContractData</stp>
        <stp>NGE?47</stp>
        <stp>T_CVol</stp>
        <stp/>
        <stp>T</stp>
        <tr r="S54" s="16"/>
      </tp>
      <tp>
        <v>0</v>
        <stp/>
        <stp>ContractData</stp>
        <stp>NGE?77</stp>
        <stp>T_CVol</stp>
        <stp/>
        <stp>T</stp>
        <tr r="S84" s="16"/>
      </tp>
      <tp>
        <v>0</v>
        <stp/>
        <stp>ContractData</stp>
        <stp>NGE?67</stp>
        <stp>T_CVol</stp>
        <stp/>
        <stp>T</stp>
        <tr r="S74" s="16"/>
      </tp>
      <tp>
        <v>0</v>
        <stp/>
        <stp>ContractData</stp>
        <stp>NGE?97</stp>
        <stp>T_CVol</stp>
        <stp/>
        <stp>T</stp>
        <tr r="S104" s="16"/>
      </tp>
      <tp>
        <v>0</v>
        <stp/>
        <stp>ContractData</stp>
        <stp>NGE?87</stp>
        <stp>T_CVol</stp>
        <stp/>
        <stp>T</stp>
        <tr r="S94" s="16"/>
      </tp>
      <tp>
        <v>1757</v>
        <stp/>
        <stp>ContractData</stp>
        <stp>NGE?17</stp>
        <stp>Y_CVol</stp>
        <stp/>
        <stp>T</stp>
        <tr r="T24" s="16"/>
        <tr r="T24" s="16"/>
      </tp>
      <tp>
        <v>0</v>
        <stp/>
        <stp>ContractData</stp>
        <stp>NGE?37</stp>
        <stp>Y_CVol</stp>
        <stp/>
        <stp>T</stp>
        <tr r="T44" s="16"/>
      </tp>
      <tp>
        <v>4</v>
        <stp/>
        <stp>ContractData</stp>
        <stp>NGE?27</stp>
        <stp>Y_CVol</stp>
        <stp/>
        <stp>T</stp>
        <tr r="T34" s="16"/>
        <tr r="T34" s="16"/>
      </tp>
      <tp>
        <v>0</v>
        <stp/>
        <stp>ContractData</stp>
        <stp>NGE?57</stp>
        <stp>Y_CVol</stp>
        <stp/>
        <stp>T</stp>
        <tr r="T64" s="16"/>
      </tp>
      <tp>
        <v>0</v>
        <stp/>
        <stp>ContractData</stp>
        <stp>NGE?47</stp>
        <stp>Y_CVol</stp>
        <stp/>
        <stp>T</stp>
        <tr r="T54" s="16"/>
      </tp>
      <tp>
        <v>0</v>
        <stp/>
        <stp>ContractData</stp>
        <stp>NGE?77</stp>
        <stp>Y_CVol</stp>
        <stp/>
        <stp>T</stp>
        <tr r="T84" s="16"/>
      </tp>
      <tp>
        <v>0</v>
        <stp/>
        <stp>ContractData</stp>
        <stp>NGE?67</stp>
        <stp>Y_CVol</stp>
        <stp/>
        <stp>T</stp>
        <tr r="T74" s="16"/>
      </tp>
      <tp>
        <v>0</v>
        <stp/>
        <stp>ContractData</stp>
        <stp>NGE?97</stp>
        <stp>Y_CVol</stp>
        <stp/>
        <stp>T</stp>
        <tr r="T104" s="16"/>
      </tp>
      <tp>
        <v>0</v>
        <stp/>
        <stp>ContractData</stp>
        <stp>NGE?87</stp>
        <stp>Y_CVol</stp>
        <stp/>
        <stp>T</stp>
        <tr r="T94" s="16"/>
      </tp>
      <tp>
        <v>3.32</v>
        <stp/>
        <stp>StudyData</stp>
        <stp>Close(NGE?5)when (LocalMonth(NGE?5)=9 and LocalDay(NGE?5)=14 and LocalYear(NGE?5)=2017)</stp>
        <stp>Bar</stp>
        <stp/>
        <stp>Close</stp>
        <stp>D</stp>
        <stp>0</stp>
        <stp>ALL</stp>
        <stp/>
        <stp/>
        <stp>FALSE</stp>
        <stp>T</stp>
        <tr r="E20" s="6"/>
        <tr r="E20" s="7"/>
        <tr r="E20" s="9"/>
        <tr r="E20" s="8"/>
        <tr r="E20" s="11"/>
      </tp>
      <tp>
        <v>43402</v>
        <stp/>
        <stp>ContractData</stp>
        <stp>NGE?13</stp>
        <stp>ExpirationDate</stp>
        <stp/>
        <stp>T</stp>
        <tr r="AA20" s="16"/>
      </tp>
      <tp>
        <v>43705</v>
        <stp/>
        <stp>ContractData</stp>
        <stp>NGE?23</stp>
        <stp>ExpirationDate</stp>
        <stp/>
        <stp>T</stp>
        <tr r="AA30" s="16"/>
      </tp>
      <tp>
        <v>44008</v>
        <stp/>
        <stp>ContractData</stp>
        <stp>NGE?33</stp>
        <stp>ExpirationDate</stp>
        <stp/>
        <stp>T</stp>
        <tr r="AA40" s="16"/>
      </tp>
      <tp>
        <v>44314</v>
        <stp/>
        <stp>ContractData</stp>
        <stp>NGE?43</stp>
        <stp>ExpirationDate</stp>
        <stp/>
        <stp>T</stp>
        <tr r="AA50" s="16"/>
      </tp>
      <tp>
        <v>44616</v>
        <stp/>
        <stp>ContractData</stp>
        <stp>NGE?53</stp>
        <stp>ExpirationDate</stp>
        <stp/>
        <stp>T</stp>
        <tr r="AA60" s="16"/>
      </tp>
      <tp>
        <v>44923</v>
        <stp/>
        <stp>ContractData</stp>
        <stp>NGE?63</stp>
        <stp>ExpirationDate</stp>
        <stp/>
        <stp>T</stp>
        <tr r="AA70" s="16"/>
      </tp>
      <tp>
        <v>45226</v>
        <stp/>
        <stp>ContractData</stp>
        <stp>NGE?73</stp>
        <stp>ExpirationDate</stp>
        <stp/>
        <stp>T</stp>
        <tr r="AA80" s="16"/>
      </tp>
      <tp>
        <v>45532</v>
        <stp/>
        <stp>ContractData</stp>
        <stp>NGE?83</stp>
        <stp>ExpirationDate</stp>
        <stp/>
        <stp>T</stp>
        <tr r="AA90" s="16"/>
      </tp>
      <tp>
        <v>45834</v>
        <stp/>
        <stp>ContractData</stp>
        <stp>NGE?93</stp>
        <stp>ExpirationDate</stp>
        <stp/>
        <stp>T</stp>
        <tr r="AA100" s="16"/>
      </tp>
      <tp>
        <v>45014</v>
        <stp/>
        <stp>ContractData</stp>
        <stp>NGEJ23</stp>
        <stp>ExpirationDate</stp>
        <stp/>
        <stp>T</stp>
        <tr r="S20" s="15"/>
      </tp>
      <tp>
        <v>45226</v>
        <stp/>
        <stp>ContractData</stp>
        <stp>NGEX23</stp>
        <stp>ExpirationDate</stp>
        <stp/>
        <stp>T</stp>
        <tr r="S8" s="15"/>
      </tp>
      <tp>
        <v>951</v>
        <stp/>
        <stp>ContractData</stp>
        <stp>NGE?10</stp>
        <stp>T_CVol</stp>
        <stp/>
        <stp>T</stp>
        <tr r="S17" s="16"/>
        <tr r="S17" s="16"/>
      </tp>
      <tp>
        <v>0</v>
        <stp/>
        <stp>ContractData</stp>
        <stp>NGE?30</stp>
        <stp>T_CVol</stp>
        <stp/>
        <stp>T</stp>
        <tr r="S37" s="16"/>
      </tp>
      <tp>
        <v>0</v>
        <stp/>
        <stp>ContractData</stp>
        <stp>NGE?20</stp>
        <stp>T_CVol</stp>
        <stp/>
        <stp>T</stp>
        <tr r="S27" s="16"/>
      </tp>
      <tp>
        <v>0</v>
        <stp/>
        <stp>ContractData</stp>
        <stp>NGE?50</stp>
        <stp>T_CVol</stp>
        <stp/>
        <stp>T</stp>
        <tr r="S57" s="16"/>
      </tp>
      <tp>
        <v>0</v>
        <stp/>
        <stp>ContractData</stp>
        <stp>NGE?40</stp>
        <stp>T_CVol</stp>
        <stp/>
        <stp>T</stp>
        <tr r="S47" s="16"/>
      </tp>
      <tp>
        <v>0</v>
        <stp/>
        <stp>ContractData</stp>
        <stp>NGE?70</stp>
        <stp>T_CVol</stp>
        <stp/>
        <stp>T</stp>
        <tr r="S77" s="16"/>
      </tp>
      <tp>
        <v>0</v>
        <stp/>
        <stp>ContractData</stp>
        <stp>NGE?60</stp>
        <stp>T_CVol</stp>
        <stp/>
        <stp>T</stp>
        <tr r="S67" s="16"/>
      </tp>
      <tp>
        <v>0</v>
        <stp/>
        <stp>ContractData</stp>
        <stp>NGE?90</stp>
        <stp>T_CVol</stp>
        <stp/>
        <stp>T</stp>
        <tr r="S97" s="16"/>
      </tp>
      <tp>
        <v>0</v>
        <stp/>
        <stp>ContractData</stp>
        <stp>NGE?80</stp>
        <stp>T_CVol</stp>
        <stp/>
        <stp>T</stp>
        <tr r="S87" s="16"/>
      </tp>
      <tp>
        <v>1825</v>
        <stp/>
        <stp>ContractData</stp>
        <stp>NGE?10</stp>
        <stp>Y_CVol</stp>
        <stp/>
        <stp>T</stp>
        <tr r="T17" s="16"/>
        <tr r="T17" s="16"/>
      </tp>
      <tp>
        <v>0</v>
        <stp/>
        <stp>ContractData</stp>
        <stp>NGE?30</stp>
        <stp>Y_CVol</stp>
        <stp/>
        <stp>T</stp>
        <tr r="T37" s="16"/>
      </tp>
      <tp>
        <v>738</v>
        <stp/>
        <stp>ContractData</stp>
        <stp>NGE?20</stp>
        <stp>Y_CVol</stp>
        <stp/>
        <stp>T</stp>
        <tr r="T27" s="16"/>
        <tr r="T27" s="16"/>
      </tp>
      <tp>
        <v>0</v>
        <stp/>
        <stp>ContractData</stp>
        <stp>NGE?50</stp>
        <stp>Y_CVol</stp>
        <stp/>
        <stp>T</stp>
        <tr r="T57" s="16"/>
      </tp>
      <tp>
        <v>0</v>
        <stp/>
        <stp>ContractData</stp>
        <stp>NGE?40</stp>
        <stp>Y_CVol</stp>
        <stp/>
        <stp>T</stp>
        <tr r="T47" s="16"/>
      </tp>
      <tp>
        <v>0</v>
        <stp/>
        <stp>ContractData</stp>
        <stp>NGE?70</stp>
        <stp>Y_CVol</stp>
        <stp/>
        <stp>T</stp>
        <tr r="T77" s="16"/>
      </tp>
      <tp>
        <v>0</v>
        <stp/>
        <stp>ContractData</stp>
        <stp>NGE?60</stp>
        <stp>Y_CVol</stp>
        <stp/>
        <stp>T</stp>
        <tr r="T67" s="16"/>
      </tp>
      <tp>
        <v>0</v>
        <stp/>
        <stp>ContractData</stp>
        <stp>NGE?90</stp>
        <stp>Y_CVol</stp>
        <stp/>
        <stp>T</stp>
        <tr r="T97" s="16"/>
      </tp>
      <tp>
        <v>0</v>
        <stp/>
        <stp>ContractData</stp>
        <stp>NGE?80</stp>
        <stp>Y_CVol</stp>
        <stp/>
        <stp>T</stp>
        <tr r="T87" s="16"/>
      </tp>
      <tp>
        <v>3.2709999999999999</v>
        <stp/>
        <stp>StudyData</stp>
        <stp>Close(NGE?2)when (LocalMonth(NGE?2)=9 and LocalDay(NGE?2)=14 and LocalYear(NGE?2)=2017)</stp>
        <stp>Bar</stp>
        <stp/>
        <stp>Close</stp>
        <stp>D</stp>
        <stp>0</stp>
        <stp>ALL</stp>
        <stp/>
        <stp/>
        <stp>FALSE</stp>
        <stp>T</stp>
        <tr r="E17" s="6"/>
        <tr r="E17" s="7"/>
        <tr r="E17" s="8"/>
        <tr r="E17" s="9"/>
        <tr r="E17" s="11"/>
      </tp>
      <tp>
        <v>3.371</v>
        <stp/>
        <stp>StudyData</stp>
        <stp>Close(NGE?3)when (LocalMonth(NGE?3)=9 and LocalDay(NGE?3)=14 and LocalYear(NGEF8)=2017)</stp>
        <stp>Bar</stp>
        <stp/>
        <stp>Close</stp>
        <stp>D</stp>
        <stp>0</stp>
        <stp>ALL</stp>
        <stp/>
        <stp/>
        <stp>FALSE</stp>
        <stp>T</stp>
        <tr r="E18" s="10"/>
      </tp>
      <tp>
        <v>43369</v>
        <stp/>
        <stp>ContractData</stp>
        <stp>NGE?12</stp>
        <stp>ExpirationDate</stp>
        <stp/>
        <stp>T</stp>
        <tr r="AA19" s="16"/>
      </tp>
      <tp>
        <v>43675</v>
        <stp/>
        <stp>ContractData</stp>
        <stp>NGE?22</stp>
        <stp>ExpirationDate</stp>
        <stp/>
        <stp>T</stp>
        <tr r="AA29" s="16"/>
      </tp>
      <tp>
        <v>43978</v>
        <stp/>
        <stp>ContractData</stp>
        <stp>NGE?32</stp>
        <stp>ExpirationDate</stp>
        <stp/>
        <stp>T</stp>
        <tr r="AA39" s="16"/>
      </tp>
      <tp>
        <v>44284</v>
        <stp/>
        <stp>ContractData</stp>
        <stp>NGE?42</stp>
        <stp>ExpirationDate</stp>
        <stp/>
        <stp>T</stp>
        <tr r="AA49" s="16"/>
      </tp>
      <tp>
        <v>44588</v>
        <stp/>
        <stp>ContractData</stp>
        <stp>NGE?52</stp>
        <stp>ExpirationDate</stp>
        <stp/>
        <stp>T</stp>
        <tr r="AA59" s="16"/>
      </tp>
      <tp>
        <v>44892</v>
        <stp/>
        <stp>ContractData</stp>
        <stp>NGE?62</stp>
        <stp>ExpirationDate</stp>
        <stp/>
        <stp>T</stp>
        <tr r="AA69" s="16"/>
      </tp>
      <tp>
        <v>45196</v>
        <stp/>
        <stp>ContractData</stp>
        <stp>NGE?72</stp>
        <stp>ExpirationDate</stp>
        <stp/>
        <stp>T</stp>
        <tr r="AA79" s="16"/>
      </tp>
      <tp>
        <v>45502</v>
        <stp/>
        <stp>ContractData</stp>
        <stp>NGE?82</stp>
        <stp>ExpirationDate</stp>
        <stp/>
        <stp>T</stp>
        <tr r="AA89" s="16"/>
      </tp>
      <tp>
        <v>45805</v>
        <stp/>
        <stp>ContractData</stp>
        <stp>NGE?92</stp>
        <stp>ExpirationDate</stp>
        <stp/>
        <stp>T</stp>
        <tr r="AA99" s="16"/>
      </tp>
      <tp>
        <v>44649</v>
        <stp/>
        <stp>ContractData</stp>
        <stp>NGEJ22</stp>
        <stp>ExpirationDate</stp>
        <stp/>
        <stp>T</stp>
        <tr r="S19" s="15"/>
      </tp>
      <tp>
        <v>44861</v>
        <stp/>
        <stp>ContractData</stp>
        <stp>NGEX22</stp>
        <stp>ExpirationDate</stp>
        <stp/>
        <stp>T</stp>
        <tr r="S7" s="15"/>
      </tp>
      <tp>
        <v>744</v>
        <stp/>
        <stp>ContractData</stp>
        <stp>NGE?11</stp>
        <stp>T_CVol</stp>
        <stp/>
        <stp>T</stp>
        <tr r="S18" s="16"/>
        <tr r="S18" s="16"/>
      </tp>
      <tp>
        <v>0</v>
        <stp/>
        <stp>ContractData</stp>
        <stp>NGE?31</stp>
        <stp>T_CVol</stp>
        <stp/>
        <stp>T</stp>
        <tr r="S38" s="16"/>
      </tp>
      <tp>
        <v>10</v>
        <stp/>
        <stp>ContractData</stp>
        <stp>NGE?21</stp>
        <stp>T_CVol</stp>
        <stp/>
        <stp>T</stp>
        <tr r="S28" s="16"/>
        <tr r="S28" s="16"/>
      </tp>
      <tp>
        <v>0</v>
        <stp/>
        <stp>ContractData</stp>
        <stp>NGE?51</stp>
        <stp>T_CVol</stp>
        <stp/>
        <stp>T</stp>
        <tr r="S58" s="16"/>
      </tp>
      <tp>
        <v>0</v>
        <stp/>
        <stp>ContractData</stp>
        <stp>NGE?41</stp>
        <stp>T_CVol</stp>
        <stp/>
        <stp>T</stp>
        <tr r="S48" s="16"/>
      </tp>
      <tp>
        <v>0</v>
        <stp/>
        <stp>ContractData</stp>
        <stp>NGE?71</stp>
        <stp>T_CVol</stp>
        <stp/>
        <stp>T</stp>
        <tr r="S78" s="16"/>
      </tp>
      <tp>
        <v>0</v>
        <stp/>
        <stp>ContractData</stp>
        <stp>NGE?61</stp>
        <stp>T_CVol</stp>
        <stp/>
        <stp>T</stp>
        <tr r="S68" s="16"/>
      </tp>
      <tp>
        <v>0</v>
        <stp/>
        <stp>ContractData</stp>
        <stp>NGE?91</stp>
        <stp>T_CVol</stp>
        <stp/>
        <stp>T</stp>
        <tr r="S98" s="16"/>
      </tp>
      <tp>
        <v>0</v>
        <stp/>
        <stp>ContractData</stp>
        <stp>NGE?81</stp>
        <stp>T_CVol</stp>
        <stp/>
        <stp>T</stp>
        <tr r="S88" s="16"/>
      </tp>
      <tp>
        <v>1835</v>
        <stp/>
        <stp>ContractData</stp>
        <stp>NGE?11</stp>
        <stp>Y_CVol</stp>
        <stp/>
        <stp>T</stp>
        <tr r="T18" s="16"/>
        <tr r="T18" s="16"/>
      </tp>
      <tp>
        <v>0</v>
        <stp/>
        <stp>ContractData</stp>
        <stp>NGE?31</stp>
        <stp>Y_CVol</stp>
        <stp/>
        <stp>T</stp>
        <tr r="T38" s="16"/>
      </tp>
      <tp>
        <v>413</v>
        <stp/>
        <stp>ContractData</stp>
        <stp>NGE?21</stp>
        <stp>Y_CVol</stp>
        <stp/>
        <stp>T</stp>
        <tr r="T28" s="16"/>
        <tr r="T28" s="16"/>
      </tp>
      <tp>
        <v>0</v>
        <stp/>
        <stp>ContractData</stp>
        <stp>NGE?51</stp>
        <stp>Y_CVol</stp>
        <stp/>
        <stp>T</stp>
        <tr r="T58" s="16"/>
      </tp>
      <tp>
        <v>0</v>
        <stp/>
        <stp>ContractData</stp>
        <stp>NGE?41</stp>
        <stp>Y_CVol</stp>
        <stp/>
        <stp>T</stp>
        <tr r="T48" s="16"/>
      </tp>
      <tp>
        <v>0</v>
        <stp/>
        <stp>ContractData</stp>
        <stp>NGE?71</stp>
        <stp>Y_CVol</stp>
        <stp/>
        <stp>T</stp>
        <tr r="T78" s="16"/>
      </tp>
      <tp>
        <v>0</v>
        <stp/>
        <stp>ContractData</stp>
        <stp>NGE?61</stp>
        <stp>Y_CVol</stp>
        <stp/>
        <stp>T</stp>
        <tr r="T68" s="16"/>
      </tp>
      <tp>
        <v>0</v>
        <stp/>
        <stp>ContractData</stp>
        <stp>NGE?91</stp>
        <stp>Y_CVol</stp>
        <stp/>
        <stp>T</stp>
        <tr r="T98" s="16"/>
      </tp>
      <tp>
        <v>0</v>
        <stp/>
        <stp>ContractData</stp>
        <stp>NGE?81</stp>
        <stp>Y_CVol</stp>
        <stp/>
        <stp>T</stp>
        <tr r="T88" s="16"/>
      </tp>
      <tp>
        <v>3.371</v>
        <stp/>
        <stp>StudyData</stp>
        <stp>Close(NGE?3)when (LocalMonth(NGE?3)=9 and LocalDay(NGE?3)=14 and LocalYear(NGE?3)=2017)</stp>
        <stp>Bar</stp>
        <stp/>
        <stp>Close</stp>
        <stp>D</stp>
        <stp>0</stp>
        <stp>ALL</stp>
        <stp/>
        <stp/>
        <stp>FALSE</stp>
        <stp>T</stp>
        <tr r="E18" s="6"/>
        <tr r="E18" s="9"/>
        <tr r="E18" s="7"/>
        <tr r="E18" s="8"/>
        <tr r="E18" s="11"/>
      </tp>
      <tp>
        <v>43341</v>
        <stp/>
        <stp>ContractData</stp>
        <stp>NGE?11</stp>
        <stp>ExpirationDate</stp>
        <stp/>
        <stp>T</stp>
        <tr r="AA18" s="16"/>
      </tp>
      <tp>
        <v>43642</v>
        <stp/>
        <stp>ContractData</stp>
        <stp>NGE?21</stp>
        <stp>ExpirationDate</stp>
        <stp/>
        <stp>T</stp>
        <tr r="AA28" s="16"/>
      </tp>
      <tp>
        <v>43949</v>
        <stp/>
        <stp>ContractData</stp>
        <stp>NGE?31</stp>
        <stp>ExpirationDate</stp>
        <stp/>
        <stp>T</stp>
        <tr r="AA38" s="16"/>
      </tp>
      <tp>
        <v>44251</v>
        <stp/>
        <stp>ContractData</stp>
        <stp>NGE?41</stp>
        <stp>ExpirationDate</stp>
        <stp/>
        <stp>T</stp>
        <tr r="AA48" s="16"/>
      </tp>
      <tp>
        <v>44559</v>
        <stp/>
        <stp>ContractData</stp>
        <stp>NGE?51</stp>
        <stp>ExpirationDate</stp>
        <stp/>
        <stp>T</stp>
        <tr r="AA58" s="16"/>
      </tp>
      <tp>
        <v>44861</v>
        <stp/>
        <stp>ContractData</stp>
        <stp>NGE?61</stp>
        <stp>ExpirationDate</stp>
        <stp/>
        <stp>T</stp>
        <tr r="AA68" s="16"/>
      </tp>
      <tp>
        <v>45167</v>
        <stp/>
        <stp>ContractData</stp>
        <stp>NGE?71</stp>
        <stp>ExpirationDate</stp>
        <stp/>
        <stp>T</stp>
        <tr r="AA78" s="16"/>
      </tp>
      <tp>
        <v>45469</v>
        <stp/>
        <stp>ContractData</stp>
        <stp>NGE?81</stp>
        <stp>ExpirationDate</stp>
        <stp/>
        <stp>T</stp>
        <tr r="AA88" s="16"/>
      </tp>
      <tp>
        <v>45775</v>
        <stp/>
        <stp>ContractData</stp>
        <stp>NGE?91</stp>
        <stp>ExpirationDate</stp>
        <stp/>
        <stp>T</stp>
        <tr r="AA98" s="16"/>
      </tp>
      <tp>
        <v>44284</v>
        <stp/>
        <stp>ContractData</stp>
        <stp>NGEJ21</stp>
        <stp>ExpirationDate</stp>
        <stp/>
        <stp>T</stp>
        <tr r="S18" s="15"/>
      </tp>
      <tp>
        <v>44496</v>
        <stp/>
        <stp>ContractData</stp>
        <stp>NGEX21</stp>
        <stp>ExpirationDate</stp>
        <stp/>
        <stp>T</stp>
        <tr r="S6" s="15"/>
      </tp>
      <tp>
        <v>1142</v>
        <stp/>
        <stp>ContractData</stp>
        <stp>NGE?12</stp>
        <stp>T_CVol</stp>
        <stp/>
        <stp>T</stp>
        <tr r="S19" s="16"/>
        <tr r="S19" s="16"/>
      </tp>
      <tp>
        <v>0</v>
        <stp/>
        <stp>ContractData</stp>
        <stp>NGE?32</stp>
        <stp>T_CVol</stp>
        <stp/>
        <stp>T</stp>
        <tr r="S39" s="16"/>
      </tp>
      <tp>
        <v>0</v>
        <stp/>
        <stp>ContractData</stp>
        <stp>NGE?22</stp>
        <stp>T_CVol</stp>
        <stp/>
        <stp>T</stp>
        <tr r="S29" s="16"/>
      </tp>
      <tp>
        <v>0</v>
        <stp/>
        <stp>ContractData</stp>
        <stp>NGE?52</stp>
        <stp>T_CVol</stp>
        <stp/>
        <stp>T</stp>
        <tr r="S59" s="16"/>
      </tp>
      <tp>
        <v>0</v>
        <stp/>
        <stp>ContractData</stp>
        <stp>NGE?42</stp>
        <stp>T_CVol</stp>
        <stp/>
        <stp>T</stp>
        <tr r="S49" s="16"/>
      </tp>
      <tp>
        <v>0</v>
        <stp/>
        <stp>ContractData</stp>
        <stp>NGE?72</stp>
        <stp>T_CVol</stp>
        <stp/>
        <stp>T</stp>
        <tr r="S79" s="16"/>
      </tp>
      <tp>
        <v>0</v>
        <stp/>
        <stp>ContractData</stp>
        <stp>NGE?62</stp>
        <stp>T_CVol</stp>
        <stp/>
        <stp>T</stp>
        <tr r="S69" s="16"/>
      </tp>
      <tp>
        <v>0</v>
        <stp/>
        <stp>ContractData</stp>
        <stp>NGE?92</stp>
        <stp>T_CVol</stp>
        <stp/>
        <stp>T</stp>
        <tr r="S99" s="16"/>
      </tp>
      <tp>
        <v>0</v>
        <stp/>
        <stp>ContractData</stp>
        <stp>NGE?82</stp>
        <stp>T_CVol</stp>
        <stp/>
        <stp>T</stp>
        <tr r="S89" s="16"/>
      </tp>
      <tp>
        <v>6148</v>
        <stp/>
        <stp>ContractData</stp>
        <stp>NGE?12</stp>
        <stp>Y_CVol</stp>
        <stp/>
        <stp>T</stp>
        <tr r="T19" s="16"/>
        <tr r="T19" s="16"/>
      </tp>
      <tp>
        <v>0</v>
        <stp/>
        <stp>ContractData</stp>
        <stp>NGE?32</stp>
        <stp>Y_CVol</stp>
        <stp/>
        <stp>T</stp>
        <tr r="T39" s="16"/>
      </tp>
      <tp>
        <v>163</v>
        <stp/>
        <stp>ContractData</stp>
        <stp>NGE?22</stp>
        <stp>Y_CVol</stp>
        <stp/>
        <stp>T</stp>
        <tr r="T29" s="16"/>
        <tr r="T29" s="16"/>
      </tp>
      <tp>
        <v>0</v>
        <stp/>
        <stp>ContractData</stp>
        <stp>NGE?52</stp>
        <stp>Y_CVol</stp>
        <stp/>
        <stp>T</stp>
        <tr r="T59" s="16"/>
      </tp>
      <tp>
        <v>0</v>
        <stp/>
        <stp>ContractData</stp>
        <stp>NGE?42</stp>
        <stp>Y_CVol</stp>
        <stp/>
        <stp>T</stp>
        <tr r="T49" s="16"/>
      </tp>
      <tp>
        <v>0</v>
        <stp/>
        <stp>ContractData</stp>
        <stp>NGE?72</stp>
        <stp>Y_CVol</stp>
        <stp/>
        <stp>T</stp>
        <tr r="T79" s="16"/>
      </tp>
      <tp>
        <v>0</v>
        <stp/>
        <stp>ContractData</stp>
        <stp>NGE?62</stp>
        <stp>Y_CVol</stp>
        <stp/>
        <stp>T</stp>
        <tr r="T69" s="16"/>
      </tp>
      <tp>
        <v>0</v>
        <stp/>
        <stp>ContractData</stp>
        <stp>NGE?92</stp>
        <stp>Y_CVol</stp>
        <stp/>
        <stp>T</stp>
        <tr r="T99" s="16"/>
      </tp>
      <tp>
        <v>0</v>
        <stp/>
        <stp>ContractData</stp>
        <stp>NGE?82</stp>
        <stp>Y_CVol</stp>
        <stp/>
        <stp>T</stp>
        <tr r="T89" s="16"/>
      </tp>
      <tp>
        <v>2.9580000000000002</v>
        <stp/>
        <stp>ContractData</stp>
        <stp>NGE?9</stp>
        <stp>LastTradeToday</stp>
        <stp/>
        <stp>T</stp>
        <tr r="F16" s="16"/>
      </tp>
      <tp>
        <v>43308</v>
        <stp/>
        <stp>ContractData</stp>
        <stp>NGE?10</stp>
        <stp>ExpirationDate</stp>
        <stp/>
        <stp>T</stp>
        <tr r="AA17" s="16"/>
      </tp>
      <tp>
        <v>43614</v>
        <stp/>
        <stp>ContractData</stp>
        <stp>NGE?20</stp>
        <stp>ExpirationDate</stp>
        <stp/>
        <stp>T</stp>
        <tr r="AA27" s="16"/>
      </tp>
      <tp>
        <v>43917</v>
        <stp/>
        <stp>ContractData</stp>
        <stp>NGE?30</stp>
        <stp>ExpirationDate</stp>
        <stp/>
        <stp>T</stp>
        <tr r="AA37" s="16"/>
      </tp>
      <tp>
        <v>44223</v>
        <stp/>
        <stp>ContractData</stp>
        <stp>NGE?40</stp>
        <stp>ExpirationDate</stp>
        <stp/>
        <stp>T</stp>
        <tr r="AA47" s="16"/>
      </tp>
      <tp>
        <v>44526</v>
        <stp/>
        <stp>ContractData</stp>
        <stp>NGE?50</stp>
        <stp>ExpirationDate</stp>
        <stp/>
        <stp>T</stp>
        <tr r="AA57" s="16"/>
      </tp>
      <tp>
        <v>44832</v>
        <stp/>
        <stp>ContractData</stp>
        <stp>NGE?60</stp>
        <stp>ExpirationDate</stp>
        <stp/>
        <stp>T</stp>
        <tr r="AA67" s="16"/>
      </tp>
      <tp>
        <v>45134</v>
        <stp/>
        <stp>ContractData</stp>
        <stp>NGE?70</stp>
        <stp>ExpirationDate</stp>
        <stp/>
        <stp>T</stp>
        <tr r="AA77" s="16"/>
      </tp>
      <tp>
        <v>45441</v>
        <stp/>
        <stp>ContractData</stp>
        <stp>NGE?80</stp>
        <stp>ExpirationDate</stp>
        <stp/>
        <stp>T</stp>
        <tr r="AA87" s="16"/>
      </tp>
      <tp>
        <v>45743</v>
        <stp/>
        <stp>ContractData</stp>
        <stp>NGE?90</stp>
        <stp>ExpirationDate</stp>
        <stp/>
        <stp>T</stp>
        <tr r="AA97" s="16"/>
      </tp>
      <tp>
        <v>43917</v>
        <stp/>
        <stp>ContractData</stp>
        <stp>NGEJ20</stp>
        <stp>ExpirationDate</stp>
        <stp/>
        <stp>T</stp>
        <tr r="S17" s="15"/>
      </tp>
      <tp>
        <v>44132</v>
        <stp/>
        <stp>ContractData</stp>
        <stp>NGEX20</stp>
        <stp>ExpirationDate</stp>
        <stp/>
        <stp>T</stp>
        <tr r="S5" s="15"/>
      </tp>
      <tp>
        <v>2.9689999999999999</v>
        <stp/>
        <stp>ContractData</stp>
        <stp>NGEQ18</stp>
        <stp>Y_Settlement</stp>
        <stp/>
        <stp>T</stp>
        <tr r="O23" s="13"/>
      </tp>
      <tp>
        <v>120</v>
        <stp/>
        <stp>ContractData</stp>
        <stp>NGE?13</stp>
        <stp>T_CVol</stp>
        <stp/>
        <stp>T</stp>
        <tr r="S20" s="16"/>
        <tr r="S20" s="16"/>
      </tp>
      <tp>
        <v>0</v>
        <stp/>
        <stp>ContractData</stp>
        <stp>NGE?33</stp>
        <stp>T_CVol</stp>
        <stp/>
        <stp>T</stp>
        <tr r="S40" s="16"/>
      </tp>
      <tp>
        <v>0</v>
        <stp/>
        <stp>ContractData</stp>
        <stp>NGE?23</stp>
        <stp>T_CVol</stp>
        <stp/>
        <stp>T</stp>
        <tr r="S30" s="16"/>
      </tp>
      <tp>
        <v>0</v>
        <stp/>
        <stp>ContractData</stp>
        <stp>NGE?53</stp>
        <stp>T_CVol</stp>
        <stp/>
        <stp>T</stp>
        <tr r="S60" s="16"/>
      </tp>
      <tp>
        <v>0</v>
        <stp/>
        <stp>ContractData</stp>
        <stp>NGE?43</stp>
        <stp>T_CVol</stp>
        <stp/>
        <stp>T</stp>
        <tr r="S50" s="16"/>
      </tp>
      <tp>
        <v>0</v>
        <stp/>
        <stp>ContractData</stp>
        <stp>NGE?73</stp>
        <stp>T_CVol</stp>
        <stp/>
        <stp>T</stp>
        <tr r="S80" s="16"/>
      </tp>
      <tp>
        <v>0</v>
        <stp/>
        <stp>ContractData</stp>
        <stp>NGE?63</stp>
        <stp>T_CVol</stp>
        <stp/>
        <stp>T</stp>
        <tr r="S70" s="16"/>
      </tp>
      <tp>
        <v>0</v>
        <stp/>
        <stp>ContractData</stp>
        <stp>NGE?93</stp>
        <stp>T_CVol</stp>
        <stp/>
        <stp>T</stp>
        <tr r="S100" s="16"/>
      </tp>
      <tp>
        <v>0</v>
        <stp/>
        <stp>ContractData</stp>
        <stp>NGE?83</stp>
        <stp>T_CVol</stp>
        <stp/>
        <stp>T</stp>
        <tr r="S90" s="16"/>
      </tp>
      <tp>
        <v>1560</v>
        <stp/>
        <stp>ContractData</stp>
        <stp>NGE?13</stp>
        <stp>Y_CVol</stp>
        <stp/>
        <stp>T</stp>
        <tr r="T20" s="16"/>
        <tr r="T20" s="16"/>
      </tp>
      <tp>
        <v>0</v>
        <stp/>
        <stp>ContractData</stp>
        <stp>NGE?33</stp>
        <stp>Y_CVol</stp>
        <stp/>
        <stp>T</stp>
        <tr r="T40" s="16"/>
      </tp>
      <tp>
        <v>319</v>
        <stp/>
        <stp>ContractData</stp>
        <stp>NGE?23</stp>
        <stp>Y_CVol</stp>
        <stp/>
        <stp>T</stp>
        <tr r="T30" s="16"/>
        <tr r="T30" s="16"/>
      </tp>
      <tp>
        <v>0</v>
        <stp/>
        <stp>ContractData</stp>
        <stp>NGE?53</stp>
        <stp>Y_CVol</stp>
        <stp/>
        <stp>T</stp>
        <tr r="T60" s="16"/>
      </tp>
      <tp>
        <v>0</v>
        <stp/>
        <stp>ContractData</stp>
        <stp>NGE?43</stp>
        <stp>Y_CVol</stp>
        <stp/>
        <stp>T</stp>
        <tr r="T50" s="16"/>
      </tp>
      <tp>
        <v>0</v>
        <stp/>
        <stp>ContractData</stp>
        <stp>NGE?73</stp>
        <stp>Y_CVol</stp>
        <stp/>
        <stp>T</stp>
        <tr r="T80" s="16"/>
      </tp>
      <tp>
        <v>0</v>
        <stp/>
        <stp>ContractData</stp>
        <stp>NGE?63</stp>
        <stp>Y_CVol</stp>
        <stp/>
        <stp>T</stp>
        <tr r="T70" s="16"/>
      </tp>
      <tp>
        <v>0</v>
        <stp/>
        <stp>ContractData</stp>
        <stp>NGE?93</stp>
        <stp>Y_CVol</stp>
        <stp/>
        <stp>T</stp>
        <tr r="T100" s="16"/>
      </tp>
      <tp>
        <v>0</v>
        <stp/>
        <stp>ContractData</stp>
        <stp>NGE?83</stp>
        <stp>Y_CVol</stp>
        <stp/>
        <stp>T</stp>
        <tr r="T90" s="16"/>
      </tp>
      <tp>
        <v>2.931</v>
        <stp/>
        <stp>ContractData</stp>
        <stp>NGE?8</stp>
        <stp>LastTradeToday</stp>
        <stp/>
        <stp>T</stp>
        <tr r="F15" s="16"/>
      </tp>
      <tp>
        <v>3.1269999999999998</v>
        <stp/>
        <stp>StudyData</stp>
        <stp>Close(NGE?1)when (LocalMonth(NGE?1)=9 and LocalDay(NGE?1)=14 and LocalYear(NGE?1)=2017)</stp>
        <stp>Bar</stp>
        <stp/>
        <stp>Close</stp>
        <stp>D</stp>
        <stp>0</stp>
        <stp>ALL</stp>
        <stp/>
        <stp/>
        <stp>FALSE</stp>
        <stp>T</stp>
        <tr r="E16" s="6"/>
        <tr r="E16" s="9"/>
        <tr r="E17" s="10"/>
        <tr r="E16" s="7"/>
        <tr r="E16" s="8"/>
        <tr r="E16" s="11"/>
      </tp>
      <tp t="s">
        <v>Natural Gas (Globex), Nov 17</v>
        <stp/>
        <stp>ContractData</stp>
        <stp>NGE?1</stp>
        <stp>LongDescription</stp>
        <stp/>
        <stp>T</stp>
        <tr r="AB8" s="16"/>
        <tr r="B8" s="16"/>
      </tp>
      <tp t="s">
        <v>Natural Gas (Globex), Jan 18</v>
        <stp/>
        <stp>ContractData</stp>
        <stp>NGE?3</stp>
        <stp>LongDescription</stp>
        <stp/>
        <stp>T</stp>
        <tr r="AB10" s="16"/>
        <tr r="B10" s="16"/>
      </tp>
      <tp t="s">
        <v>Natural Gas (Globex), Dec 17</v>
        <stp/>
        <stp>ContractData</stp>
        <stp>NGE?2</stp>
        <stp>LongDescription</stp>
        <stp/>
        <stp>T</stp>
        <tr r="AB9" s="16"/>
        <tr r="B9" s="16"/>
      </tp>
      <tp t="s">
        <v>Natural Gas (Globex), Mar 18</v>
        <stp/>
        <stp>ContractData</stp>
        <stp>NGE?5</stp>
        <stp>LongDescription</stp>
        <stp/>
        <stp>T</stp>
        <tr r="AB12" s="16"/>
        <tr r="B12" s="16"/>
      </tp>
      <tp t="s">
        <v>Natural Gas (Globex), Feb 18</v>
        <stp/>
        <stp>ContractData</stp>
        <stp>NGE?4</stp>
        <stp>LongDescription</stp>
        <stp/>
        <stp>T</stp>
        <tr r="AB11" s="16"/>
        <tr r="B11" s="16"/>
      </tp>
      <tp t="s">
        <v>Natural Gas (Globex), May 18</v>
        <stp/>
        <stp>ContractData</stp>
        <stp>NGE?7</stp>
        <stp>LongDescription</stp>
        <stp/>
        <stp>T</stp>
        <tr r="AB14" s="16"/>
        <tr r="B14" s="16"/>
      </tp>
      <tp t="s">
        <v>Natural Gas (Globex), Apr 18</v>
        <stp/>
        <stp>ContractData</stp>
        <stp>NGE?6</stp>
        <stp>LongDescription</stp>
        <stp/>
        <stp>T</stp>
        <tr r="AB13" s="16"/>
        <tr r="B13" s="16"/>
      </tp>
      <tp t="s">
        <v>Natural Gas (Globex), Jul 18</v>
        <stp/>
        <stp>ContractData</stp>
        <stp>NGE?9</stp>
        <stp>LongDescription</stp>
        <stp/>
        <stp>T</stp>
        <tr r="AB16" s="16"/>
        <tr r="B16" s="16"/>
      </tp>
      <tp t="s">
        <v>Natural Gas (Globex), Jun 18</v>
        <stp/>
        <stp>ContractData</stp>
        <stp>NGE?8</stp>
        <stp>LongDescription</stp>
        <stp/>
        <stp>T</stp>
        <tr r="AB15" s="16"/>
        <tr r="B15" s="16"/>
      </tp>
      <tp t="s">
        <v>Natural Gas (Globex), Jun 18</v>
        <stp/>
        <stp>ContractData</stp>
        <stp>NGEM8</stp>
        <stp>LongDescription</stp>
        <stp/>
        <stp>T</stp>
        <tr r="AH9" s="6"/>
      </tp>
      <tp t="s">
        <v>Natural Gas (Globex), Jul 18</v>
        <stp/>
        <stp>ContractData</stp>
        <stp>NGEN8</stp>
        <stp>LongDescription</stp>
        <stp/>
        <stp>T</stp>
        <tr r="AH10" s="6"/>
      </tp>
      <tp t="s">
        <v>Natural Gas (Globex), Mar 18</v>
        <stp/>
        <stp>ContractData</stp>
        <stp>NGEH8</stp>
        <stp>LongDescription</stp>
        <stp/>
        <stp>T</stp>
        <tr r="AH6" s="6"/>
      </tp>
      <tp t="s">
        <v>Natural Gas (Globex), May 18</v>
        <stp/>
        <stp>ContractData</stp>
        <stp>NGEK8</stp>
        <stp>LongDescription</stp>
        <stp/>
        <stp>T</stp>
        <tr r="AH8" s="6"/>
      </tp>
      <tp t="s">
        <v>Natural Gas (Globex), Apr 18</v>
        <stp/>
        <stp>ContractData</stp>
        <stp>NGEJ8</stp>
        <stp>LongDescription</stp>
        <stp/>
        <stp>T</stp>
        <tr r="AH7" s="6"/>
      </tp>
      <tp t="s">
        <v>Natural Gas (Globex), Feb 18</v>
        <stp/>
        <stp>ContractData</stp>
        <stp>NGEG8</stp>
        <stp>LongDescription</stp>
        <stp/>
        <stp>T</stp>
        <tr r="AH5" s="6"/>
      </tp>
      <tp t="s">
        <v>Natural Gas (Globex), Jan 18</v>
        <stp/>
        <stp>ContractData</stp>
        <stp>NGEF8</stp>
        <stp>LongDescription</stp>
        <stp/>
        <stp>T</stp>
        <tr r="AH4" s="6"/>
      </tp>
      <tp t="s">
        <v>Natural Gas (Globex), Nov 17</v>
        <stp/>
        <stp>ContractData</stp>
        <stp>NGEX7</stp>
        <stp>LongDescription</stp>
        <stp/>
        <stp>T</stp>
        <tr r="AH2" s="6"/>
      </tp>
      <tp t="s">
        <v>Natural Gas (Globex), Dec 17</v>
        <stp/>
        <stp>ContractData</stp>
        <stp>NGEZ7</stp>
        <stp>LongDescription</stp>
        <stp/>
        <stp>T</stp>
        <tr r="AH3" s="6"/>
      </tp>
      <tp t="s">
        <v>Natural Gas (Globex), Sep 18</v>
        <stp/>
        <stp>ContractData</stp>
        <stp>NGEU8</stp>
        <stp>LongDescription</stp>
        <stp/>
        <stp>T</stp>
        <tr r="AH12" s="6"/>
      </tp>
      <tp t="s">
        <v>Natural Gas (Globex), Oct 18</v>
        <stp/>
        <stp>ContractData</stp>
        <stp>NGEV8</stp>
        <stp>LongDescription</stp>
        <stp/>
        <stp>T</stp>
        <tr r="AH13" s="6"/>
      </tp>
      <tp t="s">
        <v>Natural Gas (Globex), Aug 18</v>
        <stp/>
        <stp>ContractData</stp>
        <stp>NGEQ8</stp>
        <stp>LongDescription</stp>
        <stp/>
        <stp>T</stp>
        <tr r="AH11" s="6"/>
      </tp>
      <tp>
        <v>2.9550000000000001</v>
        <stp/>
        <stp>ContractData</stp>
        <stp>NGEQ18</stp>
        <stp>Open</stp>
        <stp/>
        <stp>T</stp>
        <tr r="C30" s="13"/>
      </tp>
      <tp>
        <v>2.9020000000000001</v>
        <stp/>
        <stp>ContractData</stp>
        <stp>NGE?7</stp>
        <stp>LastTradeToday</stp>
        <stp/>
        <stp>T</stp>
        <tr r="F14" s="16"/>
      </tp>
      <tp>
        <v>2.968</v>
        <stp/>
        <stp>ContractData</stp>
        <stp>NGEV18</stp>
        <stp>High</stp>
        <stp/>
        <stp>T</stp>
        <tr r="D32" s="13"/>
      </tp>
      <tp>
        <v>243</v>
        <stp/>
        <stp>ContractData</stp>
        <stp>NGEM18</stp>
        <stp>T_CVol</stp>
        <tr r="I28" s="13"/>
      </tp>
      <tp>
        <v>942</v>
        <stp/>
        <stp>ContractData</stp>
        <stp>NGEN18</stp>
        <stp>T_CVol</stp>
        <tr r="I29" s="13"/>
      </tp>
      <tp>
        <v>1940</v>
        <stp/>
        <stp>ContractData</stp>
        <stp>NGEK18</stp>
        <stp>T_CVol</stp>
        <tr r="I27" s="13"/>
      </tp>
      <tp>
        <v>5093</v>
        <stp/>
        <stp>ContractData</stp>
        <stp>NGEJ18</stp>
        <stp>T_CVol</stp>
        <tr r="I26" s="13"/>
      </tp>
      <tp>
        <v>744</v>
        <stp/>
        <stp>ContractData</stp>
        <stp>NGEU18</stp>
        <stp>T_CVol</stp>
        <tr r="I31" s="13"/>
      </tp>
      <tp>
        <v>1142</v>
        <stp/>
        <stp>ContractData</stp>
        <stp>NGEV18</stp>
        <stp>T_CVol</stp>
        <tr r="I32" s="13"/>
      </tp>
      <tp>
        <v>951</v>
        <stp/>
        <stp>ContractData</stp>
        <stp>NGEQ18</stp>
        <stp>T_CVol</stp>
        <tr r="I30" s="13"/>
      </tp>
      <tp>
        <v>2.9250000000000003</v>
        <stp/>
        <stp>ContractData</stp>
        <stp>NGE?6</stp>
        <stp>LastTradeToday</stp>
        <stp/>
        <stp>T</stp>
        <tr r="F13" s="16"/>
      </tp>
      <tp>
        <v>3.1640000000000001</v>
        <stp/>
        <stp>ContractData</stp>
        <stp>NGE?5</stp>
        <stp>LastTradeToday</stp>
        <stp/>
        <stp>T</stp>
        <tr r="F12" s="16"/>
      </tp>
      <tp>
        <v>3.202</v>
        <stp/>
        <stp>ContractData</stp>
        <stp>NGE?4</stp>
        <stp>LastTradeToday</stp>
        <stp/>
        <stp>T</stp>
        <tr r="F11" s="16"/>
      </tp>
      <tp>
        <v>2.944</v>
        <stp/>
        <stp>ContractData</stp>
        <stp>NGEU18</stp>
        <stp>High</stp>
        <stp/>
        <stp>T</stp>
        <tr r="D31" s="13"/>
      </tp>
      <tp>
        <v>2.944</v>
        <stp/>
        <stp>ContractData</stp>
        <stp>NGEU18</stp>
        <stp>Open</stp>
        <stp/>
        <stp>T</stp>
        <tr r="C31" s="13"/>
      </tp>
      <tp>
        <v>5</v>
        <stp/>
        <stp>ContractData</stp>
        <stp>NGE?18</stp>
        <stp>T_CVol</stp>
        <stp/>
        <stp>T</stp>
        <tr r="S25" s="16"/>
        <tr r="S25" s="16"/>
      </tp>
      <tp>
        <v>0</v>
        <stp/>
        <stp>ContractData</stp>
        <stp>NGE?38</stp>
        <stp>T_CVol</stp>
        <stp/>
        <stp>T</stp>
        <tr r="S45" s="16"/>
      </tp>
      <tp>
        <v>0</v>
        <stp/>
        <stp>ContractData</stp>
        <stp>NGE?28</stp>
        <stp>T_CVol</stp>
        <stp/>
        <stp>T</stp>
        <tr r="S35" s="16"/>
      </tp>
      <tp>
        <v>0</v>
        <stp/>
        <stp>ContractData</stp>
        <stp>NGE?58</stp>
        <stp>T_CVol</stp>
        <stp/>
        <stp>T</stp>
        <tr r="S65" s="16"/>
      </tp>
      <tp>
        <v>0</v>
        <stp/>
        <stp>ContractData</stp>
        <stp>NGE?48</stp>
        <stp>T_CVol</stp>
        <stp/>
        <stp>T</stp>
        <tr r="S55" s="16"/>
      </tp>
      <tp>
        <v>0</v>
        <stp/>
        <stp>ContractData</stp>
        <stp>NGE?78</stp>
        <stp>T_CVol</stp>
        <stp/>
        <stp>T</stp>
        <tr r="S85" s="16"/>
      </tp>
      <tp>
        <v>0</v>
        <stp/>
        <stp>ContractData</stp>
        <stp>NGE?68</stp>
        <stp>T_CVol</stp>
        <stp/>
        <stp>T</stp>
        <tr r="S75" s="16"/>
      </tp>
      <tp>
        <v>0</v>
        <stp/>
        <stp>ContractData</stp>
        <stp>NGE?98</stp>
        <stp>T_CVol</stp>
        <stp/>
        <stp>T</stp>
        <tr r="S105" s="16"/>
      </tp>
      <tp>
        <v>0</v>
        <stp/>
        <stp>ContractData</stp>
        <stp>NGE?88</stp>
        <stp>T_CVol</stp>
        <stp/>
        <stp>T</stp>
        <tr r="S95" s="16"/>
      </tp>
      <tp>
        <v>2491</v>
        <stp/>
        <stp>ContractData</stp>
        <stp>NGE?18</stp>
        <stp>Y_CVol</stp>
        <stp/>
        <stp>T</stp>
        <tr r="T25" s="16"/>
        <tr r="T25" s="16"/>
      </tp>
      <tp>
        <v>0</v>
        <stp/>
        <stp>ContractData</stp>
        <stp>NGE?38</stp>
        <stp>Y_CVol</stp>
        <stp/>
        <stp>T</stp>
        <tr r="T45" s="16"/>
      </tp>
      <tp>
        <v>0</v>
        <stp/>
        <stp>ContractData</stp>
        <stp>NGE?28</stp>
        <stp>Y_CVol</stp>
        <stp/>
        <stp>T</stp>
        <tr r="T35" s="16"/>
      </tp>
      <tp>
        <v>0</v>
        <stp/>
        <stp>ContractData</stp>
        <stp>NGE?58</stp>
        <stp>Y_CVol</stp>
        <stp/>
        <stp>T</stp>
        <tr r="T65" s="16"/>
      </tp>
      <tp>
        <v>0</v>
        <stp/>
        <stp>ContractData</stp>
        <stp>NGE?48</stp>
        <stp>Y_CVol</stp>
        <stp/>
        <stp>T</stp>
        <tr r="T55" s="16"/>
      </tp>
      <tp>
        <v>0</v>
        <stp/>
        <stp>ContractData</stp>
        <stp>NGE?78</stp>
        <stp>Y_CVol</stp>
        <stp/>
        <stp>T</stp>
        <tr r="T85" s="16"/>
      </tp>
      <tp>
        <v>0</v>
        <stp/>
        <stp>ContractData</stp>
        <stp>NGE?68</stp>
        <stp>Y_CVol</stp>
        <stp/>
        <stp>T</stp>
        <tr r="T75" s="16"/>
      </tp>
      <tp>
        <v>0</v>
        <stp/>
        <stp>ContractData</stp>
        <stp>NGE?98</stp>
        <stp>Y_CVol</stp>
        <stp/>
        <stp>T</stp>
        <tr r="T105" s="16"/>
      </tp>
      <tp>
        <v>0</v>
        <stp/>
        <stp>ContractData</stp>
        <stp>NGE?88</stp>
        <stp>Y_CVol</stp>
        <stp/>
        <stp>T</stp>
        <tr r="T95" s="16"/>
      </tp>
      <tp>
        <v>3.1970000000000001</v>
        <stp/>
        <stp>ContractData</stp>
        <stp>NGE?3</stp>
        <stp>LastTradeToday</stp>
        <stp/>
        <stp>T</stp>
        <tr r="F10" s="16"/>
      </tp>
      <tp>
        <v>0</v>
        <stp/>
        <stp>ContractData</stp>
        <stp>NGE?19</stp>
        <stp>T_CVol</stp>
        <stp/>
        <stp>T</stp>
        <tr r="S26" s="16"/>
      </tp>
      <tp>
        <v>0</v>
        <stp/>
        <stp>ContractData</stp>
        <stp>NGE?39</stp>
        <stp>T_CVol</stp>
        <stp/>
        <stp>T</stp>
        <tr r="S46" s="16"/>
      </tp>
      <tp>
        <v>0</v>
        <stp/>
        <stp>ContractData</stp>
        <stp>NGE?29</stp>
        <stp>T_CVol</stp>
        <stp/>
        <stp>T</stp>
        <tr r="S36" s="16"/>
      </tp>
      <tp>
        <v>0</v>
        <stp/>
        <stp>ContractData</stp>
        <stp>NGE?59</stp>
        <stp>T_CVol</stp>
        <stp/>
        <stp>T</stp>
        <tr r="S66" s="16"/>
      </tp>
      <tp>
        <v>0</v>
        <stp/>
        <stp>ContractData</stp>
        <stp>NGE?49</stp>
        <stp>T_CVol</stp>
        <stp/>
        <stp>T</stp>
        <tr r="S56" s="16"/>
      </tp>
      <tp>
        <v>0</v>
        <stp/>
        <stp>ContractData</stp>
        <stp>NGE?79</stp>
        <stp>T_CVol</stp>
        <stp/>
        <stp>T</stp>
        <tr r="S86" s="16"/>
      </tp>
      <tp>
        <v>0</v>
        <stp/>
        <stp>ContractData</stp>
        <stp>NGE?69</stp>
        <stp>T_CVol</stp>
        <stp/>
        <stp>T</stp>
        <tr r="S76" s="16"/>
      </tp>
      <tp>
        <v>0</v>
        <stp/>
        <stp>ContractData</stp>
        <stp>NGE?99</stp>
        <stp>T_CVol</stp>
        <stp/>
        <stp>T</stp>
        <tr r="S106" s="16"/>
      </tp>
      <tp>
        <v>0</v>
        <stp/>
        <stp>ContractData</stp>
        <stp>NGE?89</stp>
        <stp>T_CVol</stp>
        <stp/>
        <stp>T</stp>
        <tr r="S96" s="16"/>
      </tp>
      <tp>
        <v>1456</v>
        <stp/>
        <stp>ContractData</stp>
        <stp>NGE?19</stp>
        <stp>Y_CVol</stp>
        <stp/>
        <stp>T</stp>
        <tr r="T26" s="16"/>
        <tr r="T26" s="16"/>
      </tp>
      <tp>
        <v>0</v>
        <stp/>
        <stp>ContractData</stp>
        <stp>NGE?39</stp>
        <stp>Y_CVol</stp>
        <stp/>
        <stp>T</stp>
        <tr r="T46" s="16"/>
      </tp>
      <tp>
        <v>0</v>
        <stp/>
        <stp>ContractData</stp>
        <stp>NGE?29</stp>
        <stp>Y_CVol</stp>
        <stp/>
        <stp>T</stp>
        <tr r="T36" s="16"/>
      </tp>
      <tp>
        <v>0</v>
        <stp/>
        <stp>ContractData</stp>
        <stp>NGE?59</stp>
        <stp>Y_CVol</stp>
        <stp/>
        <stp>T</stp>
        <tr r="T66" s="16"/>
      </tp>
      <tp>
        <v>0</v>
        <stp/>
        <stp>ContractData</stp>
        <stp>NGE?49</stp>
        <stp>Y_CVol</stp>
        <stp/>
        <stp>T</stp>
        <tr r="T56" s="16"/>
      </tp>
      <tp>
        <v>0</v>
        <stp/>
        <stp>ContractData</stp>
        <stp>NGE?79</stp>
        <stp>Y_CVol</stp>
        <stp/>
        <stp>T</stp>
        <tr r="T86" s="16"/>
      </tp>
      <tp>
        <v>0</v>
        <stp/>
        <stp>ContractData</stp>
        <stp>NGE?69</stp>
        <stp>Y_CVol</stp>
        <stp/>
        <stp>T</stp>
        <tr r="T76" s="16"/>
      </tp>
      <tp>
        <v>0</v>
        <stp/>
        <stp>ContractData</stp>
        <stp>NGE?99</stp>
        <stp>Y_CVol</stp>
        <stp/>
        <stp>T</stp>
        <tr r="T106" s="16"/>
      </tp>
      <tp>
        <v>0</v>
        <stp/>
        <stp>ContractData</stp>
        <stp>NGE?89</stp>
        <stp>Y_CVol</stp>
        <stp/>
        <stp>T</stp>
        <tr r="T96" s="16"/>
      </tp>
      <tp>
        <v>3.0710000000000002</v>
        <stp/>
        <stp>ContractData</stp>
        <stp>NGE?2</stp>
        <stp>LastTradeToday</stp>
        <stp/>
        <stp>T</stp>
        <tr r="F9" s="16"/>
      </tp>
      <tp>
        <v>2.9460000000000002</v>
        <stp/>
        <stp>StudyData</stp>
        <stp>Close(NGE?8)when (LocalMonth(NGE?8)=9 and LocalDay(NGE?8)=14 and LocalYear(NGEM8)=2017)</stp>
        <stp>Bar</stp>
        <stp/>
        <stp>Close</stp>
        <stp>D</stp>
        <stp>0</stp>
        <stp>ALL</stp>
        <stp/>
        <stp/>
        <stp>FALSE</stp>
        <stp>T</stp>
        <tr r="E23" s="10"/>
      </tp>
      <tp>
        <v>43581</v>
        <stp/>
        <stp>ContractData</stp>
        <stp>NGE?19</stp>
        <stp>ExpirationDate</stp>
        <stp/>
        <stp>T</stp>
        <tr r="AA26" s="16"/>
      </tp>
      <tp>
        <v>43887</v>
        <stp/>
        <stp>ContractData</stp>
        <stp>NGE?29</stp>
        <stp>ExpirationDate</stp>
        <stp/>
        <stp>T</stp>
        <tr r="AA36" s="16"/>
      </tp>
      <tp>
        <v>44194</v>
        <stp/>
        <stp>ContractData</stp>
        <stp>NGE?39</stp>
        <stp>ExpirationDate</stp>
        <stp/>
        <stp>T</stp>
        <tr r="AA46" s="16"/>
      </tp>
      <tp>
        <v>44496</v>
        <stp/>
        <stp>ContractData</stp>
        <stp>NGE?49</stp>
        <stp>ExpirationDate</stp>
        <stp/>
        <stp>T</stp>
        <tr r="AA56" s="16"/>
      </tp>
      <tp>
        <v>44802</v>
        <stp/>
        <stp>ContractData</stp>
        <stp>NGE?59</stp>
        <stp>ExpirationDate</stp>
        <stp/>
        <stp>T</stp>
        <tr r="AA66" s="16"/>
      </tp>
      <tp>
        <v>45105</v>
        <stp/>
        <stp>ContractData</stp>
        <stp>NGE?69</stp>
        <stp>ExpirationDate</stp>
        <stp/>
        <stp>T</stp>
        <tr r="AA76" s="16"/>
      </tp>
      <tp>
        <v>45408</v>
        <stp/>
        <stp>ContractData</stp>
        <stp>NGE?79</stp>
        <stp>ExpirationDate</stp>
        <stp/>
        <stp>T</stp>
        <tr r="AA86" s="16"/>
      </tp>
      <tp>
        <v>45714</v>
        <stp/>
        <stp>ContractData</stp>
        <stp>NGE?89</stp>
        <stp>ExpirationDate</stp>
        <stp/>
        <stp>T</stp>
        <tr r="AA96" s="16"/>
      </tp>
      <tp>
        <v>46020</v>
        <stp/>
        <stp>ContractData</stp>
        <stp>NGE?99</stp>
        <stp>ExpirationDate</stp>
        <stp/>
        <stp>T</stp>
        <tr r="AA106" s="16"/>
      </tp>
      <tp>
        <v>43551</v>
        <stp/>
        <stp>ContractData</stp>
        <stp>NGEJ19</stp>
        <stp>ExpirationDate</stp>
        <stp/>
        <stp>T</stp>
        <tr r="S16" s="15"/>
      </tp>
      <tp>
        <v>43767</v>
        <stp/>
        <stp>ContractData</stp>
        <stp>NGEX19</stp>
        <stp>ExpirationDate</stp>
        <stp/>
        <stp>T</stp>
        <tr r="S4" s="15"/>
      </tp>
      <tp>
        <v>2.9460000000000002</v>
        <stp/>
        <stp>StudyData</stp>
        <stp>Close(NGE?8)when (LocalMonth(NGE?8)=9 and LocalDay(NGE?8)=14 and LocalYear(NGE?8)=2017)</stp>
        <stp>Bar</stp>
        <stp/>
        <stp>Close</stp>
        <stp>D</stp>
        <stp>0</stp>
        <stp>ALL</stp>
        <stp/>
        <stp/>
        <stp>FALSE</stp>
        <stp>T</stp>
        <tr r="E23" s="6"/>
        <tr r="E23" s="7"/>
        <tr r="E23" s="9"/>
        <tr r="E23" s="8"/>
        <tr r="E23" s="11"/>
      </tp>
      <tp>
        <v>2.8970000000000002</v>
        <stp/>
        <stp>ContractData</stp>
        <stp>NGE?1</stp>
        <stp>LastTradeToday</stp>
        <stp/>
        <stp>T</stp>
        <tr r="F8" s="16"/>
      </tp>
      <tp>
        <v>2.97</v>
        <stp/>
        <stp>StudyData</stp>
        <stp>Close(NGE?9)when (LocalMonth(NGE?9)=9 and LocalDay(NGE?9)=14 and LocalYear(NGEN8)=2017)</stp>
        <stp>Bar</stp>
        <stp/>
        <stp>Close</stp>
        <stp>D</stp>
        <stp>0</stp>
        <stp>ALL</stp>
        <stp/>
        <stp/>
        <stp>FALSE</stp>
        <stp>T</stp>
        <tr r="E24" s="10"/>
      </tp>
      <tp>
        <v>43551</v>
        <stp/>
        <stp>ContractData</stp>
        <stp>NGE?18</stp>
        <stp>ExpirationDate</stp>
        <stp/>
        <stp>T</stp>
        <tr r="AA25" s="16"/>
      </tp>
      <tp>
        <v>43859</v>
        <stp/>
        <stp>ContractData</stp>
        <stp>NGE?28</stp>
        <stp>ExpirationDate</stp>
        <stp/>
        <stp>T</stp>
        <tr r="AA35" s="16"/>
      </tp>
      <tp>
        <v>44160</v>
        <stp/>
        <stp>ContractData</stp>
        <stp>NGE?38</stp>
        <stp>ExpirationDate</stp>
        <stp/>
        <stp>T</stp>
        <tr r="AA45" s="16"/>
      </tp>
      <tp>
        <v>44467</v>
        <stp/>
        <stp>ContractData</stp>
        <stp>NGE?48</stp>
        <stp>ExpirationDate</stp>
        <stp/>
        <stp>T</stp>
        <tr r="AA55" s="16"/>
      </tp>
      <tp>
        <v>44769</v>
        <stp/>
        <stp>ContractData</stp>
        <stp>NGE?58</stp>
        <stp>ExpirationDate</stp>
        <stp/>
        <stp>T</stp>
        <tr r="AA65" s="16"/>
      </tp>
      <tp>
        <v>45075</v>
        <stp/>
        <stp>ContractData</stp>
        <stp>NGE?68</stp>
        <stp>ExpirationDate</stp>
        <stp/>
        <stp>T</stp>
        <tr r="AA75" s="16"/>
      </tp>
      <tp>
        <v>45378</v>
        <stp/>
        <stp>ContractData</stp>
        <stp>NGE?78</stp>
        <stp>ExpirationDate</stp>
        <stp/>
        <stp>T</stp>
        <tr r="AA85" s="16"/>
      </tp>
      <tp>
        <v>45686</v>
        <stp/>
        <stp>ContractData</stp>
        <stp>NGE?88</stp>
        <stp>ExpirationDate</stp>
        <stp/>
        <stp>T</stp>
        <tr r="AA95" s="16"/>
      </tp>
      <tp>
        <v>45987</v>
        <stp/>
        <stp>ContractData</stp>
        <stp>NGE?98</stp>
        <stp>ExpirationDate</stp>
        <stp/>
        <stp>T</stp>
        <tr r="AA105" s="16"/>
      </tp>
      <tp>
        <v>43186</v>
        <stp/>
        <stp>ContractData</stp>
        <stp>NGEJ18</stp>
        <stp>ExpirationDate</stp>
        <stp/>
        <stp>T</stp>
        <tr r="S15" s="15"/>
      </tp>
      <tp>
        <v>43402</v>
        <stp/>
        <stp>ContractData</stp>
        <stp>NGEX18</stp>
        <stp>ExpirationDate</stp>
        <stp/>
        <stp>T</stp>
        <tr r="S3" s="15"/>
      </tp>
      <tp>
        <v>2.9660000000000002</v>
        <stp/>
        <stp>ContractData</stp>
        <stp>NGEV18</stp>
        <stp>Open</stp>
        <stp/>
        <stp>T</stp>
        <tr r="C32" s="13"/>
      </tp>
      <tp>
        <v>2.97</v>
        <stp/>
        <stp>StudyData</stp>
        <stp>Close(NGE?9)when (LocalMonth(NGE?9)=9 and LocalDay(NGE?9)=14 and LocalYear(NGE?9)=2017)</stp>
        <stp>Bar</stp>
        <stp/>
        <stp>Close</stp>
        <stp>D</stp>
        <stp>0</stp>
        <stp>ALL</stp>
        <stp/>
        <stp/>
        <stp>FALSE</stp>
        <stp>T</stp>
        <tr r="E24" s="6"/>
        <tr r="E24" s="9"/>
        <tr r="E24" s="8"/>
        <tr r="E24" s="7"/>
        <tr r="E24" s="11"/>
      </tp>
      <tp>
        <v>2.9620000000000002</v>
        <stp/>
        <stp>ContractData</stp>
        <stp>NGEQ18</stp>
        <stp>High</stp>
        <stp/>
        <stp>T</stp>
        <tr r="D30" s="13"/>
      </tp>
      <tp t="s">
        <v>NGES6J8</v>
        <stp/>
        <stp>ContractData</stp>
        <stp>NGES6??6</stp>
        <stp>Symbol</stp>
        <tr r="A117" s="2"/>
      </tp>
      <tp t="s">
        <v>NGES6K8</v>
        <stp/>
        <stp>ContractData</stp>
        <stp>NGES6??7</stp>
        <stp>Symbol</stp>
        <tr r="A118" s="2"/>
      </tp>
      <tp t="s">
        <v>NGES6G8</v>
        <stp/>
        <stp>ContractData</stp>
        <stp>NGES6??4</stp>
        <stp>Symbol</stp>
        <tr r="A115" s="2"/>
      </tp>
      <tp t="s">
        <v>NGES6H8</v>
        <stp/>
        <stp>ContractData</stp>
        <stp>NGES6??5</stp>
        <stp>Symbol</stp>
        <tr r="A116" s="2"/>
      </tp>
      <tp t="s">
        <v>NGES6Z7</v>
        <stp/>
        <stp>ContractData</stp>
        <stp>NGES6??2</stp>
        <stp>Symbol</stp>
        <tr r="A113" s="2"/>
      </tp>
      <tp t="s">
        <v>NGES6F8</v>
        <stp/>
        <stp>ContractData</stp>
        <stp>NGES6??3</stp>
        <stp>Symbol</stp>
        <tr r="A114" s="2"/>
      </tp>
      <tp t="s">
        <v>NGES6X7</v>
        <stp/>
        <stp>ContractData</stp>
        <stp>NGES6??1</stp>
        <stp>Symbol</stp>
        <tr r="A112" s="2"/>
      </tp>
      <tp t="s">
        <v>NGES6M8</v>
        <stp/>
        <stp>ContractData</stp>
        <stp>NGES6??8</stp>
        <stp>Symbol</stp>
        <tr r="A119" s="2"/>
      </tp>
      <tp t="s">
        <v>NGES6N8</v>
        <stp/>
        <stp>ContractData</stp>
        <stp>NGES6??9</stp>
        <stp>Symbol</stp>
        <tr r="A120" s="2"/>
      </tp>
      <tp t="s">
        <v/>
        <stp/>
        <stp>ContractData</stp>
        <stp>NGE?114</stp>
        <stp>LastTradeToday</stp>
        <stp/>
        <stp>T</stp>
        <tr r="F121" s="16"/>
      </tp>
      <tp t="s">
        <v/>
        <stp/>
        <stp>ContractData</stp>
        <stp>NGE?104</stp>
        <stp>LastTradeToday</stp>
        <stp/>
        <stp>T</stp>
        <tr r="F111" s="16"/>
      </tp>
      <tp t="s">
        <v/>
        <stp/>
        <stp>ContractData</stp>
        <stp>NGE?134</stp>
        <stp>LastTradeToday</stp>
        <stp/>
        <stp>T</stp>
        <tr r="F141" s="16"/>
      </tp>
      <tp t="s">
        <v/>
        <stp/>
        <stp>ContractData</stp>
        <stp>NGE?124</stp>
        <stp>LastTradeToday</stp>
        <stp/>
        <stp>T</stp>
        <tr r="F131" s="16"/>
      </tp>
      <tp t="s">
        <v/>
        <stp/>
        <stp>ContractData</stp>
        <stp>NGE?144</stp>
        <stp>LastTradeToday</stp>
        <stp/>
        <stp>T</stp>
        <tr r="F151" s="16"/>
      </tp>
      <tp>
        <v>3.1821999999999999</v>
        <stp/>
        <stp>StudyData</stp>
        <stp>Bar(((NGEX17+NGEZ17+NGEF18+NGEG18+NGEH18)/5),1)</stp>
        <stp>Bar</stp>
        <stp/>
        <stp>LOw</stp>
        <stp>D</stp>
        <stp>-38</stp>
        <stp/>
        <stp/>
        <stp/>
        <stp/>
        <stp>T</stp>
        <tr r="E40" s="14"/>
      </tp>
      <tp>
        <v>3.1269999999999998</v>
        <stp/>
        <stp>StudyData</stp>
        <stp>Bar(((NGEX17+NGEZ17+NGEF18+NGEG18+NGEH18)/5),1)</stp>
        <stp>Bar</stp>
        <stp/>
        <stp>LOw</stp>
        <stp>D</stp>
        <stp>-28</stp>
        <stp/>
        <stp/>
        <stp/>
        <stp/>
        <stp>T</stp>
        <tr r="E30" s="14"/>
      </tp>
      <tp>
        <v>3.1932</v>
        <stp/>
        <stp>StudyData</stp>
        <stp>Bar(((NGEX17+NGEZ17+NGEF18+NGEG18+NGEH18)/5),1)</stp>
        <stp>Bar</stp>
        <stp/>
        <stp>LOw</stp>
        <stp>D</stp>
        <stp>-18</stp>
        <stp/>
        <stp/>
        <stp/>
        <stp/>
        <stp>T</stp>
        <tr r="E20" s="14"/>
      </tp>
      <tp>
        <v>3.0666000000000002</v>
        <stp/>
        <stp>StudyData</stp>
        <stp>Bar(((NGEX18+NGEZ18+NGEF19+NGEG19+NGEH19)/5),1)</stp>
        <stp>Bar</stp>
        <stp/>
        <stp>LOw</stp>
        <stp>D</stp>
        <stp>-29</stp>
        <stp/>
        <stp/>
        <stp/>
        <stp/>
        <stp>T</stp>
        <tr r="Z31" s="14"/>
      </tp>
      <tp>
        <v>3.0870000000000002</v>
        <stp/>
        <stp>StudyData</stp>
        <stp>Bar(((NGEX18+NGEZ18+NGEF19+NGEG19+NGEH19)/5),1)</stp>
        <stp>Bar</stp>
        <stp/>
        <stp>LOw</stp>
        <stp>D</stp>
        <stp>-39</stp>
        <stp/>
        <stp/>
        <stp/>
        <stp/>
        <stp>T</stp>
        <tr r="Z41" s="14"/>
      </tp>
      <tp>
        <v>3.1103999999999998</v>
        <stp/>
        <stp>StudyData</stp>
        <stp>Bar(((NGEX18+NGEZ18+NGEF19+NGEG19+NGEH19)/5),1)</stp>
        <stp>Bar</stp>
        <stp/>
        <stp>LOw</stp>
        <stp>D</stp>
        <stp>-19</stp>
        <stp/>
        <stp/>
        <stp/>
        <stp/>
        <stp>T</stp>
        <tr r="Z21" s="14"/>
      </tp>
      <tp t="s">
        <v>NOV</v>
        <stp/>
        <stp>ContractData</stp>
        <stp>NGE?1</stp>
        <stp>ContractMonth</stp>
        <tr r="R35" s="6"/>
        <tr r="R35" s="10"/>
        <tr r="R35" s="7"/>
        <tr r="R35" s="8"/>
        <tr r="R35" s="9"/>
        <tr r="R35" s="11"/>
      </tp>
      <tp>
        <v>2.96</v>
        <stp/>
        <stp>ContractData</stp>
        <stp>NGEN18</stp>
        <stp>High</stp>
        <stp/>
        <stp>T</stp>
        <tr r="D29" s="13"/>
      </tp>
      <tp>
        <v>2.9170000000000003</v>
        <stp/>
        <stp>ContractData</stp>
        <stp>NGE?1</stp>
        <stp>High</stp>
        <stp/>
        <stp>T</stp>
        <tr r="Q8" s="16"/>
      </tp>
      <tp>
        <v>3.2189999999999999</v>
        <stp/>
        <stp>ContractData</stp>
        <stp>NGE?3</stp>
        <stp>High</stp>
        <stp/>
        <stp>T</stp>
        <tr r="Q10" s="16"/>
      </tp>
      <tp>
        <v>3.093</v>
        <stp/>
        <stp>ContractData</stp>
        <stp>NGE?2</stp>
        <stp>High</stp>
        <stp/>
        <stp>T</stp>
        <tr r="Q9" s="16"/>
      </tp>
      <tp>
        <v>3.1790000000000003</v>
        <stp/>
        <stp>ContractData</stp>
        <stp>NGE?5</stp>
        <stp>High</stp>
        <stp/>
        <stp>T</stp>
        <tr r="Q12" s="16"/>
      </tp>
      <tp>
        <v>3.222</v>
        <stp/>
        <stp>ContractData</stp>
        <stp>NGE?4</stp>
        <stp>High</stp>
        <stp/>
        <stp>T</stp>
        <tr r="Q11" s="16"/>
      </tp>
      <tp>
        <v>2.9039999999999999</v>
        <stp/>
        <stp>ContractData</stp>
        <stp>NGE?7</stp>
        <stp>High</stp>
        <stp/>
        <stp>T</stp>
        <tr r="Q14" s="16"/>
      </tp>
      <tp>
        <v>2.9319999999999999</v>
        <stp/>
        <stp>ContractData</stp>
        <stp>NGE?6</stp>
        <stp>High</stp>
        <stp/>
        <stp>T</stp>
        <tr r="Q13" s="16"/>
      </tp>
      <tp>
        <v>2.96</v>
        <stp/>
        <stp>ContractData</stp>
        <stp>NGE?9</stp>
        <stp>High</stp>
        <stp/>
        <stp>T</stp>
        <tr r="Q16" s="16"/>
      </tp>
      <tp>
        <v>2.931</v>
        <stp/>
        <stp>ContractData</stp>
        <stp>NGE?8</stp>
        <stp>High</stp>
        <stp/>
        <stp>T</stp>
        <tr r="Q15" s="16"/>
      </tp>
      <tp t="s">
        <v/>
        <stp/>
        <stp>ContractData</stp>
        <stp>NGE?115</stp>
        <stp>LastTradeToday</stp>
        <stp/>
        <stp>T</stp>
        <tr r="F122" s="16"/>
      </tp>
      <tp t="s">
        <v/>
        <stp/>
        <stp>ContractData</stp>
        <stp>NGE?105</stp>
        <stp>LastTradeToday</stp>
        <stp/>
        <stp>T</stp>
        <tr r="F112" s="16"/>
      </tp>
      <tp t="s">
        <v/>
        <stp/>
        <stp>ContractData</stp>
        <stp>NGE?135</stp>
        <stp>LastTradeToday</stp>
        <stp/>
        <stp>T</stp>
        <tr r="F142" s="16"/>
      </tp>
      <tp t="s">
        <v/>
        <stp/>
        <stp>ContractData</stp>
        <stp>NGE?125</stp>
        <stp>LastTradeToday</stp>
        <stp/>
        <stp>T</stp>
        <tr r="F132" s="16"/>
      </tp>
      <tp t="s">
        <v/>
        <stp/>
        <stp>ContractData</stp>
        <stp>NGE?145</stp>
        <stp>LastTradeToday</stp>
        <stp/>
        <stp>T</stp>
        <tr r="F152" s="16"/>
      </tp>
      <tp t="s">
        <v/>
        <stp/>
        <stp>StudyData</stp>
        <stp>NGES6H8</stp>
        <stp>Bar</stp>
        <stp/>
        <stp>Close</stp>
        <stp>D</stp>
        <stp/>
        <stp/>
        <stp/>
        <stp/>
        <stp/>
        <stp>T</stp>
        <tr r="O112" s="2"/>
      </tp>
      <tp t="s">
        <v/>
        <stp/>
        <stp>StudyData</stp>
        <stp>NGES6K8</stp>
        <stp>Bar</stp>
        <stp/>
        <stp>Close</stp>
        <stp>D</stp>
        <stp/>
        <stp/>
        <stp/>
        <stp/>
        <stp/>
        <stp>T</stp>
        <tr r="Q112" s="2"/>
      </tp>
      <tp>
        <v>-4.1000000000000002E-2</v>
        <stp/>
        <stp>StudyData</stp>
        <stp>NGES6J8</stp>
        <stp>Bar</stp>
        <stp/>
        <stp>Close</stp>
        <stp>D</stp>
        <stp/>
        <stp/>
        <stp/>
        <stp/>
        <stp/>
        <stp>T</stp>
        <tr r="P112" s="2"/>
      </tp>
      <tp t="s">
        <v/>
        <stp/>
        <stp>StudyData</stp>
        <stp>NGES6M8</stp>
        <stp>Bar</stp>
        <stp/>
        <stp>Close</stp>
        <stp>D</stp>
        <stp/>
        <stp/>
        <stp/>
        <stp/>
        <stp/>
        <stp>T</stp>
        <tr r="R112" s="2"/>
      </tp>
      <tp>
        <v>2.9170000000000003</v>
        <stp/>
        <stp>ContractData</stp>
        <stp>NGEX7</stp>
        <stp>High</stp>
        <stp/>
        <stp>T</stp>
        <tr r="D13" s="13"/>
        <tr r="D13" s="2"/>
      </tp>
      <tp>
        <v>3.0209999999999999</v>
        <stp/>
        <stp>ContractData</stp>
        <stp>NGEX8</stp>
        <stp>High</stp>
        <stp/>
        <stp>T</stp>
        <tr r="D41" s="13"/>
      </tp>
      <tp>
        <v>3.2052</v>
        <stp/>
        <stp>StudyData</stp>
        <stp>Bar(((NGEX17+NGEZ17+NGEF18+NGEG18+NGEH18)/5),1)</stp>
        <stp>Bar</stp>
        <stp/>
        <stp>LOw</stp>
        <stp>D</stp>
        <stp>-39</stp>
        <stp/>
        <stp/>
        <stp/>
        <stp/>
        <stp>T</stp>
        <tr r="E41" s="14"/>
      </tp>
      <tp>
        <v>3.1541999999999999</v>
        <stp/>
        <stp>StudyData</stp>
        <stp>Bar(((NGEX17+NGEZ17+NGEF18+NGEG18+NGEH18)/5),1)</stp>
        <stp>Bar</stp>
        <stp/>
        <stp>LOw</stp>
        <stp>D</stp>
        <stp>-29</stp>
        <stp/>
        <stp/>
        <stp/>
        <stp/>
        <stp>T</stp>
        <tr r="E31" s="14"/>
      </tp>
      <tp>
        <v>3.1568000000000001</v>
        <stp/>
        <stp>StudyData</stp>
        <stp>Bar(((NGEX17+NGEZ17+NGEF18+NGEG18+NGEH18)/5),1)</stp>
        <stp>Bar</stp>
        <stp/>
        <stp>LOw</stp>
        <stp>D</stp>
        <stp>-19</stp>
        <stp/>
        <stp/>
        <stp/>
        <stp/>
        <stp>T</stp>
        <tr r="E21" s="14"/>
      </tp>
      <tp>
        <v>3.093</v>
        <stp/>
        <stp>ContractData</stp>
        <stp>NGEZ7</stp>
        <stp>High</stp>
        <stp/>
        <stp>T</stp>
        <tr r="D14" s="13"/>
        <tr r="D14" s="2"/>
      </tp>
      <tp>
        <v>3.1560000000000001</v>
        <stp/>
        <stp>ContractData</stp>
        <stp>NGEZ8</stp>
        <stp>High</stp>
        <stp/>
        <stp>T</stp>
        <tr r="D42" s="13"/>
      </tp>
      <tp t="s">
        <v/>
        <stp/>
        <stp>StudyData</stp>
        <stp>NGES6N8</stp>
        <stp>Bar</stp>
        <stp/>
        <stp>Close</stp>
        <stp>D</stp>
        <stp/>
        <stp/>
        <stp/>
        <stp/>
        <stp/>
        <stp>T</stp>
        <tr r="S112" s="2"/>
      </tp>
      <tp t="s">
        <v/>
        <stp/>
        <stp>ContractData</stp>
        <stp>NGEU9</stp>
        <stp>High</stp>
        <stp/>
        <stp>T</stp>
        <tr r="D59" s="13"/>
      </tp>
      <tp>
        <v>2.944</v>
        <stp/>
        <stp>ContractData</stp>
        <stp>NGEU8</stp>
        <stp>High</stp>
        <stp/>
        <stp>T</stp>
        <tr r="D23" s="2"/>
      </tp>
      <tp>
        <v>3.0764</v>
        <stp/>
        <stp>StudyData</stp>
        <stp>Bar(((NGEX18+NGEZ18+NGEF19+NGEG19+NGEH19)/5),1)</stp>
        <stp>Bar</stp>
        <stp/>
        <stp>LOw</stp>
        <stp>D</stp>
        <stp>-28</stp>
        <stp/>
        <stp/>
        <stp/>
        <stp/>
        <stp>T</stp>
        <tr r="Z30" s="14"/>
      </tp>
      <tp>
        <v>3.0893999999999999</v>
        <stp/>
        <stp>StudyData</stp>
        <stp>Bar(((NGEX18+NGEZ18+NGEF19+NGEG19+NGEH19)/5),1)</stp>
        <stp>Bar</stp>
        <stp/>
        <stp>LOw</stp>
        <stp>D</stp>
        <stp>-38</stp>
        <stp/>
        <stp/>
        <stp/>
        <stp/>
        <stp>T</stp>
        <tr r="Z40" s="14"/>
      </tp>
      <tp>
        <v>3.1316000000000002</v>
        <stp/>
        <stp>StudyData</stp>
        <stp>Bar(((NGEX18+NGEZ18+NGEF19+NGEG19+NGEH19)/5),1)</stp>
        <stp>Bar</stp>
        <stp/>
        <stp>LOw</stp>
        <stp>D</stp>
        <stp>-18</stp>
        <stp/>
        <stp/>
        <stp/>
        <stp/>
        <stp>T</stp>
        <tr r="Z20" s="14"/>
      </tp>
      <tp t="s">
        <v/>
        <stp/>
        <stp>ContractData</stp>
        <stp>NGEV9</stp>
        <stp>High</stp>
        <stp/>
        <stp>T</stp>
        <tr r="D60" s="13"/>
      </tp>
      <tp>
        <v>2.968</v>
        <stp/>
        <stp>ContractData</stp>
        <stp>NGEV8</stp>
        <stp>High</stp>
        <stp/>
        <stp>T</stp>
        <tr r="D24" s="2"/>
      </tp>
      <tp t="s">
        <v/>
        <stp/>
        <stp>ContractData</stp>
        <stp>NGEQ9</stp>
        <stp>High</stp>
        <stp/>
        <stp>T</stp>
        <tr r="D58" s="13"/>
      </tp>
      <tp>
        <v>2.9620000000000002</v>
        <stp/>
        <stp>ContractData</stp>
        <stp>NGEQ8</stp>
        <stp>High</stp>
        <stp/>
        <stp>T</stp>
        <tr r="D22" s="2"/>
      </tp>
      <tp>
        <v>0.24399999999999999</v>
        <stp/>
        <stp>StudyData</stp>
        <stp>NGES6G8</stp>
        <stp>Bar</stp>
        <stp/>
        <stp>Close</stp>
        <stp>D</stp>
        <stp/>
        <stp/>
        <stp/>
        <stp/>
        <stp/>
        <stp>T</stp>
        <tr r="N112" s="2"/>
      </tp>
      <tp>
        <v>0.24299999999999999</v>
        <stp/>
        <stp>StudyData</stp>
        <stp>NGES6F8</stp>
        <stp>Bar</stp>
        <stp/>
        <stp>Close</stp>
        <stp>D</stp>
        <stp/>
        <stp/>
        <stp/>
        <stp/>
        <stp/>
        <stp>T</stp>
        <tr r="M112" s="2"/>
      </tp>
      <tp t="s">
        <v/>
        <stp/>
        <stp>ContractData</stp>
        <stp>NGEM9</stp>
        <stp>High</stp>
        <stp/>
        <stp>T</stp>
        <tr r="D56" s="13"/>
      </tp>
      <tp>
        <v>2.931</v>
        <stp/>
        <stp>ContractData</stp>
        <stp>NGEM8</stp>
        <stp>High</stp>
        <stp/>
        <stp>T</stp>
        <tr r="D20" s="2"/>
      </tp>
      <tp>
        <v>-5.0000000000000001E-3</v>
        <stp/>
        <stp>StudyData</stp>
        <stp>NGES6X7</stp>
        <stp>Bar</stp>
        <stp/>
        <stp>Close</stp>
        <stp>D</stp>
        <stp/>
        <stp/>
        <stp/>
        <stp/>
        <stp/>
        <stp>T</stp>
        <tr r="K112" s="2"/>
      </tp>
      <tp t="s">
        <v/>
        <stp/>
        <stp>ContractData</stp>
        <stp>NGEN9</stp>
        <stp>High</stp>
        <stp/>
        <stp>T</stp>
        <tr r="D57" s="13"/>
      </tp>
      <tp>
        <v>2.96</v>
        <stp/>
        <stp>ContractData</stp>
        <stp>NGEN8</stp>
        <stp>High</stp>
        <stp/>
        <stp>T</stp>
        <tr r="D21" s="2"/>
      </tp>
      <tp>
        <v>0.14299999999999999</v>
        <stp/>
        <stp>StudyData</stp>
        <stp>NGES6Z7</stp>
        <stp>Bar</stp>
        <stp/>
        <stp>Close</stp>
        <stp>D</stp>
        <stp/>
        <stp/>
        <stp/>
        <stp/>
        <stp/>
        <stp>T</stp>
        <tr r="L112" s="2"/>
      </tp>
      <tp t="s">
        <v/>
        <stp/>
        <stp>ContractData</stp>
        <stp>NGEH9</stp>
        <stp>High</stp>
        <stp/>
        <stp>T</stp>
        <tr r="D45" s="13"/>
      </tp>
      <tp>
        <v>3.1790000000000003</v>
        <stp/>
        <stp>ContractData</stp>
        <stp>NGEH8</stp>
        <stp>High</stp>
        <stp/>
        <stp>T</stp>
        <tr r="D17" s="13"/>
        <tr r="D17" s="2"/>
      </tp>
      <tp t="s">
        <v/>
        <stp/>
        <stp>ContractData</stp>
        <stp>NGEK9</stp>
        <stp>High</stp>
        <stp/>
        <stp>T</stp>
        <tr r="D55" s="13"/>
      </tp>
      <tp>
        <v>2.9039999999999999</v>
        <stp/>
        <stp>ContractData</stp>
        <stp>NGEK8</stp>
        <stp>High</stp>
        <stp/>
        <stp>T</stp>
        <tr r="D19" s="2"/>
      </tp>
      <tp t="s">
        <v/>
        <stp/>
        <stp>ContractData</stp>
        <stp>NGEJ9</stp>
        <stp>High</stp>
        <stp/>
        <stp>T</stp>
        <tr r="D54" s="13"/>
      </tp>
      <tp>
        <v>2.9319999999999999</v>
        <stp/>
        <stp>ContractData</stp>
        <stp>NGEJ8</stp>
        <stp>High</stp>
        <stp/>
        <stp>T</stp>
        <tr r="D18" s="2"/>
      </tp>
      <tp t="s">
        <v/>
        <stp/>
        <stp>StudyData</stp>
        <stp>NGES6Q8</stp>
        <stp>Bar</stp>
        <stp/>
        <stp>Close</stp>
        <stp>D</stp>
        <stp/>
        <stp/>
        <stp/>
        <stp/>
        <stp/>
        <stp>T</stp>
        <tr r="T112" s="2"/>
      </tp>
      <tp t="s">
        <v/>
        <stp/>
        <stp>ContractData</stp>
        <stp>NGEG9</stp>
        <stp>High</stp>
        <stp/>
        <stp>T</stp>
        <tr r="D44" s="13"/>
      </tp>
      <tp>
        <v>3.222</v>
        <stp/>
        <stp>ContractData</stp>
        <stp>NGEG8</stp>
        <stp>High</stp>
        <stp/>
        <stp>T</stp>
        <tr r="D16" s="13"/>
        <tr r="D16" s="2"/>
      </tp>
      <tp>
        <v>3.242</v>
        <stp/>
        <stp>ContractData</stp>
        <stp>NGEF9</stp>
        <stp>High</stp>
        <stp/>
        <stp>T</stp>
        <tr r="D43" s="13"/>
      </tp>
      <tp>
        <v>3.2189999999999999</v>
        <stp/>
        <stp>ContractData</stp>
        <stp>NGEF8</stp>
        <stp>High</stp>
        <stp/>
        <stp>T</stp>
        <tr r="D15" s="13"/>
        <tr r="D15" s="2"/>
      </tp>
      <tp t="s">
        <v/>
        <stp/>
        <stp>StudyData</stp>
        <stp>NGES6U8</stp>
        <stp>Bar</stp>
        <stp/>
        <stp>Close</stp>
        <stp>D</stp>
        <stp/>
        <stp/>
        <stp/>
        <stp/>
        <stp/>
        <stp>T</stp>
        <tr r="U112" s="2"/>
      </tp>
      <tp t="s">
        <v/>
        <stp/>
        <stp>StudyData</stp>
        <stp>NGES6V8</stp>
        <stp>Bar</stp>
        <stp/>
        <stp>Close</stp>
        <stp>D</stp>
        <stp/>
        <stp/>
        <stp/>
        <stp/>
        <stp/>
        <stp>T</stp>
        <tr r="V112" s="2"/>
      </tp>
      <tp t="s">
        <v>NGES4J8</v>
        <stp/>
        <stp>ContractData</stp>
        <stp>NGES4??6</stp>
        <stp>Symbol</stp>
        <tr r="A82" s="2"/>
      </tp>
      <tp t="s">
        <v>NGES4K8</v>
        <stp/>
        <stp>ContractData</stp>
        <stp>NGES4??7</stp>
        <stp>Symbol</stp>
        <tr r="A83" s="2"/>
      </tp>
      <tp t="s">
        <v>NGES4G8</v>
        <stp/>
        <stp>ContractData</stp>
        <stp>NGES4??4</stp>
        <stp>Symbol</stp>
        <tr r="A80" s="2"/>
      </tp>
      <tp t="s">
        <v>NGES4H8</v>
        <stp/>
        <stp>ContractData</stp>
        <stp>NGES4??5</stp>
        <stp>Symbol</stp>
        <tr r="A81" s="2"/>
      </tp>
      <tp t="s">
        <v>NGES4Z7</v>
        <stp/>
        <stp>ContractData</stp>
        <stp>NGES4??2</stp>
        <stp>Symbol</stp>
        <tr r="A78" s="2"/>
      </tp>
      <tp t="s">
        <v>NGES4F8</v>
        <stp/>
        <stp>ContractData</stp>
        <stp>NGES4??3</stp>
        <stp>Symbol</stp>
        <tr r="A79" s="2"/>
      </tp>
      <tp t="s">
        <v>NGES4X7</v>
        <stp/>
        <stp>ContractData</stp>
        <stp>NGES4??1</stp>
        <stp>Symbol</stp>
        <tr r="A77" s="2"/>
      </tp>
      <tp t="s">
        <v>NGES4M8</v>
        <stp/>
        <stp>ContractData</stp>
        <stp>NGES4??8</stp>
        <stp>Symbol</stp>
        <tr r="A84" s="2"/>
      </tp>
      <tp t="s">
        <v>NGES4N8</v>
        <stp/>
        <stp>ContractData</stp>
        <stp>NGES4??9</stp>
        <stp>Symbol</stp>
        <tr r="A85" s="2"/>
      </tp>
      <tp t="s">
        <v/>
        <stp/>
        <stp>ContractData</stp>
        <stp>NGE?116</stp>
        <stp>LastTradeToday</stp>
        <stp/>
        <stp>T</stp>
        <tr r="F123" s="16"/>
      </tp>
      <tp t="s">
        <v/>
        <stp/>
        <stp>ContractData</stp>
        <stp>NGE?106</stp>
        <stp>LastTradeToday</stp>
        <stp/>
        <stp>T</stp>
        <tr r="F113" s="16"/>
      </tp>
      <tp t="s">
        <v/>
        <stp/>
        <stp>ContractData</stp>
        <stp>NGE?136</stp>
        <stp>LastTradeToday</stp>
        <stp/>
        <stp>T</stp>
        <tr r="F143" s="16"/>
      </tp>
      <tp t="s">
        <v/>
        <stp/>
        <stp>ContractData</stp>
        <stp>NGE?126</stp>
        <stp>LastTradeToday</stp>
        <stp/>
        <stp>T</stp>
        <tr r="F133" s="16"/>
      </tp>
      <tp t="s">
        <v/>
        <stp/>
        <stp>ContractData</stp>
        <stp>NGE?146</stp>
        <stp>LastTradeToday</stp>
        <stp/>
        <stp>T</stp>
        <tr r="F153" s="16"/>
      </tp>
      <tp t="s">
        <v/>
        <stp/>
        <stp>StudyData</stp>
        <stp>NGES5H8</stp>
        <stp>Bar</stp>
        <stp/>
        <stp>Close</stp>
        <stp>D</stp>
        <stp/>
        <stp/>
        <stp/>
        <stp/>
        <stp/>
        <stp>T</stp>
        <tr r="O93" s="2"/>
      </tp>
      <tp>
        <v>-6.5000000000000002E-2</v>
        <stp/>
        <stp>StudyData</stp>
        <stp>NGES5K8</stp>
        <stp>Bar</stp>
        <stp/>
        <stp>Close</stp>
        <stp>D</stp>
        <stp/>
        <stp/>
        <stp/>
        <stp/>
        <stp/>
        <stp>T</stp>
        <tr r="Q93" s="2"/>
      </tp>
      <tp>
        <v>-1.7999999999999999E-2</v>
        <stp/>
        <stp>StudyData</stp>
        <stp>NGES5J8</stp>
        <stp>Bar</stp>
        <stp/>
        <stp>Close</stp>
        <stp>D</stp>
        <stp/>
        <stp/>
        <stp/>
        <stp/>
        <stp/>
        <stp>T</stp>
        <tr r="P93" s="2"/>
      </tp>
      <tp t="s">
        <v/>
        <stp/>
        <stp>StudyData</stp>
        <stp>NGES5M8</stp>
        <stp>Bar</stp>
        <stp/>
        <stp>Close</stp>
        <stp>D</stp>
        <stp/>
        <stp/>
        <stp/>
        <stp/>
        <stp/>
        <stp>T</stp>
        <tr r="R93" s="2"/>
      </tp>
      <tp t="s">
        <v/>
        <stp/>
        <stp>StudyData</stp>
        <stp>NGES5N8</stp>
        <stp>Bar</stp>
        <stp/>
        <stp>Close</stp>
        <stp>D</stp>
        <stp/>
        <stp/>
        <stp/>
        <stp/>
        <stp/>
        <stp>T</stp>
        <tr r="S93" s="2"/>
      </tp>
      <tp>
        <v>0.247</v>
        <stp/>
        <stp>StudyData</stp>
        <stp>NGES5G8</stp>
        <stp>Bar</stp>
        <stp/>
        <stp>Close</stp>
        <stp>D</stp>
        <stp/>
        <stp/>
        <stp/>
        <stp/>
        <stp/>
        <stp>T</stp>
        <tr r="N93" s="2"/>
      </tp>
      <tp>
        <v>0.27</v>
        <stp/>
        <stp>StudyData</stp>
        <stp>NGES5F8</stp>
        <stp>Bar</stp>
        <stp/>
        <stp>Close</stp>
        <stp>D</stp>
        <stp/>
        <stp/>
        <stp/>
        <stp/>
        <stp/>
        <stp>T</stp>
        <tr r="M93" s="2"/>
      </tp>
      <tp>
        <v>-2.9000000000000001E-2</v>
        <stp/>
        <stp>StudyData</stp>
        <stp>NGES5X7</stp>
        <stp>Bar</stp>
        <stp/>
        <stp>Close</stp>
        <stp>D</stp>
        <stp/>
        <stp/>
        <stp/>
        <stp/>
        <stp/>
        <stp>T</stp>
        <tr r="K93" s="2"/>
      </tp>
      <tp>
        <v>0.17199999999999999</v>
        <stp/>
        <stp>StudyData</stp>
        <stp>NGES5Z7</stp>
        <stp>Bar</stp>
        <stp/>
        <stp>Close</stp>
        <stp>D</stp>
        <stp/>
        <stp/>
        <stp/>
        <stp/>
        <stp/>
        <stp>T</stp>
        <tr r="L93" s="2"/>
      </tp>
      <tp t="s">
        <v/>
        <stp/>
        <stp>StudyData</stp>
        <stp>NGES5Q8</stp>
        <stp>Bar</stp>
        <stp/>
        <stp>Close</stp>
        <stp>D</stp>
        <stp/>
        <stp/>
        <stp/>
        <stp/>
        <stp/>
        <stp>T</stp>
        <tr r="T93" s="2"/>
      </tp>
      <tp t="s">
        <v/>
        <stp/>
        <stp>StudyData</stp>
        <stp>NGES5U8</stp>
        <stp>Bar</stp>
        <stp/>
        <stp>Close</stp>
        <stp>D</stp>
        <stp/>
        <stp/>
        <stp/>
        <stp/>
        <stp/>
        <stp>T</stp>
        <tr r="U93" s="2"/>
      </tp>
      <tp t="s">
        <v/>
        <stp/>
        <stp>StudyData</stp>
        <stp>NGES5V8</stp>
        <stp>Bar</stp>
        <stp/>
        <stp>Close</stp>
        <stp>D</stp>
        <stp/>
        <stp/>
        <stp/>
        <stp/>
        <stp/>
        <stp>T</stp>
        <tr r="V93" s="2"/>
      </tp>
      <tp>
        <v>2.8970000000000002</v>
        <stp/>
        <stp>ContractData</stp>
        <stp>NGEK18</stp>
        <stp>Open</stp>
        <stp/>
        <stp>T</stp>
        <tr r="C27" s="13"/>
      </tp>
      <tp t="s">
        <v>NGEF9</v>
        <stp/>
        <stp>ContractData</stp>
        <stp>NGEF9</stp>
        <stp>Symbol</stp>
        <tr r="M33" s="13"/>
      </tp>
      <tp t="s">
        <v>NGEF8</v>
        <stp/>
        <stp>ContractData</stp>
        <stp>NGEF8</stp>
        <stp>Symbol</stp>
        <tr r="M5" s="13"/>
        <tr r="M6" s="2"/>
      </tp>
      <tp t="s">
        <v>NGEG9</v>
        <stp/>
        <stp>ContractData</stp>
        <stp>NGEG9</stp>
        <stp>Symbol</stp>
        <tr r="N33" s="13"/>
      </tp>
      <tp t="s">
        <v>NGEG8</v>
        <stp/>
        <stp>ContractData</stp>
        <stp>NGEG8</stp>
        <stp>Symbol</stp>
        <tr r="N5" s="13"/>
        <tr r="N6" s="2"/>
      </tp>
      <tp t="s">
        <v>NGEH9</v>
        <stp/>
        <stp>ContractData</stp>
        <stp>NGEH9</stp>
        <stp>Symbol</stp>
        <tr r="O33" s="13"/>
      </tp>
      <tp t="s">
        <v>NGEH8</v>
        <stp/>
        <stp>ContractData</stp>
        <stp>NGEH8</stp>
        <stp>Symbol</stp>
        <tr r="O5" s="13"/>
        <tr r="O6" s="2"/>
      </tp>
      <tp t="s">
        <v>NGEJ9</v>
        <stp/>
        <stp>ContractData</stp>
        <stp>NGEJ9</stp>
        <stp>Symbol</stp>
        <tr r="K46" s="13"/>
      </tp>
      <tp t="s">
        <v>NGEJ8</v>
        <stp/>
        <stp>ContractData</stp>
        <stp>NGEJ8</stp>
        <stp>Symbol</stp>
        <tr r="P6" s="2"/>
      </tp>
      <tp t="s">
        <v>NGEK9</v>
        <stp/>
        <stp>ContractData</stp>
        <stp>NGEK9</stp>
        <stp>Symbol</stp>
        <tr r="L46" s="13"/>
      </tp>
      <tp t="s">
        <v>NGEK8</v>
        <stp/>
        <stp>ContractData</stp>
        <stp>NGEK8</stp>
        <stp>Symbol</stp>
        <tr r="Q6" s="2"/>
      </tp>
      <tp t="s">
        <v>NGEM9</v>
        <stp/>
        <stp>ContractData</stp>
        <stp>NGEM9</stp>
        <stp>Symbol</stp>
        <tr r="M46" s="13"/>
      </tp>
      <tp t="s">
        <v>NGEM8</v>
        <stp/>
        <stp>ContractData</stp>
        <stp>NGEM8</stp>
        <stp>Symbol</stp>
        <tr r="R6" s="2"/>
      </tp>
      <tp t="s">
        <v>NGEN9</v>
        <stp/>
        <stp>ContractData</stp>
        <stp>NGEN9</stp>
        <stp>Symbol</stp>
        <tr r="N46" s="13"/>
      </tp>
      <tp t="s">
        <v>NGEN8</v>
        <stp/>
        <stp>ContractData</stp>
        <stp>NGEN8</stp>
        <stp>Symbol</stp>
        <tr r="S6" s="2"/>
      </tp>
      <tp t="s">
        <v>NGEQ9</v>
        <stp/>
        <stp>ContractData</stp>
        <stp>NGEQ9</stp>
        <stp>Symbol</stp>
        <tr r="O46" s="13"/>
      </tp>
      <tp t="s">
        <v>NGEQ8</v>
        <stp/>
        <stp>ContractData</stp>
        <stp>NGEQ8</stp>
        <stp>Symbol</stp>
        <tr r="T6" s="2"/>
      </tp>
      <tp t="s">
        <v>NGEU9</v>
        <stp/>
        <stp>ContractData</stp>
        <stp>NGEU9</stp>
        <stp>Symbol</stp>
        <tr r="P46" s="13"/>
      </tp>
      <tp t="s">
        <v>NGEU8</v>
        <stp/>
        <stp>ContractData</stp>
        <stp>NGEU8</stp>
        <stp>Symbol</stp>
        <tr r="U6" s="2"/>
      </tp>
      <tp t="s">
        <v>NGEV9</v>
        <stp/>
        <stp>ContractData</stp>
        <stp>NGEV9</stp>
        <stp>Symbol</stp>
        <tr r="Q46" s="13"/>
      </tp>
      <tp t="s">
        <v>NGEV8</v>
        <stp/>
        <stp>ContractData</stp>
        <stp>NGEV8</stp>
        <stp>Symbol</stp>
        <tr r="V6" s="2"/>
      </tp>
      <tp t="s">
        <v>NGEX8</v>
        <stp/>
        <stp>ContractData</stp>
        <stp>NGEX8</stp>
        <stp>Symbol</stp>
        <tr r="K33" s="13"/>
      </tp>
      <tp t="s">
        <v>NGEX7</v>
        <stp/>
        <stp>ContractData</stp>
        <stp>NGEX7</stp>
        <stp>Symbol</stp>
        <tr r="K5" s="13"/>
        <tr r="K6" s="2"/>
      </tp>
      <tp t="s">
        <v>NGEZ8</v>
        <stp/>
        <stp>ContractData</stp>
        <stp>NGEZ8</stp>
        <stp>Symbol</stp>
        <tr r="L33" s="13"/>
      </tp>
      <tp t="s">
        <v>NGEZ7</v>
        <stp/>
        <stp>ContractData</stp>
        <stp>NGEZ7</stp>
        <stp>Symbol</stp>
        <tr r="L5" s="13"/>
        <tr r="L6" s="2"/>
      </tp>
      <tp t="s">
        <v>NGEN8</v>
        <stp/>
        <stp>ContractData</stp>
        <stp>NGE?9</stp>
        <stp>Symbol</stp>
        <tr r="Q10" s="6"/>
        <tr r="Q10" s="9"/>
        <tr r="Q10" s="7"/>
        <tr r="Q10" s="8"/>
        <tr r="Q10" s="10"/>
        <tr r="Q10" s="11"/>
        <tr r="A21" s="2"/>
      </tp>
      <tp t="s">
        <v>NGEM8</v>
        <stp/>
        <stp>ContractData</stp>
        <stp>NGE?8</stp>
        <stp>Symbol</stp>
        <tr r="Q9" s="6"/>
        <tr r="Q9" s="9"/>
        <tr r="Q9" s="8"/>
        <tr r="Q9" s="7"/>
        <tr r="Q9" s="10"/>
        <tr r="Q9" s="11"/>
        <tr r="A20" s="2"/>
      </tp>
      <tp t="s">
        <v>NGEK8</v>
        <stp/>
        <stp>ContractData</stp>
        <stp>NGE?7</stp>
        <stp>Symbol</stp>
        <tr r="Q8" s="6"/>
        <tr r="Q8" s="7"/>
        <tr r="Q8" s="10"/>
        <tr r="Q8" s="9"/>
        <tr r="Q8" s="8"/>
        <tr r="Q8" s="11"/>
        <tr r="A19" s="2"/>
      </tp>
      <tp t="s">
        <v>NGEJ8</v>
        <stp/>
        <stp>ContractData</stp>
        <stp>NGE?6</stp>
        <stp>Symbol</stp>
        <tr r="Q7" s="6"/>
        <tr r="Q7" s="7"/>
        <tr r="Q7" s="9"/>
        <tr r="Q7" s="10"/>
        <tr r="Q7" s="8"/>
        <tr r="Q7" s="11"/>
        <tr r="A18" s="2"/>
      </tp>
      <tp t="s">
        <v>NGEH8</v>
        <stp/>
        <stp>ContractData</stp>
        <stp>NGE?5</stp>
        <stp>Symbol</stp>
        <tr r="Q6" s="6"/>
        <tr r="Q6" s="9"/>
        <tr r="Q6" s="8"/>
        <tr r="Q6" s="10"/>
        <tr r="Q6" s="7"/>
        <tr r="Q6" s="11"/>
        <tr r="A17" s="2"/>
      </tp>
      <tp t="s">
        <v>NGEG8</v>
        <stp/>
        <stp>ContractData</stp>
        <stp>NGE?4</stp>
        <stp>Symbol</stp>
        <tr r="Q5" s="6"/>
        <tr r="Q5" s="7"/>
        <tr r="Q5" s="10"/>
        <tr r="Q5" s="9"/>
        <tr r="Q5" s="8"/>
        <tr r="Q5" s="11"/>
        <tr r="A16" s="2"/>
      </tp>
      <tp t="s">
        <v>NGEF8</v>
        <stp/>
        <stp>ContractData</stp>
        <stp>NGE?3</stp>
        <stp>Symbol</stp>
        <tr r="Q4" s="6"/>
        <tr r="Q4" s="8"/>
        <tr r="Q4" s="9"/>
        <tr r="Q4" s="10"/>
        <tr r="Q4" s="7"/>
        <tr r="Q4" s="11"/>
        <tr r="A15" s="2"/>
      </tp>
      <tp t="s">
        <v>NGEZ7</v>
        <stp/>
        <stp>ContractData</stp>
        <stp>NGE?2</stp>
        <stp>Symbol</stp>
        <tr r="Q3" s="6"/>
        <tr r="S36" s="6"/>
        <tr r="Q3" s="8"/>
        <tr r="Q3" s="9"/>
        <tr r="Q3" s="7"/>
        <tr r="Q3" s="10"/>
        <tr r="S36" s="8"/>
        <tr r="S36" s="7"/>
        <tr r="S36" s="10"/>
        <tr r="S36" s="9"/>
        <tr r="Q3" s="11"/>
        <tr r="A14" s="2"/>
        <tr r="S36" s="11"/>
      </tp>
      <tp t="s">
        <v>NGEX7</v>
        <stp/>
        <stp>ContractData</stp>
        <stp>NGE?1</stp>
        <stp>Symbol</stp>
        <tr r="Q2" s="6"/>
        <tr r="S35" s="6"/>
        <tr r="Q2" s="7"/>
        <tr r="Q2" s="10"/>
        <tr r="Q2" s="9"/>
        <tr r="Q2" s="8"/>
        <tr r="S35" s="10"/>
        <tr r="S35" s="8"/>
        <tr r="S35" s="7"/>
        <tr r="S35" s="9"/>
        <tr r="Q2" s="11"/>
        <tr r="A13" s="2"/>
        <tr r="S35" s="11"/>
      </tp>
      <tp t="s">
        <v>NGES5J8</v>
        <stp/>
        <stp>ContractData</stp>
        <stp>NGES5??6</stp>
        <stp>Symbol</stp>
        <tr r="A98" s="2"/>
      </tp>
      <tp t="s">
        <v>NGES5K8</v>
        <stp/>
        <stp>ContractData</stp>
        <stp>NGES5??7</stp>
        <stp>Symbol</stp>
        <tr r="A99" s="2"/>
      </tp>
      <tp t="s">
        <v>NGES5G8</v>
        <stp/>
        <stp>ContractData</stp>
        <stp>NGES5??4</stp>
        <stp>Symbol</stp>
        <tr r="A96" s="2"/>
      </tp>
      <tp t="s">
        <v>NGES5H8</v>
        <stp/>
        <stp>ContractData</stp>
        <stp>NGES5??5</stp>
        <stp>Symbol</stp>
        <tr r="A97" s="2"/>
      </tp>
      <tp t="s">
        <v>NGES5Z7</v>
        <stp/>
        <stp>ContractData</stp>
        <stp>NGES5??2</stp>
        <stp>Symbol</stp>
        <tr r="A94" s="2"/>
      </tp>
      <tp t="s">
        <v>NGES5F8</v>
        <stp/>
        <stp>ContractData</stp>
        <stp>NGES5??3</stp>
        <stp>Symbol</stp>
        <tr r="A95" s="2"/>
      </tp>
      <tp t="s">
        <v>NGES5X7</v>
        <stp/>
        <stp>ContractData</stp>
        <stp>NGES5??1</stp>
        <stp>Symbol</stp>
        <tr r="A93" s="2"/>
      </tp>
      <tp t="s">
        <v>NGES5M8</v>
        <stp/>
        <stp>ContractData</stp>
        <stp>NGES5??8</stp>
        <stp>Symbol</stp>
        <tr r="A100" s="2"/>
      </tp>
      <tp t="s">
        <v>NGES5N8</v>
        <stp/>
        <stp>ContractData</stp>
        <stp>NGES5??9</stp>
        <stp>Symbol</stp>
        <tr r="A101" s="2"/>
      </tp>
      <tp t="s">
        <v/>
        <stp/>
        <stp>ContractData</stp>
        <stp>NGE?117</stp>
        <stp>LastTradeToday</stp>
        <stp/>
        <stp>T</stp>
        <tr r="F124" s="16"/>
      </tp>
      <tp t="s">
        <v/>
        <stp/>
        <stp>ContractData</stp>
        <stp>NGE?107</stp>
        <stp>LastTradeToday</stp>
        <stp/>
        <stp>T</stp>
        <tr r="F114" s="16"/>
      </tp>
      <tp t="s">
        <v/>
        <stp/>
        <stp>ContractData</stp>
        <stp>NGE?137</stp>
        <stp>LastTradeToday</stp>
        <stp/>
        <stp>T</stp>
        <tr r="F144" s="16"/>
      </tp>
      <tp t="s">
        <v/>
        <stp/>
        <stp>ContractData</stp>
        <stp>NGE?127</stp>
        <stp>LastTradeToday</stp>
        <stp/>
        <stp>T</stp>
        <tr r="F134" s="16"/>
      </tp>
      <tp>
        <v>0.21299999999999999</v>
        <stp/>
        <stp>StudyData</stp>
        <stp>NGES4H8</stp>
        <stp>Bar</stp>
        <stp/>
        <stp>Close</stp>
        <stp>D</stp>
        <stp/>
        <stp/>
        <stp/>
        <stp/>
        <stp/>
        <stp>T</stp>
        <tr r="O77" s="2"/>
      </tp>
      <tp>
        <v>-4.2000000000000003E-2</v>
        <stp/>
        <stp>StudyData</stp>
        <stp>NGES4K8</stp>
        <stp>Bar</stp>
        <stp/>
        <stp>Close</stp>
        <stp>D</stp>
        <stp/>
        <stp/>
        <stp/>
        <stp/>
        <stp/>
        <stp>T</stp>
        <tr r="Q77" s="2"/>
      </tp>
      <tp>
        <v>-3.5999999999999997E-2</v>
        <stp/>
        <stp>StudyData</stp>
        <stp>NGES4J8</stp>
        <stp>Bar</stp>
        <stp/>
        <stp>Close</stp>
        <stp>D</stp>
        <stp/>
        <stp/>
        <stp/>
        <stp/>
        <stp/>
        <stp>T</stp>
        <tr r="P77" s="2"/>
      </tp>
      <tp>
        <v>-3.5999999999999997E-2</v>
        <stp/>
        <stp>StudyData</stp>
        <stp>NGES4M8</stp>
        <stp>Bar</stp>
        <stp/>
        <stp>Close</stp>
        <stp>D</stp>
        <stp/>
        <stp/>
        <stp/>
        <stp/>
        <stp/>
        <stp>T</stp>
        <tr r="R77" s="2"/>
      </tp>
      <tp t="s">
        <v/>
        <stp/>
        <stp>StudyData</stp>
        <stp>NGES4N8</stp>
        <stp>Bar</stp>
        <stp/>
        <stp>Close</stp>
        <stp>D</stp>
        <stp/>
        <stp/>
        <stp/>
        <stp/>
        <stp/>
        <stp>T</stp>
        <tr r="S77" s="2"/>
      </tp>
      <tp>
        <v>0.27500000000000002</v>
        <stp/>
        <stp>StudyData</stp>
        <stp>NGES4G8</stp>
        <stp>Bar</stp>
        <stp/>
        <stp>Close</stp>
        <stp>D</stp>
        <stp/>
        <stp/>
        <stp/>
        <stp/>
        <stp/>
        <stp>T</stp>
        <tr r="N77" s="2"/>
      </tp>
      <tp>
        <v>0.29799999999999999</v>
        <stp/>
        <stp>StudyData</stp>
        <stp>NGES4F8</stp>
        <stp>Bar</stp>
        <stp/>
        <stp>Close</stp>
        <stp>D</stp>
        <stp/>
        <stp/>
        <stp/>
        <stp/>
        <stp/>
        <stp>T</stp>
        <tr r="M77" s="2"/>
      </tp>
      <tp>
        <v>-0.26600000000000001</v>
        <stp/>
        <stp>StudyData</stp>
        <stp>NGES4X7</stp>
        <stp>Bar</stp>
        <stp/>
        <stp>Close</stp>
        <stp>D</stp>
        <stp/>
        <stp/>
        <stp/>
        <stp/>
        <stp/>
        <stp>T</stp>
        <tr r="K77" s="2"/>
      </tp>
      <tp>
        <v>0.14599999999999999</v>
        <stp/>
        <stp>StudyData</stp>
        <stp>NGES4Z7</stp>
        <stp>Bar</stp>
        <stp/>
        <stp>Close</stp>
        <stp>D</stp>
        <stp/>
        <stp/>
        <stp/>
        <stp/>
        <stp/>
        <stp>T</stp>
        <tr r="L77" s="2"/>
      </tp>
      <tp t="s">
        <v/>
        <stp/>
        <stp>StudyData</stp>
        <stp>NGES4Q8</stp>
        <stp>Bar</stp>
        <stp/>
        <stp>Close</stp>
        <stp>D</stp>
        <stp/>
        <stp/>
        <stp/>
        <stp/>
        <stp/>
        <stp>T</stp>
        <tr r="T77" s="2"/>
      </tp>
      <tp t="s">
        <v/>
        <stp/>
        <stp>StudyData</stp>
        <stp>NGES4U8</stp>
        <stp>Bar</stp>
        <stp/>
        <stp>Close</stp>
        <stp>D</stp>
        <stp/>
        <stp/>
        <stp/>
        <stp/>
        <stp/>
        <stp>T</stp>
        <tr r="U77" s="2"/>
      </tp>
      <tp t="s">
        <v/>
        <stp/>
        <stp>StudyData</stp>
        <stp>NGES4V8</stp>
        <stp>Bar</stp>
        <stp/>
        <stp>Close</stp>
        <stp>D</stp>
        <stp/>
        <stp/>
        <stp/>
        <stp/>
        <stp/>
        <stp>T</stp>
        <tr r="V77" s="2"/>
      </tp>
      <tp>
        <v>2.927</v>
        <stp/>
        <stp>ContractData</stp>
        <stp>NGEJ18</stp>
        <stp>Open</stp>
        <stp/>
        <stp>T</stp>
        <tr r="C26" s="13"/>
      </tp>
      <tp>
        <v>2.931</v>
        <stp/>
        <stp>ContractData</stp>
        <stp>NGEM18</stp>
        <stp>High</stp>
        <stp/>
        <stp>T</stp>
        <tr r="D28" s="13"/>
      </tp>
      <tp t="s">
        <v/>
        <stp/>
        <stp>ContractData</stp>
        <stp>NGE?7</stp>
        <stp>T_Settlement</stp>
        <stp/>
        <stp>T</stp>
        <tr r="Y14" s="16"/>
      </tp>
      <tp t="s">
        <v/>
        <stp/>
        <stp>ContractData</stp>
        <stp>NGE?6</stp>
        <stp>T_Settlement</stp>
        <stp/>
        <stp>T</stp>
        <tr r="Y13" s="16"/>
      </tp>
      <tp t="s">
        <v/>
        <stp/>
        <stp>ContractData</stp>
        <stp>NGE?5</stp>
        <stp>T_Settlement</stp>
        <stp/>
        <stp>T</stp>
        <tr r="Y12" s="16"/>
      </tp>
      <tp t="s">
        <v/>
        <stp/>
        <stp>ContractData</stp>
        <stp>NGE?4</stp>
        <stp>T_Settlement</stp>
        <stp/>
        <stp>T</stp>
        <tr r="Y11" s="16"/>
      </tp>
      <tp t="s">
        <v/>
        <stp/>
        <stp>ContractData</stp>
        <stp>NGE?3</stp>
        <stp>T_Settlement</stp>
        <stp/>
        <stp>T</stp>
        <tr r="Y10" s="16"/>
      </tp>
      <tp t="s">
        <v/>
        <stp/>
        <stp>ContractData</stp>
        <stp>NGE?2</stp>
        <stp>T_Settlement</stp>
        <stp/>
        <stp>T</stp>
        <tr r="Y9" s="16"/>
      </tp>
      <tp t="s">
        <v/>
        <stp/>
        <stp>ContractData</stp>
        <stp>NGE?1</stp>
        <stp>T_Settlement</stp>
        <stp/>
        <stp>T</stp>
        <tr r="Y8" s="16"/>
      </tp>
      <tp t="s">
        <v/>
        <stp/>
        <stp>ContractData</stp>
        <stp>NGE?9</stp>
        <stp>T_Settlement</stp>
        <stp/>
        <stp>T</stp>
        <tr r="Y16" s="16"/>
      </tp>
      <tp t="s">
        <v/>
        <stp/>
        <stp>ContractData</stp>
        <stp>NGE?8</stp>
        <stp>T_Settlement</stp>
        <stp/>
        <stp>T</stp>
        <tr r="Y15" s="16"/>
      </tp>
      <tp t="s">
        <v>NGES2J8</v>
        <stp/>
        <stp>ContractData</stp>
        <stp>NGES2??6</stp>
        <stp>Symbol</stp>
        <tr r="A50" s="2"/>
      </tp>
      <tp t="s">
        <v>NGES2K8</v>
        <stp/>
        <stp>ContractData</stp>
        <stp>NGES2??7</stp>
        <stp>Symbol</stp>
        <tr r="A51" s="2"/>
      </tp>
      <tp t="s">
        <v>NGES2G8</v>
        <stp/>
        <stp>ContractData</stp>
        <stp>NGES2??4</stp>
        <stp>Symbol</stp>
        <tr r="A48" s="2"/>
      </tp>
      <tp t="s">
        <v>NGES2H8</v>
        <stp/>
        <stp>ContractData</stp>
        <stp>NGES2??5</stp>
        <stp>Symbol</stp>
        <tr r="A49" s="2"/>
      </tp>
      <tp t="s">
        <v>NGES2Z7</v>
        <stp/>
        <stp>ContractData</stp>
        <stp>NGES2??2</stp>
        <stp>Symbol</stp>
        <tr r="A46" s="2"/>
      </tp>
      <tp t="s">
        <v>NGES2F8</v>
        <stp/>
        <stp>ContractData</stp>
        <stp>NGES2??3</stp>
        <stp>Symbol</stp>
        <tr r="A47" s="2"/>
      </tp>
      <tp t="s">
        <v>NGES2X7</v>
        <stp/>
        <stp>ContractData</stp>
        <stp>NGES2??1</stp>
        <stp>Symbol</stp>
        <tr r="A45" s="2"/>
      </tp>
      <tp t="s">
        <v>NGES2M8</v>
        <stp/>
        <stp>ContractData</stp>
        <stp>NGES2??8</stp>
        <stp>Symbol</stp>
        <tr r="A52" s="2"/>
      </tp>
      <tp t="s">
        <v>NGES2N8</v>
        <stp/>
        <stp>ContractData</stp>
        <stp>NGES2??9</stp>
        <stp>Symbol</stp>
        <tr r="A53" s="2"/>
      </tp>
      <tp>
        <v>742</v>
        <stp/>
        <stp>ContractData</stp>
        <stp>NGES1F8</stp>
        <stp>T_CVol</stp>
        <tr r="AB108" s="2"/>
        <tr r="I31" s="2"/>
      </tp>
      <tp>
        <v>1946</v>
        <stp/>
        <stp>ContractData</stp>
        <stp>NGES1G8</stp>
        <stp>T_CVol</stp>
        <tr r="AB109" s="2"/>
        <tr r="I32" s="2"/>
      </tp>
      <tp>
        <v>2.9729999999999999</v>
        <stp/>
        <stp>StudyData</stp>
        <stp>Close(NGE?10)when (LocalMonth(NGE?10)=9 and LocalDay(NGE?10)=14 and LocalYear(NGE?10)=2017)</stp>
        <stp>Bar</stp>
        <stp/>
        <stp>Close</stp>
        <stp>D</stp>
        <stp>0</stp>
        <stp>ALL</stp>
        <stp/>
        <stp/>
        <stp>FALSE</stp>
        <stp>T</stp>
        <tr r="E25" s="6"/>
        <tr r="E25" s="7"/>
        <tr r="E25" s="8"/>
        <tr r="E25" s="9"/>
        <tr r="E25" s="11"/>
      </tp>
      <tp>
        <v>48</v>
        <stp/>
        <stp>ContractData</stp>
        <stp>NGES1M8</stp>
        <stp>T_CVol</stp>
        <tr r="I36" s="2"/>
      </tp>
      <tp>
        <v>541</v>
        <stp/>
        <stp>ContractData</stp>
        <stp>NGES1N8</stp>
        <stp>T_CVol</stp>
        <tr r="I37" s="2"/>
      </tp>
      <tp>
        <v>1772</v>
        <stp/>
        <stp>ContractData</stp>
        <stp>NGES1H8</stp>
        <stp>T_CVol</stp>
        <tr r="AB110" s="2"/>
        <tr r="I33" s="2"/>
      </tp>
      <tp>
        <v>1101</v>
        <stp/>
        <stp>ContractData</stp>
        <stp>NGES1J8</stp>
        <stp>T_CVol</stp>
        <tr r="AB111" s="2"/>
        <tr r="I34" s="2"/>
      </tp>
      <tp>
        <v>51</v>
        <stp/>
        <stp>ContractData</stp>
        <stp>NGES1K8</stp>
        <stp>T_CVol</stp>
        <tr r="AB112" s="2"/>
        <tr r="I35" s="2"/>
      </tp>
      <tp>
        <v>363</v>
        <stp/>
        <stp>ContractData</stp>
        <stp>NGES1U8</stp>
        <stp>T_CVol</stp>
        <tr r="I39" s="2"/>
      </tp>
      <tp>
        <v>31</v>
        <stp/>
        <stp>ContractData</stp>
        <stp>NGES1V8</stp>
        <stp>T_CVol</stp>
        <tr r="I40" s="2"/>
      </tp>
      <tp>
        <v>270</v>
        <stp/>
        <stp>ContractData</stp>
        <stp>NGES1Q8</stp>
        <stp>T_CVol</stp>
        <tr r="I38" s="2"/>
      </tp>
      <tp>
        <v>12795</v>
        <stp/>
        <stp>ContractData</stp>
        <stp>NGES1X7</stp>
        <stp>T_CVol</stp>
        <tr r="AB106" s="2"/>
        <tr r="I29" s="2"/>
      </tp>
      <tp>
        <v>4541</v>
        <stp/>
        <stp>ContractData</stp>
        <stp>NGES1Z7</stp>
        <stp>T_CVol</stp>
        <tr r="AB107" s="2"/>
        <tr r="I30" s="2"/>
      </tp>
      <tp>
        <v>2.95</v>
        <stp/>
        <stp>StudyData</stp>
        <stp>Close(NGE?11)when (LocalMonth(NGE?11)=9 and LocalDay(NGE?11)=14 and LocalYear(NGE?11)=2017)</stp>
        <stp>Bar</stp>
        <stp/>
        <stp>Close</stp>
        <stp>D</stp>
        <stp>0</stp>
        <stp>ALL</stp>
        <stp/>
        <stp/>
        <stp>FALSE</stp>
        <stp>T</stp>
        <tr r="E26" s="6"/>
        <tr r="E26" s="9"/>
        <tr r="E26" s="8"/>
        <tr r="E26" s="7"/>
        <tr r="E26" s="11"/>
      </tp>
      <tp>
        <v>287</v>
        <stp/>
        <stp>ContractData</stp>
        <stp>NGES3F8</stp>
        <stp>T_CVol</stp>
        <tr r="I63" s="2"/>
      </tp>
      <tp>
        <v>125</v>
        <stp/>
        <stp>ContractData</stp>
        <stp>NGES3G8</stp>
        <stp>T_CVol</stp>
        <tr r="I64" s="2"/>
      </tp>
      <tp>
        <v>4</v>
        <stp/>
        <stp>ContractData</stp>
        <stp>NGES3M8</stp>
        <stp>T_CVol</stp>
        <tr r="I68" s="2"/>
      </tp>
      <tp>
        <v>2.972</v>
        <stp/>
        <stp>StudyData</stp>
        <stp>Close(NGE?12)when (LocalMonth(NGE?12)=9 and LocalDay(NGE?12)=14 and LocalYear(NGE?12)=2017)</stp>
        <stp>Bar</stp>
        <stp/>
        <stp>Close</stp>
        <stp>D</stp>
        <stp>0</stp>
        <stp>ALL</stp>
        <stp/>
        <stp/>
        <stp>FALSE</stp>
        <stp>T</stp>
        <tr r="E27" s="6"/>
        <tr r="E27" s="9"/>
        <tr r="E27" s="7"/>
        <tr r="E27" s="8"/>
        <tr r="E27" s="11"/>
      </tp>
      <tp>
        <v>0</v>
        <stp/>
        <stp>ContractData</stp>
        <stp>NGES3N8</stp>
        <stp>T_CVol</stp>
        <tr r="I69" s="2"/>
      </tp>
      <tp>
        <v>3</v>
        <stp/>
        <stp>ContractData</stp>
        <stp>NGES3H8</stp>
        <stp>T_CVol</stp>
        <tr r="I65" s="2"/>
      </tp>
      <tp>
        <v>202</v>
        <stp/>
        <stp>ContractData</stp>
        <stp>NGES3J8</stp>
        <stp>T_CVol</stp>
        <tr r="I66" s="2"/>
      </tp>
      <tp>
        <v>30</v>
        <stp/>
        <stp>ContractData</stp>
        <stp>NGES3K8</stp>
        <stp>T_CVol</stp>
        <tr r="I67" s="2"/>
      </tp>
      <tp>
        <v>1</v>
        <stp/>
        <stp>ContractData</stp>
        <stp>NGES3U8</stp>
        <stp>T_CVol</stp>
        <tr r="I71" s="2"/>
      </tp>
      <tp>
        <v>89</v>
        <stp/>
        <stp>ContractData</stp>
        <stp>NGES3V8</stp>
        <stp>T_CVol</stp>
        <tr r="I72" s="2"/>
      </tp>
      <tp>
        <v>0</v>
        <stp/>
        <stp>ContractData</stp>
        <stp>NGES3Q8</stp>
        <stp>T_CVol</stp>
        <tr r="I70" s="2"/>
      </tp>
      <tp>
        <v>1576</v>
        <stp/>
        <stp>ContractData</stp>
        <stp>NGES3X7</stp>
        <stp>T_CVol</stp>
        <tr r="I61" s="2"/>
      </tp>
      <tp>
        <v>1464</v>
        <stp/>
        <stp>ContractData</stp>
        <stp>NGES3Z7</stp>
        <stp>T_CVol</stp>
        <tr r="I62" s="2"/>
      </tp>
      <tp>
        <v>1357</v>
        <stp/>
        <stp>ContractData</stp>
        <stp>NGES2F8</stp>
        <stp>T_CVol</stp>
        <tr r="I47" s="2"/>
      </tp>
      <tp>
        <v>75</v>
        <stp/>
        <stp>ContractData</stp>
        <stp>NGES2G8</stp>
        <stp>T_CVol</stp>
        <tr r="I48" s="2"/>
      </tp>
      <tp>
        <v>13</v>
        <stp/>
        <stp>ContractData</stp>
        <stp>NGES2M8</stp>
        <stp>T_CVol</stp>
        <tr r="I52" s="2"/>
      </tp>
      <tp>
        <v>51</v>
        <stp/>
        <stp>ContractData</stp>
        <stp>NGES2N8</stp>
        <stp>T_CVol</stp>
        <tr r="I53" s="2"/>
      </tp>
      <tp>
        <v>103</v>
        <stp/>
        <stp>ContractData</stp>
        <stp>NGES2H8</stp>
        <stp>T_CVol</stp>
        <tr r="I49" s="2"/>
      </tp>
      <tp>
        <v>54</v>
        <stp/>
        <stp>ContractData</stp>
        <stp>NGES2J8</stp>
        <stp>T_CVol</stp>
        <tr r="I50" s="2"/>
      </tp>
      <tp>
        <v>25</v>
        <stp/>
        <stp>ContractData</stp>
        <stp>NGES2K8</stp>
        <stp>T_CVol</stp>
        <tr r="I51" s="2"/>
      </tp>
      <tp>
        <v>0</v>
        <stp/>
        <stp>ContractData</stp>
        <stp>NGES2U8</stp>
        <stp>T_CVol</stp>
        <tr r="I55" s="2"/>
      </tp>
      <tp>
        <v>3</v>
        <stp/>
        <stp>ContractData</stp>
        <stp>NGES2V8</stp>
        <stp>T_CVol</stp>
        <tr r="I56" s="2"/>
      </tp>
      <tp>
        <v>31</v>
        <stp/>
        <stp>ContractData</stp>
        <stp>NGES2Q8</stp>
        <stp>T_CVol</stp>
        <tr r="I54" s="2"/>
      </tp>
      <tp>
        <v>6477</v>
        <stp/>
        <stp>ContractData</stp>
        <stp>NGES2X7</stp>
        <stp>T_CVol</stp>
        <tr r="I45" s="2"/>
      </tp>
      <tp>
        <v>376</v>
        <stp/>
        <stp>ContractData</stp>
        <stp>NGES2Z7</stp>
        <stp>T_CVol</stp>
        <tr r="I46" s="2"/>
      </tp>
      <tp>
        <v>8</v>
        <stp/>
        <stp>ContractData</stp>
        <stp>NGES5F8</stp>
        <stp>T_CVol</stp>
        <tr r="I95" s="2"/>
      </tp>
      <tp>
        <v>4</v>
        <stp/>
        <stp>ContractData</stp>
        <stp>NGES5G8</stp>
        <stp>T_CVol</stp>
        <tr r="I96" s="2"/>
      </tp>
      <tp>
        <v>0</v>
        <stp/>
        <stp>ContractData</stp>
        <stp>NGES5M8</stp>
        <stp>T_CVol</stp>
        <tr r="I100" s="2"/>
      </tp>
      <tp>
        <v>0</v>
        <stp/>
        <stp>ContractData</stp>
        <stp>NGES5N8</stp>
        <stp>T_CVol</stp>
        <tr r="I101" s="2"/>
      </tp>
      <tp>
        <v>0</v>
        <stp/>
        <stp>ContractData</stp>
        <stp>NGES5H8</stp>
        <stp>T_CVol</stp>
        <tr r="I97" s="2"/>
      </tp>
      <tp>
        <v>10</v>
        <stp/>
        <stp>ContractData</stp>
        <stp>NGES5J8</stp>
        <stp>T_CVol</stp>
        <tr r="I98" s="2"/>
      </tp>
      <tp>
        <v>173</v>
        <stp/>
        <stp>ContractData</stp>
        <stp>NGES5K8</stp>
        <stp>T_CVol</stp>
        <tr r="I99" s="2"/>
      </tp>
      <tp>
        <v>0</v>
        <stp/>
        <stp>ContractData</stp>
        <stp>NGES5U8</stp>
        <stp>T_CVol</stp>
        <tr r="I103" s="2"/>
      </tp>
      <tp>
        <v>0</v>
        <stp/>
        <stp>ContractData</stp>
        <stp>NGES5V8</stp>
        <stp>T_CVol</stp>
        <tr r="I104" s="2"/>
      </tp>
      <tp>
        <v>0</v>
        <stp/>
        <stp>ContractData</stp>
        <stp>NGES5Q8</stp>
        <stp>T_CVol</stp>
        <tr r="I102" s="2"/>
      </tp>
      <tp>
        <v>650</v>
        <stp/>
        <stp>ContractData</stp>
        <stp>NGES5X7</stp>
        <stp>T_CVol</stp>
        <tr r="I93" s="2"/>
      </tp>
      <tp>
        <v>45</v>
        <stp/>
        <stp>ContractData</stp>
        <stp>NGES5Z7</stp>
        <stp>T_CVol</stp>
        <tr r="I94" s="2"/>
      </tp>
      <tp>
        <v>165</v>
        <stp/>
        <stp>ContractData</stp>
        <stp>NGES4F8</stp>
        <stp>T_CVol</stp>
        <tr r="I79" s="2"/>
      </tp>
      <tp>
        <v>11</v>
        <stp/>
        <stp>ContractData</stp>
        <stp>NGES4G8</stp>
        <stp>T_CVol</stp>
        <tr r="I80" s="2"/>
      </tp>
      <tp>
        <v>10</v>
        <stp/>
        <stp>ContractData</stp>
        <stp>NGES4M8</stp>
        <stp>T_CVol</stp>
        <tr r="I84" s="2"/>
      </tp>
      <tp>
        <v>0</v>
        <stp/>
        <stp>ContractData</stp>
        <stp>NGES4N8</stp>
        <stp>T_CVol</stp>
        <tr r="I85" s="2"/>
      </tp>
      <tp>
        <v>2</v>
        <stp/>
        <stp>ContractData</stp>
        <stp>NGES4H8</stp>
        <stp>T_CVol</stp>
        <tr r="I81" s="2"/>
      </tp>
      <tp>
        <v>40</v>
        <stp/>
        <stp>ContractData</stp>
        <stp>NGES4J8</stp>
        <stp>T_CVol</stp>
        <tr r="I82" s="2"/>
      </tp>
      <tp>
        <v>10</v>
        <stp/>
        <stp>ContractData</stp>
        <stp>NGES4K8</stp>
        <stp>T_CVol</stp>
        <tr r="I83" s="2"/>
      </tp>
      <tp>
        <v>0</v>
        <stp/>
        <stp>ContractData</stp>
        <stp>NGES4U8</stp>
        <stp>T_CVol</stp>
        <tr r="I87" s="2"/>
      </tp>
      <tp>
        <v>0</v>
        <stp/>
        <stp>ContractData</stp>
        <stp>NGES4V8</stp>
        <stp>T_CVol</stp>
        <tr r="I88" s="2"/>
      </tp>
      <tp>
        <v>0</v>
        <stp/>
        <stp>ContractData</stp>
        <stp>NGES4Q8</stp>
        <stp>T_CVol</stp>
        <tr r="I86" s="2"/>
      </tp>
      <tp>
        <v>1224</v>
        <stp/>
        <stp>ContractData</stp>
        <stp>NGES4X7</stp>
        <stp>T_CVol</stp>
        <tr r="I77" s="2"/>
      </tp>
      <tp>
        <v>177</v>
        <stp/>
        <stp>ContractData</stp>
        <stp>NGES4Z7</stp>
        <stp>T_CVol</stp>
        <tr r="I78" s="2"/>
      </tp>
      <tp>
        <v>2</v>
        <stp/>
        <stp>ContractData</stp>
        <stp>NGES6F8</stp>
        <stp>T_CVol</stp>
        <tr r="I114" s="2"/>
      </tp>
      <tp>
        <v>2</v>
        <stp/>
        <stp>ContractData</stp>
        <stp>NGES6G8</stp>
        <stp>T_CVol</stp>
        <tr r="I115" s="2"/>
      </tp>
      <tp>
        <v>0</v>
        <stp/>
        <stp>ContractData</stp>
        <stp>NGES6M8</stp>
        <stp>T_CVol</stp>
        <tr r="I119" s="2"/>
      </tp>
      <tp>
        <v>0</v>
        <stp/>
        <stp>ContractData</stp>
        <stp>NGES6N8</stp>
        <stp>T_CVol</stp>
        <tr r="I120" s="2"/>
      </tp>
      <tp>
        <v>0</v>
        <stp/>
        <stp>ContractData</stp>
        <stp>NGES6H8</stp>
        <stp>T_CVol</stp>
        <tr r="I116" s="2"/>
      </tp>
      <tp>
        <v>327</v>
        <stp/>
        <stp>ContractData</stp>
        <stp>NGES6J8</stp>
        <stp>T_CVol</stp>
        <tr r="I117" s="2"/>
      </tp>
      <tp>
        <v>0</v>
        <stp/>
        <stp>ContractData</stp>
        <stp>NGES6K8</stp>
        <stp>T_CVol</stp>
        <tr r="I118" s="2"/>
      </tp>
      <tp>
        <v>0</v>
        <stp/>
        <stp>ContractData</stp>
        <stp>NGES6U8</stp>
        <stp>T_CVol</stp>
        <tr r="I122" s="2"/>
      </tp>
      <tp>
        <v>0</v>
        <stp/>
        <stp>ContractData</stp>
        <stp>NGES6V8</stp>
        <stp>T_CVol</stp>
        <tr r="I123" s="2"/>
      </tp>
      <tp>
        <v>0</v>
        <stp/>
        <stp>ContractData</stp>
        <stp>NGES6Q8</stp>
        <stp>T_CVol</stp>
        <tr r="I121" s="2"/>
      </tp>
      <tp>
        <v>62</v>
        <stp/>
        <stp>ContractData</stp>
        <stp>NGES6X7</stp>
        <stp>T_CVol</stp>
        <tr r="I112" s="2"/>
      </tp>
      <tp>
        <v>1</v>
        <stp/>
        <stp>ContractData</stp>
        <stp>NGES6Z7</stp>
        <stp>T_CVol</stp>
        <tr r="I113" s="2"/>
      </tp>
      <tp t="s">
        <v/>
        <stp/>
        <stp>ContractData</stp>
        <stp>NGE?110</stp>
        <stp>LastTradeToday</stp>
        <stp/>
        <stp>T</stp>
        <tr r="F117" s="16"/>
      </tp>
      <tp t="s">
        <v/>
        <stp/>
        <stp>ContractData</stp>
        <stp>NGE?100</stp>
        <stp>LastTradeToday</stp>
        <stp/>
        <stp>T</stp>
        <tr r="F107" s="16"/>
      </tp>
      <tp t="s">
        <v/>
        <stp/>
        <stp>ContractData</stp>
        <stp>NGE?130</stp>
        <stp>LastTradeToday</stp>
        <stp/>
        <stp>T</stp>
        <tr r="F137" s="16"/>
      </tp>
      <tp t="s">
        <v/>
        <stp/>
        <stp>ContractData</stp>
        <stp>NGE?120</stp>
        <stp>LastTradeToday</stp>
        <stp/>
        <stp>T</stp>
        <tr r="F127" s="16"/>
      </tp>
      <tp t="s">
        <v/>
        <stp/>
        <stp>ContractData</stp>
        <stp>NGE?140</stp>
        <stp>LastTradeToday</stp>
        <stp/>
        <stp>T</stp>
        <tr r="F147" s="16"/>
      </tp>
      <tp>
        <v>0.23300000000000001</v>
        <stp/>
        <stp>StudyData</stp>
        <stp>NGES3H8</stp>
        <stp>Bar</stp>
        <stp/>
        <stp>Close</stp>
        <stp>D</stp>
        <stp/>
        <stp/>
        <stp/>
        <stp/>
        <stp/>
        <stp>T</stp>
        <tr r="O61" s="2"/>
      </tp>
      <tp>
        <v>-0.06</v>
        <stp/>
        <stp>StudyData</stp>
        <stp>NGES3K8</stp>
        <stp>Bar</stp>
        <stp/>
        <stp>Close</stp>
        <stp>D</stp>
        <stp/>
        <stp/>
        <stp/>
        <stp/>
        <stp/>
        <stp>T</stp>
        <tr r="Q61" s="2"/>
      </tp>
      <tp>
        <v>-3.3000000000000002E-2</v>
        <stp/>
        <stp>StudyData</stp>
        <stp>NGES3J8</stp>
        <stp>Bar</stp>
        <stp/>
        <stp>Close</stp>
        <stp>D</stp>
        <stp/>
        <stp/>
        <stp/>
        <stp/>
        <stp/>
        <stp>T</stp>
        <tr r="P61" s="2"/>
      </tp>
      <tp>
        <v>-1.2999999999999999E-2</v>
        <stp/>
        <stp>StudyData</stp>
        <stp>NGES3M8</stp>
        <stp>Bar</stp>
        <stp/>
        <stp>Close</stp>
        <stp>D</stp>
        <stp/>
        <stp/>
        <stp/>
        <stp/>
        <stp/>
        <stp>T</stp>
        <tr r="R61" s="2"/>
      </tp>
      <tp t="s">
        <v/>
        <stp/>
        <stp>StudyData</stp>
        <stp>NGES3N8</stp>
        <stp>Bar</stp>
        <stp/>
        <stp>Close</stp>
        <stp>D</stp>
        <stp/>
        <stp/>
        <stp/>
        <stp/>
        <stp/>
        <stp>T</stp>
        <tr r="S61" s="2"/>
      </tp>
      <tp>
        <v>0.30099999999999999</v>
        <stp/>
        <stp>StudyData</stp>
        <stp>NGES3G8</stp>
        <stp>Bar</stp>
        <stp/>
        <stp>Close</stp>
        <stp>D</stp>
        <stp/>
        <stp/>
        <stp/>
        <stp/>
        <stp/>
        <stp>T</stp>
        <tr r="N61" s="2"/>
      </tp>
      <tp>
        <v>0.27200000000000002</v>
        <stp/>
        <stp>StudyData</stp>
        <stp>NGES3F8</stp>
        <stp>Bar</stp>
        <stp/>
        <stp>Close</stp>
        <stp>D</stp>
        <stp/>
        <stp/>
        <stp/>
        <stp/>
        <stp/>
        <stp>T</stp>
        <tr r="M61" s="2"/>
      </tp>
      <tp>
        <v>-0.30599999999999999</v>
        <stp/>
        <stp>StudyData</stp>
        <stp>NGES3X7</stp>
        <stp>Bar</stp>
        <stp/>
        <stp>Close</stp>
        <stp>D</stp>
        <stp/>
        <stp/>
        <stp/>
        <stp/>
        <stp/>
        <stp>T</stp>
        <tr r="K61" s="2"/>
      </tp>
      <tp>
        <v>-9.1999999999999998E-2</v>
        <stp/>
        <stp>StudyData</stp>
        <stp>NGES3Z7</stp>
        <stp>Bar</stp>
        <stp/>
        <stp>Close</stp>
        <stp>D</stp>
        <stp/>
        <stp/>
        <stp/>
        <stp/>
        <stp/>
        <stp>T</stp>
        <tr r="L61" s="2"/>
      </tp>
      <tp t="s">
        <v/>
        <stp/>
        <stp>StudyData</stp>
        <stp>NGES3Q8</stp>
        <stp>Bar</stp>
        <stp/>
        <stp>Close</stp>
        <stp>D</stp>
        <stp/>
        <stp/>
        <stp/>
        <stp/>
        <stp/>
        <stp>T</stp>
        <tr r="T61" s="2"/>
      </tp>
      <tp>
        <v>-0.21099999999999999</v>
        <stp/>
        <stp>StudyData</stp>
        <stp>NGES3U8</stp>
        <stp>Bar</stp>
        <stp/>
        <stp>Close</stp>
        <stp>D</stp>
        <stp/>
        <stp/>
        <stp/>
        <stp/>
        <stp/>
        <stp>T</stp>
        <tr r="U61" s="2"/>
      </tp>
      <tp>
        <v>-0.27500000000000002</v>
        <stp/>
        <stp>StudyData</stp>
        <stp>NGES3V8</stp>
        <stp>Bar</stp>
        <stp/>
        <stp>Close</stp>
        <stp>D</stp>
        <stp/>
        <stp/>
        <stp/>
        <stp/>
        <stp/>
        <stp>T</stp>
        <tr r="V61" s="2"/>
      </tp>
      <tp>
        <v>2.927</v>
        <stp/>
        <stp>ContractData</stp>
        <stp>NGEM18</stp>
        <stp>Open</stp>
        <stp/>
        <stp>T</stp>
        <tr r="C28" s="13"/>
      </tp>
      <tp>
        <v>2.9319999999999999</v>
        <stp/>
        <stp>ContractData</stp>
        <stp>NGEJ18</stp>
        <stp>High</stp>
        <stp/>
        <stp>T</stp>
        <tr r="D26" s="13"/>
      </tp>
      <tp t="s">
        <v>NGES3J8</v>
        <stp/>
        <stp>ContractData</stp>
        <stp>NGES3??6</stp>
        <stp>Symbol</stp>
        <tr r="A66" s="2"/>
      </tp>
      <tp t="s">
        <v>NGES3K8</v>
        <stp/>
        <stp>ContractData</stp>
        <stp>NGES3??7</stp>
        <stp>Symbol</stp>
        <tr r="A67" s="2"/>
      </tp>
      <tp t="s">
        <v>NGES3G8</v>
        <stp/>
        <stp>ContractData</stp>
        <stp>NGES3??4</stp>
        <stp>Symbol</stp>
        <tr r="A64" s="2"/>
      </tp>
      <tp t="s">
        <v>NGES3H8</v>
        <stp/>
        <stp>ContractData</stp>
        <stp>NGES3??5</stp>
        <stp>Symbol</stp>
        <tr r="A65" s="2"/>
      </tp>
      <tp t="s">
        <v>NGES3Z7</v>
        <stp/>
        <stp>ContractData</stp>
        <stp>NGES3??2</stp>
        <stp>Symbol</stp>
        <tr r="A62" s="2"/>
      </tp>
      <tp t="s">
        <v>NGES3F8</v>
        <stp/>
        <stp>ContractData</stp>
        <stp>NGES3??3</stp>
        <stp>Symbol</stp>
        <tr r="A63" s="2"/>
      </tp>
      <tp t="s">
        <v>NGES3X7</v>
        <stp/>
        <stp>ContractData</stp>
        <stp>NGES3??1</stp>
        <stp>Symbol</stp>
        <tr r="A61" s="2"/>
      </tp>
      <tp t="s">
        <v>NGES3M8</v>
        <stp/>
        <stp>ContractData</stp>
        <stp>NGES3??8</stp>
        <stp>Symbol</stp>
        <tr r="A68" s="2"/>
      </tp>
      <tp t="s">
        <v>NGES3N8</v>
        <stp/>
        <stp>ContractData</stp>
        <stp>NGES3??9</stp>
        <stp>Symbol</stp>
        <tr r="A69" s="2"/>
      </tp>
      <tp t="s">
        <v/>
        <stp/>
        <stp>ContractData</stp>
        <stp>NGE?111</stp>
        <stp>LastTradeToday</stp>
        <stp/>
        <stp>T</stp>
        <tr r="F118" s="16"/>
      </tp>
      <tp t="s">
        <v/>
        <stp/>
        <stp>ContractData</stp>
        <stp>NGE?101</stp>
        <stp>LastTradeToday</stp>
        <stp/>
        <stp>T</stp>
        <tr r="F108" s="16"/>
      </tp>
      <tp t="s">
        <v/>
        <stp/>
        <stp>ContractData</stp>
        <stp>NGE?131</stp>
        <stp>LastTradeToday</stp>
        <stp/>
        <stp>T</stp>
        <tr r="F138" s="16"/>
      </tp>
      <tp t="s">
        <v/>
        <stp/>
        <stp>ContractData</stp>
        <stp>NGE?121</stp>
        <stp>LastTradeToday</stp>
        <stp/>
        <stp>T</stp>
        <tr r="F128" s="16"/>
      </tp>
      <tp t="s">
        <v/>
        <stp/>
        <stp>ContractData</stp>
        <stp>NGE?141</stp>
        <stp>LastTradeToday</stp>
        <stp/>
        <stp>T</stp>
        <tr r="F148" s="16"/>
      </tp>
      <tp>
        <v>0.26300000000000001</v>
        <stp/>
        <stp>StudyData</stp>
        <stp>NGES2H8</stp>
        <stp>Bar</stp>
        <stp/>
        <stp>Close</stp>
        <stp>D</stp>
        <stp/>
        <stp/>
        <stp/>
        <stp/>
        <stp/>
        <stp>T</stp>
        <tr r="O45" s="2"/>
      </tp>
      <tp>
        <v>-5.6000000000000001E-2</v>
        <stp/>
        <stp>StudyData</stp>
        <stp>NGES2K8</stp>
        <stp>Bar</stp>
        <stp/>
        <stp>Close</stp>
        <stp>D</stp>
        <stp/>
        <stp/>
        <stp/>
        <stp/>
        <stp/>
        <stp>T</stp>
        <tr r="Q45" s="2"/>
      </tp>
      <tp>
        <v>-5.0000000000000001E-3</v>
        <stp/>
        <stp>StudyData</stp>
        <stp>NGES2J8</stp>
        <stp>Bar</stp>
        <stp/>
        <stp>Close</stp>
        <stp>D</stp>
        <stp/>
        <stp/>
        <stp/>
        <stp/>
        <stp/>
        <stp>T</stp>
        <tr r="P45" s="2"/>
      </tp>
      <tp>
        <v>-0.03</v>
        <stp/>
        <stp>StudyData</stp>
        <stp>NGES2M8</stp>
        <stp>Bar</stp>
        <stp/>
        <stp>Close</stp>
        <stp>D</stp>
        <stp/>
        <stp/>
        <stp/>
        <stp/>
        <stp/>
        <stp>T</stp>
        <tr r="R45" s="2"/>
      </tp>
      <tp>
        <v>1.4999999999999999E-2</v>
        <stp/>
        <stp>StudyData</stp>
        <stp>NGES2N8</stp>
        <stp>Bar</stp>
        <stp/>
        <stp>Close</stp>
        <stp>D</stp>
        <stp/>
        <stp/>
        <stp/>
        <stp/>
        <stp/>
        <stp>T</stp>
        <tr r="S45" s="2"/>
      </tp>
      <tp>
        <v>0.27900000000000003</v>
        <stp/>
        <stp>StudyData</stp>
        <stp>NGES2G8</stp>
        <stp>Bar</stp>
        <stp/>
        <stp>Close</stp>
        <stp>D</stp>
        <stp/>
        <stp/>
        <stp/>
        <stp/>
        <stp/>
        <stp>T</stp>
        <tr r="N45" s="2"/>
      </tp>
      <tp>
        <v>3.3000000000000002E-2</v>
        <stp/>
        <stp>StudyData</stp>
        <stp>NGES2F8</stp>
        <stp>Bar</stp>
        <stp/>
        <stp>Close</stp>
        <stp>D</stp>
        <stp/>
        <stp/>
        <stp/>
        <stp/>
        <stp/>
        <stp>T</stp>
        <tr r="M45" s="2"/>
      </tp>
      <tp>
        <v>-0.3</v>
        <stp/>
        <stp>StudyData</stp>
        <stp>NGES2X7</stp>
        <stp>Bar</stp>
        <stp/>
        <stp>Close</stp>
        <stp>D</stp>
        <stp/>
        <stp/>
        <stp/>
        <stp/>
        <stp/>
        <stp>T</stp>
        <tr r="K45" s="2"/>
      </tp>
      <tp>
        <v>-0.13100000000000001</v>
        <stp/>
        <stp>StudyData</stp>
        <stp>NGES2Z7</stp>
        <stp>Bar</stp>
        <stp/>
        <stp>Close</stp>
        <stp>D</stp>
        <stp/>
        <stp/>
        <stp/>
        <stp/>
        <stp/>
        <stp>T</stp>
        <tr r="L45" s="2"/>
      </tp>
      <tp>
        <v>-5.0000000000000001E-3</v>
        <stp/>
        <stp>StudyData</stp>
        <stp>NGES2Q8</stp>
        <stp>Bar</stp>
        <stp/>
        <stp>Close</stp>
        <stp>D</stp>
        <stp/>
        <stp/>
        <stp/>
        <stp/>
        <stp/>
        <stp>T</stp>
        <tr r="T45" s="2"/>
      </tp>
      <tp t="s">
        <v/>
        <stp/>
        <stp>StudyData</stp>
        <stp>NGES2U8</stp>
        <stp>Bar</stp>
        <stp/>
        <stp>Close</stp>
        <stp>D</stp>
        <stp/>
        <stp/>
        <stp/>
        <stp/>
        <stp/>
        <stp>T</stp>
        <tr r="U45" s="2"/>
      </tp>
      <tp>
        <v>-0.19</v>
        <stp/>
        <stp>StudyData</stp>
        <stp>NGES2V8</stp>
        <stp>Bar</stp>
        <stp/>
        <stp>Close</stp>
        <stp>D</stp>
        <stp/>
        <stp/>
        <stp/>
        <stp/>
        <stp/>
        <stp>T</stp>
        <tr r="V45" s="2"/>
      </tp>
      <tp>
        <v>2.9039999999999999</v>
        <stp/>
        <stp>ContractData</stp>
        <stp>NGEK18</stp>
        <stp>High</stp>
        <stp/>
        <stp>T</stp>
        <tr r="D27" s="13"/>
      </tp>
      <tp t="s">
        <v/>
        <stp/>
        <stp>ContractData</stp>
        <stp>NGE?112</stp>
        <stp>LastTradeToday</stp>
        <stp/>
        <stp>T</stp>
        <tr r="F119" s="16"/>
      </tp>
      <tp t="s">
        <v/>
        <stp/>
        <stp>ContractData</stp>
        <stp>NGE?102</stp>
        <stp>LastTradeToday</stp>
        <stp/>
        <stp>T</stp>
        <tr r="F109" s="16"/>
      </tp>
      <tp t="s">
        <v/>
        <stp/>
        <stp>ContractData</stp>
        <stp>NGE?132</stp>
        <stp>LastTradeToday</stp>
        <stp/>
        <stp>T</stp>
        <tr r="F139" s="16"/>
      </tp>
      <tp t="s">
        <v/>
        <stp/>
        <stp>ContractData</stp>
        <stp>NGE?122</stp>
        <stp>LastTradeToday</stp>
        <stp/>
        <stp>T</stp>
        <tr r="F129" s="16"/>
      </tp>
      <tp t="s">
        <v/>
        <stp/>
        <stp>ContractData</stp>
        <stp>NGE?142</stp>
        <stp>LastTradeToday</stp>
        <stp/>
        <stp>T</stp>
        <tr r="F149" s="16"/>
      </tp>
      <tp>
        <v>3.2050000000000001</v>
        <stp/>
        <stp>ContractData</stp>
        <stp>NGE?3</stp>
        <stp>Open</stp>
        <stp/>
        <stp>T</stp>
        <tr r="P10" s="16"/>
      </tp>
      <tp>
        <v>3.0790000000000002</v>
        <stp/>
        <stp>ContractData</stp>
        <stp>NGE?2</stp>
        <stp>Open</stp>
        <stp/>
        <stp>T</stp>
        <tr r="P9" s="16"/>
      </tp>
      <tp>
        <v>2.895</v>
        <stp/>
        <stp>ContractData</stp>
        <stp>NGE?1</stp>
        <stp>Open</stp>
        <stp/>
        <stp>T</stp>
        <tr r="P8" s="16"/>
      </tp>
      <tp>
        <v>2.8970000000000002</v>
        <stp/>
        <stp>ContractData</stp>
        <stp>NGE?7</stp>
        <stp>Open</stp>
        <stp/>
        <stp>T</stp>
        <tr r="P14" s="16"/>
      </tp>
      <tp>
        <v>2.927</v>
        <stp/>
        <stp>ContractData</stp>
        <stp>NGE?6</stp>
        <stp>Open</stp>
        <stp/>
        <stp>T</stp>
        <tr r="P13" s="16"/>
      </tp>
      <tp>
        <v>3.17</v>
        <stp/>
        <stp>ContractData</stp>
        <stp>NGE?5</stp>
        <stp>Open</stp>
        <stp/>
        <stp>T</stp>
        <tr r="P12" s="16"/>
      </tp>
      <tp>
        <v>3.2160000000000002</v>
        <stp/>
        <stp>ContractData</stp>
        <stp>NGE?4</stp>
        <stp>Open</stp>
        <stp/>
        <stp>T</stp>
        <tr r="P11" s="16"/>
      </tp>
      <tp>
        <v>2.9550000000000001</v>
        <stp/>
        <stp>ContractData</stp>
        <stp>NGE?9</stp>
        <stp>Open</stp>
        <stp/>
        <stp>T</stp>
        <tr r="P16" s="16"/>
      </tp>
      <tp>
        <v>2.927</v>
        <stp/>
        <stp>ContractData</stp>
        <stp>NGE?8</stp>
        <stp>Open</stp>
        <stp/>
        <stp>T</stp>
        <tr r="P15" s="16"/>
      </tp>
      <tp>
        <v>0.23799999999999999</v>
        <stp/>
        <stp>StudyData</stp>
        <stp>NGES1H8</stp>
        <stp>Bar</stp>
        <stp/>
        <stp>Close</stp>
        <stp>D</stp>
        <stp/>
        <stp/>
        <stp/>
        <stp/>
        <stp/>
        <stp>T</stp>
        <tr r="O29" s="2"/>
      </tp>
      <tp>
        <v>3.2360000000000002</v>
        <stp/>
        <stp>ContractData</stp>
        <stp>NGEF9</stp>
        <stp>Open</stp>
        <stp/>
        <stp>T</stp>
        <tr r="C43" s="13"/>
      </tp>
      <tp>
        <v>3.2050000000000001</v>
        <stp/>
        <stp>ContractData</stp>
        <stp>NGEF8</stp>
        <stp>Open</stp>
        <stp/>
        <stp>T</stp>
        <tr r="C15" s="13"/>
        <tr r="C15" s="2"/>
      </tp>
      <tp>
        <v>-2.9000000000000001E-2</v>
        <stp/>
        <stp>StudyData</stp>
        <stp>NGES1K8</stp>
        <stp>Bar</stp>
        <stp/>
        <stp>Close</stp>
        <stp>D</stp>
        <stp/>
        <stp/>
        <stp/>
        <stp/>
        <stp/>
        <stp>T</stp>
        <tr r="Q29" s="2"/>
      </tp>
      <tp t="s">
        <v/>
        <stp/>
        <stp>ContractData</stp>
        <stp>NGEG9</stp>
        <stp>Open</stp>
        <stp/>
        <stp>T</stp>
        <tr r="C44" s="13"/>
      </tp>
      <tp>
        <v>3.2160000000000002</v>
        <stp/>
        <stp>ContractData</stp>
        <stp>NGEG8</stp>
        <stp>Open</stp>
        <stp/>
        <stp>T</stp>
        <tr r="C16" s="13"/>
        <tr r="C16" s="2"/>
      </tp>
      <tp>
        <v>2.4E-2</v>
        <stp/>
        <stp>StudyData</stp>
        <stp>NGES1J8</stp>
        <stp>Bar</stp>
        <stp/>
        <stp>Close</stp>
        <stp>D</stp>
        <stp/>
        <stp/>
        <stp/>
        <stp/>
        <stp/>
        <stp>T</stp>
        <tr r="P29" s="2"/>
      </tp>
      <tp>
        <v>-2.7E-2</v>
        <stp/>
        <stp>StudyData</stp>
        <stp>NGES1M8</stp>
        <stp>Bar</stp>
        <stp/>
        <stp>Close</stp>
        <stp>D</stp>
        <stp/>
        <stp/>
        <stp/>
        <stp/>
        <stp/>
        <stp>T</stp>
        <tr r="R29" s="2"/>
      </tp>
      <tp>
        <v>-3.0000000000000001E-3</v>
        <stp/>
        <stp>StudyData</stp>
        <stp>NGES1N8</stp>
        <stp>Bar</stp>
        <stp/>
        <stp>Close</stp>
        <stp>D</stp>
        <stp/>
        <stp/>
        <stp/>
        <stp/>
        <stp/>
        <stp>T</stp>
        <tr r="S29" s="2"/>
      </tp>
      <tp t="s">
        <v/>
        <stp/>
        <stp>ContractData</stp>
        <stp>NGEM9</stp>
        <stp>Open</stp>
        <stp/>
        <stp>T</stp>
        <tr r="C56" s="13"/>
      </tp>
      <tp>
        <v>2.927</v>
        <stp/>
        <stp>ContractData</stp>
        <stp>NGEM8</stp>
        <stp>Open</stp>
        <stp/>
        <stp>T</stp>
        <tr r="C20" s="2"/>
      </tp>
      <tp t="s">
        <v/>
        <stp/>
        <stp>ContractData</stp>
        <stp>NGEN9</stp>
        <stp>Open</stp>
        <stp/>
        <stp>T</stp>
        <tr r="C57" s="13"/>
      </tp>
      <tp>
        <v>2.9550000000000001</v>
        <stp/>
        <stp>ContractData</stp>
        <stp>NGEN8</stp>
        <stp>Open</stp>
        <stp/>
        <stp>T</stp>
        <tr r="C21" s="2"/>
      </tp>
      <tp t="s">
        <v/>
        <stp/>
        <stp>ContractData</stp>
        <stp>NGEH9</stp>
        <stp>Open</stp>
        <stp/>
        <stp>T</stp>
        <tr r="C45" s="13"/>
      </tp>
      <tp>
        <v>3.17</v>
        <stp/>
        <stp>ContractData</stp>
        <stp>NGEH8</stp>
        <stp>Open</stp>
        <stp/>
        <stp>T</stp>
        <tr r="C17" s="13"/>
        <tr r="C17" s="2"/>
      </tp>
      <tp t="s">
        <v/>
        <stp/>
        <stp>ContractData</stp>
        <stp>NGEJ9</stp>
        <stp>Open</stp>
        <stp/>
        <stp>T</stp>
        <tr r="C54" s="13"/>
      </tp>
      <tp>
        <v>2.927</v>
        <stp/>
        <stp>ContractData</stp>
        <stp>NGEJ8</stp>
        <stp>Open</stp>
        <stp/>
        <stp>T</stp>
        <tr r="C18" s="2"/>
      </tp>
      <tp>
        <v>3.9E-2</v>
        <stp/>
        <stp>StudyData</stp>
        <stp>NGES1G8</stp>
        <stp>Bar</stp>
        <stp/>
        <stp>Close</stp>
        <stp>D</stp>
        <stp/>
        <stp/>
        <stp/>
        <stp/>
        <stp/>
        <stp>T</stp>
        <tr r="N29" s="2"/>
      </tp>
      <tp t="s">
        <v/>
        <stp/>
        <stp>ContractData</stp>
        <stp>NGEK9</stp>
        <stp>Open</stp>
        <stp/>
        <stp>T</stp>
        <tr r="C55" s="13"/>
      </tp>
      <tp>
        <v>2.8970000000000002</v>
        <stp/>
        <stp>ContractData</stp>
        <stp>NGEK8</stp>
        <stp>Open</stp>
        <stp/>
        <stp>T</stp>
        <tr r="C19" s="2"/>
      </tp>
      <tp>
        <v>-6.0000000000000001E-3</v>
        <stp/>
        <stp>StudyData</stp>
        <stp>NGES1F8</stp>
        <stp>Bar</stp>
        <stp/>
        <stp>Close</stp>
        <stp>D</stp>
        <stp/>
        <stp/>
        <stp/>
        <stp/>
        <stp/>
        <stp>T</stp>
        <tr r="M29" s="2"/>
      </tp>
      <tp t="s">
        <v/>
        <stp/>
        <stp>ContractData</stp>
        <stp>NGEU9</stp>
        <stp>Open</stp>
        <stp/>
        <stp>T</stp>
        <tr r="C59" s="13"/>
      </tp>
      <tp>
        <v>2.944</v>
        <stp/>
        <stp>ContractData</stp>
        <stp>NGEU8</stp>
        <stp>Open</stp>
        <stp/>
        <stp>T</stp>
        <tr r="C23" s="2"/>
      </tp>
      <tp>
        <v>-0.17299999999999999</v>
        <stp/>
        <stp>StudyData</stp>
        <stp>NGES1X7</stp>
        <stp>Bar</stp>
        <stp/>
        <stp>Close</stp>
        <stp>D</stp>
        <stp/>
        <stp/>
        <stp/>
        <stp/>
        <stp/>
        <stp>T</stp>
        <tr r="K29" s="2"/>
      </tp>
      <tp t="s">
        <v/>
        <stp/>
        <stp>ContractData</stp>
        <stp>NGEV9</stp>
        <stp>Open</stp>
        <stp/>
        <stp>T</stp>
        <tr r="C60" s="13"/>
      </tp>
      <tp>
        <v>2.9660000000000002</v>
        <stp/>
        <stp>ContractData</stp>
        <stp>NGEV8</stp>
        <stp>Open</stp>
        <stp/>
        <stp>T</stp>
        <tr r="C24" s="2"/>
      </tp>
      <tp>
        <v>-0.126</v>
        <stp/>
        <stp>StudyData</stp>
        <stp>NGES1Z7</stp>
        <stp>Bar</stp>
        <stp/>
        <stp>Close</stp>
        <stp>D</stp>
        <stp/>
        <stp/>
        <stp/>
        <stp/>
        <stp/>
        <stp>T</stp>
        <tr r="L29" s="2"/>
      </tp>
      <tp t="s">
        <v/>
        <stp/>
        <stp>ContractData</stp>
        <stp>NGEQ9</stp>
        <stp>Open</stp>
        <stp/>
        <stp>T</stp>
        <tr r="C58" s="13"/>
      </tp>
      <tp>
        <v>2.9550000000000001</v>
        <stp/>
        <stp>ContractData</stp>
        <stp>NGEQ8</stp>
        <stp>Open</stp>
        <stp/>
        <stp>T</stp>
        <tr r="C22" s="2"/>
      </tp>
      <tp>
        <v>1.7999999999999999E-2</v>
        <stp/>
        <stp>StudyData</stp>
        <stp>NGES1Q8</stp>
        <stp>Bar</stp>
        <stp/>
        <stp>Close</stp>
        <stp>D</stp>
        <stp/>
        <stp/>
        <stp/>
        <stp/>
        <stp/>
        <stp>T</stp>
        <tr r="T29" s="2"/>
      </tp>
      <tp>
        <v>2.895</v>
        <stp/>
        <stp>ContractData</stp>
        <stp>NGEX7</stp>
        <stp>Open</stp>
        <stp/>
        <stp>T</stp>
        <tr r="C13" s="13"/>
        <tr r="C13" s="2"/>
      </tp>
      <tp>
        <v>3.016</v>
        <stp/>
        <stp>ContractData</stp>
        <stp>NGEX8</stp>
        <stp>Open</stp>
        <stp/>
        <stp>T</stp>
        <tr r="C41" s="13"/>
      </tp>
      <tp>
        <v>-2.3E-2</v>
        <stp/>
        <stp>StudyData</stp>
        <stp>NGES1U8</stp>
        <stp>Bar</stp>
        <stp/>
        <stp>Close</stp>
        <stp>D</stp>
        <stp/>
        <stp/>
        <stp/>
        <stp/>
        <stp/>
        <stp>T</stp>
        <tr r="U29" s="2"/>
      </tp>
      <tp>
        <v>3.0790000000000002</v>
        <stp/>
        <stp>ContractData</stp>
        <stp>NGEZ7</stp>
        <stp>Open</stp>
        <stp/>
        <stp>T</stp>
        <tr r="C14" s="13"/>
        <tr r="C14" s="2"/>
      </tp>
      <tp>
        <v>3.1550000000000002</v>
        <stp/>
        <stp>ContractData</stp>
        <stp>NGEZ8</stp>
        <stp>Open</stp>
        <stp/>
        <stp>T</stp>
        <tr r="C42" s="13"/>
      </tp>
      <tp>
        <v>-5.2999999999999999E-2</v>
        <stp/>
        <stp>StudyData</stp>
        <stp>NGES1V8</stp>
        <stp>Bar</stp>
        <stp/>
        <stp>Close</stp>
        <stp>D</stp>
        <stp/>
        <stp/>
        <stp/>
        <stp/>
        <stp/>
        <stp>T</stp>
        <tr r="V29" s="2"/>
      </tp>
      <tp t="s">
        <v>NOV</v>
        <stp/>
        <stp>ContractData</stp>
        <stp>NGEX7</stp>
        <stp>ContractMonth</stp>
        <tr r="B2" s="6"/>
        <tr r="B2" s="7"/>
        <tr r="B2" s="8"/>
        <tr r="B2" s="10"/>
        <tr r="B2" s="9"/>
        <tr r="B2" s="11"/>
      </tp>
      <tp t="s">
        <v>DEC</v>
        <stp/>
        <stp>ContractData</stp>
        <stp>NGEZ7</stp>
        <stp>ContractMonth</stp>
        <tr r="B3" s="6"/>
        <tr r="B3" s="9"/>
        <tr r="B3" s="8"/>
        <tr r="B3" s="10"/>
        <tr r="B3" s="7"/>
        <tr r="B3" s="11"/>
      </tp>
      <tp t="s">
        <v>NGES1J8</v>
        <stp/>
        <stp>ContractData</stp>
        <stp>NGES1??6</stp>
        <stp>Symbol</stp>
        <tr r="A34" s="2"/>
      </tp>
      <tp t="s">
        <v>NGES1K8</v>
        <stp/>
        <stp>ContractData</stp>
        <stp>NGES1??7</stp>
        <stp>Symbol</stp>
        <tr r="A35" s="2"/>
      </tp>
      <tp t="s">
        <v>NGES1G8</v>
        <stp/>
        <stp>ContractData</stp>
        <stp>NGES1??4</stp>
        <stp>Symbol</stp>
        <tr r="A32" s="2"/>
      </tp>
      <tp t="s">
        <v>NGES1H8</v>
        <stp/>
        <stp>ContractData</stp>
        <stp>NGES1??5</stp>
        <stp>Symbol</stp>
        <tr r="A33" s="2"/>
      </tp>
      <tp t="s">
        <v>NGES1Z7</v>
        <stp/>
        <stp>ContractData</stp>
        <stp>NGES1??2</stp>
        <stp>Symbol</stp>
        <tr r="A30" s="2"/>
      </tp>
      <tp t="s">
        <v>NGES1F8</v>
        <stp/>
        <stp>ContractData</stp>
        <stp>NGES1??3</stp>
        <stp>Symbol</stp>
        <tr r="A31" s="2"/>
      </tp>
      <tp t="s">
        <v>NGES1X7</v>
        <stp/>
        <stp>ContractData</stp>
        <stp>NGES1??1</stp>
        <stp>Symbol</stp>
        <tr r="A29" s="2"/>
      </tp>
      <tp t="s">
        <v>NGES1M8</v>
        <stp/>
        <stp>ContractData</stp>
        <stp>NGES1??8</stp>
        <stp>Symbol</stp>
        <tr r="A36" s="2"/>
      </tp>
      <tp t="s">
        <v>NGES1N8</v>
        <stp/>
        <stp>ContractData</stp>
        <stp>NGES1??9</stp>
        <stp>Symbol</stp>
        <tr r="A37" s="2"/>
      </tp>
      <tp t="s">
        <v/>
        <stp/>
        <stp>ContractData</stp>
        <stp>NGE?113</stp>
        <stp>LastTradeToday</stp>
        <stp/>
        <stp>T</stp>
        <tr r="F120" s="16"/>
      </tp>
      <tp t="s">
        <v/>
        <stp/>
        <stp>ContractData</stp>
        <stp>NGE?103</stp>
        <stp>LastTradeToday</stp>
        <stp/>
        <stp>T</stp>
        <tr r="F110" s="16"/>
      </tp>
      <tp t="s">
        <v/>
        <stp/>
        <stp>ContractData</stp>
        <stp>NGE?133</stp>
        <stp>LastTradeToday</stp>
        <stp/>
        <stp>T</stp>
        <tr r="F140" s="16"/>
      </tp>
      <tp t="s">
        <v/>
        <stp/>
        <stp>ContractData</stp>
        <stp>NGE?123</stp>
        <stp>LastTradeToday</stp>
        <stp/>
        <stp>T</stp>
        <tr r="F130" s="16"/>
      </tp>
      <tp t="s">
        <v/>
        <stp/>
        <stp>ContractData</stp>
        <stp>NGE?143</stp>
        <stp>LastTradeToday</stp>
        <stp/>
        <stp>T</stp>
        <tr r="F150" s="16"/>
      </tp>
      <tp>
        <v>2.9550000000000001</v>
        <stp/>
        <stp>ContractData</stp>
        <stp>NGEN18</stp>
        <stp>Open</stp>
        <stp/>
        <stp>T</stp>
        <tr r="C29" s="13"/>
      </tp>
      <tp>
        <v>3.1913999999999998</v>
        <stp/>
        <stp>StudyData</stp>
        <stp>Bar(((NGEX17+NGEZ17+NGEF18+NGEG18+NGEH18)/5),1)</stp>
        <stp>Bar</stp>
        <stp/>
        <stp>LOw</stp>
        <stp>D</stp>
        <stp>-30</stp>
        <stp/>
        <stp/>
        <stp/>
        <stp/>
        <stp>T</stp>
        <tr r="E32" s="14"/>
      </tp>
      <tp>
        <v>3.1406000000000001</v>
        <stp/>
        <stp>StudyData</stp>
        <stp>Bar(((NGEX17+NGEZ17+NGEF18+NGEG18+NGEH18)/5),1)</stp>
        <stp>Bar</stp>
        <stp/>
        <stp>LOw</stp>
        <stp>D</stp>
        <stp>-20</stp>
        <stp/>
        <stp/>
        <stp/>
        <stp/>
        <stp>T</stp>
        <tr r="E22" s="14"/>
      </tp>
      <tp>
        <v>3.1913999999999998</v>
        <stp/>
        <stp>StudyData</stp>
        <stp>Bar(((NGEX17+NGEZ17+NGEF18+NGEG18+NGEH18)/5),1)</stp>
        <stp>Bar</stp>
        <stp/>
        <stp>LOw</stp>
        <stp>D</stp>
        <stp>-10</stp>
        <stp/>
        <stp/>
        <stp/>
        <stp/>
        <stp>T</stp>
        <tr r="E12" s="14"/>
      </tp>
      <tp>
        <v>3.1492</v>
        <stp/>
        <stp>StudyData</stp>
        <stp>Bar(((NGEX17+NGEZ17+NGEF18+NGEG18+NGEH18)/5),1)</stp>
        <stp>Bar</stp>
        <stp/>
        <stp>LOw</stp>
        <stp>D</stp>
        <stp>-40</stp>
        <stp/>
        <stp/>
        <stp/>
        <stp/>
        <stp>T</stp>
        <tr r="E42" s="14"/>
      </tp>
      <tp>
        <v>3.1086</v>
        <stp/>
        <stp>StudyData</stp>
        <stp>Bar(((NGEX18+NGEZ18+NGEF19+NGEG19+NGEH19)/5),1)</stp>
        <stp>Bar</stp>
        <stp/>
        <stp>LOw</stp>
        <stp>D</stp>
        <stp>-21</stp>
        <stp/>
        <stp/>
        <stp/>
        <stp/>
        <stp>T</stp>
        <tr r="Z23" s="14"/>
      </tp>
      <tp>
        <v>3.0783999999999998</v>
        <stp/>
        <stp>StudyData</stp>
        <stp>Bar(((NGEX18+NGEZ18+NGEF19+NGEG19+NGEH19)/5),1)</stp>
        <stp>Bar</stp>
        <stp/>
        <stp>LOw</stp>
        <stp>D</stp>
        <stp>-31</stp>
        <stp/>
        <stp/>
        <stp/>
        <stp/>
        <stp>T</stp>
        <tr r="Z33" s="14"/>
      </tp>
      <tp>
        <v>3.1362000000000001</v>
        <stp/>
        <stp>StudyData</stp>
        <stp>Bar(((NGEX18+NGEZ18+NGEF19+NGEG19+NGEH19)/5),1)</stp>
        <stp>Bar</stp>
        <stp/>
        <stp>LOw</stp>
        <stp>D</stp>
        <stp>-11</stp>
        <stp/>
        <stp/>
        <stp/>
        <stp/>
        <stp>T</stp>
        <tr r="Z13" s="14"/>
      </tp>
      <tp>
        <v>3.0676000000000001</v>
        <stp/>
        <stp>StudyData</stp>
        <stp>Bar(((NGEX18+NGEZ18+NGEF19+NGEG19+NGEH19)/5),1)</stp>
        <stp>Bar</stp>
        <stp/>
        <stp>LOw</stp>
        <stp>D</stp>
        <stp>-41</stp>
        <stp/>
        <stp/>
        <stp/>
        <stp/>
        <stp>T</stp>
        <tr r="Z43" s="14"/>
      </tp>
      <tp>
        <v>2.9660000000000002</v>
        <stp/>
        <stp>ContractData</stp>
        <stp>NGEN18</stp>
        <stp>Y_Settlement</stp>
        <stp/>
        <stp>T</stp>
        <tr r="N23" s="13"/>
      </tp>
      <tp>
        <v>2.911</v>
        <stp/>
        <stp>ContractData</stp>
        <stp>NGE?7</stp>
        <stp>Y_Settlement</stp>
        <stp/>
        <stp>T</stp>
        <tr r="Z14" s="16"/>
      </tp>
      <tp>
        <v>2.9390000000000001</v>
        <stp/>
        <stp>ContractData</stp>
        <stp>NGE?6</stp>
        <stp>Y_Settlement</stp>
        <stp/>
        <stp>T</stp>
        <tr r="Z13" s="16"/>
      </tp>
      <tp>
        <v>3.1930000000000001</v>
        <stp/>
        <stp>ContractData</stp>
        <stp>NGE?5</stp>
        <stp>Y_Settlement</stp>
        <stp/>
        <stp>T</stp>
        <tr r="Z12" s="16"/>
      </tp>
      <tp>
        <v>3.2349999999999999</v>
        <stp/>
        <stp>ContractData</stp>
        <stp>NGE?4</stp>
        <stp>Y_Settlement</stp>
        <stp/>
        <stp>T</stp>
        <tr r="Z11" s="16"/>
      </tp>
      <tp>
        <v>3.23</v>
        <stp/>
        <stp>ContractData</stp>
        <stp>NGE?3</stp>
        <stp>Y_Settlement</stp>
        <stp/>
        <stp>T</stp>
        <tr r="Z10" s="16"/>
      </tp>
      <tp>
        <v>3.1030000000000002</v>
        <stp/>
        <stp>ContractData</stp>
        <stp>NGE?2</stp>
        <stp>Y_Settlement</stp>
        <stp/>
        <stp>T</stp>
        <tr r="Z9" s="16"/>
      </tp>
      <tp>
        <v>2.923</v>
        <stp/>
        <stp>ContractData</stp>
        <stp>NGE?1</stp>
        <stp>Y_Settlement</stp>
        <stp/>
        <stp>T</stp>
        <tr r="Z8" s="16"/>
      </tp>
      <tp>
        <v>2.9660000000000002</v>
        <stp/>
        <stp>ContractData</stp>
        <stp>NGE?9</stp>
        <stp>Y_Settlement</stp>
        <stp/>
        <stp>T</stp>
        <tr r="Z16" s="16"/>
      </tp>
      <tp>
        <v>2.9390000000000001</v>
        <stp/>
        <stp>ContractData</stp>
        <stp>NGE?8</stp>
        <stp>Y_Settlement</stp>
        <stp/>
        <stp>T</stp>
        <tr r="Z15" s="16"/>
      </tp>
      <tp>
        <v>3.1652</v>
        <stp/>
        <stp>StudyData</stp>
        <stp>Bar(((NGEX17+NGEZ17+NGEF18+NGEG18+NGEH18)/5),1)</stp>
        <stp>Bar</stp>
        <stp/>
        <stp>LOw</stp>
        <stp>D</stp>
        <stp>-31</stp>
        <stp/>
        <stp/>
        <stp/>
        <stp/>
        <stp>T</stp>
        <tr r="E33" s="14"/>
      </tp>
      <tp>
        <v>3.2153999999999998</v>
        <stp/>
        <stp>StudyData</stp>
        <stp>Bar(((NGEX17+NGEZ17+NGEF18+NGEG18+NGEH18)/5),1)</stp>
        <stp>Bar</stp>
        <stp/>
        <stp>LOw</stp>
        <stp>D</stp>
        <stp>-21</stp>
        <stp/>
        <stp/>
        <stp/>
        <stp/>
        <stp>T</stp>
        <tr r="E23" s="14"/>
      </tp>
      <tp>
        <v>3.1909999999999998</v>
        <stp/>
        <stp>StudyData</stp>
        <stp>Bar(((NGEX17+NGEZ17+NGEF18+NGEG18+NGEH18)/5),1)</stp>
        <stp>Bar</stp>
        <stp/>
        <stp>LOw</stp>
        <stp>D</stp>
        <stp>-11</stp>
        <stp/>
        <stp/>
        <stp/>
        <stp/>
        <stp>T</stp>
        <tr r="E13" s="14"/>
      </tp>
      <tp>
        <v>3.0985999999999998</v>
        <stp/>
        <stp>StudyData</stp>
        <stp>Bar(((NGEX17+NGEZ17+NGEF18+NGEG18+NGEH18)/5),1)</stp>
        <stp>Bar</stp>
        <stp/>
        <stp>LOw</stp>
        <stp>D</stp>
        <stp>-41</stp>
        <stp/>
        <stp/>
        <stp/>
        <stp/>
        <stp>T</stp>
        <tr r="E43" s="14"/>
      </tp>
      <tp>
        <v>3.101</v>
        <stp/>
        <stp>StudyData</stp>
        <stp>Bar(((NGEX18+NGEZ18+NGEF19+NGEG19+NGEH19)/5),1)</stp>
        <stp>Bar</stp>
        <stp/>
        <stp>LOw</stp>
        <stp>D</stp>
        <stp>-20</stp>
        <stp/>
        <stp/>
        <stp/>
        <stp/>
        <stp>T</stp>
        <tr r="Z22" s="14"/>
      </tp>
      <tp>
        <v>3.081</v>
        <stp/>
        <stp>StudyData</stp>
        <stp>Bar(((NGEX18+NGEZ18+NGEF19+NGEG19+NGEH19)/5),1)</stp>
        <stp>Bar</stp>
        <stp/>
        <stp>LOw</stp>
        <stp>D</stp>
        <stp>-30</stp>
        <stp/>
        <stp/>
        <stp/>
        <stp/>
        <stp>T</stp>
        <tr r="Z32" s="14"/>
      </tp>
      <tp>
        <v>3.1419999999999999</v>
        <stp/>
        <stp>StudyData</stp>
        <stp>Bar(((NGEX18+NGEZ18+NGEF19+NGEG19+NGEH19)/5),1)</stp>
        <stp>Bar</stp>
        <stp/>
        <stp>LOw</stp>
        <stp>D</stp>
        <stp>-10</stp>
        <stp/>
        <stp/>
        <stp/>
        <stp/>
        <stp>T</stp>
        <tr r="Z12" s="14"/>
      </tp>
      <tp>
        <v>3.073</v>
        <stp/>
        <stp>StudyData</stp>
        <stp>Bar(((NGEX18+NGEZ18+NGEF19+NGEG19+NGEH19)/5),1)</stp>
        <stp>Bar</stp>
        <stp/>
        <stp>LOw</stp>
        <stp>D</stp>
        <stp>-40</stp>
        <stp/>
        <stp/>
        <stp/>
        <stp/>
        <stp>T</stp>
        <tr r="Z42" s="14"/>
      </tp>
      <tp>
        <v>3.1030000000000002</v>
        <stp/>
        <stp>ContractData</stp>
        <stp>NGEZ7</stp>
        <stp>Y_Settlement</stp>
        <stp/>
        <stp>T</stp>
        <tr r="L10" s="13"/>
      </tp>
      <tp>
        <v>3.1640000000000001</v>
        <stp/>
        <stp>ContractData</stp>
        <stp>NGEZ8</stp>
        <stp>Y_Settlement</stp>
        <stp/>
        <stp>T</stp>
        <tr r="L38" s="13"/>
      </tp>
      <tp>
        <v>2.923</v>
        <stp/>
        <stp>ContractData</stp>
        <stp>NGEX7</stp>
        <stp>Y_Settlement</stp>
        <stp/>
        <stp>T</stp>
        <tr r="K10" s="13"/>
      </tp>
      <tp>
        <v>3.028</v>
        <stp/>
        <stp>ContractData</stp>
        <stp>NGEX8</stp>
        <stp>Y_Settlement</stp>
        <stp/>
        <stp>T</stp>
        <tr r="K38" s="13"/>
      </tp>
      <tp>
        <v>2.7669999999999999</v>
        <stp/>
        <stp>ContractData</stp>
        <stp>NGEQ9</stp>
        <stp>Y_Settlement</stp>
        <stp/>
        <stp>T</stp>
        <tr r="O51" s="13"/>
      </tp>
      <tp>
        <v>2.7760000000000002</v>
        <stp/>
        <stp>ContractData</stp>
        <stp>NGEV9</stp>
        <stp>Y_Settlement</stp>
        <stp/>
        <stp>T</stp>
        <tr r="Q51" s="13"/>
      </tp>
      <tp t="s">
        <v>SEP</v>
        <stp/>
        <stp>ContractData</stp>
        <stp>NGEU8</stp>
        <stp>ContractMonth</stp>
        <tr r="B12" s="6"/>
        <tr r="B12" s="7"/>
        <tr r="B12" s="9"/>
        <tr r="B12" s="8"/>
        <tr r="B12" s="10"/>
        <tr r="B12" s="11"/>
      </tp>
      <tp t="s">
        <v>OCT</v>
        <stp/>
        <stp>ContractData</stp>
        <stp>NGEV8</stp>
        <stp>ContractMonth</stp>
        <tr r="B13" s="6"/>
        <tr r="B13" s="10"/>
        <tr r="B13" s="9"/>
        <tr r="B13" s="7"/>
        <tr r="B13" s="8"/>
        <tr r="B13" s="11"/>
      </tp>
      <tp t="s">
        <v>AUG</v>
        <stp/>
        <stp>ContractData</stp>
        <stp>NGEQ8</stp>
        <stp>ContractMonth</stp>
        <tr r="B11" s="6"/>
        <tr r="B11" s="10"/>
        <tr r="B11" s="9"/>
        <tr r="B11" s="8"/>
        <tr r="B11" s="7"/>
        <tr r="B11" s="11"/>
      </tp>
      <tp t="s">
        <v>JAN</v>
        <stp/>
        <stp>ContractData</stp>
        <stp>NGEF8</stp>
        <stp>ContractMonth</stp>
        <tr r="B4" s="6"/>
        <tr r="B4" s="9"/>
        <tr r="B4" s="8"/>
        <tr r="B4" s="10"/>
        <tr r="B4" s="7"/>
        <tr r="B4" s="11"/>
      </tp>
      <tp t="s">
        <v>FEB</v>
        <stp/>
        <stp>ContractData</stp>
        <stp>NGEG8</stp>
        <stp>ContractMonth</stp>
        <tr r="B5" s="6"/>
        <tr r="B5" s="7"/>
        <tr r="B5" s="10"/>
        <tr r="B5" s="9"/>
        <tr r="B5" s="8"/>
        <tr r="B5" s="11"/>
      </tp>
      <tp t="s">
        <v>JUN</v>
        <stp/>
        <stp>ContractData</stp>
        <stp>NGEM8</stp>
        <stp>ContractMonth</stp>
        <tr r="B9" s="6"/>
        <tr r="B9" s="7"/>
        <tr r="B9" s="9"/>
        <tr r="B9" s="10"/>
        <tr r="B9" s="8"/>
        <tr r="B9" s="11"/>
      </tp>
      <tp t="s">
        <v>JUL</v>
        <stp/>
        <stp>ContractData</stp>
        <stp>NGEN8</stp>
        <stp>ContractMonth</stp>
        <tr r="B10" s="6"/>
        <tr r="B10" s="9"/>
        <tr r="B10" s="7"/>
        <tr r="B10" s="8"/>
        <tr r="B10" s="10"/>
        <tr r="B10" s="11"/>
      </tp>
      <tp t="s">
        <v>MAR</v>
        <stp/>
        <stp>ContractData</stp>
        <stp>NGEH8</stp>
        <stp>ContractMonth</stp>
        <tr r="B6" s="6"/>
        <tr r="B6" s="9"/>
        <tr r="B6" s="8"/>
        <tr r="B6" s="10"/>
        <tr r="B6" s="7"/>
        <tr r="B6" s="11"/>
      </tp>
      <tp t="s">
        <v>APR</v>
        <stp/>
        <stp>ContractData</stp>
        <stp>NGEJ8</stp>
        <stp>ContractMonth</stp>
        <tr r="B7" s="6"/>
        <tr r="B7" s="9"/>
        <tr r="B7" s="7"/>
        <tr r="B7" s="10"/>
        <tr r="B7" s="8"/>
        <tr r="B7" s="11"/>
      </tp>
      <tp t="s">
        <v>MAY</v>
        <stp/>
        <stp>ContractData</stp>
        <stp>NGEK8</stp>
        <stp>ContractMonth</stp>
        <tr r="B8" s="6"/>
        <tr r="B8" s="7"/>
        <tr r="B8" s="9"/>
        <tr r="B8" s="10"/>
        <tr r="B8" s="8"/>
        <tr r="B8" s="11"/>
      </tp>
      <tp>
        <v>2.7530000000000001</v>
        <stp/>
        <stp>ContractData</stp>
        <stp>NGEU9</stp>
        <stp>Y_Settlement</stp>
        <stp/>
        <stp>T</stp>
        <tr r="P51" s="13"/>
      </tp>
      <tp>
        <v>2.758</v>
        <stp/>
        <stp>ContractData</stp>
        <stp>NGEJ9</stp>
        <stp>Y_Settlement</stp>
        <stp/>
        <stp>T</stp>
        <tr r="K51" s="13"/>
      </tp>
      <tp>
        <v>2.7189999999999999</v>
        <stp/>
        <stp>ContractData</stp>
        <stp>NGEK9</stp>
        <stp>Y_Settlement</stp>
        <stp/>
        <stp>T</stp>
        <tr r="L51" s="13"/>
      </tp>
      <tp>
        <v>3.153</v>
        <stp/>
        <stp>ContractData</stp>
        <stp>NGEH9</stp>
        <stp>Y_Settlement</stp>
        <stp/>
        <stp>T</stp>
        <tr r="O38" s="13"/>
      </tp>
      <tp>
        <v>3.1930000000000001</v>
        <stp/>
        <stp>ContractData</stp>
        <stp>NGEH8</stp>
        <stp>Y_Settlement</stp>
        <stp/>
        <stp>T</stp>
        <tr r="O10" s="13"/>
      </tp>
      <tp>
        <v>2.7629999999999999</v>
        <stp/>
        <stp>ContractData</stp>
        <stp>NGEN9</stp>
        <stp>Y_Settlement</stp>
        <stp/>
        <stp>T</stp>
        <tr r="N51" s="13"/>
      </tp>
      <tp>
        <v>2.7410000000000001</v>
        <stp/>
        <stp>ContractData</stp>
        <stp>NGEM9</stp>
        <stp>Y_Settlement</stp>
        <stp/>
        <stp>T</stp>
        <tr r="M51" s="13"/>
      </tp>
      <tp>
        <v>3.2480000000000002</v>
        <stp/>
        <stp>ContractData</stp>
        <stp>NGEF9</stp>
        <stp>Y_Settlement</stp>
        <stp/>
        <stp>T</stp>
        <tr r="M38" s="13"/>
      </tp>
      <tp>
        <v>3.23</v>
        <stp/>
        <stp>ContractData</stp>
        <stp>NGEF8</stp>
        <stp>Y_Settlement</stp>
        <stp/>
        <stp>T</stp>
        <tr r="M10" s="13"/>
      </tp>
      <tp>
        <v>3.2250000000000001</v>
        <stp/>
        <stp>ContractData</stp>
        <stp>NGEG9</stp>
        <stp>Y_Settlement</stp>
        <stp/>
        <stp>T</stp>
        <tr r="N38" s="13"/>
      </tp>
      <tp>
        <v>3.2349999999999999</v>
        <stp/>
        <stp>ContractData</stp>
        <stp>NGEG8</stp>
        <stp>Y_Settlement</stp>
        <stp/>
        <stp>T</stp>
        <tr r="N10" s="13"/>
      </tp>
      <tp>
        <v>0</v>
        <stp/>
        <stp>ContractData</stp>
        <stp>NGE?83</stp>
        <stp>MT_LastAskVolume</stp>
        <stp/>
        <stp>T</stp>
        <tr r="N90" s="16"/>
      </tp>
      <tp>
        <v>0</v>
        <stp/>
        <stp>ContractData</stp>
        <stp>NGE?82</stp>
        <stp>MT_LastAskVolume</stp>
        <stp/>
        <stp>T</stp>
        <tr r="N89" s="16"/>
      </tp>
      <tp>
        <v>0</v>
        <stp/>
        <stp>ContractData</stp>
        <stp>NGE?81</stp>
        <stp>MT_LastAskVolume</stp>
        <stp/>
        <stp>T</stp>
        <tr r="N88" s="16"/>
      </tp>
      <tp>
        <v>0</v>
        <stp/>
        <stp>ContractData</stp>
        <stp>NGE?80</stp>
        <stp>MT_LastAskVolume</stp>
        <stp/>
        <stp>T</stp>
        <tr r="N87" s="16"/>
      </tp>
      <tp>
        <v>0</v>
        <stp/>
        <stp>ContractData</stp>
        <stp>NGE?87</stp>
        <stp>MT_LastAskVolume</stp>
        <stp/>
        <stp>T</stp>
        <tr r="N94" s="16"/>
      </tp>
      <tp>
        <v>0</v>
        <stp/>
        <stp>ContractData</stp>
        <stp>NGE?86</stp>
        <stp>MT_LastAskVolume</stp>
        <stp/>
        <stp>T</stp>
        <tr r="N93" s="16"/>
      </tp>
      <tp>
        <v>0</v>
        <stp/>
        <stp>ContractData</stp>
        <stp>NGE?85</stp>
        <stp>MT_LastAskVolume</stp>
        <stp/>
        <stp>T</stp>
        <tr r="N92" s="16"/>
      </tp>
      <tp>
        <v>0</v>
        <stp/>
        <stp>ContractData</stp>
        <stp>NGE?84</stp>
        <stp>MT_LastAskVolume</stp>
        <stp/>
        <stp>T</stp>
        <tr r="N91" s="16"/>
      </tp>
      <tp>
        <v>0</v>
        <stp/>
        <stp>ContractData</stp>
        <stp>NGE?89</stp>
        <stp>MT_LastAskVolume</stp>
        <stp/>
        <stp>T</stp>
        <tr r="N96" s="16"/>
      </tp>
      <tp>
        <v>0</v>
        <stp/>
        <stp>ContractData</stp>
        <stp>NGE?88</stp>
        <stp>MT_LastAskVolume</stp>
        <stp/>
        <stp>T</stp>
        <tr r="N95" s="16"/>
      </tp>
      <tp>
        <v>0</v>
        <stp/>
        <stp>ContractData</stp>
        <stp>NGE?93</stp>
        <stp>MT_LastAskVolume</stp>
        <stp/>
        <stp>T</stp>
        <tr r="N100" s="16"/>
      </tp>
      <tp>
        <v>0</v>
        <stp/>
        <stp>ContractData</stp>
        <stp>NGE?92</stp>
        <stp>MT_LastAskVolume</stp>
        <stp/>
        <stp>T</stp>
        <tr r="N99" s="16"/>
      </tp>
      <tp>
        <v>0</v>
        <stp/>
        <stp>ContractData</stp>
        <stp>NGE?91</stp>
        <stp>MT_LastAskVolume</stp>
        <stp/>
        <stp>T</stp>
        <tr r="N98" s="16"/>
      </tp>
      <tp>
        <v>0</v>
        <stp/>
        <stp>ContractData</stp>
        <stp>NGE?90</stp>
        <stp>MT_LastAskVolume</stp>
        <stp/>
        <stp>T</stp>
        <tr r="N97" s="16"/>
      </tp>
      <tp>
        <v>0</v>
        <stp/>
        <stp>ContractData</stp>
        <stp>NGE?97</stp>
        <stp>MT_LastAskVolume</stp>
        <stp/>
        <stp>T</stp>
        <tr r="N104" s="16"/>
      </tp>
      <tp>
        <v>0</v>
        <stp/>
        <stp>ContractData</stp>
        <stp>NGE?96</stp>
        <stp>MT_LastAskVolume</stp>
        <stp/>
        <stp>T</stp>
        <tr r="N103" s="16"/>
      </tp>
      <tp>
        <v>0</v>
        <stp/>
        <stp>ContractData</stp>
        <stp>NGE?95</stp>
        <stp>MT_LastAskVolume</stp>
        <stp/>
        <stp>T</stp>
        <tr r="N102" s="16"/>
      </tp>
      <tp>
        <v>0</v>
        <stp/>
        <stp>ContractData</stp>
        <stp>NGE?94</stp>
        <stp>MT_LastAskVolume</stp>
        <stp/>
        <stp>T</stp>
        <tr r="N101" s="16"/>
      </tp>
      <tp>
        <v>0</v>
        <stp/>
        <stp>ContractData</stp>
        <stp>NGE?99</stp>
        <stp>MT_LastAskVolume</stp>
        <stp/>
        <stp>T</stp>
        <tr r="N106" s="16"/>
      </tp>
      <tp>
        <v>0</v>
        <stp/>
        <stp>ContractData</stp>
        <stp>NGE?98</stp>
        <stp>MT_LastAskVolume</stp>
        <stp/>
        <stp>T</stp>
        <tr r="N105" s="16"/>
      </tp>
      <tp>
        <v>1</v>
        <stp/>
        <stp>ContractData</stp>
        <stp>NGE?23</stp>
        <stp>MT_LastAskVolume</stp>
        <stp/>
        <stp>T</stp>
        <tr r="N30" s="16"/>
        <tr r="N30" s="16"/>
      </tp>
      <tp>
        <v>6</v>
        <stp/>
        <stp>ContractData</stp>
        <stp>NGE?22</stp>
        <stp>MT_LastAskVolume</stp>
        <stp/>
        <stp>T</stp>
        <tr r="N29" s="16"/>
        <tr r="N29" s="16"/>
      </tp>
      <tp>
        <v>6</v>
        <stp/>
        <stp>ContractData</stp>
        <stp>NGE?21</stp>
        <stp>MT_LastAskVolume</stp>
        <stp/>
        <stp>T</stp>
        <tr r="N28" s="16"/>
        <tr r="N28" s="16"/>
      </tp>
      <tp>
        <v>6</v>
        <stp/>
        <stp>ContractData</stp>
        <stp>NGE?20</stp>
        <stp>MT_LastAskVolume</stp>
        <stp/>
        <stp>T</stp>
        <tr r="N27" s="16"/>
        <tr r="N27" s="16"/>
      </tp>
      <tp>
        <v>1</v>
        <stp/>
        <stp>ContractData</stp>
        <stp>NGE?27</stp>
        <stp>MT_LastAskVolume</stp>
        <stp/>
        <stp>T</stp>
        <tr r="N34" s="16"/>
        <tr r="N34" s="16"/>
      </tp>
      <tp>
        <v>2</v>
        <stp/>
        <stp>ContractData</stp>
        <stp>NGE?26</stp>
        <stp>MT_LastAskVolume</stp>
        <stp/>
        <stp>T</stp>
        <tr r="N33" s="16"/>
        <tr r="N33" s="16"/>
      </tp>
      <tp>
        <v>1</v>
        <stp/>
        <stp>ContractData</stp>
        <stp>NGE?25</stp>
        <stp>MT_LastAskVolume</stp>
        <stp/>
        <stp>T</stp>
        <tr r="N32" s="16"/>
        <tr r="N32" s="16"/>
      </tp>
      <tp>
        <v>1</v>
        <stp/>
        <stp>ContractData</stp>
        <stp>NGE?24</stp>
        <stp>MT_LastAskVolume</stp>
        <stp/>
        <stp>T</stp>
        <tr r="N31" s="16"/>
        <tr r="N31" s="16"/>
      </tp>
      <tp>
        <v>0</v>
        <stp/>
        <stp>ContractData</stp>
        <stp>NGE?29</stp>
        <stp>MT_LastAskVolume</stp>
        <stp/>
        <stp>T</stp>
        <tr r="N36" s="16"/>
      </tp>
      <tp>
        <v>0</v>
        <stp/>
        <stp>ContractData</stp>
        <stp>NGE?28</stp>
        <stp>MT_LastAskVolume</stp>
        <stp/>
        <stp>T</stp>
        <tr r="N35" s="16"/>
      </tp>
      <tp>
        <v>0</v>
        <stp/>
        <stp>ContractData</stp>
        <stp>NGE?33</stp>
        <stp>MT_LastAskVolume</stp>
        <stp/>
        <stp>T</stp>
        <tr r="N40" s="16"/>
      </tp>
      <tp>
        <v>0</v>
        <stp/>
        <stp>ContractData</stp>
        <stp>NGE?32</stp>
        <stp>MT_LastAskVolume</stp>
        <stp/>
        <stp>T</stp>
        <tr r="N39" s="16"/>
      </tp>
      <tp>
        <v>5</v>
        <stp/>
        <stp>ContractData</stp>
        <stp>NGE?31</stp>
        <stp>MT_LastAskVolume</stp>
        <stp/>
        <stp>T</stp>
        <tr r="N38" s="16"/>
        <tr r="N38" s="16"/>
      </tp>
      <tp>
        <v>0</v>
        <stp/>
        <stp>ContractData</stp>
        <stp>NGE?30</stp>
        <stp>MT_LastAskVolume</stp>
        <stp/>
        <stp>T</stp>
        <tr r="N37" s="16"/>
      </tp>
      <tp>
        <v>0</v>
        <stp/>
        <stp>ContractData</stp>
        <stp>NGE?37</stp>
        <stp>MT_LastAskVolume</stp>
        <stp/>
        <stp>T</stp>
        <tr r="N44" s="16"/>
      </tp>
      <tp>
        <v>0</v>
        <stp/>
        <stp>ContractData</stp>
        <stp>NGE?36</stp>
        <stp>MT_LastAskVolume</stp>
        <stp/>
        <stp>T</stp>
        <tr r="N43" s="16"/>
      </tp>
      <tp>
        <v>0</v>
        <stp/>
        <stp>ContractData</stp>
        <stp>NGE?35</stp>
        <stp>MT_LastAskVolume</stp>
        <stp/>
        <stp>T</stp>
        <tr r="N42" s="16"/>
      </tp>
      <tp>
        <v>0</v>
        <stp/>
        <stp>ContractData</stp>
        <stp>NGE?34</stp>
        <stp>MT_LastAskVolume</stp>
        <stp/>
        <stp>T</stp>
        <tr r="N41" s="16"/>
      </tp>
      <tp>
        <v>0</v>
        <stp/>
        <stp>ContractData</stp>
        <stp>NGE?39</stp>
        <stp>MT_LastAskVolume</stp>
        <stp/>
        <stp>T</stp>
        <tr r="N46" s="16"/>
      </tp>
      <tp>
        <v>0</v>
        <stp/>
        <stp>ContractData</stp>
        <stp>NGE?38</stp>
        <stp>MT_LastAskVolume</stp>
        <stp/>
        <stp>T</stp>
        <tr r="N45" s="16"/>
      </tp>
      <tp>
        <v>7</v>
        <stp/>
        <stp>ContractData</stp>
        <stp>NGE?13</stp>
        <stp>MT_LastAskVolume</stp>
        <stp/>
        <stp>T</stp>
        <tr r="N20" s="16"/>
        <tr r="N20" s="16"/>
      </tp>
      <tp>
        <v>1</v>
        <stp/>
        <stp>ContractData</stp>
        <stp>NGE?12</stp>
        <stp>MT_LastAskVolume</stp>
        <stp/>
        <stp>T</stp>
        <tr r="N19" s="16"/>
        <tr r="N19" s="16"/>
      </tp>
      <tp>
        <v>5</v>
        <stp/>
        <stp>ContractData</stp>
        <stp>NGE?11</stp>
        <stp>MT_LastAskVolume</stp>
        <stp/>
        <stp>T</stp>
        <tr r="N18" s="16"/>
        <tr r="N18" s="16"/>
      </tp>
      <tp>
        <v>4</v>
        <stp/>
        <stp>ContractData</stp>
        <stp>NGE?10</stp>
        <stp>MT_LastAskVolume</stp>
        <stp/>
        <stp>T</stp>
        <tr r="N17" s="16"/>
        <tr r="N17" s="16"/>
      </tp>
      <tp>
        <v>4</v>
        <stp/>
        <stp>ContractData</stp>
        <stp>NGE?17</stp>
        <stp>MT_LastAskVolume</stp>
        <stp/>
        <stp>T</stp>
        <tr r="N24" s="16"/>
        <tr r="N24" s="16"/>
      </tp>
      <tp>
        <v>2</v>
        <stp/>
        <stp>ContractData</stp>
        <stp>NGE?16</stp>
        <stp>MT_LastAskVolume</stp>
        <stp/>
        <stp>T</stp>
        <tr r="N23" s="16"/>
        <tr r="N23" s="16"/>
      </tp>
      <tp>
        <v>8</v>
        <stp/>
        <stp>ContractData</stp>
        <stp>NGE?15</stp>
        <stp>MT_LastAskVolume</stp>
        <stp/>
        <stp>T</stp>
        <tr r="N22" s="16"/>
        <tr r="N22" s="16"/>
      </tp>
      <tp>
        <v>7</v>
        <stp/>
        <stp>ContractData</stp>
        <stp>NGE?14</stp>
        <stp>MT_LastAskVolume</stp>
        <stp/>
        <stp>T</stp>
        <tr r="N21" s="16"/>
        <tr r="N21" s="16"/>
      </tp>
      <tp>
        <v>1</v>
        <stp/>
        <stp>ContractData</stp>
        <stp>NGE?19</stp>
        <stp>MT_LastAskVolume</stp>
        <stp/>
        <stp>T</stp>
        <tr r="N26" s="16"/>
        <tr r="N26" s="16"/>
      </tp>
      <tp>
        <v>1</v>
        <stp/>
        <stp>ContractData</stp>
        <stp>NGE?18</stp>
        <stp>MT_LastAskVolume</stp>
        <stp/>
        <stp>T</stp>
        <tr r="N25" s="16"/>
        <tr r="N25" s="16"/>
      </tp>
      <tp>
        <v>0</v>
        <stp/>
        <stp>ContractData</stp>
        <stp>NGE?63</stp>
        <stp>MT_LastAskVolume</stp>
        <stp/>
        <stp>T</stp>
        <tr r="N70" s="16"/>
      </tp>
      <tp>
        <v>0</v>
        <stp/>
        <stp>ContractData</stp>
        <stp>NGE?62</stp>
        <stp>MT_LastAskVolume</stp>
        <stp/>
        <stp>T</stp>
        <tr r="N69" s="16"/>
      </tp>
      <tp>
        <v>0</v>
        <stp/>
        <stp>ContractData</stp>
        <stp>NGE?61</stp>
        <stp>MT_LastAskVolume</stp>
        <stp/>
        <stp>T</stp>
        <tr r="N68" s="16"/>
      </tp>
      <tp>
        <v>0</v>
        <stp/>
        <stp>ContractData</stp>
        <stp>NGE?60</stp>
        <stp>MT_LastAskVolume</stp>
        <stp/>
        <stp>T</stp>
        <tr r="N67" s="16"/>
      </tp>
      <tp>
        <v>0</v>
        <stp/>
        <stp>ContractData</stp>
        <stp>NGE?67</stp>
        <stp>MT_LastAskVolume</stp>
        <stp/>
        <stp>T</stp>
        <tr r="N74" s="16"/>
      </tp>
      <tp>
        <v>0</v>
        <stp/>
        <stp>ContractData</stp>
        <stp>NGE?66</stp>
        <stp>MT_LastAskVolume</stp>
        <stp/>
        <stp>T</stp>
        <tr r="N73" s="16"/>
      </tp>
      <tp>
        <v>0</v>
        <stp/>
        <stp>ContractData</stp>
        <stp>NGE?65</stp>
        <stp>MT_LastAskVolume</stp>
        <stp/>
        <stp>T</stp>
        <tr r="N72" s="16"/>
      </tp>
      <tp>
        <v>0</v>
        <stp/>
        <stp>ContractData</stp>
        <stp>NGE?64</stp>
        <stp>MT_LastAskVolume</stp>
        <stp/>
        <stp>T</stp>
        <tr r="N71" s="16"/>
      </tp>
      <tp>
        <v>0</v>
        <stp/>
        <stp>ContractData</stp>
        <stp>NGE?69</stp>
        <stp>MT_LastAskVolume</stp>
        <stp/>
        <stp>T</stp>
        <tr r="N76" s="16"/>
      </tp>
      <tp>
        <v>0</v>
        <stp/>
        <stp>ContractData</stp>
        <stp>NGE?68</stp>
        <stp>MT_LastAskVolume</stp>
        <stp/>
        <stp>T</stp>
        <tr r="N75" s="16"/>
      </tp>
      <tp>
        <v>0</v>
        <stp/>
        <stp>ContractData</stp>
        <stp>NGE?73</stp>
        <stp>MT_LastAskVolume</stp>
        <stp/>
        <stp>T</stp>
        <tr r="N80" s="16"/>
      </tp>
      <tp>
        <v>0</v>
        <stp/>
        <stp>ContractData</stp>
        <stp>NGE?72</stp>
        <stp>MT_LastAskVolume</stp>
        <stp/>
        <stp>T</stp>
        <tr r="N79" s="16"/>
      </tp>
      <tp>
        <v>0</v>
        <stp/>
        <stp>ContractData</stp>
        <stp>NGE?71</stp>
        <stp>MT_LastAskVolume</stp>
        <stp/>
        <stp>T</stp>
        <tr r="N78" s="16"/>
      </tp>
      <tp>
        <v>0</v>
        <stp/>
        <stp>ContractData</stp>
        <stp>NGE?70</stp>
        <stp>MT_LastAskVolume</stp>
        <stp/>
        <stp>T</stp>
        <tr r="N77" s="16"/>
      </tp>
      <tp>
        <v>0</v>
        <stp/>
        <stp>ContractData</stp>
        <stp>NGE?77</stp>
        <stp>MT_LastAskVolume</stp>
        <stp/>
        <stp>T</stp>
        <tr r="N84" s="16"/>
      </tp>
      <tp>
        <v>0</v>
        <stp/>
        <stp>ContractData</stp>
        <stp>NGE?76</stp>
        <stp>MT_LastAskVolume</stp>
        <stp/>
        <stp>T</stp>
        <tr r="N83" s="16"/>
      </tp>
      <tp>
        <v>0</v>
        <stp/>
        <stp>ContractData</stp>
        <stp>NGE?75</stp>
        <stp>MT_LastAskVolume</stp>
        <stp/>
        <stp>T</stp>
        <tr r="N82" s="16"/>
      </tp>
      <tp>
        <v>0</v>
        <stp/>
        <stp>ContractData</stp>
        <stp>NGE?74</stp>
        <stp>MT_LastAskVolume</stp>
        <stp/>
        <stp>T</stp>
        <tr r="N81" s="16"/>
      </tp>
      <tp>
        <v>0</v>
        <stp/>
        <stp>ContractData</stp>
        <stp>NGE?79</stp>
        <stp>MT_LastAskVolume</stp>
        <stp/>
        <stp>T</stp>
        <tr r="N86" s="16"/>
      </tp>
      <tp>
        <v>0</v>
        <stp/>
        <stp>ContractData</stp>
        <stp>NGE?78</stp>
        <stp>MT_LastAskVolume</stp>
        <stp/>
        <stp>T</stp>
        <tr r="N85" s="16"/>
      </tp>
      <tp>
        <v>0</v>
        <stp/>
        <stp>ContractData</stp>
        <stp>NGE?43</stp>
        <stp>MT_LastAskVolume</stp>
        <stp/>
        <stp>T</stp>
        <tr r="N50" s="16"/>
      </tp>
      <tp>
        <v>0</v>
        <stp/>
        <stp>ContractData</stp>
        <stp>NGE?42</stp>
        <stp>MT_LastAskVolume</stp>
        <stp/>
        <stp>T</stp>
        <tr r="N49" s="16"/>
      </tp>
      <tp>
        <v>0</v>
        <stp/>
        <stp>ContractData</stp>
        <stp>NGE?41</stp>
        <stp>MT_LastAskVolume</stp>
        <stp/>
        <stp>T</stp>
        <tr r="N48" s="16"/>
      </tp>
      <tp>
        <v>0</v>
        <stp/>
        <stp>ContractData</stp>
        <stp>NGE?40</stp>
        <stp>MT_LastAskVolume</stp>
        <stp/>
        <stp>T</stp>
        <tr r="N47" s="16"/>
      </tp>
      <tp>
        <v>0</v>
        <stp/>
        <stp>ContractData</stp>
        <stp>NGE?47</stp>
        <stp>MT_LastAskVolume</stp>
        <stp/>
        <stp>T</stp>
        <tr r="N54" s="16"/>
      </tp>
      <tp>
        <v>0</v>
        <stp/>
        <stp>ContractData</stp>
        <stp>NGE?46</stp>
        <stp>MT_LastAskVolume</stp>
        <stp/>
        <stp>T</stp>
        <tr r="N53" s="16"/>
      </tp>
      <tp>
        <v>0</v>
        <stp/>
        <stp>ContractData</stp>
        <stp>NGE?45</stp>
        <stp>MT_LastAskVolume</stp>
        <stp/>
        <stp>T</stp>
        <tr r="N52" s="16"/>
      </tp>
      <tp>
        <v>0</v>
        <stp/>
        <stp>ContractData</stp>
        <stp>NGE?44</stp>
        <stp>MT_LastAskVolume</stp>
        <stp/>
        <stp>T</stp>
        <tr r="N51" s="16"/>
      </tp>
      <tp>
        <v>0</v>
        <stp/>
        <stp>ContractData</stp>
        <stp>NGE?49</stp>
        <stp>MT_LastAskVolume</stp>
        <stp/>
        <stp>T</stp>
        <tr r="N56" s="16"/>
      </tp>
      <tp>
        <v>0</v>
        <stp/>
        <stp>ContractData</stp>
        <stp>NGE?48</stp>
        <stp>MT_LastAskVolume</stp>
        <stp/>
        <stp>T</stp>
        <tr r="N55" s="16"/>
      </tp>
      <tp>
        <v>0</v>
        <stp/>
        <stp>ContractData</stp>
        <stp>NGE?53</stp>
        <stp>MT_LastAskVolume</stp>
        <stp/>
        <stp>T</stp>
        <tr r="N60" s="16"/>
      </tp>
      <tp>
        <v>0</v>
        <stp/>
        <stp>ContractData</stp>
        <stp>NGE?52</stp>
        <stp>MT_LastAskVolume</stp>
        <stp/>
        <stp>T</stp>
        <tr r="N59" s="16"/>
      </tp>
      <tp>
        <v>0</v>
        <stp/>
        <stp>ContractData</stp>
        <stp>NGE?51</stp>
        <stp>MT_LastAskVolume</stp>
        <stp/>
        <stp>T</stp>
        <tr r="N58" s="16"/>
      </tp>
      <tp>
        <v>4</v>
        <stp/>
        <stp>ContractData</stp>
        <stp>NGE?50</stp>
        <stp>MT_LastAskVolume</stp>
        <stp/>
        <stp>T</stp>
        <tr r="N57" s="16"/>
        <tr r="N57" s="16"/>
      </tp>
      <tp>
        <v>0</v>
        <stp/>
        <stp>ContractData</stp>
        <stp>NGE?57</stp>
        <stp>MT_LastAskVolume</stp>
        <stp/>
        <stp>T</stp>
        <tr r="N64" s="16"/>
      </tp>
      <tp>
        <v>0</v>
        <stp/>
        <stp>ContractData</stp>
        <stp>NGE?56</stp>
        <stp>MT_LastAskVolume</stp>
        <stp/>
        <stp>T</stp>
        <tr r="N63" s="16"/>
      </tp>
      <tp>
        <v>0</v>
        <stp/>
        <stp>ContractData</stp>
        <stp>NGE?55</stp>
        <stp>MT_LastAskVolume</stp>
        <stp/>
        <stp>T</stp>
        <tr r="N62" s="16"/>
      </tp>
      <tp>
        <v>0</v>
        <stp/>
        <stp>ContractData</stp>
        <stp>NGE?54</stp>
        <stp>MT_LastAskVolume</stp>
        <stp/>
        <stp>T</stp>
        <tr r="N61" s="16"/>
      </tp>
      <tp>
        <v>0</v>
        <stp/>
        <stp>ContractData</stp>
        <stp>NGE?59</stp>
        <stp>MT_LastAskVolume</stp>
        <stp/>
        <stp>T</stp>
        <tr r="N66" s="16"/>
      </tp>
      <tp>
        <v>0</v>
        <stp/>
        <stp>ContractData</stp>
        <stp>NGE?58</stp>
        <stp>MT_LastAskVolume</stp>
        <stp/>
        <stp>T</stp>
        <tr r="N65" s="16"/>
      </tp>
      <tp>
        <v>3.1888000000000001</v>
        <stp/>
        <stp>StudyData</stp>
        <stp>Bar(((NGEX17+NGEZ17+NGEF18+NGEG18+NGEH18)/5),1)</stp>
        <stp>Bar</stp>
        <stp/>
        <stp>LOw</stp>
        <stp>D</stp>
        <stp>-32</stp>
        <stp/>
        <stp/>
        <stp/>
        <stp/>
        <stp>T</stp>
        <tr r="E34" s="14"/>
      </tp>
      <tp>
        <v>3.2016</v>
        <stp/>
        <stp>StudyData</stp>
        <stp>Bar(((NGEX17+NGEZ17+NGEF18+NGEG18+NGEH18)/5),1)</stp>
        <stp>Bar</stp>
        <stp/>
        <stp>LOw</stp>
        <stp>D</stp>
        <stp>-22</stp>
        <stp/>
        <stp/>
        <stp/>
        <stp/>
        <stp>T</stp>
        <tr r="E24" s="14"/>
      </tp>
      <tp>
        <v>3.3037999999999998</v>
        <stp/>
        <stp>StudyData</stp>
        <stp>Bar(((NGEX17+NGEZ17+NGEF18+NGEG18+NGEH18)/5),1)</stp>
        <stp>Bar</stp>
        <stp/>
        <stp>LOw</stp>
        <stp>D</stp>
        <stp>-12</stp>
        <stp/>
        <stp/>
        <stp/>
        <stp/>
        <stp>T</stp>
        <tr r="E14" s="14"/>
      </tp>
      <tp>
        <v>3.0783999999999998</v>
        <stp/>
        <stp>StudyData</stp>
        <stp>Bar(((NGEX17+NGEZ17+NGEF18+NGEG18+NGEH18)/5),1)</stp>
        <stp>Bar</stp>
        <stp/>
        <stp>LOw</stp>
        <stp>D</stp>
        <stp>-42</stp>
        <stp/>
        <stp/>
        <stp/>
        <stp/>
        <stp>T</stp>
        <tr r="E44" s="14"/>
      </tp>
      <tp>
        <v>3.0933999999999999</v>
        <stp/>
        <stp>StudyData</stp>
        <stp>Bar(((NGEX18+NGEZ18+NGEF19+NGEG19+NGEH19)/5),1)</stp>
        <stp>Bar</stp>
        <stp/>
        <stp>LOw</stp>
        <stp>D</stp>
        <stp>-23</stp>
        <stp/>
        <stp/>
        <stp/>
        <stp/>
        <stp>T</stp>
        <tr r="Z25" s="14"/>
      </tp>
      <tp>
        <v>3.0735999999999999</v>
        <stp/>
        <stp>StudyData</stp>
        <stp>Bar(((NGEX18+NGEZ18+NGEF19+NGEG19+NGEH19)/5),1)</stp>
        <stp>Bar</stp>
        <stp/>
        <stp>LOw</stp>
        <stp>D</stp>
        <stp>-33</stp>
        <stp/>
        <stp/>
        <stp/>
        <stp/>
        <stp>T</stp>
        <tr r="Z35" s="14"/>
      </tp>
      <tp>
        <v>3.1692</v>
        <stp/>
        <stp>StudyData</stp>
        <stp>Bar(((NGEX18+NGEZ18+NGEF19+NGEG19+NGEH19)/5),1)</stp>
        <stp>Bar</stp>
        <stp/>
        <stp>LOw</stp>
        <stp>D</stp>
        <stp>-13</stp>
        <stp/>
        <stp/>
        <stp/>
        <stp/>
        <stp>T</stp>
        <tr r="Z15" s="14"/>
      </tp>
      <tp>
        <v>3.0491999999999999</v>
        <stp/>
        <stp>StudyData</stp>
        <stp>Bar(((NGEX18+NGEZ18+NGEF19+NGEG19+NGEH19)/5),1)</stp>
        <stp>Bar</stp>
        <stp/>
        <stp>LOw</stp>
        <stp>D</stp>
        <stp>-43</stp>
        <stp/>
        <stp/>
        <stp/>
        <stp/>
        <stp>T</stp>
        <tr r="Z45" s="14"/>
      </tp>
      <tp>
        <v>3.1537999999999999</v>
        <stp/>
        <stp>StudyData</stp>
        <stp>Bar(((NGEX17+NGEZ17+NGEF18+NGEG18+NGEH18)/5),1)</stp>
        <stp>Bar</stp>
        <stp/>
        <stp>LOw</stp>
        <stp>D</stp>
        <stp>-33</stp>
        <stp/>
        <stp/>
        <stp/>
        <stp/>
        <stp>T</stp>
        <tr r="E35" s="14"/>
      </tp>
      <tp>
        <v>3.2031999999999998</v>
        <stp/>
        <stp>StudyData</stp>
        <stp>Bar(((NGEX17+NGEZ17+NGEF18+NGEG18+NGEH18)/5),1)</stp>
        <stp>Bar</stp>
        <stp/>
        <stp>LOw</stp>
        <stp>D</stp>
        <stp>-23</stp>
        <stp/>
        <stp/>
        <stp/>
        <stp/>
        <stp>T</stp>
        <tr r="E25" s="14"/>
      </tp>
      <tp>
        <v>3.3355999999999999</v>
        <stp/>
        <stp>StudyData</stp>
        <stp>Bar(((NGEX17+NGEZ17+NGEF18+NGEG18+NGEH18)/5),1)</stp>
        <stp>Bar</stp>
        <stp/>
        <stp>LOw</stp>
        <stp>D</stp>
        <stp>-13</stp>
        <stp/>
        <stp/>
        <stp/>
        <stp/>
        <stp>T</stp>
        <tr r="E15" s="14"/>
      </tp>
      <tp>
        <v>3.0746000000000002</v>
        <stp/>
        <stp>StudyData</stp>
        <stp>Bar(((NGEX17+NGEZ17+NGEF18+NGEG18+NGEH18)/5),1)</stp>
        <stp>Bar</stp>
        <stp/>
        <stp>LOw</stp>
        <stp>D</stp>
        <stp>-43</stp>
        <stp/>
        <stp/>
        <stp/>
        <stp/>
        <stp>T</stp>
        <tr r="E45" s="14"/>
      </tp>
      <tp>
        <v>3.1038000000000001</v>
        <stp/>
        <stp>StudyData</stp>
        <stp>Bar(((NGEX18+NGEZ18+NGEF19+NGEG19+NGEH19)/5),1)</stp>
        <stp>Bar</stp>
        <stp/>
        <stp>LOw</stp>
        <stp>D</stp>
        <stp>-22</stp>
        <stp/>
        <stp/>
        <stp/>
        <stp/>
        <stp>T</stp>
        <tr r="Z24" s="14"/>
      </tp>
      <tp>
        <v>3.0882000000000001</v>
        <stp/>
        <stp>StudyData</stp>
        <stp>Bar(((NGEX18+NGEZ18+NGEF19+NGEG19+NGEH19)/5),1)</stp>
        <stp>Bar</stp>
        <stp/>
        <stp>LOw</stp>
        <stp>D</stp>
        <stp>-32</stp>
        <stp/>
        <stp/>
        <stp/>
        <stp/>
        <stp>T</stp>
        <tr r="Z34" s="14"/>
      </tp>
      <tp>
        <v>3.1774</v>
        <stp/>
        <stp>StudyData</stp>
        <stp>Bar(((NGEX18+NGEZ18+NGEF19+NGEG19+NGEH19)/5),1)</stp>
        <stp>Bar</stp>
        <stp/>
        <stp>LOw</stp>
        <stp>D</stp>
        <stp>-12</stp>
        <stp/>
        <stp/>
        <stp/>
        <stp/>
        <stp>T</stp>
        <tr r="Z14" s="14"/>
      </tp>
      <tp>
        <v>3.0514000000000001</v>
        <stp/>
        <stp>StudyData</stp>
        <stp>Bar(((NGEX18+NGEZ18+NGEF19+NGEG19+NGEH19)/5),1)</stp>
        <stp>Bar</stp>
        <stp/>
        <stp>LOw</stp>
        <stp>D</stp>
        <stp>-42</stp>
        <stp/>
        <stp/>
        <stp/>
        <stp/>
        <stp>T</stp>
        <tr r="Z44" s="14"/>
      </tp>
      <tp>
        <v>2.9390000000000001</v>
        <stp/>
        <stp>ContractData</stp>
        <stp>NGEM18</stp>
        <stp>Y_Settlement</stp>
        <stp/>
        <stp>T</stp>
        <tr r="M23" s="13"/>
      </tp>
      <tp t="s">
        <v/>
        <stp/>
        <stp>ContractData</stp>
        <stp>NGE?118</stp>
        <stp>LastTradeToday</stp>
        <stp/>
        <stp>T</stp>
        <tr r="F125" s="16"/>
      </tp>
      <tp t="s">
        <v/>
        <stp/>
        <stp>ContractData</stp>
        <stp>NGE?108</stp>
        <stp>LastTradeToday</stp>
        <stp/>
        <stp>T</stp>
        <tr r="F115" s="16"/>
      </tp>
      <tp t="s">
        <v/>
        <stp/>
        <stp>ContractData</stp>
        <stp>NGE?138</stp>
        <stp>LastTradeToday</stp>
        <stp/>
        <stp>T</stp>
        <tr r="F145" s="16"/>
      </tp>
      <tp t="s">
        <v/>
        <stp/>
        <stp>ContractData</stp>
        <stp>NGE?128</stp>
        <stp>LastTradeToday</stp>
        <stp/>
        <stp>T</stp>
        <tr r="F135" s="16"/>
      </tp>
      <tp>
        <v>3.165</v>
        <stp/>
        <stp>StudyData</stp>
        <stp>Bar(((NGEX17+NGEZ17+NGEF18+NGEG18+NGEH18)/5),1)</stp>
        <stp>Bar</stp>
        <stp/>
        <stp>LOw</stp>
        <stp>D</stp>
        <stp>-34</stp>
        <stp/>
        <stp/>
        <stp/>
        <stp/>
        <stp>T</stp>
        <tr r="E36" s="14"/>
      </tp>
      <tp>
        <v>3.23</v>
        <stp/>
        <stp>StudyData</stp>
        <stp>Bar(((NGEX17+NGEZ17+NGEF18+NGEG18+NGEH18)/5),1)</stp>
        <stp>Bar</stp>
        <stp/>
        <stp>LOw</stp>
        <stp>D</stp>
        <stp>-24</stp>
        <stp/>
        <stp/>
        <stp/>
        <stp/>
        <stp>T</stp>
        <tr r="E26" s="14"/>
      </tp>
      <tp>
        <v>3.2869999999999999</v>
        <stp/>
        <stp>StudyData</stp>
        <stp>Bar(((NGEX17+NGEZ17+NGEF18+NGEG18+NGEH18)/5),1)</stp>
        <stp>Bar</stp>
        <stp/>
        <stp>LOw</stp>
        <stp>D</stp>
        <stp>-14</stp>
        <stp/>
        <stp/>
        <stp/>
        <stp/>
        <stp>T</stp>
        <tr r="E16" s="14"/>
      </tp>
      <tp>
        <v>3.0626000000000002</v>
        <stp/>
        <stp>StudyData</stp>
        <stp>Bar(((NGEX17+NGEZ17+NGEF18+NGEG18+NGEH18)/5),1)</stp>
        <stp>Bar</stp>
        <stp/>
        <stp>LOw</stp>
        <stp>D</stp>
        <stp>-44</stp>
        <stp/>
        <stp/>
        <stp/>
        <stp/>
        <stp>T</stp>
        <tr r="E46" s="14"/>
      </tp>
      <tp>
        <v>3.0802</v>
        <stp/>
        <stp>StudyData</stp>
        <stp>Bar(((NGEX18+NGEZ18+NGEF19+NGEG19+NGEH19)/5),1)</stp>
        <stp>Bar</stp>
        <stp/>
        <stp>LOw</stp>
        <stp>D</stp>
        <stp>-25</stp>
        <stp/>
        <stp/>
        <stp/>
        <stp/>
        <stp>T</stp>
        <tr r="Z27" s="14"/>
      </tp>
      <tp>
        <v>3.0644</v>
        <stp/>
        <stp>StudyData</stp>
        <stp>Bar(((NGEX18+NGEZ18+NGEF19+NGEG19+NGEH19)/5),1)</stp>
        <stp>Bar</stp>
        <stp/>
        <stp>LOw</stp>
        <stp>D</stp>
        <stp>-35</stp>
        <stp/>
        <stp/>
        <stp/>
        <stp/>
        <stp>T</stp>
        <tr r="Z37" s="14"/>
      </tp>
      <tp>
        <v>3.1421999999999999</v>
        <stp/>
        <stp>StudyData</stp>
        <stp>Bar(((NGEX18+NGEZ18+NGEF19+NGEG19+NGEH19)/5),1)</stp>
        <stp>Bar</stp>
        <stp/>
        <stp>LOw</stp>
        <stp>D</stp>
        <stp>-15</stp>
        <stp/>
        <stp/>
        <stp/>
        <stp/>
        <stp>T</stp>
        <tr r="Z17" s="14"/>
      </tp>
      <tp>
        <v>2.9390000000000001</v>
        <stp/>
        <stp>ContractData</stp>
        <stp>NGEJ18</stp>
        <stp>Y_Settlement</stp>
        <stp/>
        <stp>T</stp>
        <tr r="K23" s="13"/>
      </tp>
      <tp t="s">
        <v/>
        <stp/>
        <stp>ContractData</stp>
        <stp>NGE?119</stp>
        <stp>LastTradeToday</stp>
        <stp/>
        <stp>T</stp>
        <tr r="F126" s="16"/>
      </tp>
      <tp t="s">
        <v/>
        <stp/>
        <stp>ContractData</stp>
        <stp>NGE?109</stp>
        <stp>LastTradeToday</stp>
        <stp/>
        <stp>T</stp>
        <tr r="F116" s="16"/>
      </tp>
      <tp t="s">
        <v/>
        <stp/>
        <stp>ContractData</stp>
        <stp>NGE?139</stp>
        <stp>LastTradeToday</stp>
        <stp/>
        <stp>T</stp>
        <tr r="F146" s="16"/>
      </tp>
      <tp t="s">
        <v/>
        <stp/>
        <stp>ContractData</stp>
        <stp>NGE?129</stp>
        <stp>LastTradeToday</stp>
        <stp/>
        <stp>T</stp>
        <tr r="F136" s="16"/>
      </tp>
      <tp>
        <v>3.1463999999999999</v>
        <stp/>
        <stp>StudyData</stp>
        <stp>Bar(((NGEX17+NGEZ17+NGEF18+NGEG18+NGEH18)/5),1)</stp>
        <stp>Bar</stp>
        <stp/>
        <stp>LOw</stp>
        <stp>D</stp>
        <stp>-35</stp>
        <stp/>
        <stp/>
        <stp/>
        <stp/>
        <stp>T</stp>
        <tr r="E37" s="14"/>
      </tp>
      <tp>
        <v>3.1486000000000001</v>
        <stp/>
        <stp>StudyData</stp>
        <stp>Bar(((NGEX17+NGEZ17+NGEF18+NGEG18+NGEH18)/5),1)</stp>
        <stp>Bar</stp>
        <stp/>
        <stp>LOw</stp>
        <stp>D</stp>
        <stp>-25</stp>
        <stp/>
        <stp/>
        <stp/>
        <stp/>
        <stp>T</stp>
        <tr r="E27" s="14"/>
      </tp>
      <tp>
        <v>3.2444000000000002</v>
        <stp/>
        <stp>StudyData</stp>
        <stp>Bar(((NGEX17+NGEZ17+NGEF18+NGEG18+NGEH18)/5),1)</stp>
        <stp>Bar</stp>
        <stp/>
        <stp>LOw</stp>
        <stp>D</stp>
        <stp>-15</stp>
        <stp/>
        <stp/>
        <stp/>
        <stp/>
        <stp>T</stp>
        <tr r="E17" s="14"/>
      </tp>
      <tp>
        <v>3.0895999999999999</v>
        <stp/>
        <stp>StudyData</stp>
        <stp>Bar(((NGEX18+NGEZ18+NGEF19+NGEG19+NGEH19)/5),1)</stp>
        <stp>Bar</stp>
        <stp/>
        <stp>LOw</stp>
        <stp>D</stp>
        <stp>-24</stp>
        <stp/>
        <stp/>
        <stp/>
        <stp/>
        <stp>T</stp>
        <tr r="Z26" s="14"/>
      </tp>
      <tp>
        <v>3.0724</v>
        <stp/>
        <stp>StudyData</stp>
        <stp>Bar(((NGEX18+NGEZ18+NGEF19+NGEG19+NGEH19)/5),1)</stp>
        <stp>Bar</stp>
        <stp/>
        <stp>LOw</stp>
        <stp>D</stp>
        <stp>-34</stp>
        <stp/>
        <stp/>
        <stp/>
        <stp/>
        <stp>T</stp>
        <tr r="Z36" s="14"/>
      </tp>
      <tp>
        <v>3.1692</v>
        <stp/>
        <stp>StudyData</stp>
        <stp>Bar(((NGEX18+NGEZ18+NGEF19+NGEG19+NGEH19)/5),1)</stp>
        <stp>Bar</stp>
        <stp/>
        <stp>LOw</stp>
        <stp>D</stp>
        <stp>-14</stp>
        <stp/>
        <stp/>
        <stp/>
        <stp/>
        <stp>T</stp>
        <tr r="Z16" s="14"/>
      </tp>
      <tp>
        <v>3.0464000000000002</v>
        <stp/>
        <stp>StudyData</stp>
        <stp>Bar(((NGEX18+NGEZ18+NGEF19+NGEG19+NGEH19)/5),1)</stp>
        <stp>Bar</stp>
        <stp/>
        <stp>LOw</stp>
        <stp>D</stp>
        <stp>-44</stp>
        <stp/>
        <stp/>
        <stp/>
        <stp/>
        <stp>T</stp>
        <tr r="Z46" s="14"/>
      </tp>
      <tp>
        <v>2.911</v>
        <stp/>
        <stp>ContractData</stp>
        <stp>NGEK18</stp>
        <stp>Y_Settlement</stp>
        <stp/>
        <stp>T</stp>
        <tr r="L23" s="13"/>
      </tp>
      <tp>
        <v>3.1619999999999999</v>
        <stp/>
        <stp>StudyData</stp>
        <stp>Bar(((NGEX17+NGEZ17+NGEF18+NGEG18+NGEH18)/5),1)</stp>
        <stp>Bar</stp>
        <stp/>
        <stp>LOw</stp>
        <stp>D</stp>
        <stp>-36</stp>
        <stp/>
        <stp/>
        <stp/>
        <stp/>
        <stp>T</stp>
        <tr r="E38" s="14"/>
      </tp>
      <tp>
        <v>3.1703999999999999</v>
        <stp/>
        <stp>StudyData</stp>
        <stp>Bar(((NGEX17+NGEZ17+NGEF18+NGEG18+NGEH18)/5),1)</stp>
        <stp>Bar</stp>
        <stp/>
        <stp>LOw</stp>
        <stp>D</stp>
        <stp>-26</stp>
        <stp/>
        <stp/>
        <stp/>
        <stp/>
        <stp>T</stp>
        <tr r="E28" s="14"/>
      </tp>
      <tp>
        <v>3.2669999999999999</v>
        <stp/>
        <stp>StudyData</stp>
        <stp>Bar(((NGEX17+NGEZ17+NGEF18+NGEG18+NGEH18)/5),1)</stp>
        <stp>Bar</stp>
        <stp/>
        <stp>LOw</stp>
        <stp>D</stp>
        <stp>-16</stp>
        <stp/>
        <stp/>
        <stp/>
        <stp/>
        <stp>T</stp>
        <tr r="E18" s="14"/>
      </tp>
      <tp>
        <v>3.0901999999999998</v>
        <stp/>
        <stp>StudyData</stp>
        <stp>Bar(((NGEX18+NGEZ18+NGEF19+NGEG19+NGEH19)/5),1)</stp>
        <stp>Bar</stp>
        <stp/>
        <stp>LOw</stp>
        <stp>D</stp>
        <stp>-27</stp>
        <stp/>
        <stp/>
        <stp/>
        <stp/>
        <stp>T</stp>
        <tr r="Z29" s="14"/>
      </tp>
      <tp>
        <v>3.0781999999999998</v>
        <stp/>
        <stp>StudyData</stp>
        <stp>Bar(((NGEX18+NGEZ18+NGEF19+NGEG19+NGEH19)/5),1)</stp>
        <stp>Bar</stp>
        <stp/>
        <stp>LOw</stp>
        <stp>D</stp>
        <stp>-37</stp>
        <stp/>
        <stp/>
        <stp/>
        <stp/>
        <stp>T</stp>
        <tr r="Z39" s="14"/>
      </tp>
      <tp>
        <v>3.14</v>
        <stp/>
        <stp>StudyData</stp>
        <stp>Bar(((NGEX18+NGEZ18+NGEF19+NGEG19+NGEH19)/5),1)</stp>
        <stp>Bar</stp>
        <stp/>
        <stp>LOw</stp>
        <stp>D</stp>
        <stp>-17</stp>
        <stp/>
        <stp/>
        <stp/>
        <stp/>
        <stp>T</stp>
        <tr r="Z19" s="14"/>
      </tp>
      <tp>
        <v>3.1842000000000001</v>
        <stp/>
        <stp>StudyData</stp>
        <stp>Bar(((NGEX17+NGEZ17+NGEF18+NGEG18+NGEH18)/5),1)</stp>
        <stp>Bar</stp>
        <stp/>
        <stp>LOw</stp>
        <stp>D</stp>
        <stp>-37</stp>
        <stp/>
        <stp/>
        <stp/>
        <stp/>
        <stp>T</stp>
        <tr r="E39" s="14"/>
      </tp>
      <tp>
        <v>3.1665999999999999</v>
        <stp/>
        <stp>StudyData</stp>
        <stp>Bar(((NGEX17+NGEZ17+NGEF18+NGEG18+NGEH18)/5),1)</stp>
        <stp>Bar</stp>
        <stp/>
        <stp>LOw</stp>
        <stp>D</stp>
        <stp>-27</stp>
        <stp/>
        <stp/>
        <stp/>
        <stp/>
        <stp>T</stp>
        <tr r="E29" s="14"/>
      </tp>
      <tp>
        <v>3.2406000000000001</v>
        <stp/>
        <stp>StudyData</stp>
        <stp>Bar(((NGEX17+NGEZ17+NGEF18+NGEG18+NGEH18)/5),1)</stp>
        <stp>Bar</stp>
        <stp/>
        <stp>LOw</stp>
        <stp>D</stp>
        <stp>-17</stp>
        <stp/>
        <stp/>
        <stp/>
        <stp/>
        <stp>T</stp>
        <tr r="E19" s="14"/>
      </tp>
      <tp>
        <v>3.0868000000000002</v>
        <stp/>
        <stp>StudyData</stp>
        <stp>Bar(((NGEX18+NGEZ18+NGEF19+NGEG19+NGEH19)/5),1)</stp>
        <stp>Bar</stp>
        <stp/>
        <stp>LOw</stp>
        <stp>D</stp>
        <stp>-26</stp>
        <stp/>
        <stp/>
        <stp/>
        <stp/>
        <stp>T</stp>
        <tr r="Z28" s="14"/>
      </tp>
      <tp>
        <v>3.0701999999999998</v>
        <stp/>
        <stp>StudyData</stp>
        <stp>Bar(((NGEX18+NGEZ18+NGEF19+NGEG19+NGEH19)/5),1)</stp>
        <stp>Bar</stp>
        <stp/>
        <stp>LOw</stp>
        <stp>D</stp>
        <stp>-36</stp>
        <stp/>
        <stp/>
        <stp/>
        <stp/>
        <stp>T</stp>
        <tr r="Z38" s="14"/>
      </tp>
      <tp>
        <v>3.1434000000000002</v>
        <stp/>
        <stp>StudyData</stp>
        <stp>Bar(((NGEX18+NGEZ18+NGEF19+NGEG19+NGEH19)/5),1)</stp>
        <stp>Bar</stp>
        <stp/>
        <stp>LOw</stp>
        <stp>D</stp>
        <stp>-16</stp>
        <stp/>
        <stp/>
        <stp/>
        <stp/>
        <stp>T</stp>
        <tr r="Z18" s="1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volatileDependencies" Target="volatileDependenci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055779964869842E-2"/>
          <c:y val="3.5291779225355292E-2"/>
          <c:w val="0.96194422003513014"/>
          <c:h val="0.7078242518969875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NGE!$AH$2:$AH$13</c:f>
              <c:strCache>
                <c:ptCount val="12"/>
                <c:pt idx="0">
                  <c:v>Nov 17</c:v>
                </c:pt>
                <c:pt idx="1">
                  <c:v>Dec 17</c:v>
                </c:pt>
                <c:pt idx="2">
                  <c:v>Jan 18</c:v>
                </c:pt>
                <c:pt idx="3">
                  <c:v>Feb 18</c:v>
                </c:pt>
                <c:pt idx="4">
                  <c:v>Mar 18</c:v>
                </c:pt>
                <c:pt idx="5">
                  <c:v>Apr 18</c:v>
                </c:pt>
                <c:pt idx="6">
                  <c:v>May 18</c:v>
                </c:pt>
                <c:pt idx="7">
                  <c:v>Jun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Oct 18</c:v>
                </c:pt>
              </c:strCache>
            </c:strRef>
          </c:cat>
          <c:val>
            <c:numRef>
              <c:f>NGE!$AF$2:$AF$13</c:f>
              <c:numCache>
                <c:formatCode>General</c:formatCode>
                <c:ptCount val="12"/>
                <c:pt idx="0">
                  <c:v>2.8970000000000002</c:v>
                </c:pt>
                <c:pt idx="1">
                  <c:v>3.0710000000000002</c:v>
                </c:pt>
                <c:pt idx="2">
                  <c:v>3.1970000000000001</c:v>
                </c:pt>
                <c:pt idx="3">
                  <c:v>3.202</c:v>
                </c:pt>
                <c:pt idx="4">
                  <c:v>3.1625000000000001</c:v>
                </c:pt>
                <c:pt idx="5">
                  <c:v>2.9250000000000003</c:v>
                </c:pt>
                <c:pt idx="6">
                  <c:v>2.9005000000000001</c:v>
                </c:pt>
                <c:pt idx="7">
                  <c:v>2.931</c:v>
                </c:pt>
                <c:pt idx="8">
                  <c:v>2.9580000000000002</c:v>
                </c:pt>
                <c:pt idx="9">
                  <c:v>2.96</c:v>
                </c:pt>
                <c:pt idx="10">
                  <c:v>2.9420000000000002</c:v>
                </c:pt>
                <c:pt idx="11">
                  <c:v>2.9649999999999999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NGE!$AH$2:$AH$13</c:f>
              <c:strCache>
                <c:ptCount val="12"/>
                <c:pt idx="0">
                  <c:v>Nov 17</c:v>
                </c:pt>
                <c:pt idx="1">
                  <c:v>Dec 17</c:v>
                </c:pt>
                <c:pt idx="2">
                  <c:v>Jan 18</c:v>
                </c:pt>
                <c:pt idx="3">
                  <c:v>Feb 18</c:v>
                </c:pt>
                <c:pt idx="4">
                  <c:v>Mar 18</c:v>
                </c:pt>
                <c:pt idx="5">
                  <c:v>Apr 18</c:v>
                </c:pt>
                <c:pt idx="6">
                  <c:v>May 18</c:v>
                </c:pt>
                <c:pt idx="7">
                  <c:v>Jun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Oct 18</c:v>
                </c:pt>
              </c:strCache>
            </c:strRef>
          </c:cat>
          <c:val>
            <c:numRef>
              <c:f>NGE!$E$16:$E$27</c:f>
              <c:numCache>
                <c:formatCode>0.00</c:formatCode>
                <c:ptCount val="12"/>
                <c:pt idx="0">
                  <c:v>3.1269999999999998</c:v>
                </c:pt>
                <c:pt idx="1">
                  <c:v>3.2709999999999999</c:v>
                </c:pt>
                <c:pt idx="2">
                  <c:v>3.371</c:v>
                </c:pt>
                <c:pt idx="3">
                  <c:v>3.37</c:v>
                </c:pt>
                <c:pt idx="4">
                  <c:v>3.32</c:v>
                </c:pt>
                <c:pt idx="5">
                  <c:v>2.96</c:v>
                </c:pt>
                <c:pt idx="6">
                  <c:v>2.9220000000000002</c:v>
                </c:pt>
                <c:pt idx="7">
                  <c:v>2.9460000000000002</c:v>
                </c:pt>
                <c:pt idx="8">
                  <c:v>2.97</c:v>
                </c:pt>
                <c:pt idx="9">
                  <c:v>2.9729999999999999</c:v>
                </c:pt>
                <c:pt idx="10">
                  <c:v>2.95</c:v>
                </c:pt>
                <c:pt idx="11">
                  <c:v>2.972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748416"/>
        <c:axId val="361750656"/>
      </c:lineChart>
      <c:catAx>
        <c:axId val="36174841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361750656"/>
        <c:crosses val="autoZero"/>
        <c:auto val="1"/>
        <c:lblAlgn val="ctr"/>
        <c:lblOffset val="100"/>
        <c:noMultiLvlLbl val="0"/>
      </c:catAx>
      <c:valAx>
        <c:axId val="361750656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361748416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627432527109404E-2"/>
          <c:y val="0.18245614035087721"/>
          <c:w val="0.96237964676726162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'NGE4'!$AI$2:$AI$13</c:f>
              <c:strCache>
                <c:ptCount val="12"/>
                <c:pt idx="0">
                  <c:v>Nov 17, Mar 18</c:v>
                </c:pt>
                <c:pt idx="1">
                  <c:v>Dec 17, Apr 18</c:v>
                </c:pt>
                <c:pt idx="2">
                  <c:v>Jan 18, May 18</c:v>
                </c:pt>
                <c:pt idx="3">
                  <c:v>Feb 18, Jun 18</c:v>
                </c:pt>
                <c:pt idx="4">
                  <c:v>Mar 18, Jul 18</c:v>
                </c:pt>
                <c:pt idx="5">
                  <c:v>Apr 18, Aug 18</c:v>
                </c:pt>
                <c:pt idx="6">
                  <c:v>May 18, Sep 18</c:v>
                </c:pt>
                <c:pt idx="7">
                  <c:v>Jun 18, Oct 18</c:v>
                </c:pt>
                <c:pt idx="8">
                  <c:v>Jul 18, Nov 18</c:v>
                </c:pt>
                <c:pt idx="9">
                  <c:v>Aug 18, Dec 18</c:v>
                </c:pt>
                <c:pt idx="10">
                  <c:v>Sep 18, Jan 19</c:v>
                </c:pt>
                <c:pt idx="11">
                  <c:v>Oct 18, Feb 19</c:v>
                </c:pt>
              </c:strCache>
            </c:strRef>
          </c:cat>
          <c:val>
            <c:numRef>
              <c:f>'NGE4'!$L$16:$L$27</c:f>
              <c:numCache>
                <c:formatCode>General</c:formatCode>
                <c:ptCount val="12"/>
                <c:pt idx="0">
                  <c:v>-7.3000000000000009E-2</c:v>
                </c:pt>
                <c:pt idx="1">
                  <c:v>-0.16500000000000001</c:v>
                </c:pt>
                <c:pt idx="2">
                  <c:v>-0.15350000000000003</c:v>
                </c:pt>
                <c:pt idx="3">
                  <c:v>-0.15199999999999997</c:v>
                </c:pt>
                <c:pt idx="4">
                  <c:v>-0.14449999999999996</c:v>
                </c:pt>
                <c:pt idx="5">
                  <c:v>-2.3000000000000007E-2</c:v>
                </c:pt>
                <c:pt idx="6">
                  <c:v>-1.4000000000000002E-2</c:v>
                </c:pt>
                <c:pt idx="7">
                  <c:v>-1.0000000000000005E-2</c:v>
                </c:pt>
                <c:pt idx="8">
                  <c:v>-1.0000000000000002E-2</c:v>
                </c:pt>
                <c:pt idx="9">
                  <c:v>-1.6000000000000014E-2</c:v>
                </c:pt>
                <c:pt idx="10">
                  <c:v>-1.0000000000000009E-2</c:v>
                </c:pt>
                <c:pt idx="11">
                  <c:v>-8.0000000000000071E-3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365343248"/>
        <c:axId val="365343808"/>
      </c:barChart>
      <c:catAx>
        <c:axId val="36534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43808"/>
        <c:crosses val="autoZero"/>
        <c:auto val="1"/>
        <c:lblAlgn val="ctr"/>
        <c:lblOffset val="100"/>
        <c:noMultiLvlLbl val="0"/>
      </c:catAx>
      <c:valAx>
        <c:axId val="36534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4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89838150834444E-2"/>
          <c:y val="0.18245614035087721"/>
          <c:w val="0.96131725173149341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'NGE5'!$AI$2:$AI$13</c:f>
              <c:strCache>
                <c:ptCount val="12"/>
                <c:pt idx="0">
                  <c:v>Nov 17, Apr 18</c:v>
                </c:pt>
                <c:pt idx="1">
                  <c:v>Dec 17, May 18</c:v>
                </c:pt>
                <c:pt idx="2">
                  <c:v>Jan 18, Jun 18</c:v>
                </c:pt>
                <c:pt idx="3">
                  <c:v>Feb 18, Jul 18</c:v>
                </c:pt>
                <c:pt idx="4">
                  <c:v>Mar 18, Aug 18</c:v>
                </c:pt>
                <c:pt idx="5">
                  <c:v>Apr 18, Sep 18</c:v>
                </c:pt>
                <c:pt idx="6">
                  <c:v>May 18, Oct 18</c:v>
                </c:pt>
                <c:pt idx="7">
                  <c:v>Jun 18, Nov 18</c:v>
                </c:pt>
                <c:pt idx="8">
                  <c:v>Jul 18, Dec 18</c:v>
                </c:pt>
                <c:pt idx="9">
                  <c:v>Aug 18, Jan 19</c:v>
                </c:pt>
                <c:pt idx="10">
                  <c:v>Sep 18, Feb 19</c:v>
                </c:pt>
                <c:pt idx="11">
                  <c:v>Oct 18, Mar 19</c:v>
                </c:pt>
              </c:strCache>
            </c:strRef>
          </c:cat>
          <c:val>
            <c:numRef>
              <c:f>'NGE5'!$L$16:$L$27</c:f>
              <c:numCache>
                <c:formatCode>General</c:formatCode>
                <c:ptCount val="12"/>
                <c:pt idx="0">
                  <c:v>-0.19600000000000001</c:v>
                </c:pt>
                <c:pt idx="1">
                  <c:v>-0.17949999999999997</c:v>
                </c:pt>
                <c:pt idx="2">
                  <c:v>-0.15849999999999997</c:v>
                </c:pt>
                <c:pt idx="3">
                  <c:v>-0.15550000000000003</c:v>
                </c:pt>
                <c:pt idx="4">
                  <c:v>-0.14449999999999996</c:v>
                </c:pt>
                <c:pt idx="5">
                  <c:v>-2.8000000000000004E-2</c:v>
                </c:pt>
                <c:pt idx="6">
                  <c:v>-1.4999999999999999E-2</c:v>
                </c:pt>
                <c:pt idx="7">
                  <c:v>-1.3999999999999999E-2</c:v>
                </c:pt>
                <c:pt idx="8">
                  <c:v>-1.5500000000000014E-2</c:v>
                </c:pt>
                <c:pt idx="9">
                  <c:v>-1.6000000000000014E-2</c:v>
                </c:pt>
                <c:pt idx="10">
                  <c:v>-8.0000000000000071E-3</c:v>
                </c:pt>
                <c:pt idx="11">
                  <c:v>-2.5000000000000022E-3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365346048"/>
        <c:axId val="365346608"/>
      </c:barChart>
      <c:catAx>
        <c:axId val="36534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46608"/>
        <c:crosses val="autoZero"/>
        <c:auto val="1"/>
        <c:lblAlgn val="ctr"/>
        <c:lblOffset val="100"/>
        <c:noMultiLvlLbl val="0"/>
      </c:catAx>
      <c:valAx>
        <c:axId val="36534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4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57239217420907E-2"/>
          <c:y val="0.18245565458163884"/>
          <c:w val="0.96154481561897476"/>
          <c:h val="0.49408260809504068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NGE!$AH$2:$AH$13</c:f>
              <c:strCache>
                <c:ptCount val="12"/>
                <c:pt idx="0">
                  <c:v>Nov 17</c:v>
                </c:pt>
                <c:pt idx="1">
                  <c:v>Dec 17</c:v>
                </c:pt>
                <c:pt idx="2">
                  <c:v>Jan 18</c:v>
                </c:pt>
                <c:pt idx="3">
                  <c:v>Feb 18</c:v>
                </c:pt>
                <c:pt idx="4">
                  <c:v>Mar 18</c:v>
                </c:pt>
                <c:pt idx="5">
                  <c:v>Apr 18</c:v>
                </c:pt>
                <c:pt idx="6">
                  <c:v>May 18</c:v>
                </c:pt>
                <c:pt idx="7">
                  <c:v>Jun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Oct 18</c:v>
                </c:pt>
              </c:strCache>
            </c:strRef>
          </c:cat>
          <c:val>
            <c:numRef>
              <c:f>NGE!$G$16:$G$27</c:f>
              <c:numCache>
                <c:formatCode>0.00</c:formatCode>
                <c:ptCount val="12"/>
                <c:pt idx="0">
                  <c:v>-0.22999999999999954</c:v>
                </c:pt>
                <c:pt idx="1">
                  <c:v>-0.19999999999999973</c:v>
                </c:pt>
                <c:pt idx="2">
                  <c:v>-0.17399999999999993</c:v>
                </c:pt>
                <c:pt idx="3">
                  <c:v>-0.16800000000000015</c:v>
                </c:pt>
                <c:pt idx="4">
                  <c:v>-0.15749999999999975</c:v>
                </c:pt>
                <c:pt idx="5">
                  <c:v>-3.4999999999999698E-2</c:v>
                </c:pt>
                <c:pt idx="6">
                  <c:v>-2.1500000000000075E-2</c:v>
                </c:pt>
                <c:pt idx="7">
                  <c:v>-1.5000000000000124E-2</c:v>
                </c:pt>
                <c:pt idx="8">
                  <c:v>-1.2000000000000011E-2</c:v>
                </c:pt>
                <c:pt idx="9">
                  <c:v>-1.2999999999999901E-2</c:v>
                </c:pt>
                <c:pt idx="10">
                  <c:v>-8.0000000000000071E-3</c:v>
                </c:pt>
                <c:pt idx="11">
                  <c:v>-7.0000000000001172E-3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365348848"/>
        <c:axId val="365349408"/>
      </c:barChart>
      <c:catAx>
        <c:axId val="36534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49408"/>
        <c:crosses val="autoZero"/>
        <c:auto val="1"/>
        <c:lblAlgn val="ctr"/>
        <c:lblOffset val="100"/>
        <c:noMultiLvlLbl val="0"/>
      </c:catAx>
      <c:valAx>
        <c:axId val="36534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4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31838819101919E-2"/>
          <c:y val="3.197351045372112E-2"/>
          <c:w val="0.96460299890410117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'NGE6'!$AI$2:$AI$13</c:f>
              <c:strCache>
                <c:ptCount val="12"/>
                <c:pt idx="0">
                  <c:v>Nov 17, May 18</c:v>
                </c:pt>
                <c:pt idx="1">
                  <c:v>Dec 17, Jun 18</c:v>
                </c:pt>
                <c:pt idx="2">
                  <c:v>Jan 18, Jul 18</c:v>
                </c:pt>
                <c:pt idx="3">
                  <c:v>Feb 18, Aug 18</c:v>
                </c:pt>
                <c:pt idx="4">
                  <c:v>Mar 18, Sep 18</c:v>
                </c:pt>
                <c:pt idx="5">
                  <c:v>Apr 18, Oct 18</c:v>
                </c:pt>
                <c:pt idx="6">
                  <c:v>May 18, Nov 18</c:v>
                </c:pt>
                <c:pt idx="7">
                  <c:v>Jun 18, Dec 18</c:v>
                </c:pt>
                <c:pt idx="8">
                  <c:v>Jul 18, Jan 19</c:v>
                </c:pt>
                <c:pt idx="9">
                  <c:v>Aug 18, Feb 19</c:v>
                </c:pt>
                <c:pt idx="10">
                  <c:v>Sep 18, Mar 19</c:v>
                </c:pt>
                <c:pt idx="11">
                  <c:v>Oct 18, Apr 19</c:v>
                </c:pt>
              </c:strCache>
            </c:strRef>
          </c:cat>
          <c:val>
            <c:numRef>
              <c:f>'NGE6'!$AG$2:$AG$13</c:f>
              <c:numCache>
                <c:formatCode>General</c:formatCode>
                <c:ptCount val="12"/>
                <c:pt idx="0">
                  <c:v>-5.0000000000000001E-3</c:v>
                </c:pt>
                <c:pt idx="1">
                  <c:v>0.14000000000000001</c:v>
                </c:pt>
                <c:pt idx="2">
                  <c:v>0.23899999999999999</c:v>
                </c:pt>
                <c:pt idx="3">
                  <c:v>0.24399999999999999</c:v>
                </c:pt>
                <c:pt idx="4">
                  <c:v>0.2195</c:v>
                </c:pt>
                <c:pt idx="5">
                  <c:v>-4.1000000000000002E-2</c:v>
                </c:pt>
                <c:pt idx="6">
                  <c:v>-0.11849999999999999</c:v>
                </c:pt>
                <c:pt idx="7">
                  <c:v>-0.22550000000000001</c:v>
                </c:pt>
                <c:pt idx="8">
                  <c:v>-0.28250000000000003</c:v>
                </c:pt>
                <c:pt idx="9">
                  <c:v>-0.2555</c:v>
                </c:pt>
                <c:pt idx="10">
                  <c:v>-0.20050000000000001</c:v>
                </c:pt>
                <c:pt idx="11">
                  <c:v>0.21250000000000002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EB-4C5C-9272-C17FDB174FE2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'NGE6'!$AI$2:$AI$13</c:f>
              <c:strCache>
                <c:ptCount val="12"/>
                <c:pt idx="0">
                  <c:v>Nov 17, May 18</c:v>
                </c:pt>
                <c:pt idx="1">
                  <c:v>Dec 17, Jun 18</c:v>
                </c:pt>
                <c:pt idx="2">
                  <c:v>Jan 18, Jul 18</c:v>
                </c:pt>
                <c:pt idx="3">
                  <c:v>Feb 18, Aug 18</c:v>
                </c:pt>
                <c:pt idx="4">
                  <c:v>Mar 18, Sep 18</c:v>
                </c:pt>
                <c:pt idx="5">
                  <c:v>Apr 18, Oct 18</c:v>
                </c:pt>
                <c:pt idx="6">
                  <c:v>May 18, Nov 18</c:v>
                </c:pt>
                <c:pt idx="7">
                  <c:v>Jun 18, Dec 18</c:v>
                </c:pt>
                <c:pt idx="8">
                  <c:v>Jul 18, Jan 19</c:v>
                </c:pt>
                <c:pt idx="9">
                  <c:v>Aug 18, Feb 19</c:v>
                </c:pt>
                <c:pt idx="10">
                  <c:v>Sep 18, Mar 19</c:v>
                </c:pt>
                <c:pt idx="11">
                  <c:v>Oct 18, Apr 19</c:v>
                </c:pt>
              </c:strCache>
            </c:strRef>
          </c:cat>
          <c:val>
            <c:numRef>
              <c:f>'NGE6'!$K$16:$K$27</c:f>
              <c:numCache>
                <c:formatCode>General</c:formatCode>
                <c:ptCount val="12"/>
                <c:pt idx="0">
                  <c:v>0.20499999999999999</c:v>
                </c:pt>
                <c:pt idx="1">
                  <c:v>0.32500000000000001</c:v>
                </c:pt>
                <c:pt idx="2">
                  <c:v>0.40100000000000002</c:v>
                </c:pt>
                <c:pt idx="3">
                  <c:v>0.39700000000000002</c:v>
                </c:pt>
                <c:pt idx="4">
                  <c:v>0.37</c:v>
                </c:pt>
                <c:pt idx="5">
                  <c:v>-1.2E-2</c:v>
                </c:pt>
                <c:pt idx="6">
                  <c:v>-9.9000000000000005E-2</c:v>
                </c:pt>
                <c:pt idx="7">
                  <c:v>-0.20599999999999999</c:v>
                </c:pt>
                <c:pt idx="8">
                  <c:v>-0.26700000000000002</c:v>
                </c:pt>
                <c:pt idx="9">
                  <c:v>-0.24199999999999999</c:v>
                </c:pt>
                <c:pt idx="10">
                  <c:v>-0.19800000000000001</c:v>
                </c:pt>
                <c:pt idx="11">
                  <c:v>0.20200000000000001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EB-4C5C-9272-C17FDB174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500272"/>
        <c:axId val="366500832"/>
        <c:extLst xmlns:c16r2="http://schemas.microsoft.com/office/drawing/2015/06/chart"/>
      </c:lineChart>
      <c:catAx>
        <c:axId val="36650027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366500832"/>
        <c:crosses val="autoZero"/>
        <c:auto val="1"/>
        <c:lblAlgn val="ctr"/>
        <c:lblOffset val="100"/>
        <c:noMultiLvlLbl val="0"/>
      </c:catAx>
      <c:valAx>
        <c:axId val="36650083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366500272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89838150834444E-2"/>
          <c:y val="0.18245614035087721"/>
          <c:w val="0.96131725173149341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'NGE6'!$AI$2:$AI$13</c:f>
              <c:strCache>
                <c:ptCount val="12"/>
                <c:pt idx="0">
                  <c:v>Nov 17, May 18</c:v>
                </c:pt>
                <c:pt idx="1">
                  <c:v>Dec 17, Jun 18</c:v>
                </c:pt>
                <c:pt idx="2">
                  <c:v>Jan 18, Jul 18</c:v>
                </c:pt>
                <c:pt idx="3">
                  <c:v>Feb 18, Aug 18</c:v>
                </c:pt>
                <c:pt idx="4">
                  <c:v>Mar 18, Sep 18</c:v>
                </c:pt>
                <c:pt idx="5">
                  <c:v>Apr 18, Oct 18</c:v>
                </c:pt>
                <c:pt idx="6">
                  <c:v>May 18, Nov 18</c:v>
                </c:pt>
                <c:pt idx="7">
                  <c:v>Jun 18, Dec 18</c:v>
                </c:pt>
                <c:pt idx="8">
                  <c:v>Jul 18, Jan 19</c:v>
                </c:pt>
                <c:pt idx="9">
                  <c:v>Aug 18, Feb 19</c:v>
                </c:pt>
                <c:pt idx="10">
                  <c:v>Sep 18, Mar 19</c:v>
                </c:pt>
                <c:pt idx="11">
                  <c:v>Oct 18, Apr 19</c:v>
                </c:pt>
              </c:strCache>
            </c:strRef>
          </c:cat>
          <c:val>
            <c:numRef>
              <c:f>'NGE6'!$L$16:$L$27</c:f>
              <c:numCache>
                <c:formatCode>General</c:formatCode>
                <c:ptCount val="12"/>
                <c:pt idx="0">
                  <c:v>-0.21</c:v>
                </c:pt>
                <c:pt idx="1">
                  <c:v>-0.185</c:v>
                </c:pt>
                <c:pt idx="2">
                  <c:v>-0.16200000000000003</c:v>
                </c:pt>
                <c:pt idx="3">
                  <c:v>-0.15300000000000002</c:v>
                </c:pt>
                <c:pt idx="4">
                  <c:v>-0.15049999999999999</c:v>
                </c:pt>
                <c:pt idx="5">
                  <c:v>-2.9000000000000001E-2</c:v>
                </c:pt>
                <c:pt idx="6">
                  <c:v>-1.949999999999999E-2</c:v>
                </c:pt>
                <c:pt idx="7">
                  <c:v>-1.9500000000000017E-2</c:v>
                </c:pt>
                <c:pt idx="8">
                  <c:v>-1.5500000000000014E-2</c:v>
                </c:pt>
                <c:pt idx="9">
                  <c:v>-1.3500000000000012E-2</c:v>
                </c:pt>
                <c:pt idx="10">
                  <c:v>-2.5000000000000022E-3</c:v>
                </c:pt>
                <c:pt idx="11">
                  <c:v>1.0500000000000009E-2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366503072"/>
        <c:axId val="366503632"/>
      </c:barChart>
      <c:catAx>
        <c:axId val="36650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6503632"/>
        <c:crosses val="autoZero"/>
        <c:auto val="1"/>
        <c:lblAlgn val="ctr"/>
        <c:lblOffset val="100"/>
        <c:noMultiLvlLbl val="0"/>
      </c:catAx>
      <c:valAx>
        <c:axId val="3665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650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055779964869842E-2"/>
          <c:y val="3.5291779225355292E-2"/>
          <c:w val="0.96194422003513014"/>
          <c:h val="0.7078242518969875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'NGE Winter Summer Strps'!$K$6:$O$6</c:f>
              <c:strCache>
                <c:ptCount val="5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</c:strCache>
            </c:strRef>
          </c:cat>
          <c:val>
            <c:numRef>
              <c:f>'NGE Winter Summer Strps'!$W$9:$AA$9</c:f>
              <c:numCache>
                <c:formatCode>0.000</c:formatCode>
                <c:ptCount val="5"/>
                <c:pt idx="0">
                  <c:v>2.8970000000000002</c:v>
                </c:pt>
                <c:pt idx="1">
                  <c:v>3.0710000000000002</c:v>
                </c:pt>
                <c:pt idx="2">
                  <c:v>3.1970000000000001</c:v>
                </c:pt>
                <c:pt idx="3">
                  <c:v>3.202</c:v>
                </c:pt>
                <c:pt idx="4">
                  <c:v>3.1640000000000001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'NGE Winter Summer Strps'!$K$6:$O$6</c:f>
              <c:strCache>
                <c:ptCount val="5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</c:strCache>
            </c:strRef>
          </c:cat>
          <c:val>
            <c:numRef>
              <c:f>RollData!$E$3:$E$7</c:f>
              <c:numCache>
                <c:formatCode>0.000</c:formatCode>
                <c:ptCount val="5"/>
                <c:pt idx="0">
                  <c:v>3.1949999999999998</c:v>
                </c:pt>
                <c:pt idx="1">
                  <c:v>3.3370000000000002</c:v>
                </c:pt>
                <c:pt idx="2">
                  <c:v>3.4359999999999999</c:v>
                </c:pt>
                <c:pt idx="3">
                  <c:v>3.4329999999999998</c:v>
                </c:pt>
                <c:pt idx="4">
                  <c:v>3.3809999999999998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506992"/>
        <c:axId val="366507552"/>
      </c:lineChart>
      <c:catAx>
        <c:axId val="36650699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366507552"/>
        <c:crosses val="autoZero"/>
        <c:auto val="1"/>
        <c:lblAlgn val="ctr"/>
        <c:lblOffset val="100"/>
        <c:noMultiLvlLbl val="0"/>
      </c:catAx>
      <c:valAx>
        <c:axId val="36650755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366506992"/>
        <c:crosses val="autoZero"/>
        <c:crossBetween val="between"/>
      </c:valAx>
      <c:spPr>
        <a:noFill/>
        <a:ln w="254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634570013887907E-2"/>
          <c:y val="3.8903625110521665E-2"/>
          <c:w val="0.88226561365927914"/>
          <c:h val="0.86849401876471899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ChartData!$B$2:$B$46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ChartData!$C$2:$C$46</c:f>
              <c:numCache>
                <c:formatCode>0.000</c:formatCode>
                <c:ptCount val="45"/>
                <c:pt idx="0">
                  <c:v>3.1132</c:v>
                </c:pt>
                <c:pt idx="1">
                  <c:v>3.1520000000000001</c:v>
                </c:pt>
                <c:pt idx="2">
                  <c:v>3.1263999999999998</c:v>
                </c:pt>
                <c:pt idx="3">
                  <c:v>3.1432000000000002</c:v>
                </c:pt>
                <c:pt idx="4">
                  <c:v>3.2168000000000001</c:v>
                </c:pt>
                <c:pt idx="5">
                  <c:v>3.2198000000000002</c:v>
                </c:pt>
                <c:pt idx="6">
                  <c:v>3.2465999999999999</c:v>
                </c:pt>
                <c:pt idx="7">
                  <c:v>3.19</c:v>
                </c:pt>
                <c:pt idx="8">
                  <c:v>3.1836000000000002</c:v>
                </c:pt>
                <c:pt idx="9">
                  <c:v>3.1993999999999998</c:v>
                </c:pt>
                <c:pt idx="10">
                  <c:v>3.2082000000000002</c:v>
                </c:pt>
                <c:pt idx="11">
                  <c:v>3.3071999999999999</c:v>
                </c:pt>
                <c:pt idx="12">
                  <c:v>3.3353999999999999</c:v>
                </c:pt>
                <c:pt idx="13">
                  <c:v>3.3540000000000001</c:v>
                </c:pt>
                <c:pt idx="14">
                  <c:v>3.2934000000000001</c:v>
                </c:pt>
                <c:pt idx="15">
                  <c:v>3.2871999999999999</c:v>
                </c:pt>
                <c:pt idx="16">
                  <c:v>3.2867999999999999</c:v>
                </c:pt>
                <c:pt idx="17">
                  <c:v>3.2412000000000001</c:v>
                </c:pt>
                <c:pt idx="18">
                  <c:v>3.2044000000000001</c:v>
                </c:pt>
                <c:pt idx="19">
                  <c:v>3.1629999999999998</c:v>
                </c:pt>
                <c:pt idx="20">
                  <c:v>3.2134</c:v>
                </c:pt>
                <c:pt idx="21">
                  <c:v>3.2416</c:v>
                </c:pt>
                <c:pt idx="22">
                  <c:v>3.2092000000000001</c:v>
                </c:pt>
                <c:pt idx="23">
                  <c:v>3.2570000000000001</c:v>
                </c:pt>
                <c:pt idx="24">
                  <c:v>3.2496</c:v>
                </c:pt>
                <c:pt idx="25">
                  <c:v>3.1793999999999998</c:v>
                </c:pt>
                <c:pt idx="26">
                  <c:v>3.2058</c:v>
                </c:pt>
                <c:pt idx="27">
                  <c:v>3.1865999999999999</c:v>
                </c:pt>
                <c:pt idx="28">
                  <c:v>3.1698</c:v>
                </c:pt>
                <c:pt idx="29">
                  <c:v>3.2040000000000002</c:v>
                </c:pt>
                <c:pt idx="30">
                  <c:v>3.1932</c:v>
                </c:pt>
                <c:pt idx="31">
                  <c:v>3.1932</c:v>
                </c:pt>
                <c:pt idx="32">
                  <c:v>3.2170000000000001</c:v>
                </c:pt>
                <c:pt idx="33">
                  <c:v>3.1854</c:v>
                </c:pt>
                <c:pt idx="34">
                  <c:v>3.1901999999999999</c:v>
                </c:pt>
                <c:pt idx="35">
                  <c:v>3.1606000000000001</c:v>
                </c:pt>
                <c:pt idx="36">
                  <c:v>3.1840000000000002</c:v>
                </c:pt>
                <c:pt idx="37">
                  <c:v>3.2136</c:v>
                </c:pt>
                <c:pt idx="38">
                  <c:v>3.2452000000000001</c:v>
                </c:pt>
                <c:pt idx="39">
                  <c:v>3.2178</c:v>
                </c:pt>
                <c:pt idx="40">
                  <c:v>3.1524000000000001</c:v>
                </c:pt>
                <c:pt idx="41">
                  <c:v>3.0996000000000001</c:v>
                </c:pt>
                <c:pt idx="42">
                  <c:v>3.0948000000000002</c:v>
                </c:pt>
                <c:pt idx="43">
                  <c:v>3.0771999999999999</c:v>
                </c:pt>
                <c:pt idx="44">
                  <c:v>3.0960000000000001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ChartData!$B$2:$B$46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ChartData!$D$2:$D$46</c:f>
              <c:numCache>
                <c:formatCode>0.000</c:formatCode>
                <c:ptCount val="45"/>
                <c:pt idx="0">
                  <c:v>3.1252</c:v>
                </c:pt>
                <c:pt idx="1">
                  <c:v>3.1743999999999999</c:v>
                </c:pt>
                <c:pt idx="2">
                  <c:v>3.1858</c:v>
                </c:pt>
                <c:pt idx="3">
                  <c:v>3.1486000000000001</c:v>
                </c:pt>
                <c:pt idx="4">
                  <c:v>3.2168000000000001</c:v>
                </c:pt>
                <c:pt idx="5">
                  <c:v>3.2307999999999999</c:v>
                </c:pt>
                <c:pt idx="6">
                  <c:v>3.2549999999999999</c:v>
                </c:pt>
                <c:pt idx="7">
                  <c:v>3.2578</c:v>
                </c:pt>
                <c:pt idx="8">
                  <c:v>3.2111999999999998</c:v>
                </c:pt>
                <c:pt idx="9">
                  <c:v>3.2313999999999998</c:v>
                </c:pt>
                <c:pt idx="10">
                  <c:v>3.2178</c:v>
                </c:pt>
                <c:pt idx="11">
                  <c:v>3.3146</c:v>
                </c:pt>
                <c:pt idx="12">
                  <c:v>3.3584000000000001</c:v>
                </c:pt>
                <c:pt idx="13">
                  <c:v>3.3696000000000002</c:v>
                </c:pt>
                <c:pt idx="14">
                  <c:v>3.3639999999999999</c:v>
                </c:pt>
                <c:pt idx="15">
                  <c:v>3.2955999999999999</c:v>
                </c:pt>
                <c:pt idx="16">
                  <c:v>3.319</c:v>
                </c:pt>
                <c:pt idx="17">
                  <c:v>3.3026</c:v>
                </c:pt>
                <c:pt idx="18">
                  <c:v>3.2879999999999998</c:v>
                </c:pt>
                <c:pt idx="19">
                  <c:v>3.206</c:v>
                </c:pt>
                <c:pt idx="20">
                  <c:v>3.2185999999999999</c:v>
                </c:pt>
                <c:pt idx="21">
                  <c:v>3.2557999999999998</c:v>
                </c:pt>
                <c:pt idx="22">
                  <c:v>3.2513999999999998</c:v>
                </c:pt>
                <c:pt idx="23">
                  <c:v>3.2696000000000001</c:v>
                </c:pt>
                <c:pt idx="24">
                  <c:v>3.3010000000000002</c:v>
                </c:pt>
                <c:pt idx="25">
                  <c:v>3.2555999999999998</c:v>
                </c:pt>
                <c:pt idx="26">
                  <c:v>3.2073999999999998</c:v>
                </c:pt>
                <c:pt idx="27">
                  <c:v>3.2147999999999999</c:v>
                </c:pt>
                <c:pt idx="28">
                  <c:v>3.2054</c:v>
                </c:pt>
                <c:pt idx="29">
                  <c:v>3.2084000000000001</c:v>
                </c:pt>
                <c:pt idx="30">
                  <c:v>3.2263999999999999</c:v>
                </c:pt>
                <c:pt idx="31">
                  <c:v>3.2096</c:v>
                </c:pt>
                <c:pt idx="32">
                  <c:v>3.2492000000000001</c:v>
                </c:pt>
                <c:pt idx="33">
                  <c:v>3.2355999999999998</c:v>
                </c:pt>
                <c:pt idx="34">
                  <c:v>3.1991999999999998</c:v>
                </c:pt>
                <c:pt idx="35">
                  <c:v>3.2069999999999999</c:v>
                </c:pt>
                <c:pt idx="36">
                  <c:v>3.1970000000000001</c:v>
                </c:pt>
                <c:pt idx="37">
                  <c:v>3.2229999999999999</c:v>
                </c:pt>
                <c:pt idx="38">
                  <c:v>3.25</c:v>
                </c:pt>
                <c:pt idx="39">
                  <c:v>3.2305999999999999</c:v>
                </c:pt>
                <c:pt idx="40">
                  <c:v>3.242</c:v>
                </c:pt>
                <c:pt idx="41">
                  <c:v>3.1707999999999998</c:v>
                </c:pt>
                <c:pt idx="42">
                  <c:v>3.1164000000000001</c:v>
                </c:pt>
                <c:pt idx="43">
                  <c:v>3.1072000000000002</c:v>
                </c:pt>
                <c:pt idx="44">
                  <c:v>3.0962000000000001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ChartData!$B$2:$B$46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ChartData!$E$2:$E$46</c:f>
              <c:numCache>
                <c:formatCode>0.000</c:formatCode>
                <c:ptCount val="45"/>
                <c:pt idx="0">
                  <c:v>3.1006</c:v>
                </c:pt>
                <c:pt idx="1">
                  <c:v>3.109</c:v>
                </c:pt>
                <c:pt idx="2">
                  <c:v>3.1221999999999999</c:v>
                </c:pt>
                <c:pt idx="3">
                  <c:v>3.109</c:v>
                </c:pt>
                <c:pt idx="4">
                  <c:v>3.1103999999999998</c:v>
                </c:pt>
                <c:pt idx="5">
                  <c:v>3.1922000000000001</c:v>
                </c:pt>
                <c:pt idx="6">
                  <c:v>3.2029999999999998</c:v>
                </c:pt>
                <c:pt idx="7">
                  <c:v>3.19</c:v>
                </c:pt>
                <c:pt idx="8">
                  <c:v>3.1722000000000001</c:v>
                </c:pt>
                <c:pt idx="9">
                  <c:v>3.1753999999999998</c:v>
                </c:pt>
                <c:pt idx="10">
                  <c:v>3.1913999999999998</c:v>
                </c:pt>
                <c:pt idx="11">
                  <c:v>3.1909999999999998</c:v>
                </c:pt>
                <c:pt idx="12">
                  <c:v>3.3037999999999998</c:v>
                </c:pt>
                <c:pt idx="13">
                  <c:v>3.3355999999999999</c:v>
                </c:pt>
                <c:pt idx="14">
                  <c:v>3.2869999999999999</c:v>
                </c:pt>
                <c:pt idx="15">
                  <c:v>3.2444000000000002</c:v>
                </c:pt>
                <c:pt idx="16">
                  <c:v>3.2669999999999999</c:v>
                </c:pt>
                <c:pt idx="17">
                  <c:v>3.2406000000000001</c:v>
                </c:pt>
                <c:pt idx="18">
                  <c:v>3.1932</c:v>
                </c:pt>
                <c:pt idx="19">
                  <c:v>3.1568000000000001</c:v>
                </c:pt>
                <c:pt idx="20">
                  <c:v>3.1406000000000001</c:v>
                </c:pt>
                <c:pt idx="21">
                  <c:v>3.2153999999999998</c:v>
                </c:pt>
                <c:pt idx="22">
                  <c:v>3.2016</c:v>
                </c:pt>
                <c:pt idx="23">
                  <c:v>3.2031999999999998</c:v>
                </c:pt>
                <c:pt idx="24">
                  <c:v>3.23</c:v>
                </c:pt>
                <c:pt idx="25">
                  <c:v>3.1486000000000001</c:v>
                </c:pt>
                <c:pt idx="26">
                  <c:v>3.1703999999999999</c:v>
                </c:pt>
                <c:pt idx="27">
                  <c:v>3.1665999999999999</c:v>
                </c:pt>
                <c:pt idx="28">
                  <c:v>3.1269999999999998</c:v>
                </c:pt>
                <c:pt idx="29">
                  <c:v>3.1541999999999999</c:v>
                </c:pt>
                <c:pt idx="30">
                  <c:v>3.1913999999999998</c:v>
                </c:pt>
                <c:pt idx="31">
                  <c:v>3.1652</c:v>
                </c:pt>
                <c:pt idx="32">
                  <c:v>3.1888000000000001</c:v>
                </c:pt>
                <c:pt idx="33">
                  <c:v>3.1537999999999999</c:v>
                </c:pt>
                <c:pt idx="34">
                  <c:v>3.165</c:v>
                </c:pt>
                <c:pt idx="35">
                  <c:v>3.1463999999999999</c:v>
                </c:pt>
                <c:pt idx="36">
                  <c:v>3.1619999999999999</c:v>
                </c:pt>
                <c:pt idx="37">
                  <c:v>3.1842000000000001</c:v>
                </c:pt>
                <c:pt idx="38">
                  <c:v>3.1821999999999999</c:v>
                </c:pt>
                <c:pt idx="39">
                  <c:v>3.2052</c:v>
                </c:pt>
                <c:pt idx="40">
                  <c:v>3.1492</c:v>
                </c:pt>
                <c:pt idx="41">
                  <c:v>3.0985999999999998</c:v>
                </c:pt>
                <c:pt idx="42">
                  <c:v>3.0783999999999998</c:v>
                </c:pt>
                <c:pt idx="43">
                  <c:v>3.0746000000000002</c:v>
                </c:pt>
                <c:pt idx="44">
                  <c:v>3.0626000000000002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ChartData!$B$2:$B$46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ChartData!$F$2:$F$46</c:f>
              <c:numCache>
                <c:formatCode>0.000</c:formatCode>
                <c:ptCount val="45"/>
                <c:pt idx="0">
                  <c:v>3.1048</c:v>
                </c:pt>
                <c:pt idx="1">
                  <c:v>3.1107999999999998</c:v>
                </c:pt>
                <c:pt idx="2">
                  <c:v>3.1503999999999999</c:v>
                </c:pt>
                <c:pt idx="3">
                  <c:v>3.1219999999999999</c:v>
                </c:pt>
                <c:pt idx="4">
                  <c:v>3.1402000000000001</c:v>
                </c:pt>
                <c:pt idx="5">
                  <c:v>3.2176</c:v>
                </c:pt>
                <c:pt idx="6">
                  <c:v>3.2143999999999999</c:v>
                </c:pt>
                <c:pt idx="7">
                  <c:v>3.2450000000000001</c:v>
                </c:pt>
                <c:pt idx="8">
                  <c:v>3.1898</c:v>
                </c:pt>
                <c:pt idx="9">
                  <c:v>3.1821999999999999</c:v>
                </c:pt>
                <c:pt idx="10">
                  <c:v>3.1996000000000002</c:v>
                </c:pt>
                <c:pt idx="11">
                  <c:v>3.2021999999999999</c:v>
                </c:pt>
                <c:pt idx="12">
                  <c:v>3.3068</c:v>
                </c:pt>
                <c:pt idx="13">
                  <c:v>3.3359999999999999</c:v>
                </c:pt>
                <c:pt idx="14">
                  <c:v>3.3618000000000001</c:v>
                </c:pt>
                <c:pt idx="15">
                  <c:v>3.2665999999999999</c:v>
                </c:pt>
                <c:pt idx="16">
                  <c:v>3.2913999999999999</c:v>
                </c:pt>
                <c:pt idx="17">
                  <c:v>3.2871999999999999</c:v>
                </c:pt>
                <c:pt idx="18">
                  <c:v>3.2454000000000001</c:v>
                </c:pt>
                <c:pt idx="19">
                  <c:v>3.2048000000000001</c:v>
                </c:pt>
                <c:pt idx="20">
                  <c:v>3.157</c:v>
                </c:pt>
                <c:pt idx="21">
                  <c:v>3.2185999999999999</c:v>
                </c:pt>
                <c:pt idx="22">
                  <c:v>3.2393999999999998</c:v>
                </c:pt>
                <c:pt idx="23">
                  <c:v>3.2096</c:v>
                </c:pt>
                <c:pt idx="24">
                  <c:v>3.2522000000000002</c:v>
                </c:pt>
                <c:pt idx="25">
                  <c:v>3.2469999999999999</c:v>
                </c:pt>
                <c:pt idx="26">
                  <c:v>3.1787999999999998</c:v>
                </c:pt>
                <c:pt idx="27">
                  <c:v>3.2042000000000002</c:v>
                </c:pt>
                <c:pt idx="28">
                  <c:v>3.1886000000000001</c:v>
                </c:pt>
                <c:pt idx="29">
                  <c:v>3.1646000000000001</c:v>
                </c:pt>
                <c:pt idx="30">
                  <c:v>3.2040000000000002</c:v>
                </c:pt>
                <c:pt idx="31">
                  <c:v>3.1962000000000002</c:v>
                </c:pt>
                <c:pt idx="32">
                  <c:v>3.1930000000000001</c:v>
                </c:pt>
                <c:pt idx="33">
                  <c:v>3.2153999999999998</c:v>
                </c:pt>
                <c:pt idx="34">
                  <c:v>3.1684000000000001</c:v>
                </c:pt>
                <c:pt idx="35">
                  <c:v>3.1936</c:v>
                </c:pt>
                <c:pt idx="36">
                  <c:v>3.1619999999999999</c:v>
                </c:pt>
                <c:pt idx="37">
                  <c:v>3.1854</c:v>
                </c:pt>
                <c:pt idx="38">
                  <c:v>3.2130000000000001</c:v>
                </c:pt>
                <c:pt idx="39">
                  <c:v>3.2292000000000001</c:v>
                </c:pt>
                <c:pt idx="40">
                  <c:v>3.218</c:v>
                </c:pt>
                <c:pt idx="41">
                  <c:v>3.1522000000000001</c:v>
                </c:pt>
                <c:pt idx="42">
                  <c:v>3.1025999999999998</c:v>
                </c:pt>
                <c:pt idx="43">
                  <c:v>3.0941999999999998</c:v>
                </c:pt>
                <c:pt idx="44">
                  <c:v>3.0804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366511472"/>
        <c:axId val="366512032"/>
      </c:stockChart>
      <c:catAx>
        <c:axId val="366511472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6512032"/>
        <c:crosses val="autoZero"/>
        <c:auto val="0"/>
        <c:lblAlgn val="ctr"/>
        <c:lblOffset val="100"/>
        <c:tickLblSkip val="5"/>
        <c:noMultiLvlLbl val="0"/>
      </c:catAx>
      <c:valAx>
        <c:axId val="3665120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651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72848748110979E-2"/>
          <c:y val="0.18245565458163884"/>
          <c:w val="0.92232715125188902"/>
          <c:h val="0.51396467333475204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 flip="none" rotWithShape="1">
              <a:gsLst>
                <a:gs pos="0">
                  <a:srgbClr val="002060"/>
                </a:gs>
                <a:gs pos="56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'NGE Winter Summer Strps'!$K$6:$O$6</c:f>
              <c:strCache>
                <c:ptCount val="5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</c:strCache>
            </c:strRef>
          </c:cat>
          <c:val>
            <c:numRef>
              <c:f>RollData!$G$3:$G$7</c:f>
              <c:numCache>
                <c:formatCode>0.00</c:formatCode>
                <c:ptCount val="5"/>
                <c:pt idx="0">
                  <c:v>-0.2979999999999996</c:v>
                </c:pt>
                <c:pt idx="1">
                  <c:v>-0.26600000000000001</c:v>
                </c:pt>
                <c:pt idx="2">
                  <c:v>-0.23899999999999988</c:v>
                </c:pt>
                <c:pt idx="3">
                  <c:v>-0.23099999999999987</c:v>
                </c:pt>
                <c:pt idx="4">
                  <c:v>-0.21699999999999964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overlap val="60"/>
        <c:axId val="366514832"/>
        <c:axId val="359910352"/>
      </c:barChart>
      <c:catAx>
        <c:axId val="36651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59910352"/>
        <c:crosses val="autoZero"/>
        <c:auto val="1"/>
        <c:lblAlgn val="ctr"/>
        <c:lblOffset val="100"/>
        <c:noMultiLvlLbl val="0"/>
      </c:catAx>
      <c:valAx>
        <c:axId val="35991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651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634570013887907E-2"/>
          <c:y val="3.8903625110521665E-2"/>
          <c:w val="0.88226561365927914"/>
          <c:h val="0.8684940187647189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ChartData!$O$2:$O$36</c:f>
              <c:numCache>
                <c:formatCode>m/d/yyyy</c:formatCode>
                <c:ptCount val="3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</c:numCache>
            </c:numRef>
          </c:cat>
          <c:val>
            <c:numRef>
              <c:f>ChartData!$P$2:$P$36</c:f>
              <c:numCache>
                <c:formatCode>0.000</c:formatCode>
                <c:ptCount val="35"/>
                <c:pt idx="0">
                  <c:v>2.9404285699999999</c:v>
                </c:pt>
                <c:pt idx="1">
                  <c:v>2.9444285699999999</c:v>
                </c:pt>
                <c:pt idx="2">
                  <c:v>2.91471429</c:v>
                </c:pt>
                <c:pt idx="3">
                  <c:v>2.9148571400000001</c:v>
                </c:pt>
                <c:pt idx="4">
                  <c:v>2.9342857100000002</c:v>
                </c:pt>
                <c:pt idx="5">
                  <c:v>2.94385714</c:v>
                </c:pt>
                <c:pt idx="6">
                  <c:v>2.9504285700000001</c:v>
                </c:pt>
                <c:pt idx="7">
                  <c:v>2.9374285699999998</c:v>
                </c:pt>
                <c:pt idx="8">
                  <c:v>2.9331428599999998</c:v>
                </c:pt>
                <c:pt idx="9">
                  <c:v>2.9411428599999998</c:v>
                </c:pt>
                <c:pt idx="10">
                  <c:v>2.9365714299999999</c:v>
                </c:pt>
                <c:pt idx="11">
                  <c:v>2.9767142899999999</c:v>
                </c:pt>
                <c:pt idx="12">
                  <c:v>2.9742857100000002</c:v>
                </c:pt>
                <c:pt idx="13">
                  <c:v>2.9754285700000001</c:v>
                </c:pt>
                <c:pt idx="14">
                  <c:v>2.9648571399999999</c:v>
                </c:pt>
                <c:pt idx="15">
                  <c:v>2.9532857099999998</c:v>
                </c:pt>
                <c:pt idx="16">
                  <c:v>2.9561428599999999</c:v>
                </c:pt>
                <c:pt idx="17">
                  <c:v>2.9467142900000001</c:v>
                </c:pt>
                <c:pt idx="18">
                  <c:v>2.9378571400000002</c:v>
                </c:pt>
                <c:pt idx="19">
                  <c:v>2.9159999999999999</c:v>
                </c:pt>
                <c:pt idx="20">
                  <c:v>2.93128571</c:v>
                </c:pt>
                <c:pt idx="21">
                  <c:v>2.9267142900000001</c:v>
                </c:pt>
                <c:pt idx="22">
                  <c:v>2.91128571</c:v>
                </c:pt>
                <c:pt idx="23">
                  <c:v>2.9264285700000001</c:v>
                </c:pt>
                <c:pt idx="24">
                  <c:v>2.9157142899999999</c:v>
                </c:pt>
                <c:pt idx="25">
                  <c:v>2.8964285699999999</c:v>
                </c:pt>
                <c:pt idx="26">
                  <c:v>2.9011428600000002</c:v>
                </c:pt>
                <c:pt idx="27">
                  <c:v>2.90357143</c:v>
                </c:pt>
                <c:pt idx="28">
                  <c:v>2.8901428600000001</c:v>
                </c:pt>
                <c:pt idx="29">
                  <c:v>2.90271429</c:v>
                </c:pt>
                <c:pt idx="30">
                  <c:v>2.9051428600000002</c:v>
                </c:pt>
                <c:pt idx="31">
                  <c:v>2.9024285700000001</c:v>
                </c:pt>
                <c:pt idx="32">
                  <c:v>2.89942857</c:v>
                </c:pt>
                <c:pt idx="33">
                  <c:v>2.8841428599999999</c:v>
                </c:pt>
                <c:pt idx="34">
                  <c:v>2.8815714300000002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ChartData!$O$2:$O$36</c:f>
              <c:numCache>
                <c:formatCode>m/d/yyyy</c:formatCode>
                <c:ptCount val="3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</c:numCache>
            </c:numRef>
          </c:cat>
          <c:val>
            <c:numRef>
              <c:f>ChartData!$Q$2:$Q$36</c:f>
              <c:numCache>
                <c:formatCode>0.000</c:formatCode>
                <c:ptCount val="35"/>
                <c:pt idx="0">
                  <c:v>2.9427142900000001</c:v>
                </c:pt>
                <c:pt idx="1">
                  <c:v>2.96428571</c:v>
                </c:pt>
                <c:pt idx="2">
                  <c:v>2.9561428599999999</c:v>
                </c:pt>
                <c:pt idx="3">
                  <c:v>2.9217142900000002</c:v>
                </c:pt>
                <c:pt idx="4">
                  <c:v>2.9367142899999998</c:v>
                </c:pt>
                <c:pt idx="5">
                  <c:v>2.944</c:v>
                </c:pt>
                <c:pt idx="6">
                  <c:v>2.9604285699999999</c:v>
                </c:pt>
                <c:pt idx="7">
                  <c:v>2.95914286</c:v>
                </c:pt>
                <c:pt idx="8">
                  <c:v>2.9428571400000001</c:v>
                </c:pt>
                <c:pt idx="9">
                  <c:v>2.9535714300000002</c:v>
                </c:pt>
                <c:pt idx="10">
                  <c:v>2.9521428599999999</c:v>
                </c:pt>
                <c:pt idx="11">
                  <c:v>2.9767142899999999</c:v>
                </c:pt>
                <c:pt idx="12">
                  <c:v>2.984</c:v>
                </c:pt>
                <c:pt idx="13">
                  <c:v>2.9809999999999999</c:v>
                </c:pt>
                <c:pt idx="14">
                  <c:v>2.9861428600000002</c:v>
                </c:pt>
                <c:pt idx="15">
                  <c:v>2.9620000000000002</c:v>
                </c:pt>
                <c:pt idx="16">
                  <c:v>2.9658571399999998</c:v>
                </c:pt>
                <c:pt idx="17">
                  <c:v>2.9687142899999999</c:v>
                </c:pt>
                <c:pt idx="18">
                  <c:v>2.9645714299999999</c:v>
                </c:pt>
                <c:pt idx="19">
                  <c:v>2.94371429</c:v>
                </c:pt>
                <c:pt idx="20">
                  <c:v>2.93128571</c:v>
                </c:pt>
                <c:pt idx="21">
                  <c:v>2.9321428599999999</c:v>
                </c:pt>
                <c:pt idx="22">
                  <c:v>2.9285714299999999</c:v>
                </c:pt>
                <c:pt idx="23">
                  <c:v>2.9327142899999998</c:v>
                </c:pt>
                <c:pt idx="24">
                  <c:v>2.9361428599999999</c:v>
                </c:pt>
                <c:pt idx="25">
                  <c:v>2.92328571</c:v>
                </c:pt>
                <c:pt idx="26">
                  <c:v>2.90314286</c:v>
                </c:pt>
                <c:pt idx="27">
                  <c:v>2.9121428599999999</c:v>
                </c:pt>
                <c:pt idx="28">
                  <c:v>2.91185714</c:v>
                </c:pt>
                <c:pt idx="29">
                  <c:v>2.90271429</c:v>
                </c:pt>
                <c:pt idx="30">
                  <c:v>2.9142857100000001</c:v>
                </c:pt>
                <c:pt idx="31">
                  <c:v>2.9052857099999998</c:v>
                </c:pt>
                <c:pt idx="32">
                  <c:v>2.91557143</c:v>
                </c:pt>
                <c:pt idx="33">
                  <c:v>2.9052857099999998</c:v>
                </c:pt>
                <c:pt idx="34">
                  <c:v>2.8881428599999999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ChartData!$O$2:$O$36</c:f>
              <c:numCache>
                <c:formatCode>m/d/yyyy</c:formatCode>
                <c:ptCount val="3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</c:numCache>
            </c:numRef>
          </c:cat>
          <c:val>
            <c:numRef>
              <c:f>ChartData!$R$2:$R$36</c:f>
              <c:numCache>
                <c:formatCode>0.000</c:formatCode>
                <c:ptCount val="35"/>
                <c:pt idx="0">
                  <c:v>2.9347142900000001</c:v>
                </c:pt>
                <c:pt idx="1">
                  <c:v>2.9402857099999999</c:v>
                </c:pt>
                <c:pt idx="2">
                  <c:v>2.91471429</c:v>
                </c:pt>
                <c:pt idx="3">
                  <c:v>2.9009999999999998</c:v>
                </c:pt>
                <c:pt idx="4">
                  <c:v>2.8958571399999999</c:v>
                </c:pt>
                <c:pt idx="5">
                  <c:v>2.9302857100000002</c:v>
                </c:pt>
                <c:pt idx="6">
                  <c:v>2.9368571399999999</c:v>
                </c:pt>
                <c:pt idx="7">
                  <c:v>2.93542857</c:v>
                </c:pt>
                <c:pt idx="8">
                  <c:v>2.9245714299999999</c:v>
                </c:pt>
                <c:pt idx="9">
                  <c:v>2.9292857099999998</c:v>
                </c:pt>
                <c:pt idx="10">
                  <c:v>2.9344285700000001</c:v>
                </c:pt>
                <c:pt idx="11">
                  <c:v>2.9317142899999999</c:v>
                </c:pt>
                <c:pt idx="12">
                  <c:v>2.9731428599999998</c:v>
                </c:pt>
                <c:pt idx="13">
                  <c:v>2.9651428599999998</c:v>
                </c:pt>
                <c:pt idx="14">
                  <c:v>2.9648571399999999</c:v>
                </c:pt>
                <c:pt idx="15">
                  <c:v>2.9421428600000001</c:v>
                </c:pt>
                <c:pt idx="16">
                  <c:v>2.9485714299999999</c:v>
                </c:pt>
                <c:pt idx="17">
                  <c:v>2.9467142900000001</c:v>
                </c:pt>
                <c:pt idx="18">
                  <c:v>2.9345714300000001</c:v>
                </c:pt>
                <c:pt idx="19">
                  <c:v>2.9159999999999999</c:v>
                </c:pt>
                <c:pt idx="20">
                  <c:v>2.9011428600000002</c:v>
                </c:pt>
                <c:pt idx="21">
                  <c:v>2.9145714300000001</c:v>
                </c:pt>
                <c:pt idx="22">
                  <c:v>2.9085714299999998</c:v>
                </c:pt>
                <c:pt idx="23">
                  <c:v>2.9022857100000001</c:v>
                </c:pt>
                <c:pt idx="24">
                  <c:v>2.9057142900000001</c:v>
                </c:pt>
                <c:pt idx="25">
                  <c:v>2.8782857100000001</c:v>
                </c:pt>
                <c:pt idx="26">
                  <c:v>2.8935714300000002</c:v>
                </c:pt>
                <c:pt idx="27">
                  <c:v>2.8985714300000001</c:v>
                </c:pt>
                <c:pt idx="28">
                  <c:v>2.8759999999999999</c:v>
                </c:pt>
                <c:pt idx="29">
                  <c:v>2.8755714299999999</c:v>
                </c:pt>
                <c:pt idx="30">
                  <c:v>2.8955714299999999</c:v>
                </c:pt>
                <c:pt idx="31">
                  <c:v>2.8887142899999998</c:v>
                </c:pt>
                <c:pt idx="32">
                  <c:v>2.8985714300000001</c:v>
                </c:pt>
                <c:pt idx="33">
                  <c:v>2.8759999999999999</c:v>
                </c:pt>
                <c:pt idx="34">
                  <c:v>2.8738571400000001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ChartData!$O$2:$O$36</c:f>
              <c:numCache>
                <c:formatCode>m/d/yyyy</c:formatCode>
                <c:ptCount val="3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</c:numCache>
            </c:numRef>
          </c:cat>
          <c:val>
            <c:numRef>
              <c:f>ChartData!$S$2:$S$36</c:f>
              <c:numCache>
                <c:formatCode>0.000</c:formatCode>
                <c:ptCount val="35"/>
                <c:pt idx="0">
                  <c:v>2.9378571400000002</c:v>
                </c:pt>
                <c:pt idx="1">
                  <c:v>2.9404285699999999</c:v>
                </c:pt>
                <c:pt idx="2">
                  <c:v>2.9444285699999999</c:v>
                </c:pt>
                <c:pt idx="3">
                  <c:v>2.91471429</c:v>
                </c:pt>
                <c:pt idx="4">
                  <c:v>2.9148571400000001</c:v>
                </c:pt>
                <c:pt idx="5">
                  <c:v>2.93142857</c:v>
                </c:pt>
                <c:pt idx="6">
                  <c:v>2.9407142899999998</c:v>
                </c:pt>
                <c:pt idx="7">
                  <c:v>2.9504285700000001</c:v>
                </c:pt>
                <c:pt idx="8">
                  <c:v>2.9374285699999998</c:v>
                </c:pt>
                <c:pt idx="9">
                  <c:v>2.9331428599999998</c:v>
                </c:pt>
                <c:pt idx="10">
                  <c:v>2.9420000000000002</c:v>
                </c:pt>
                <c:pt idx="11">
                  <c:v>2.9365714299999999</c:v>
                </c:pt>
                <c:pt idx="12">
                  <c:v>2.9767142899999999</c:v>
                </c:pt>
                <c:pt idx="13">
                  <c:v>2.9742857100000002</c:v>
                </c:pt>
                <c:pt idx="14">
                  <c:v>2.9754285700000001</c:v>
                </c:pt>
                <c:pt idx="15">
                  <c:v>2.9604285699999999</c:v>
                </c:pt>
                <c:pt idx="16">
                  <c:v>2.9532857099999998</c:v>
                </c:pt>
                <c:pt idx="17">
                  <c:v>2.9561428599999999</c:v>
                </c:pt>
                <c:pt idx="18">
                  <c:v>2.9467142900000001</c:v>
                </c:pt>
                <c:pt idx="19">
                  <c:v>2.9378571400000002</c:v>
                </c:pt>
                <c:pt idx="20">
                  <c:v>2.9142857100000001</c:v>
                </c:pt>
                <c:pt idx="21">
                  <c:v>2.93128571</c:v>
                </c:pt>
                <c:pt idx="22">
                  <c:v>2.9267142900000001</c:v>
                </c:pt>
                <c:pt idx="23">
                  <c:v>2.91128571</c:v>
                </c:pt>
                <c:pt idx="24">
                  <c:v>2.9264285700000001</c:v>
                </c:pt>
                <c:pt idx="25">
                  <c:v>2.9157142899999999</c:v>
                </c:pt>
                <c:pt idx="26">
                  <c:v>2.8964285699999999</c:v>
                </c:pt>
                <c:pt idx="27">
                  <c:v>2.9004285699999999</c:v>
                </c:pt>
                <c:pt idx="28">
                  <c:v>2.90357143</c:v>
                </c:pt>
                <c:pt idx="29">
                  <c:v>2.8888571399999998</c:v>
                </c:pt>
                <c:pt idx="30">
                  <c:v>2.90271429</c:v>
                </c:pt>
                <c:pt idx="31">
                  <c:v>2.9051428600000002</c:v>
                </c:pt>
                <c:pt idx="32">
                  <c:v>2.9024285700000001</c:v>
                </c:pt>
                <c:pt idx="33">
                  <c:v>2.89942857</c:v>
                </c:pt>
                <c:pt idx="34">
                  <c:v>2.8841428599999999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359914272"/>
        <c:axId val="359914832"/>
      </c:stockChart>
      <c:catAx>
        <c:axId val="359914272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59914832"/>
        <c:crosses val="autoZero"/>
        <c:auto val="0"/>
        <c:lblAlgn val="ctr"/>
        <c:lblOffset val="100"/>
        <c:tickLblSkip val="5"/>
        <c:noMultiLvlLbl val="0"/>
      </c:catAx>
      <c:valAx>
        <c:axId val="359914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5991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055779964869842E-2"/>
          <c:y val="3.5291779225355292E-2"/>
          <c:w val="0.96194422003513014"/>
          <c:h val="0.85275179732968143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'NGE Winter Summer Strps'!$K$19:$Q$19</c:f>
              <c:strCache>
                <c:ptCount val="7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</c:strCache>
            </c:strRef>
          </c:cat>
          <c:val>
            <c:numRef>
              <c:f>'NGE Winter Summer Strps'!$W$22:$AC$22</c:f>
              <c:numCache>
                <c:formatCode>0.000</c:formatCode>
                <c:ptCount val="7"/>
                <c:pt idx="0">
                  <c:v>2.9250000000000003</c:v>
                </c:pt>
                <c:pt idx="1">
                  <c:v>2.9020000000000001</c:v>
                </c:pt>
                <c:pt idx="2">
                  <c:v>2.931</c:v>
                </c:pt>
                <c:pt idx="3">
                  <c:v>2.9580000000000002</c:v>
                </c:pt>
                <c:pt idx="4">
                  <c:v>2.96</c:v>
                </c:pt>
                <c:pt idx="5">
                  <c:v>2.9420000000000002</c:v>
                </c:pt>
                <c:pt idx="6">
                  <c:v>2.9670000000000001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'NGE Winter Summer Strps'!$K$19:$Q$19</c:f>
              <c:strCache>
                <c:ptCount val="7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</c:strCache>
            </c:strRef>
          </c:cat>
          <c:val>
            <c:numRef>
              <c:f>RollData!$E$16:$E$22</c:f>
              <c:numCache>
                <c:formatCode>0.000</c:formatCode>
                <c:ptCount val="7"/>
                <c:pt idx="0">
                  <c:v>2.9860000000000002</c:v>
                </c:pt>
                <c:pt idx="1">
                  <c:v>2.9470000000000001</c:v>
                </c:pt>
                <c:pt idx="2">
                  <c:v>2.97</c:v>
                </c:pt>
                <c:pt idx="3">
                  <c:v>2.9929999999999999</c:v>
                </c:pt>
                <c:pt idx="4">
                  <c:v>2.9950000000000001</c:v>
                </c:pt>
                <c:pt idx="5">
                  <c:v>2.9740000000000002</c:v>
                </c:pt>
                <c:pt idx="6">
                  <c:v>2.9950000000000001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918192"/>
        <c:axId val="359918752"/>
      </c:lineChart>
      <c:catAx>
        <c:axId val="35991819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359918752"/>
        <c:crosses val="autoZero"/>
        <c:auto val="1"/>
        <c:lblAlgn val="ctr"/>
        <c:lblOffset val="100"/>
        <c:noMultiLvlLbl val="0"/>
      </c:catAx>
      <c:valAx>
        <c:axId val="35991875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359918192"/>
        <c:crosses val="autoZero"/>
        <c:crossBetween val="between"/>
      </c:valAx>
      <c:spPr>
        <a:noFill/>
        <a:ln w="254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49428525907105E-2"/>
          <c:y val="3.197351045372112E-2"/>
          <c:w val="0.96356259381315357"/>
          <c:h val="0.65220785018470839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'NGE2'!$AI$2:$AI$13</c:f>
              <c:strCache>
                <c:ptCount val="12"/>
                <c:pt idx="0">
                  <c:v>Nov 17, Jan 18</c:v>
                </c:pt>
                <c:pt idx="1">
                  <c:v>Dec 17, Feb 18</c:v>
                </c:pt>
                <c:pt idx="2">
                  <c:v>Jan 18, Mar 18</c:v>
                </c:pt>
                <c:pt idx="3">
                  <c:v>Feb 18, Apr 18</c:v>
                </c:pt>
                <c:pt idx="4">
                  <c:v>Mar 18, May 18</c:v>
                </c:pt>
                <c:pt idx="5">
                  <c:v>Apr 18, Jun 18</c:v>
                </c:pt>
                <c:pt idx="6">
                  <c:v>May 18, Jul 18</c:v>
                </c:pt>
                <c:pt idx="7">
                  <c:v>Jun 18, Aug 18</c:v>
                </c:pt>
                <c:pt idx="8">
                  <c:v>Jul 18, Sep 18</c:v>
                </c:pt>
                <c:pt idx="9">
                  <c:v>Aug 18, Oct 18</c:v>
                </c:pt>
                <c:pt idx="10">
                  <c:v>Sep 18, Nov 18</c:v>
                </c:pt>
                <c:pt idx="11">
                  <c:v>Oct 18, Dec 18</c:v>
                </c:pt>
              </c:strCache>
            </c:strRef>
          </c:cat>
          <c:val>
            <c:numRef>
              <c:f>'NGE2'!$AG$2:$AG$13</c:f>
              <c:numCache>
                <c:formatCode>General</c:formatCode>
                <c:ptCount val="12"/>
                <c:pt idx="0">
                  <c:v>-0.3</c:v>
                </c:pt>
                <c:pt idx="1">
                  <c:v>-0.13100000000000001</c:v>
                </c:pt>
                <c:pt idx="2">
                  <c:v>3.3000000000000002E-2</c:v>
                </c:pt>
                <c:pt idx="3">
                  <c:v>0.27700000000000002</c:v>
                </c:pt>
                <c:pt idx="4">
                  <c:v>0.26300000000000001</c:v>
                </c:pt>
                <c:pt idx="5">
                  <c:v>-5.0000000000000001E-3</c:v>
                </c:pt>
                <c:pt idx="6">
                  <c:v>-5.6000000000000001E-2</c:v>
                </c:pt>
                <c:pt idx="7">
                  <c:v>-0.03</c:v>
                </c:pt>
                <c:pt idx="8">
                  <c:v>1.4999999999999999E-2</c:v>
                </c:pt>
                <c:pt idx="9">
                  <c:v>-5.0000000000000001E-3</c:v>
                </c:pt>
                <c:pt idx="10">
                  <c:v>-7.6499999999999999E-2</c:v>
                </c:pt>
                <c:pt idx="11">
                  <c:v>-0.19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9C-4BA7-BE1B-846F9E24BE3A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'NGE2'!$AI$2:$AI$13</c:f>
              <c:strCache>
                <c:ptCount val="12"/>
                <c:pt idx="0">
                  <c:v>Nov 17, Jan 18</c:v>
                </c:pt>
                <c:pt idx="1">
                  <c:v>Dec 17, Feb 18</c:v>
                </c:pt>
                <c:pt idx="2">
                  <c:v>Jan 18, Mar 18</c:v>
                </c:pt>
                <c:pt idx="3">
                  <c:v>Feb 18, Apr 18</c:v>
                </c:pt>
                <c:pt idx="4">
                  <c:v>Mar 18, May 18</c:v>
                </c:pt>
                <c:pt idx="5">
                  <c:v>Apr 18, Jun 18</c:v>
                </c:pt>
                <c:pt idx="6">
                  <c:v>May 18, Jul 18</c:v>
                </c:pt>
                <c:pt idx="7">
                  <c:v>Jun 18, Aug 18</c:v>
                </c:pt>
                <c:pt idx="8">
                  <c:v>Jul 18, Sep 18</c:v>
                </c:pt>
                <c:pt idx="9">
                  <c:v>Aug 18, Oct 18</c:v>
                </c:pt>
                <c:pt idx="10">
                  <c:v>Sep 18, Nov 18</c:v>
                </c:pt>
                <c:pt idx="11">
                  <c:v>Oct 18, Dec 18</c:v>
                </c:pt>
              </c:strCache>
            </c:strRef>
          </c:cat>
          <c:val>
            <c:numRef>
              <c:f>'NGE2'!$K$16:$K$27</c:f>
              <c:numCache>
                <c:formatCode>General</c:formatCode>
                <c:ptCount val="12"/>
                <c:pt idx="0">
                  <c:v>-0.24399999999999999</c:v>
                </c:pt>
                <c:pt idx="1">
                  <c:v>-9.9000000000000005E-2</c:v>
                </c:pt>
                <c:pt idx="2">
                  <c:v>5.0999999999999997E-2</c:v>
                </c:pt>
                <c:pt idx="3">
                  <c:v>0.41</c:v>
                </c:pt>
                <c:pt idx="4">
                  <c:v>0.39800000000000002</c:v>
                </c:pt>
                <c:pt idx="5">
                  <c:v>1.4E-2</c:v>
                </c:pt>
                <c:pt idx="6">
                  <c:v>-4.8000000000000001E-2</c:v>
                </c:pt>
                <c:pt idx="7">
                  <c:v>-2.7E-2</c:v>
                </c:pt>
                <c:pt idx="8">
                  <c:v>0.02</c:v>
                </c:pt>
                <c:pt idx="9">
                  <c:v>1E-3</c:v>
                </c:pt>
                <c:pt idx="10">
                  <c:v>-7.0999999999999994E-2</c:v>
                </c:pt>
                <c:pt idx="11">
                  <c:v>-0.18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9C-4BA7-BE1B-846F9E24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85104"/>
        <c:axId val="364885664"/>
        <c:extLst xmlns:c16r2="http://schemas.microsoft.com/office/drawing/2015/06/chart"/>
      </c:lineChart>
      <c:catAx>
        <c:axId val="36488510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364885664"/>
        <c:crosses val="autoZero"/>
        <c:auto val="1"/>
        <c:lblAlgn val="ctr"/>
        <c:lblOffset val="100"/>
        <c:noMultiLvlLbl val="0"/>
      </c:catAx>
      <c:valAx>
        <c:axId val="364885664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364885104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260703610786817E-2"/>
          <c:y val="0.18245565458163884"/>
          <c:w val="0.93073929638921316"/>
          <c:h val="0.51396467333475204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56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'NGE Winter Summer Strps'!$K$19:$Q$19</c:f>
              <c:strCache>
                <c:ptCount val="7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</c:strCache>
            </c:strRef>
          </c:cat>
          <c:val>
            <c:numRef>
              <c:f>RollData!$G$16:$G$22</c:f>
              <c:numCache>
                <c:formatCode>0.00</c:formatCode>
                <c:ptCount val="7"/>
                <c:pt idx="0">
                  <c:v>-6.0999999999999943E-2</c:v>
                </c:pt>
                <c:pt idx="1">
                  <c:v>-4.4999999999999929E-2</c:v>
                </c:pt>
                <c:pt idx="2">
                  <c:v>-3.9000000000000146E-2</c:v>
                </c:pt>
                <c:pt idx="3">
                  <c:v>-3.4999999999999698E-2</c:v>
                </c:pt>
                <c:pt idx="4">
                  <c:v>-3.5000000000000142E-2</c:v>
                </c:pt>
                <c:pt idx="5">
                  <c:v>-3.2000000000000028E-2</c:v>
                </c:pt>
                <c:pt idx="6">
                  <c:v>-2.8000000000000025E-2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overlap val="60"/>
        <c:axId val="359920992"/>
        <c:axId val="359921552"/>
      </c:barChart>
      <c:catAx>
        <c:axId val="35992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59921552"/>
        <c:crosses val="autoZero"/>
        <c:auto val="1"/>
        <c:lblAlgn val="ctr"/>
        <c:lblOffset val="200"/>
        <c:noMultiLvlLbl val="0"/>
      </c:catAx>
      <c:valAx>
        <c:axId val="35992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5992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055779964869842E-2"/>
          <c:y val="3.5291779225355292E-2"/>
          <c:w val="0.96194422003513014"/>
          <c:h val="0.7078242518969875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'NGE Winter Summer Strps'!$K$34:$O$34</c:f>
              <c:strCache>
                <c:ptCount val="5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</c:strCache>
            </c:strRef>
          </c:cat>
          <c:val>
            <c:numRef>
              <c:f>'NGE Winter Summer Strps'!$W$37:$AA$37</c:f>
              <c:numCache>
                <c:formatCode>0.000</c:formatCode>
                <c:ptCount val="5"/>
                <c:pt idx="0">
                  <c:v>3.0209999999999999</c:v>
                </c:pt>
                <c:pt idx="1">
                  <c:v>3.15</c:v>
                </c:pt>
                <c:pt idx="2">
                  <c:v>3.2410000000000001</c:v>
                </c:pt>
                <c:pt idx="3">
                  <c:v>3.2155</c:v>
                </c:pt>
                <c:pt idx="4">
                  <c:v>3.1435000000000004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'NGE Winter Summer Strps'!$K$34:$O$34</c:f>
              <c:strCache>
                <c:ptCount val="5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</c:strCache>
            </c:strRef>
          </c:cat>
          <c:val>
            <c:numRef>
              <c:f>RollData!$E$28:$E$32</c:f>
              <c:numCache>
                <c:formatCode>0.000</c:formatCode>
                <c:ptCount val="5"/>
                <c:pt idx="0">
                  <c:v>3.044</c:v>
                </c:pt>
                <c:pt idx="1">
                  <c:v>3.177</c:v>
                </c:pt>
                <c:pt idx="2">
                  <c:v>3.2639999999999998</c:v>
                </c:pt>
                <c:pt idx="3">
                  <c:v>3.2440000000000002</c:v>
                </c:pt>
                <c:pt idx="4">
                  <c:v>3.1789999999999998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924352"/>
        <c:axId val="359924912"/>
      </c:lineChart>
      <c:catAx>
        <c:axId val="35992435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359924912"/>
        <c:crosses val="autoZero"/>
        <c:auto val="1"/>
        <c:lblAlgn val="ctr"/>
        <c:lblOffset val="100"/>
        <c:noMultiLvlLbl val="0"/>
      </c:catAx>
      <c:valAx>
        <c:axId val="35992491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359924352"/>
        <c:crosses val="autoZero"/>
        <c:crossBetween val="between"/>
      </c:valAx>
      <c:spPr>
        <a:noFill/>
        <a:ln w="254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634570013887907E-2"/>
          <c:y val="3.8903625110521665E-2"/>
          <c:w val="0.88226561365927914"/>
          <c:h val="0.8684940187647189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ChartData!$W$2:$W$46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ChartData!$X$2:$X$46</c:f>
              <c:numCache>
                <c:formatCode>0.000</c:formatCode>
                <c:ptCount val="45"/>
                <c:pt idx="0">
                  <c:v>3.1614</c:v>
                </c:pt>
                <c:pt idx="1">
                  <c:v>3.1623999999999999</c:v>
                </c:pt>
                <c:pt idx="2">
                  <c:v>3.1301999999999999</c:v>
                </c:pt>
                <c:pt idx="3">
                  <c:v>3.1269999999999998</c:v>
                </c:pt>
                <c:pt idx="4">
                  <c:v>3.1394000000000002</c:v>
                </c:pt>
                <c:pt idx="5">
                  <c:v>3.1427999999999998</c:v>
                </c:pt>
                <c:pt idx="6">
                  <c:v>3.1496</c:v>
                </c:pt>
                <c:pt idx="7">
                  <c:v>3.141</c:v>
                </c:pt>
                <c:pt idx="8">
                  <c:v>3.1345999999999998</c:v>
                </c:pt>
                <c:pt idx="9">
                  <c:v>3.1514000000000002</c:v>
                </c:pt>
                <c:pt idx="10">
                  <c:v>3.1432000000000002</c:v>
                </c:pt>
                <c:pt idx="11">
                  <c:v>3.1829999999999998</c:v>
                </c:pt>
                <c:pt idx="12">
                  <c:v>3.1796000000000002</c:v>
                </c:pt>
                <c:pt idx="13">
                  <c:v>3.1804000000000001</c:v>
                </c:pt>
                <c:pt idx="14">
                  <c:v>3.1692</c:v>
                </c:pt>
                <c:pt idx="15">
                  <c:v>3.1509999999999998</c:v>
                </c:pt>
                <c:pt idx="16">
                  <c:v>3.1516000000000002</c:v>
                </c:pt>
                <c:pt idx="17">
                  <c:v>3.14</c:v>
                </c:pt>
                <c:pt idx="18">
                  <c:v>3.1316000000000002</c:v>
                </c:pt>
                <c:pt idx="19">
                  <c:v>3.1103999999999998</c:v>
                </c:pt>
                <c:pt idx="20">
                  <c:v>3.1236000000000002</c:v>
                </c:pt>
                <c:pt idx="21">
                  <c:v>3.1160000000000001</c:v>
                </c:pt>
                <c:pt idx="22">
                  <c:v>3.1038000000000001</c:v>
                </c:pt>
                <c:pt idx="23">
                  <c:v>3.1225999999999998</c:v>
                </c:pt>
                <c:pt idx="24">
                  <c:v>3.1038000000000001</c:v>
                </c:pt>
                <c:pt idx="25">
                  <c:v>3.09</c:v>
                </c:pt>
                <c:pt idx="26">
                  <c:v>3.0901999999999998</c:v>
                </c:pt>
                <c:pt idx="27">
                  <c:v>3.0920000000000001</c:v>
                </c:pt>
                <c:pt idx="28">
                  <c:v>3.0785999999999998</c:v>
                </c:pt>
                <c:pt idx="29">
                  <c:v>3.0886</c:v>
                </c:pt>
                <c:pt idx="30">
                  <c:v>3.0926</c:v>
                </c:pt>
                <c:pt idx="31">
                  <c:v>3.09</c:v>
                </c:pt>
                <c:pt idx="32">
                  <c:v>3.0914000000000001</c:v>
                </c:pt>
                <c:pt idx="33">
                  <c:v>3.0768</c:v>
                </c:pt>
                <c:pt idx="34">
                  <c:v>3.073</c:v>
                </c:pt>
                <c:pt idx="35">
                  <c:v>3.0731999999999999</c:v>
                </c:pt>
                <c:pt idx="36">
                  <c:v>3.0781999999999998</c:v>
                </c:pt>
                <c:pt idx="37">
                  <c:v>3.0977999999999999</c:v>
                </c:pt>
                <c:pt idx="38">
                  <c:v>3.0935999999999999</c:v>
                </c:pt>
                <c:pt idx="39">
                  <c:v>3.09</c:v>
                </c:pt>
                <c:pt idx="40">
                  <c:v>3.0739999999999998</c:v>
                </c:pt>
                <c:pt idx="41">
                  <c:v>3.0676000000000001</c:v>
                </c:pt>
                <c:pt idx="42">
                  <c:v>3.0526</c:v>
                </c:pt>
                <c:pt idx="43">
                  <c:v>3.0491999999999999</c:v>
                </c:pt>
                <c:pt idx="44">
                  <c:v>3.0594000000000001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ChartData!$W$2:$W$46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ChartData!$Y$2:$Y$46</c:f>
              <c:numCache>
                <c:formatCode>0.000</c:formatCode>
                <c:ptCount val="45"/>
                <c:pt idx="0">
                  <c:v>3.1614</c:v>
                </c:pt>
                <c:pt idx="1">
                  <c:v>3.1793999999999998</c:v>
                </c:pt>
                <c:pt idx="2">
                  <c:v>3.1634000000000002</c:v>
                </c:pt>
                <c:pt idx="3">
                  <c:v>3.1312000000000002</c:v>
                </c:pt>
                <c:pt idx="4">
                  <c:v>3.1394000000000002</c:v>
                </c:pt>
                <c:pt idx="5">
                  <c:v>3.1444000000000001</c:v>
                </c:pt>
                <c:pt idx="6">
                  <c:v>3.1534</c:v>
                </c:pt>
                <c:pt idx="7">
                  <c:v>3.1583999999999999</c:v>
                </c:pt>
                <c:pt idx="8">
                  <c:v>3.141</c:v>
                </c:pt>
                <c:pt idx="9">
                  <c:v>3.1514000000000002</c:v>
                </c:pt>
                <c:pt idx="10">
                  <c:v>3.1596000000000002</c:v>
                </c:pt>
                <c:pt idx="11">
                  <c:v>3.1829999999999998</c:v>
                </c:pt>
                <c:pt idx="12">
                  <c:v>3.1829999999999998</c:v>
                </c:pt>
                <c:pt idx="13">
                  <c:v>3.1838000000000002</c:v>
                </c:pt>
                <c:pt idx="14">
                  <c:v>3.1848000000000001</c:v>
                </c:pt>
                <c:pt idx="15">
                  <c:v>3.1692</c:v>
                </c:pt>
                <c:pt idx="16">
                  <c:v>3.1583999999999999</c:v>
                </c:pt>
                <c:pt idx="17">
                  <c:v>3.1587999999999998</c:v>
                </c:pt>
                <c:pt idx="18">
                  <c:v>3.1545999999999998</c:v>
                </c:pt>
                <c:pt idx="19">
                  <c:v>3.1394000000000002</c:v>
                </c:pt>
                <c:pt idx="20">
                  <c:v>3.1242000000000001</c:v>
                </c:pt>
                <c:pt idx="21">
                  <c:v>3.1236000000000002</c:v>
                </c:pt>
                <c:pt idx="22">
                  <c:v>3.1173999999999999</c:v>
                </c:pt>
                <c:pt idx="23">
                  <c:v>3.1225999999999998</c:v>
                </c:pt>
                <c:pt idx="24">
                  <c:v>3.1225999999999998</c:v>
                </c:pt>
                <c:pt idx="25">
                  <c:v>3.1105999999999998</c:v>
                </c:pt>
                <c:pt idx="26">
                  <c:v>3.0972</c:v>
                </c:pt>
                <c:pt idx="27">
                  <c:v>3.1</c:v>
                </c:pt>
                <c:pt idx="28">
                  <c:v>3.0926</c:v>
                </c:pt>
                <c:pt idx="29">
                  <c:v>3.0886</c:v>
                </c:pt>
                <c:pt idx="30">
                  <c:v>3.0973999999999999</c:v>
                </c:pt>
                <c:pt idx="31">
                  <c:v>3.0931999999999999</c:v>
                </c:pt>
                <c:pt idx="32">
                  <c:v>3.0985999999999998</c:v>
                </c:pt>
                <c:pt idx="33">
                  <c:v>3.0928</c:v>
                </c:pt>
                <c:pt idx="34">
                  <c:v>3.0806</c:v>
                </c:pt>
                <c:pt idx="35">
                  <c:v>3.0796000000000001</c:v>
                </c:pt>
                <c:pt idx="36">
                  <c:v>3.0781999999999998</c:v>
                </c:pt>
                <c:pt idx="37">
                  <c:v>3.0985999999999998</c:v>
                </c:pt>
                <c:pt idx="38">
                  <c:v>3.1013999999999999</c:v>
                </c:pt>
                <c:pt idx="39">
                  <c:v>3.0958000000000001</c:v>
                </c:pt>
                <c:pt idx="40">
                  <c:v>3.0920000000000001</c:v>
                </c:pt>
                <c:pt idx="41">
                  <c:v>3.0792000000000002</c:v>
                </c:pt>
                <c:pt idx="42">
                  <c:v>3.0720000000000001</c:v>
                </c:pt>
                <c:pt idx="43">
                  <c:v>3.0602</c:v>
                </c:pt>
                <c:pt idx="44">
                  <c:v>3.0594000000000001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ChartData!$W$2:$W$46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ChartData!$Z$2:$Z$46</c:f>
              <c:numCache>
                <c:formatCode>0.000</c:formatCode>
                <c:ptCount val="45"/>
                <c:pt idx="0">
                  <c:v>3.1558000000000002</c:v>
                </c:pt>
                <c:pt idx="1">
                  <c:v>3.1608000000000001</c:v>
                </c:pt>
                <c:pt idx="2">
                  <c:v>3.1301999999999999</c:v>
                </c:pt>
                <c:pt idx="3">
                  <c:v>3.1181999999999999</c:v>
                </c:pt>
                <c:pt idx="4">
                  <c:v>3.1042000000000001</c:v>
                </c:pt>
                <c:pt idx="5">
                  <c:v>3.1356000000000002</c:v>
                </c:pt>
                <c:pt idx="6">
                  <c:v>3.1414</c:v>
                </c:pt>
                <c:pt idx="7">
                  <c:v>3.141</c:v>
                </c:pt>
                <c:pt idx="8">
                  <c:v>3.1261999999999999</c:v>
                </c:pt>
                <c:pt idx="9">
                  <c:v>3.1328</c:v>
                </c:pt>
                <c:pt idx="10">
                  <c:v>3.1419999999999999</c:v>
                </c:pt>
                <c:pt idx="11">
                  <c:v>3.1362000000000001</c:v>
                </c:pt>
                <c:pt idx="12">
                  <c:v>3.1774</c:v>
                </c:pt>
                <c:pt idx="13">
                  <c:v>3.1692</c:v>
                </c:pt>
                <c:pt idx="14">
                  <c:v>3.1692</c:v>
                </c:pt>
                <c:pt idx="15">
                  <c:v>3.1421999999999999</c:v>
                </c:pt>
                <c:pt idx="16">
                  <c:v>3.1434000000000002</c:v>
                </c:pt>
                <c:pt idx="17">
                  <c:v>3.14</c:v>
                </c:pt>
                <c:pt idx="18">
                  <c:v>3.1316000000000002</c:v>
                </c:pt>
                <c:pt idx="19">
                  <c:v>3.1103999999999998</c:v>
                </c:pt>
                <c:pt idx="20">
                  <c:v>3.101</c:v>
                </c:pt>
                <c:pt idx="21">
                  <c:v>3.1086</c:v>
                </c:pt>
                <c:pt idx="22">
                  <c:v>3.1038000000000001</c:v>
                </c:pt>
                <c:pt idx="23">
                  <c:v>3.0933999999999999</c:v>
                </c:pt>
                <c:pt idx="24">
                  <c:v>3.0895999999999999</c:v>
                </c:pt>
                <c:pt idx="25">
                  <c:v>3.0802</c:v>
                </c:pt>
                <c:pt idx="26">
                  <c:v>3.0868000000000002</c:v>
                </c:pt>
                <c:pt idx="27">
                  <c:v>3.0901999999999998</c:v>
                </c:pt>
                <c:pt idx="28">
                  <c:v>3.0764</c:v>
                </c:pt>
                <c:pt idx="29">
                  <c:v>3.0666000000000002</c:v>
                </c:pt>
                <c:pt idx="30">
                  <c:v>3.081</c:v>
                </c:pt>
                <c:pt idx="31">
                  <c:v>3.0783999999999998</c:v>
                </c:pt>
                <c:pt idx="32">
                  <c:v>3.0882000000000001</c:v>
                </c:pt>
                <c:pt idx="33">
                  <c:v>3.0735999999999999</c:v>
                </c:pt>
                <c:pt idx="34">
                  <c:v>3.0724</c:v>
                </c:pt>
                <c:pt idx="35">
                  <c:v>3.0644</c:v>
                </c:pt>
                <c:pt idx="36">
                  <c:v>3.0701999999999998</c:v>
                </c:pt>
                <c:pt idx="37">
                  <c:v>3.0781999999999998</c:v>
                </c:pt>
                <c:pt idx="38">
                  <c:v>3.0893999999999999</c:v>
                </c:pt>
                <c:pt idx="39">
                  <c:v>3.0870000000000002</c:v>
                </c:pt>
                <c:pt idx="40">
                  <c:v>3.073</c:v>
                </c:pt>
                <c:pt idx="41">
                  <c:v>3.0676000000000001</c:v>
                </c:pt>
                <c:pt idx="42">
                  <c:v>3.0514000000000001</c:v>
                </c:pt>
                <c:pt idx="43">
                  <c:v>3.0491999999999999</c:v>
                </c:pt>
                <c:pt idx="44">
                  <c:v>3.0464000000000002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ChartData!$W$2:$W$46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ChartData!$AA$2:$AA$46</c:f>
              <c:numCache>
                <c:formatCode>0.000</c:formatCode>
                <c:ptCount val="45"/>
                <c:pt idx="0">
                  <c:v>3.1558000000000002</c:v>
                </c:pt>
                <c:pt idx="1">
                  <c:v>3.1614</c:v>
                </c:pt>
                <c:pt idx="2">
                  <c:v>3.1623999999999999</c:v>
                </c:pt>
                <c:pt idx="3">
                  <c:v>3.1301999999999999</c:v>
                </c:pt>
                <c:pt idx="4">
                  <c:v>3.1269999999999998</c:v>
                </c:pt>
                <c:pt idx="5">
                  <c:v>3.1394000000000002</c:v>
                </c:pt>
                <c:pt idx="6">
                  <c:v>3.1427999999999998</c:v>
                </c:pt>
                <c:pt idx="7">
                  <c:v>3.1496</c:v>
                </c:pt>
                <c:pt idx="8">
                  <c:v>3.141</c:v>
                </c:pt>
                <c:pt idx="9">
                  <c:v>3.1345999999999998</c:v>
                </c:pt>
                <c:pt idx="10">
                  <c:v>3.1514000000000002</c:v>
                </c:pt>
                <c:pt idx="11">
                  <c:v>3.1432000000000002</c:v>
                </c:pt>
                <c:pt idx="12">
                  <c:v>3.1829999999999998</c:v>
                </c:pt>
                <c:pt idx="13">
                  <c:v>3.1796000000000002</c:v>
                </c:pt>
                <c:pt idx="14">
                  <c:v>3.1804000000000001</c:v>
                </c:pt>
                <c:pt idx="15">
                  <c:v>3.1692</c:v>
                </c:pt>
                <c:pt idx="16">
                  <c:v>3.1509999999999998</c:v>
                </c:pt>
                <c:pt idx="17">
                  <c:v>3.1516000000000002</c:v>
                </c:pt>
                <c:pt idx="18">
                  <c:v>3.14</c:v>
                </c:pt>
                <c:pt idx="19">
                  <c:v>3.1316000000000002</c:v>
                </c:pt>
                <c:pt idx="20">
                  <c:v>3.1103999999999998</c:v>
                </c:pt>
                <c:pt idx="21">
                  <c:v>3.1236000000000002</c:v>
                </c:pt>
                <c:pt idx="22">
                  <c:v>3.1160000000000001</c:v>
                </c:pt>
                <c:pt idx="23">
                  <c:v>3.1038000000000001</c:v>
                </c:pt>
                <c:pt idx="24">
                  <c:v>3.1225999999999998</c:v>
                </c:pt>
                <c:pt idx="25">
                  <c:v>3.1038000000000001</c:v>
                </c:pt>
                <c:pt idx="26">
                  <c:v>3.09</c:v>
                </c:pt>
                <c:pt idx="27">
                  <c:v>3.0901999999999998</c:v>
                </c:pt>
                <c:pt idx="28">
                  <c:v>3.0920000000000001</c:v>
                </c:pt>
                <c:pt idx="29">
                  <c:v>3.0785999999999998</c:v>
                </c:pt>
                <c:pt idx="30">
                  <c:v>3.0886</c:v>
                </c:pt>
                <c:pt idx="31">
                  <c:v>3.0926</c:v>
                </c:pt>
                <c:pt idx="32">
                  <c:v>3.09</c:v>
                </c:pt>
                <c:pt idx="33">
                  <c:v>3.0914000000000001</c:v>
                </c:pt>
                <c:pt idx="34">
                  <c:v>3.0768</c:v>
                </c:pt>
                <c:pt idx="35">
                  <c:v>3.073</c:v>
                </c:pt>
                <c:pt idx="36">
                  <c:v>3.0731999999999999</c:v>
                </c:pt>
                <c:pt idx="37">
                  <c:v>3.0781999999999998</c:v>
                </c:pt>
                <c:pt idx="38">
                  <c:v>3.0977999999999999</c:v>
                </c:pt>
                <c:pt idx="39">
                  <c:v>3.0935999999999999</c:v>
                </c:pt>
                <c:pt idx="40">
                  <c:v>3.09</c:v>
                </c:pt>
                <c:pt idx="41">
                  <c:v>3.0739999999999998</c:v>
                </c:pt>
                <c:pt idx="42">
                  <c:v>3.0676000000000001</c:v>
                </c:pt>
                <c:pt idx="43">
                  <c:v>3.0526</c:v>
                </c:pt>
                <c:pt idx="44">
                  <c:v>3.0491999999999999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368556384"/>
        <c:axId val="368556944"/>
      </c:stockChart>
      <c:catAx>
        <c:axId val="368556384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8556944"/>
        <c:crosses val="autoZero"/>
        <c:auto val="0"/>
        <c:lblAlgn val="ctr"/>
        <c:lblOffset val="100"/>
        <c:tickLblSkip val="5"/>
        <c:noMultiLvlLbl val="0"/>
      </c:catAx>
      <c:valAx>
        <c:axId val="3685569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855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72848748110979E-2"/>
          <c:y val="0.18245565458163884"/>
          <c:w val="0.92232715125188902"/>
          <c:h val="0.51396467333475204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 flip="none" rotWithShape="1">
              <a:gsLst>
                <a:gs pos="0">
                  <a:srgbClr val="002060"/>
                </a:gs>
                <a:gs pos="56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'NGE Winter Summer Strps'!$K$6:$O$6</c:f>
              <c:strCache>
                <c:ptCount val="5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</c:strCache>
            </c:strRef>
          </c:cat>
          <c:val>
            <c:numRef>
              <c:f>RollData!$G$3:$G$7</c:f>
              <c:numCache>
                <c:formatCode>0.00</c:formatCode>
                <c:ptCount val="5"/>
                <c:pt idx="0">
                  <c:v>-0.2979999999999996</c:v>
                </c:pt>
                <c:pt idx="1">
                  <c:v>-0.26600000000000001</c:v>
                </c:pt>
                <c:pt idx="2">
                  <c:v>-0.23899999999999988</c:v>
                </c:pt>
                <c:pt idx="3">
                  <c:v>-0.23099999999999987</c:v>
                </c:pt>
                <c:pt idx="4">
                  <c:v>-0.21699999999999964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overlap val="60"/>
        <c:axId val="368559744"/>
        <c:axId val="368560304"/>
      </c:barChart>
      <c:catAx>
        <c:axId val="36855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8560304"/>
        <c:crosses val="autoZero"/>
        <c:auto val="1"/>
        <c:lblAlgn val="ctr"/>
        <c:lblOffset val="100"/>
        <c:noMultiLvlLbl val="0"/>
      </c:catAx>
      <c:valAx>
        <c:axId val="36856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855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634570013887907E-2"/>
          <c:y val="3.8903625110521665E-2"/>
          <c:w val="0.88226561365927914"/>
          <c:h val="0.8684940187647189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ChartData!$AJ$2:$AJ$46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ChartData!$AK$2:$AK$46</c:f>
              <c:numCache>
                <c:formatCode>0.000</c:formatCode>
                <c:ptCount val="45"/>
                <c:pt idx="0">
                  <c:v>2.7532857100000001</c:v>
                </c:pt>
                <c:pt idx="1">
                  <c:v>2.7518571399999998</c:v>
                </c:pt>
                <c:pt idx="2">
                  <c:v>2.7524285700000002</c:v>
                </c:pt>
                <c:pt idx="3">
                  <c:v>2.7491428600000001</c:v>
                </c:pt>
                <c:pt idx="4">
                  <c:v>2.7425714299999999</c:v>
                </c:pt>
                <c:pt idx="5">
                  <c:v>2.7492857100000001</c:v>
                </c:pt>
                <c:pt idx="6">
                  <c:v>2.7709999999999999</c:v>
                </c:pt>
                <c:pt idx="7">
                  <c:v>2.77042857</c:v>
                </c:pt>
                <c:pt idx="8">
                  <c:v>2.766</c:v>
                </c:pt>
                <c:pt idx="9">
                  <c:v>2.79485714</c:v>
                </c:pt>
                <c:pt idx="10">
                  <c:v>2.7715714299999998</c:v>
                </c:pt>
                <c:pt idx="11">
                  <c:v>2.7837142899999998</c:v>
                </c:pt>
                <c:pt idx="12">
                  <c:v>2.7844285700000002</c:v>
                </c:pt>
                <c:pt idx="13">
                  <c:v>2.7850000000000001</c:v>
                </c:pt>
                <c:pt idx="14">
                  <c:v>2.7775714300000001</c:v>
                </c:pt>
                <c:pt idx="15">
                  <c:v>2.7724285700000002</c:v>
                </c:pt>
                <c:pt idx="16">
                  <c:v>2.7647142900000001</c:v>
                </c:pt>
                <c:pt idx="17">
                  <c:v>2.7717142899999998</c:v>
                </c:pt>
                <c:pt idx="18">
                  <c:v>2.7634285699999999</c:v>
                </c:pt>
                <c:pt idx="19">
                  <c:v>2.7478571399999998</c:v>
                </c:pt>
                <c:pt idx="20">
                  <c:v>2.7490000000000001</c:v>
                </c:pt>
                <c:pt idx="21">
                  <c:v>2.7344285699999999</c:v>
                </c:pt>
                <c:pt idx="22">
                  <c:v>2.7294285700000001</c:v>
                </c:pt>
                <c:pt idx="23">
                  <c:v>2.7357142900000002</c:v>
                </c:pt>
                <c:pt idx="24">
                  <c:v>2.7357142900000002</c:v>
                </c:pt>
                <c:pt idx="25">
                  <c:v>2.72157143</c:v>
                </c:pt>
                <c:pt idx="26">
                  <c:v>2.7202857100000002</c:v>
                </c:pt>
                <c:pt idx="27">
                  <c:v>2.70914286</c:v>
                </c:pt>
                <c:pt idx="28">
                  <c:v>2.6989999999999998</c:v>
                </c:pt>
                <c:pt idx="29">
                  <c:v>2.7034285699999998</c:v>
                </c:pt>
                <c:pt idx="30">
                  <c:v>2.7120000000000002</c:v>
                </c:pt>
                <c:pt idx="31">
                  <c:v>2.7112857099999998</c:v>
                </c:pt>
                <c:pt idx="32">
                  <c:v>2.7238571399999998</c:v>
                </c:pt>
                <c:pt idx="33">
                  <c:v>2.70914286</c:v>
                </c:pt>
                <c:pt idx="34">
                  <c:v>2.7092857100000001</c:v>
                </c:pt>
                <c:pt idx="35">
                  <c:v>2.7004285700000001</c:v>
                </c:pt>
                <c:pt idx="36">
                  <c:v>2.7151428599999998</c:v>
                </c:pt>
                <c:pt idx="37">
                  <c:v>2.72571429</c:v>
                </c:pt>
                <c:pt idx="38">
                  <c:v>2.7237142900000002</c:v>
                </c:pt>
                <c:pt idx="39">
                  <c:v>2.7250000000000001</c:v>
                </c:pt>
                <c:pt idx="40">
                  <c:v>2.7198571399999998</c:v>
                </c:pt>
                <c:pt idx="41">
                  <c:v>2.7292857100000001</c:v>
                </c:pt>
                <c:pt idx="42">
                  <c:v>2.71828571</c:v>
                </c:pt>
                <c:pt idx="43">
                  <c:v>2.70985714</c:v>
                </c:pt>
                <c:pt idx="44">
                  <c:v>2.7241428600000002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ChartData!$AJ$2:$AJ$46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ChartData!$AL$2:$AL$46</c:f>
              <c:numCache>
                <c:formatCode>0.000</c:formatCode>
                <c:ptCount val="45"/>
                <c:pt idx="0">
                  <c:v>2.7532857100000001</c:v>
                </c:pt>
                <c:pt idx="1">
                  <c:v>2.7589999999999999</c:v>
                </c:pt>
                <c:pt idx="2">
                  <c:v>2.7557142899999998</c:v>
                </c:pt>
                <c:pt idx="3">
                  <c:v>2.7524285700000002</c:v>
                </c:pt>
                <c:pt idx="4">
                  <c:v>2.7491428600000001</c:v>
                </c:pt>
                <c:pt idx="5">
                  <c:v>2.75</c:v>
                </c:pt>
                <c:pt idx="6">
                  <c:v>2.7709999999999999</c:v>
                </c:pt>
                <c:pt idx="7">
                  <c:v>2.7798571399999998</c:v>
                </c:pt>
                <c:pt idx="8">
                  <c:v>2.7730000000000001</c:v>
                </c:pt>
                <c:pt idx="9">
                  <c:v>2.79485714</c:v>
                </c:pt>
                <c:pt idx="10">
                  <c:v>2.79485714</c:v>
                </c:pt>
                <c:pt idx="11">
                  <c:v>2.7837142899999998</c:v>
                </c:pt>
                <c:pt idx="12">
                  <c:v>2.7844285700000002</c:v>
                </c:pt>
                <c:pt idx="13">
                  <c:v>2.7872857099999999</c:v>
                </c:pt>
                <c:pt idx="14">
                  <c:v>2.7850000000000001</c:v>
                </c:pt>
                <c:pt idx="15">
                  <c:v>2.7775714300000001</c:v>
                </c:pt>
                <c:pt idx="16">
                  <c:v>2.7724285700000002</c:v>
                </c:pt>
                <c:pt idx="17">
                  <c:v>2.7732857100000001</c:v>
                </c:pt>
                <c:pt idx="18">
                  <c:v>2.7725714300000002</c:v>
                </c:pt>
                <c:pt idx="19">
                  <c:v>2.7652857100000001</c:v>
                </c:pt>
                <c:pt idx="20">
                  <c:v>2.75042857</c:v>
                </c:pt>
                <c:pt idx="21">
                  <c:v>2.7511428599999999</c:v>
                </c:pt>
                <c:pt idx="22">
                  <c:v>2.7344285699999999</c:v>
                </c:pt>
                <c:pt idx="23">
                  <c:v>2.7357142900000002</c:v>
                </c:pt>
                <c:pt idx="24">
                  <c:v>2.7365714300000001</c:v>
                </c:pt>
                <c:pt idx="25">
                  <c:v>2.7357142900000002</c:v>
                </c:pt>
                <c:pt idx="26">
                  <c:v>2.7237142900000002</c:v>
                </c:pt>
                <c:pt idx="27">
                  <c:v>2.7202857100000002</c:v>
                </c:pt>
                <c:pt idx="28">
                  <c:v>2.7092857100000001</c:v>
                </c:pt>
                <c:pt idx="29">
                  <c:v>2.70514286</c:v>
                </c:pt>
                <c:pt idx="30">
                  <c:v>2.7124285700000001</c:v>
                </c:pt>
                <c:pt idx="31">
                  <c:v>2.7120000000000002</c:v>
                </c:pt>
                <c:pt idx="32">
                  <c:v>2.7238571399999998</c:v>
                </c:pt>
                <c:pt idx="33">
                  <c:v>2.7238571399999998</c:v>
                </c:pt>
                <c:pt idx="34">
                  <c:v>2.71385714</c:v>
                </c:pt>
                <c:pt idx="35">
                  <c:v>2.70942857</c:v>
                </c:pt>
                <c:pt idx="36">
                  <c:v>2.7162857100000002</c:v>
                </c:pt>
                <c:pt idx="37">
                  <c:v>2.7290000000000001</c:v>
                </c:pt>
                <c:pt idx="38">
                  <c:v>2.73</c:v>
                </c:pt>
                <c:pt idx="39">
                  <c:v>2.7277142900000002</c:v>
                </c:pt>
                <c:pt idx="40">
                  <c:v>2.7250000000000001</c:v>
                </c:pt>
                <c:pt idx="41">
                  <c:v>2.7292857100000001</c:v>
                </c:pt>
                <c:pt idx="42">
                  <c:v>2.7292857100000001</c:v>
                </c:pt>
                <c:pt idx="43">
                  <c:v>2.7195714299999998</c:v>
                </c:pt>
                <c:pt idx="44">
                  <c:v>2.7241428600000002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ChartData!$AJ$2:$AJ$46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ChartData!$AM$2:$AM$46</c:f>
              <c:numCache>
                <c:formatCode>0.000</c:formatCode>
                <c:ptCount val="45"/>
                <c:pt idx="0">
                  <c:v>2.7532857100000001</c:v>
                </c:pt>
                <c:pt idx="1">
                  <c:v>2.7518571399999998</c:v>
                </c:pt>
                <c:pt idx="2">
                  <c:v>2.7512857099999999</c:v>
                </c:pt>
                <c:pt idx="3">
                  <c:v>2.7425714299999999</c:v>
                </c:pt>
                <c:pt idx="4">
                  <c:v>2.73771429</c:v>
                </c:pt>
                <c:pt idx="5">
                  <c:v>2.7425714299999999</c:v>
                </c:pt>
                <c:pt idx="6">
                  <c:v>2.7471428599999999</c:v>
                </c:pt>
                <c:pt idx="7">
                  <c:v>2.77042857</c:v>
                </c:pt>
                <c:pt idx="8">
                  <c:v>2.7644285700000002</c:v>
                </c:pt>
                <c:pt idx="9">
                  <c:v>2.766</c:v>
                </c:pt>
                <c:pt idx="10">
                  <c:v>2.7715714299999998</c:v>
                </c:pt>
                <c:pt idx="11">
                  <c:v>2.7715714299999998</c:v>
                </c:pt>
                <c:pt idx="12">
                  <c:v>2.7837142899999998</c:v>
                </c:pt>
                <c:pt idx="13">
                  <c:v>2.7814285700000001</c:v>
                </c:pt>
                <c:pt idx="14">
                  <c:v>2.7771428600000001</c:v>
                </c:pt>
                <c:pt idx="15">
                  <c:v>2.7724285700000002</c:v>
                </c:pt>
                <c:pt idx="16">
                  <c:v>2.7585714299999999</c:v>
                </c:pt>
                <c:pt idx="17">
                  <c:v>2.7632857099999999</c:v>
                </c:pt>
                <c:pt idx="18">
                  <c:v>2.7634285699999999</c:v>
                </c:pt>
                <c:pt idx="19">
                  <c:v>2.7478571399999998</c:v>
                </c:pt>
                <c:pt idx="20">
                  <c:v>2.7478571399999998</c:v>
                </c:pt>
                <c:pt idx="21">
                  <c:v>2.7344285699999999</c:v>
                </c:pt>
                <c:pt idx="22">
                  <c:v>2.7294285700000001</c:v>
                </c:pt>
                <c:pt idx="23">
                  <c:v>2.7294285700000001</c:v>
                </c:pt>
                <c:pt idx="24">
                  <c:v>2.7308571399999999</c:v>
                </c:pt>
                <c:pt idx="25">
                  <c:v>2.7204285700000002</c:v>
                </c:pt>
                <c:pt idx="26">
                  <c:v>2.7191428599999998</c:v>
                </c:pt>
                <c:pt idx="27">
                  <c:v>2.70914286</c:v>
                </c:pt>
                <c:pt idx="28">
                  <c:v>2.6988571399999999</c:v>
                </c:pt>
                <c:pt idx="29">
                  <c:v>2.6970000000000001</c:v>
                </c:pt>
                <c:pt idx="30">
                  <c:v>2.7034285699999998</c:v>
                </c:pt>
                <c:pt idx="31">
                  <c:v>2.70914286</c:v>
                </c:pt>
                <c:pt idx="32">
                  <c:v>2.7111428599999998</c:v>
                </c:pt>
                <c:pt idx="33">
                  <c:v>2.70914286</c:v>
                </c:pt>
                <c:pt idx="34">
                  <c:v>2.7085714300000001</c:v>
                </c:pt>
                <c:pt idx="35">
                  <c:v>2.7002857100000002</c:v>
                </c:pt>
                <c:pt idx="36">
                  <c:v>2.7004285700000001</c:v>
                </c:pt>
                <c:pt idx="37">
                  <c:v>2.7145714299999999</c:v>
                </c:pt>
                <c:pt idx="38">
                  <c:v>2.7237142900000002</c:v>
                </c:pt>
                <c:pt idx="39">
                  <c:v>2.7234285699999998</c:v>
                </c:pt>
                <c:pt idx="40">
                  <c:v>2.7197142900000002</c:v>
                </c:pt>
                <c:pt idx="41">
                  <c:v>2.7198571399999998</c:v>
                </c:pt>
                <c:pt idx="42">
                  <c:v>2.71742857</c:v>
                </c:pt>
                <c:pt idx="43">
                  <c:v>2.70985714</c:v>
                </c:pt>
                <c:pt idx="44">
                  <c:v>2.7075714299999998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ChartData!$AJ$2:$AJ$46</c:f>
              <c:numCache>
                <c:formatCode>m/d/yyyy</c:formatCode>
                <c:ptCount val="45"/>
                <c:pt idx="0">
                  <c:v>43014</c:v>
                </c:pt>
                <c:pt idx="1">
                  <c:v>43013</c:v>
                </c:pt>
                <c:pt idx="2">
                  <c:v>43012</c:v>
                </c:pt>
                <c:pt idx="3">
                  <c:v>43011</c:v>
                </c:pt>
                <c:pt idx="4">
                  <c:v>43010</c:v>
                </c:pt>
                <c:pt idx="5">
                  <c:v>43007</c:v>
                </c:pt>
                <c:pt idx="6">
                  <c:v>43006</c:v>
                </c:pt>
                <c:pt idx="7">
                  <c:v>43005</c:v>
                </c:pt>
                <c:pt idx="8">
                  <c:v>43004</c:v>
                </c:pt>
                <c:pt idx="9">
                  <c:v>43003</c:v>
                </c:pt>
                <c:pt idx="10">
                  <c:v>43000</c:v>
                </c:pt>
                <c:pt idx="11">
                  <c:v>42999</c:v>
                </c:pt>
                <c:pt idx="12">
                  <c:v>42998</c:v>
                </c:pt>
                <c:pt idx="13">
                  <c:v>42997</c:v>
                </c:pt>
                <c:pt idx="14">
                  <c:v>42996</c:v>
                </c:pt>
                <c:pt idx="15">
                  <c:v>42993</c:v>
                </c:pt>
                <c:pt idx="16">
                  <c:v>42992</c:v>
                </c:pt>
                <c:pt idx="17">
                  <c:v>42991</c:v>
                </c:pt>
                <c:pt idx="18">
                  <c:v>42990</c:v>
                </c:pt>
                <c:pt idx="19">
                  <c:v>42989</c:v>
                </c:pt>
                <c:pt idx="20">
                  <c:v>42986</c:v>
                </c:pt>
                <c:pt idx="21">
                  <c:v>42985</c:v>
                </c:pt>
                <c:pt idx="22">
                  <c:v>42984</c:v>
                </c:pt>
                <c:pt idx="23">
                  <c:v>42983</c:v>
                </c:pt>
                <c:pt idx="24">
                  <c:v>42979</c:v>
                </c:pt>
                <c:pt idx="25">
                  <c:v>42978</c:v>
                </c:pt>
                <c:pt idx="26">
                  <c:v>42977</c:v>
                </c:pt>
                <c:pt idx="27">
                  <c:v>42976</c:v>
                </c:pt>
                <c:pt idx="28">
                  <c:v>42975</c:v>
                </c:pt>
                <c:pt idx="29">
                  <c:v>42972</c:v>
                </c:pt>
                <c:pt idx="30">
                  <c:v>42971</c:v>
                </c:pt>
                <c:pt idx="31">
                  <c:v>42970</c:v>
                </c:pt>
                <c:pt idx="32">
                  <c:v>42969</c:v>
                </c:pt>
                <c:pt idx="33">
                  <c:v>42968</c:v>
                </c:pt>
                <c:pt idx="34">
                  <c:v>42965</c:v>
                </c:pt>
                <c:pt idx="35">
                  <c:v>42964</c:v>
                </c:pt>
                <c:pt idx="36">
                  <c:v>42963</c:v>
                </c:pt>
                <c:pt idx="37">
                  <c:v>42962</c:v>
                </c:pt>
                <c:pt idx="38">
                  <c:v>42961</c:v>
                </c:pt>
                <c:pt idx="39">
                  <c:v>42958</c:v>
                </c:pt>
                <c:pt idx="40">
                  <c:v>42957</c:v>
                </c:pt>
                <c:pt idx="41">
                  <c:v>42956</c:v>
                </c:pt>
                <c:pt idx="42">
                  <c:v>42955</c:v>
                </c:pt>
                <c:pt idx="43">
                  <c:v>42954</c:v>
                </c:pt>
                <c:pt idx="44">
                  <c:v>42951</c:v>
                </c:pt>
              </c:numCache>
            </c:numRef>
          </c:cat>
          <c:val>
            <c:numRef>
              <c:f>ChartData!$AN$2:$AN$46</c:f>
              <c:numCache>
                <c:formatCode>0.000</c:formatCode>
                <c:ptCount val="45"/>
                <c:pt idx="0">
                  <c:v>2.7532857100000001</c:v>
                </c:pt>
                <c:pt idx="1">
                  <c:v>2.7532857100000001</c:v>
                </c:pt>
                <c:pt idx="2">
                  <c:v>2.7518571399999998</c:v>
                </c:pt>
                <c:pt idx="3">
                  <c:v>2.7524285700000002</c:v>
                </c:pt>
                <c:pt idx="4">
                  <c:v>2.7491428600000001</c:v>
                </c:pt>
                <c:pt idx="5">
                  <c:v>2.7425714299999999</c:v>
                </c:pt>
                <c:pt idx="6">
                  <c:v>2.7492857100000001</c:v>
                </c:pt>
                <c:pt idx="7">
                  <c:v>2.7709999999999999</c:v>
                </c:pt>
                <c:pt idx="8">
                  <c:v>2.77042857</c:v>
                </c:pt>
                <c:pt idx="9">
                  <c:v>2.766</c:v>
                </c:pt>
                <c:pt idx="10">
                  <c:v>2.79485714</c:v>
                </c:pt>
                <c:pt idx="11">
                  <c:v>2.7715714299999998</c:v>
                </c:pt>
                <c:pt idx="12">
                  <c:v>2.7837142899999998</c:v>
                </c:pt>
                <c:pt idx="13">
                  <c:v>2.7844285700000002</c:v>
                </c:pt>
                <c:pt idx="14">
                  <c:v>2.7850000000000001</c:v>
                </c:pt>
                <c:pt idx="15">
                  <c:v>2.7775714300000001</c:v>
                </c:pt>
                <c:pt idx="16">
                  <c:v>2.7724285700000002</c:v>
                </c:pt>
                <c:pt idx="17">
                  <c:v>2.7647142900000001</c:v>
                </c:pt>
                <c:pt idx="18">
                  <c:v>2.7717142899999998</c:v>
                </c:pt>
                <c:pt idx="19">
                  <c:v>2.7634285699999999</c:v>
                </c:pt>
                <c:pt idx="20">
                  <c:v>2.7478571399999998</c:v>
                </c:pt>
                <c:pt idx="21">
                  <c:v>2.7490000000000001</c:v>
                </c:pt>
                <c:pt idx="22">
                  <c:v>2.7344285699999999</c:v>
                </c:pt>
                <c:pt idx="23">
                  <c:v>2.7294285700000001</c:v>
                </c:pt>
                <c:pt idx="24">
                  <c:v>2.7357142900000002</c:v>
                </c:pt>
                <c:pt idx="25">
                  <c:v>2.7357142900000002</c:v>
                </c:pt>
                <c:pt idx="26">
                  <c:v>2.72157143</c:v>
                </c:pt>
                <c:pt idx="27">
                  <c:v>2.7202857100000002</c:v>
                </c:pt>
                <c:pt idx="28">
                  <c:v>2.70914286</c:v>
                </c:pt>
                <c:pt idx="29">
                  <c:v>2.6989999999999998</c:v>
                </c:pt>
                <c:pt idx="30">
                  <c:v>2.7034285699999998</c:v>
                </c:pt>
                <c:pt idx="31">
                  <c:v>2.7120000000000002</c:v>
                </c:pt>
                <c:pt idx="32">
                  <c:v>2.7112857099999998</c:v>
                </c:pt>
                <c:pt idx="33">
                  <c:v>2.7238571399999998</c:v>
                </c:pt>
                <c:pt idx="34">
                  <c:v>2.70914286</c:v>
                </c:pt>
                <c:pt idx="35">
                  <c:v>2.7092857100000001</c:v>
                </c:pt>
                <c:pt idx="36">
                  <c:v>2.7004285700000001</c:v>
                </c:pt>
                <c:pt idx="37">
                  <c:v>2.7151428599999998</c:v>
                </c:pt>
                <c:pt idx="38">
                  <c:v>2.72571429</c:v>
                </c:pt>
                <c:pt idx="39">
                  <c:v>2.7237142900000002</c:v>
                </c:pt>
                <c:pt idx="40">
                  <c:v>2.7250000000000001</c:v>
                </c:pt>
                <c:pt idx="41">
                  <c:v>2.7198571399999998</c:v>
                </c:pt>
                <c:pt idx="42">
                  <c:v>2.7292857100000001</c:v>
                </c:pt>
                <c:pt idx="43">
                  <c:v>2.71828571</c:v>
                </c:pt>
                <c:pt idx="44">
                  <c:v>2.70985714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368564224"/>
        <c:axId val="368564784"/>
      </c:stockChart>
      <c:catAx>
        <c:axId val="368564224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8564784"/>
        <c:crosses val="autoZero"/>
        <c:auto val="0"/>
        <c:lblAlgn val="ctr"/>
        <c:lblOffset val="100"/>
        <c:tickLblSkip val="5"/>
        <c:noMultiLvlLbl val="0"/>
      </c:catAx>
      <c:valAx>
        <c:axId val="3685647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856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055779964869842E-2"/>
          <c:y val="3.5291779225355292E-2"/>
          <c:w val="0.96194422003513014"/>
          <c:h val="0.85275179732968143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'NGE Winter Summer Strps'!$K$47:$Q$47</c:f>
              <c:strCache>
                <c:ptCount val="7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</c:strCache>
            </c:strRef>
          </c:cat>
          <c:val>
            <c:numRef>
              <c:f>'NGE Winter Summer Strps'!$W$50:$AC$50</c:f>
              <c:numCache>
                <c:formatCode>0.000</c:formatCode>
                <c:ptCount val="7"/>
                <c:pt idx="0">
                  <c:v>2.7530000000000001</c:v>
                </c:pt>
                <c:pt idx="1">
                  <c:v>2.7134999999999998</c:v>
                </c:pt>
                <c:pt idx="2">
                  <c:v>2.7355</c:v>
                </c:pt>
                <c:pt idx="3">
                  <c:v>2.7569999999999997</c:v>
                </c:pt>
                <c:pt idx="4">
                  <c:v>2.7614999999999998</c:v>
                </c:pt>
                <c:pt idx="5">
                  <c:v>2.742</c:v>
                </c:pt>
                <c:pt idx="6">
                  <c:v>2.7685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'NGE Winter Summer Strps'!$K$47:$Q$47</c:f>
              <c:strCache>
                <c:ptCount val="7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</c:strCache>
            </c:strRef>
          </c:cat>
          <c:val>
            <c:numRef>
              <c:f>RollData!$E$38:$E$44</c:f>
              <c:numCache>
                <c:formatCode>0.000</c:formatCode>
                <c:ptCount val="7"/>
                <c:pt idx="0">
                  <c:v>2.7850000000000001</c:v>
                </c:pt>
                <c:pt idx="1">
                  <c:v>2.7490000000000001</c:v>
                </c:pt>
                <c:pt idx="2">
                  <c:v>2.7719999999999998</c:v>
                </c:pt>
                <c:pt idx="3">
                  <c:v>2.7949999999999999</c:v>
                </c:pt>
                <c:pt idx="4">
                  <c:v>2.7989999999999999</c:v>
                </c:pt>
                <c:pt idx="5">
                  <c:v>2.7850000000000001</c:v>
                </c:pt>
                <c:pt idx="6">
                  <c:v>2.81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568144"/>
        <c:axId val="368568704"/>
      </c:lineChart>
      <c:catAx>
        <c:axId val="36856814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368568704"/>
        <c:crosses val="autoZero"/>
        <c:auto val="1"/>
        <c:lblAlgn val="ctr"/>
        <c:lblOffset val="100"/>
        <c:noMultiLvlLbl val="0"/>
      </c:catAx>
      <c:valAx>
        <c:axId val="36856870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368568144"/>
        <c:crosses val="autoZero"/>
        <c:crossBetween val="between"/>
      </c:valAx>
      <c:spPr>
        <a:noFill/>
        <a:ln w="254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260703610786817E-2"/>
          <c:y val="0.18245565458163884"/>
          <c:w val="0.93073929638921316"/>
          <c:h val="0.51396467333475204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56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'NGE Winter Summer Strps'!$K$19:$Q$19</c:f>
              <c:strCache>
                <c:ptCount val="7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</c:strCache>
            </c:strRef>
          </c:cat>
          <c:val>
            <c:numRef>
              <c:f>RollData!$G$16:$G$22</c:f>
              <c:numCache>
                <c:formatCode>0.00</c:formatCode>
                <c:ptCount val="7"/>
                <c:pt idx="0">
                  <c:v>-6.0999999999999943E-2</c:v>
                </c:pt>
                <c:pt idx="1">
                  <c:v>-4.4999999999999929E-2</c:v>
                </c:pt>
                <c:pt idx="2">
                  <c:v>-3.9000000000000146E-2</c:v>
                </c:pt>
                <c:pt idx="3">
                  <c:v>-3.4999999999999698E-2</c:v>
                </c:pt>
                <c:pt idx="4">
                  <c:v>-3.5000000000000142E-2</c:v>
                </c:pt>
                <c:pt idx="5">
                  <c:v>-3.2000000000000028E-2</c:v>
                </c:pt>
                <c:pt idx="6">
                  <c:v>-2.8000000000000025E-2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overlap val="60"/>
        <c:axId val="369332976"/>
        <c:axId val="369333536"/>
      </c:barChart>
      <c:catAx>
        <c:axId val="36933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9333536"/>
        <c:crosses val="autoZero"/>
        <c:auto val="1"/>
        <c:lblAlgn val="ctr"/>
        <c:lblOffset val="200"/>
        <c:noMultiLvlLbl val="0"/>
      </c:catAx>
      <c:valAx>
        <c:axId val="3693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933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252619212947804E-2"/>
          <c:y val="3.197351045372112E-2"/>
          <c:w val="0.96460300199579874"/>
          <c:h val="0.69278754180643987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'NGE3'!$AI$2:$AI$13</c:f>
              <c:strCache>
                <c:ptCount val="12"/>
                <c:pt idx="0">
                  <c:v>Nov 17, Feb 18</c:v>
                </c:pt>
                <c:pt idx="1">
                  <c:v>Dec 17, Mar 18</c:v>
                </c:pt>
                <c:pt idx="2">
                  <c:v>Jan 18, Apr 18</c:v>
                </c:pt>
                <c:pt idx="3">
                  <c:v>Feb 18, May 18</c:v>
                </c:pt>
                <c:pt idx="4">
                  <c:v>Mar 18, Jun 18</c:v>
                </c:pt>
                <c:pt idx="5">
                  <c:v>Apr 18, Jul 18</c:v>
                </c:pt>
                <c:pt idx="6">
                  <c:v>May 18, Aug 18</c:v>
                </c:pt>
                <c:pt idx="7">
                  <c:v>Jun 18, Sep 18</c:v>
                </c:pt>
                <c:pt idx="8">
                  <c:v>Jul 18, Oct 18</c:v>
                </c:pt>
                <c:pt idx="9">
                  <c:v>Aug 18, Nov 18</c:v>
                </c:pt>
                <c:pt idx="10">
                  <c:v>Sep 18, Dec 18</c:v>
                </c:pt>
                <c:pt idx="11">
                  <c:v>Oct 18, Jan 19</c:v>
                </c:pt>
              </c:strCache>
            </c:strRef>
          </c:cat>
          <c:val>
            <c:numRef>
              <c:f>'NGE3'!$AG$2:$AG$13</c:f>
              <c:numCache>
                <c:formatCode>General</c:formatCode>
                <c:ptCount val="12"/>
                <c:pt idx="0">
                  <c:v>-0.30599999999999999</c:v>
                </c:pt>
                <c:pt idx="1">
                  <c:v>-9.1999999999999998E-2</c:v>
                </c:pt>
                <c:pt idx="2">
                  <c:v>0.27200000000000002</c:v>
                </c:pt>
                <c:pt idx="3">
                  <c:v>0.30099999999999999</c:v>
                </c:pt>
                <c:pt idx="4">
                  <c:v>0.23300000000000001</c:v>
                </c:pt>
                <c:pt idx="5">
                  <c:v>-3.3000000000000002E-2</c:v>
                </c:pt>
                <c:pt idx="6">
                  <c:v>-0.06</c:v>
                </c:pt>
                <c:pt idx="7">
                  <c:v>-1.3000000000000001E-2</c:v>
                </c:pt>
                <c:pt idx="8">
                  <c:v>-8.0000000000000002E-3</c:v>
                </c:pt>
                <c:pt idx="9">
                  <c:v>-5.8499999999999996E-2</c:v>
                </c:pt>
                <c:pt idx="10">
                  <c:v>-0.21099999999999999</c:v>
                </c:pt>
                <c:pt idx="11">
                  <c:v>-0.27500000000000002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F7-451E-8FAB-70039CE24E7F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'NGE3'!$AI$2:$AI$13</c:f>
              <c:strCache>
                <c:ptCount val="12"/>
                <c:pt idx="0">
                  <c:v>Nov 17, Feb 18</c:v>
                </c:pt>
                <c:pt idx="1">
                  <c:v>Dec 17, Mar 18</c:v>
                </c:pt>
                <c:pt idx="2">
                  <c:v>Jan 18, Apr 18</c:v>
                </c:pt>
                <c:pt idx="3">
                  <c:v>Feb 18, May 18</c:v>
                </c:pt>
                <c:pt idx="4">
                  <c:v>Mar 18, Jun 18</c:v>
                </c:pt>
                <c:pt idx="5">
                  <c:v>Apr 18, Jul 18</c:v>
                </c:pt>
                <c:pt idx="6">
                  <c:v>May 18, Aug 18</c:v>
                </c:pt>
                <c:pt idx="7">
                  <c:v>Jun 18, Sep 18</c:v>
                </c:pt>
                <c:pt idx="8">
                  <c:v>Jul 18, Oct 18</c:v>
                </c:pt>
                <c:pt idx="9">
                  <c:v>Aug 18, Nov 18</c:v>
                </c:pt>
                <c:pt idx="10">
                  <c:v>Sep 18, Dec 18</c:v>
                </c:pt>
                <c:pt idx="11">
                  <c:v>Oct 18, Jan 19</c:v>
                </c:pt>
              </c:strCache>
            </c:strRef>
          </c:cat>
          <c:val>
            <c:numRef>
              <c:f>'NGE3'!$K$16:$K$27</c:f>
              <c:numCache>
                <c:formatCode>General</c:formatCode>
                <c:ptCount val="12"/>
                <c:pt idx="0">
                  <c:v>-0.24299999999999999</c:v>
                </c:pt>
                <c:pt idx="1">
                  <c:v>-4.9000000000000002E-2</c:v>
                </c:pt>
                <c:pt idx="2">
                  <c:v>0.41099999999999998</c:v>
                </c:pt>
                <c:pt idx="3">
                  <c:v>0.44800000000000001</c:v>
                </c:pt>
                <c:pt idx="4">
                  <c:v>0.374</c:v>
                </c:pt>
                <c:pt idx="5">
                  <c:v>-0.01</c:v>
                </c:pt>
                <c:pt idx="6">
                  <c:v>-5.0999999999999997E-2</c:v>
                </c:pt>
                <c:pt idx="7">
                  <c:v>-4.0000000000000001E-3</c:v>
                </c:pt>
                <c:pt idx="8">
                  <c:v>-2E-3</c:v>
                </c:pt>
                <c:pt idx="9">
                  <c:v>-4.8000000000000001E-2</c:v>
                </c:pt>
                <c:pt idx="10">
                  <c:v>-0.20200000000000001</c:v>
                </c:pt>
                <c:pt idx="11">
                  <c:v>-0.26500000000000001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F7-451E-8FAB-70039CE24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88464"/>
        <c:axId val="364889024"/>
        <c:extLst xmlns:c16r2="http://schemas.microsoft.com/office/drawing/2015/06/chart"/>
      </c:lineChart>
      <c:catAx>
        <c:axId val="36488846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364889024"/>
        <c:crosses val="autoZero"/>
        <c:auto val="1"/>
        <c:lblAlgn val="ctr"/>
        <c:lblOffset val="100"/>
        <c:noMultiLvlLbl val="0"/>
      </c:catAx>
      <c:valAx>
        <c:axId val="364889024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364888464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60946020196183E-2"/>
          <c:y val="3.197351045372112E-2"/>
          <c:w val="0.96639053979803813"/>
          <c:h val="0.65220785018470839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'NGE4'!$AI$2:$AI$13</c:f>
              <c:strCache>
                <c:ptCount val="12"/>
                <c:pt idx="0">
                  <c:v>Nov 17, Mar 18</c:v>
                </c:pt>
                <c:pt idx="1">
                  <c:v>Dec 17, Apr 18</c:v>
                </c:pt>
                <c:pt idx="2">
                  <c:v>Jan 18, May 18</c:v>
                </c:pt>
                <c:pt idx="3">
                  <c:v>Feb 18, Jun 18</c:v>
                </c:pt>
                <c:pt idx="4">
                  <c:v>Mar 18, Jul 18</c:v>
                </c:pt>
                <c:pt idx="5">
                  <c:v>Apr 18, Aug 18</c:v>
                </c:pt>
                <c:pt idx="6">
                  <c:v>May 18, Sep 18</c:v>
                </c:pt>
                <c:pt idx="7">
                  <c:v>Jun 18, Oct 18</c:v>
                </c:pt>
                <c:pt idx="8">
                  <c:v>Jul 18, Nov 18</c:v>
                </c:pt>
                <c:pt idx="9">
                  <c:v>Aug 18, Dec 18</c:v>
                </c:pt>
                <c:pt idx="10">
                  <c:v>Sep 18, Jan 19</c:v>
                </c:pt>
                <c:pt idx="11">
                  <c:v>Oct 18, Feb 19</c:v>
                </c:pt>
              </c:strCache>
            </c:strRef>
          </c:cat>
          <c:val>
            <c:numRef>
              <c:f>'NGE4'!$AG$2:$AG$13</c:f>
              <c:numCache>
                <c:formatCode>General</c:formatCode>
                <c:ptCount val="12"/>
                <c:pt idx="0">
                  <c:v>-0.26600000000000001</c:v>
                </c:pt>
                <c:pt idx="1">
                  <c:v>0.14599999999999999</c:v>
                </c:pt>
                <c:pt idx="2">
                  <c:v>0.29549999999999998</c:v>
                </c:pt>
                <c:pt idx="3">
                  <c:v>0.27200000000000002</c:v>
                </c:pt>
                <c:pt idx="4">
                  <c:v>0.20550000000000002</c:v>
                </c:pt>
                <c:pt idx="5">
                  <c:v>-3.6000000000000004E-2</c:v>
                </c:pt>
                <c:pt idx="6">
                  <c:v>-4.2000000000000003E-2</c:v>
                </c:pt>
                <c:pt idx="7">
                  <c:v>-3.6000000000000004E-2</c:v>
                </c:pt>
                <c:pt idx="8">
                  <c:v>-6.0999999999999999E-2</c:v>
                </c:pt>
                <c:pt idx="9">
                  <c:v>-0.19500000000000001</c:v>
                </c:pt>
                <c:pt idx="10">
                  <c:v>-0.29699999999999999</c:v>
                </c:pt>
                <c:pt idx="11">
                  <c:v>-0.251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64-40C1-9F69-21986BA54FFC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'NGE4'!$AI$2:$AI$13</c:f>
              <c:strCache>
                <c:ptCount val="12"/>
                <c:pt idx="0">
                  <c:v>Nov 17, Mar 18</c:v>
                </c:pt>
                <c:pt idx="1">
                  <c:v>Dec 17, Apr 18</c:v>
                </c:pt>
                <c:pt idx="2">
                  <c:v>Jan 18, May 18</c:v>
                </c:pt>
                <c:pt idx="3">
                  <c:v>Feb 18, Jun 18</c:v>
                </c:pt>
                <c:pt idx="4">
                  <c:v>Mar 18, Jul 18</c:v>
                </c:pt>
                <c:pt idx="5">
                  <c:v>Apr 18, Aug 18</c:v>
                </c:pt>
                <c:pt idx="6">
                  <c:v>May 18, Sep 18</c:v>
                </c:pt>
                <c:pt idx="7">
                  <c:v>Jun 18, Oct 18</c:v>
                </c:pt>
                <c:pt idx="8">
                  <c:v>Jul 18, Nov 18</c:v>
                </c:pt>
                <c:pt idx="9">
                  <c:v>Aug 18, Dec 18</c:v>
                </c:pt>
                <c:pt idx="10">
                  <c:v>Sep 18, Jan 19</c:v>
                </c:pt>
                <c:pt idx="11">
                  <c:v>Oct 18, Feb 19</c:v>
                </c:pt>
              </c:strCache>
            </c:strRef>
          </c:cat>
          <c:val>
            <c:numRef>
              <c:f>'NGE4'!$K$16:$K$27</c:f>
              <c:numCache>
                <c:formatCode>General</c:formatCode>
                <c:ptCount val="12"/>
                <c:pt idx="0">
                  <c:v>-0.193</c:v>
                </c:pt>
                <c:pt idx="1">
                  <c:v>0.311</c:v>
                </c:pt>
                <c:pt idx="2">
                  <c:v>0.44900000000000001</c:v>
                </c:pt>
                <c:pt idx="3">
                  <c:v>0.42399999999999999</c:v>
                </c:pt>
                <c:pt idx="4">
                  <c:v>0.35</c:v>
                </c:pt>
                <c:pt idx="5">
                  <c:v>-1.2999999999999999E-2</c:v>
                </c:pt>
                <c:pt idx="6">
                  <c:v>-2.8000000000000001E-2</c:v>
                </c:pt>
                <c:pt idx="7">
                  <c:v>-2.5999999999999999E-2</c:v>
                </c:pt>
                <c:pt idx="8">
                  <c:v>-5.0999999999999997E-2</c:v>
                </c:pt>
                <c:pt idx="9">
                  <c:v>-0.17899999999999999</c:v>
                </c:pt>
                <c:pt idx="10">
                  <c:v>-0.28699999999999998</c:v>
                </c:pt>
                <c:pt idx="11">
                  <c:v>-0.24299999999999999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64-40C1-9F69-21986BA5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91824"/>
        <c:axId val="364892384"/>
        <c:extLst xmlns:c16r2="http://schemas.microsoft.com/office/drawing/2015/06/chart"/>
      </c:lineChart>
      <c:catAx>
        <c:axId val="36489182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364892384"/>
        <c:crosses val="autoZero"/>
        <c:auto val="1"/>
        <c:lblAlgn val="ctr"/>
        <c:lblOffset val="100"/>
        <c:noMultiLvlLbl val="0"/>
      </c:catAx>
      <c:valAx>
        <c:axId val="364892384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364891824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31838819101919E-2"/>
          <c:y val="3.197351045372112E-2"/>
          <c:w val="0.96460299890410117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'NGE5'!$AI$2:$AI$13</c:f>
              <c:strCache>
                <c:ptCount val="12"/>
                <c:pt idx="0">
                  <c:v>Nov 17, Apr 18</c:v>
                </c:pt>
                <c:pt idx="1">
                  <c:v>Dec 17, May 18</c:v>
                </c:pt>
                <c:pt idx="2">
                  <c:v>Jan 18, Jun 18</c:v>
                </c:pt>
                <c:pt idx="3">
                  <c:v>Feb 18, Jul 18</c:v>
                </c:pt>
                <c:pt idx="4">
                  <c:v>Mar 18, Aug 18</c:v>
                </c:pt>
                <c:pt idx="5">
                  <c:v>Apr 18, Sep 18</c:v>
                </c:pt>
                <c:pt idx="6">
                  <c:v>May 18, Oct 18</c:v>
                </c:pt>
                <c:pt idx="7">
                  <c:v>Jun 18, Nov 18</c:v>
                </c:pt>
                <c:pt idx="8">
                  <c:v>Jul 18, Dec 18</c:v>
                </c:pt>
                <c:pt idx="9">
                  <c:v>Aug 18, Jan 19</c:v>
                </c:pt>
                <c:pt idx="10">
                  <c:v>Sep 18, Feb 19</c:v>
                </c:pt>
                <c:pt idx="11">
                  <c:v>Oct 18, Mar 19</c:v>
                </c:pt>
              </c:strCache>
            </c:strRef>
          </c:cat>
          <c:val>
            <c:numRef>
              <c:f>'NGE5'!$AG$2:$AG$13</c:f>
              <c:numCache>
                <c:formatCode>General</c:formatCode>
                <c:ptCount val="12"/>
                <c:pt idx="0">
                  <c:v>-2.9000000000000001E-2</c:v>
                </c:pt>
                <c:pt idx="1">
                  <c:v>0.16950000000000001</c:v>
                </c:pt>
                <c:pt idx="2">
                  <c:v>0.26650000000000001</c:v>
                </c:pt>
                <c:pt idx="3">
                  <c:v>0.2445</c:v>
                </c:pt>
                <c:pt idx="4">
                  <c:v>0.20250000000000001</c:v>
                </c:pt>
                <c:pt idx="5">
                  <c:v>-1.8000000000000002E-2</c:v>
                </c:pt>
                <c:pt idx="6">
                  <c:v>-6.5000000000000002E-2</c:v>
                </c:pt>
                <c:pt idx="7">
                  <c:v>-8.8999999999999996E-2</c:v>
                </c:pt>
                <c:pt idx="8">
                  <c:v>-0.19750000000000001</c:v>
                </c:pt>
                <c:pt idx="9">
                  <c:v>-0.28000000000000003</c:v>
                </c:pt>
                <c:pt idx="10">
                  <c:v>-0.27300000000000002</c:v>
                </c:pt>
                <c:pt idx="11">
                  <c:v>-0.17849999999999999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EB-4C5C-9272-C17FDB174FE2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'NGE5'!$AI$2:$AI$13</c:f>
              <c:strCache>
                <c:ptCount val="12"/>
                <c:pt idx="0">
                  <c:v>Nov 17, Apr 18</c:v>
                </c:pt>
                <c:pt idx="1">
                  <c:v>Dec 17, May 18</c:v>
                </c:pt>
                <c:pt idx="2">
                  <c:v>Jan 18, Jun 18</c:v>
                </c:pt>
                <c:pt idx="3">
                  <c:v>Feb 18, Jul 18</c:v>
                </c:pt>
                <c:pt idx="4">
                  <c:v>Mar 18, Aug 18</c:v>
                </c:pt>
                <c:pt idx="5">
                  <c:v>Apr 18, Sep 18</c:v>
                </c:pt>
                <c:pt idx="6">
                  <c:v>May 18, Oct 18</c:v>
                </c:pt>
                <c:pt idx="7">
                  <c:v>Jun 18, Nov 18</c:v>
                </c:pt>
                <c:pt idx="8">
                  <c:v>Jul 18, Dec 18</c:v>
                </c:pt>
                <c:pt idx="9">
                  <c:v>Aug 18, Jan 19</c:v>
                </c:pt>
                <c:pt idx="10">
                  <c:v>Sep 18, Feb 19</c:v>
                </c:pt>
                <c:pt idx="11">
                  <c:v>Oct 18, Mar 19</c:v>
                </c:pt>
              </c:strCache>
            </c:strRef>
          </c:cat>
          <c:val>
            <c:numRef>
              <c:f>'NGE5'!$K$16:$K$27</c:f>
              <c:numCache>
                <c:formatCode>General</c:formatCode>
                <c:ptCount val="12"/>
                <c:pt idx="0">
                  <c:v>0.16700000000000001</c:v>
                </c:pt>
                <c:pt idx="1">
                  <c:v>0.34899999999999998</c:v>
                </c:pt>
                <c:pt idx="2">
                  <c:v>0.42499999999999999</c:v>
                </c:pt>
                <c:pt idx="3">
                  <c:v>0.4</c:v>
                </c:pt>
                <c:pt idx="4">
                  <c:v>0.34699999999999998</c:v>
                </c:pt>
                <c:pt idx="5">
                  <c:v>0.01</c:v>
                </c:pt>
                <c:pt idx="6">
                  <c:v>-0.05</c:v>
                </c:pt>
                <c:pt idx="7">
                  <c:v>-7.4999999999999997E-2</c:v>
                </c:pt>
                <c:pt idx="8">
                  <c:v>-0.182</c:v>
                </c:pt>
                <c:pt idx="9">
                  <c:v>-0.26400000000000001</c:v>
                </c:pt>
                <c:pt idx="10">
                  <c:v>-0.26500000000000001</c:v>
                </c:pt>
                <c:pt idx="11">
                  <c:v>-0.17599999999999999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EB-4C5C-9272-C17FDB174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95184"/>
        <c:axId val="364895744"/>
        <c:extLst xmlns:c16r2="http://schemas.microsoft.com/office/drawing/2015/06/chart"/>
      </c:lineChart>
      <c:catAx>
        <c:axId val="36489518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364895744"/>
        <c:crosses val="autoZero"/>
        <c:auto val="1"/>
        <c:lblAlgn val="ctr"/>
        <c:lblOffset val="100"/>
        <c:noMultiLvlLbl val="0"/>
      </c:catAx>
      <c:valAx>
        <c:axId val="364895744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364895184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98328758510919E-2"/>
          <c:y val="3.2125498201613686E-2"/>
          <c:w val="0.96669607745568009"/>
          <c:h val="0.6716484281350295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NGE!$AI$2:$AI$13</c:f>
              <c:strCache>
                <c:ptCount val="12"/>
                <c:pt idx="0">
                  <c:v>Nov 17, Dec 17</c:v>
                </c:pt>
                <c:pt idx="1">
                  <c:v>Dec 17, Jan 18</c:v>
                </c:pt>
                <c:pt idx="2">
                  <c:v>Jan 18, Feb 18</c:v>
                </c:pt>
                <c:pt idx="3">
                  <c:v>Feb 18, Mar 18</c:v>
                </c:pt>
                <c:pt idx="4">
                  <c:v>Mar 18, Apr 18</c:v>
                </c:pt>
                <c:pt idx="5">
                  <c:v>Apr 18, May 18</c:v>
                </c:pt>
                <c:pt idx="6">
                  <c:v>May 18, Jun 18</c:v>
                </c:pt>
                <c:pt idx="7">
                  <c:v>Jun 18, Jul 18</c:v>
                </c:pt>
                <c:pt idx="8">
                  <c:v>Jul 18, Aug 18</c:v>
                </c:pt>
                <c:pt idx="9">
                  <c:v>Aug 18, Sep 18</c:v>
                </c:pt>
                <c:pt idx="10">
                  <c:v>Sep 18, Oct 18</c:v>
                </c:pt>
                <c:pt idx="11">
                  <c:v>Oct 18, Nov 18</c:v>
                </c:pt>
              </c:strCache>
            </c:strRef>
          </c:cat>
          <c:val>
            <c:numRef>
              <c:f>NGE!$AG$2:$AG$13</c:f>
              <c:numCache>
                <c:formatCode>General</c:formatCode>
                <c:ptCount val="12"/>
                <c:pt idx="0">
                  <c:v>-0.17300000000000001</c:v>
                </c:pt>
                <c:pt idx="1">
                  <c:v>-0.126</c:v>
                </c:pt>
                <c:pt idx="2">
                  <c:v>-6.0000000000000001E-3</c:v>
                </c:pt>
                <c:pt idx="3">
                  <c:v>3.9E-2</c:v>
                </c:pt>
                <c:pt idx="4">
                  <c:v>0.23800000000000002</c:v>
                </c:pt>
                <c:pt idx="5">
                  <c:v>2.4E-2</c:v>
                </c:pt>
                <c:pt idx="6">
                  <c:v>-2.9000000000000001E-2</c:v>
                </c:pt>
                <c:pt idx="7">
                  <c:v>-2.7E-2</c:v>
                </c:pt>
                <c:pt idx="8">
                  <c:v>-3.0000000000000001E-3</c:v>
                </c:pt>
                <c:pt idx="9">
                  <c:v>1.8000000000000002E-2</c:v>
                </c:pt>
                <c:pt idx="10">
                  <c:v>-2.3E-2</c:v>
                </c:pt>
                <c:pt idx="11">
                  <c:v>-5.2999999999999999E-2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 w="6350">
                <a:solidFill>
                  <a:srgbClr val="FF0000"/>
                </a:solidFill>
              </a:ln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NGE!$AI$2:$AI$13</c:f>
              <c:strCache>
                <c:ptCount val="12"/>
                <c:pt idx="0">
                  <c:v>Nov 17, Dec 17</c:v>
                </c:pt>
                <c:pt idx="1">
                  <c:v>Dec 17, Jan 18</c:v>
                </c:pt>
                <c:pt idx="2">
                  <c:v>Jan 18, Feb 18</c:v>
                </c:pt>
                <c:pt idx="3">
                  <c:v>Feb 18, Mar 18</c:v>
                </c:pt>
                <c:pt idx="4">
                  <c:v>Mar 18, Apr 18</c:v>
                </c:pt>
                <c:pt idx="5">
                  <c:v>Apr 18, May 18</c:v>
                </c:pt>
                <c:pt idx="6">
                  <c:v>May 18, Jun 18</c:v>
                </c:pt>
                <c:pt idx="7">
                  <c:v>Jun 18, Jul 18</c:v>
                </c:pt>
                <c:pt idx="8">
                  <c:v>Jul 18, Aug 18</c:v>
                </c:pt>
                <c:pt idx="9">
                  <c:v>Aug 18, Sep 18</c:v>
                </c:pt>
                <c:pt idx="10">
                  <c:v>Sep 18, Oct 18</c:v>
                </c:pt>
                <c:pt idx="11">
                  <c:v>Oct 18, Nov 18</c:v>
                </c:pt>
              </c:strCache>
            </c:strRef>
          </c:cat>
          <c:val>
            <c:numRef>
              <c:f>NGE!$K$16:$K$27</c:f>
              <c:numCache>
                <c:formatCode>General</c:formatCode>
                <c:ptCount val="12"/>
                <c:pt idx="0">
                  <c:v>-0.14399999999999999</c:v>
                </c:pt>
                <c:pt idx="1">
                  <c:v>-0.1</c:v>
                </c:pt>
                <c:pt idx="2">
                  <c:v>1E-3</c:v>
                </c:pt>
                <c:pt idx="3">
                  <c:v>0.05</c:v>
                </c:pt>
                <c:pt idx="4">
                  <c:v>0.36</c:v>
                </c:pt>
                <c:pt idx="5">
                  <c:v>3.7999999999999999E-2</c:v>
                </c:pt>
                <c:pt idx="6">
                  <c:v>-2.4E-2</c:v>
                </c:pt>
                <c:pt idx="7">
                  <c:v>-2.4E-2</c:v>
                </c:pt>
                <c:pt idx="8">
                  <c:v>-3.0000000000000001E-3</c:v>
                </c:pt>
                <c:pt idx="9">
                  <c:v>2.3E-2</c:v>
                </c:pt>
                <c:pt idx="10">
                  <c:v>-2.1999999999999999E-2</c:v>
                </c:pt>
                <c:pt idx="11">
                  <c:v>-4.9000000000000002E-2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98544"/>
        <c:axId val="364899104"/>
      </c:lineChart>
      <c:catAx>
        <c:axId val="36489854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364899104"/>
        <c:crosses val="autoZero"/>
        <c:auto val="1"/>
        <c:lblAlgn val="ctr"/>
        <c:lblOffset val="100"/>
        <c:noMultiLvlLbl val="0"/>
      </c:catAx>
      <c:valAx>
        <c:axId val="364899104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364898544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5152828338964E-2"/>
          <c:y val="0.18245614035087721"/>
          <c:w val="0.96224743516893851"/>
          <c:h val="0.49408260809504068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NGE!$AI$2:$AI$13</c:f>
              <c:strCache>
                <c:ptCount val="12"/>
                <c:pt idx="0">
                  <c:v>Nov 17, Dec 17</c:v>
                </c:pt>
                <c:pt idx="1">
                  <c:v>Dec 17, Jan 18</c:v>
                </c:pt>
                <c:pt idx="2">
                  <c:v>Jan 18, Feb 18</c:v>
                </c:pt>
                <c:pt idx="3">
                  <c:v>Feb 18, Mar 18</c:v>
                </c:pt>
                <c:pt idx="4">
                  <c:v>Mar 18, Apr 18</c:v>
                </c:pt>
                <c:pt idx="5">
                  <c:v>Apr 18, May 18</c:v>
                </c:pt>
                <c:pt idx="6">
                  <c:v>May 18, Jun 18</c:v>
                </c:pt>
                <c:pt idx="7">
                  <c:v>Jun 18, Jul 18</c:v>
                </c:pt>
                <c:pt idx="8">
                  <c:v>Jul 18, Aug 18</c:v>
                </c:pt>
                <c:pt idx="9">
                  <c:v>Aug 18, Sep 18</c:v>
                </c:pt>
                <c:pt idx="10">
                  <c:v>Sep 18, Oct 18</c:v>
                </c:pt>
                <c:pt idx="11">
                  <c:v>Oct 18, Nov 18</c:v>
                </c:pt>
              </c:strCache>
            </c:strRef>
          </c:cat>
          <c:val>
            <c:numRef>
              <c:f>NGE!$L$16:$L$27</c:f>
              <c:numCache>
                <c:formatCode>General</c:formatCode>
                <c:ptCount val="12"/>
                <c:pt idx="0">
                  <c:v>-2.9000000000000026E-2</c:v>
                </c:pt>
                <c:pt idx="1">
                  <c:v>-2.5999999999999995E-2</c:v>
                </c:pt>
                <c:pt idx="2">
                  <c:v>-7.0000000000000001E-3</c:v>
                </c:pt>
                <c:pt idx="3">
                  <c:v>-1.1000000000000003E-2</c:v>
                </c:pt>
                <c:pt idx="4">
                  <c:v>-0.12199999999999997</c:v>
                </c:pt>
                <c:pt idx="5">
                  <c:v>-1.3999999999999999E-2</c:v>
                </c:pt>
                <c:pt idx="6">
                  <c:v>-5.000000000000001E-3</c:v>
                </c:pt>
                <c:pt idx="7">
                  <c:v>-2.9999999999999992E-3</c:v>
                </c:pt>
                <c:pt idx="8">
                  <c:v>0</c:v>
                </c:pt>
                <c:pt idx="9">
                  <c:v>-4.9999999999999975E-3</c:v>
                </c:pt>
                <c:pt idx="10">
                  <c:v>-1.0000000000000009E-3</c:v>
                </c:pt>
                <c:pt idx="11">
                  <c:v>-3.9999999999999966E-3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365334848"/>
        <c:axId val="365335408"/>
      </c:barChart>
      <c:catAx>
        <c:axId val="36533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35408"/>
        <c:crosses val="autoZero"/>
        <c:auto val="1"/>
        <c:lblAlgn val="ctr"/>
        <c:lblOffset val="100"/>
        <c:noMultiLvlLbl val="0"/>
      </c:catAx>
      <c:valAx>
        <c:axId val="36533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3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69364976824978E-2"/>
          <c:y val="0.18245614035087721"/>
          <c:w val="0.95766362185257026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'NGE2'!$AI$2:$AI$13</c:f>
              <c:strCache>
                <c:ptCount val="12"/>
                <c:pt idx="0">
                  <c:v>Nov 17, Jan 18</c:v>
                </c:pt>
                <c:pt idx="1">
                  <c:v>Dec 17, Feb 18</c:v>
                </c:pt>
                <c:pt idx="2">
                  <c:v>Jan 18, Mar 18</c:v>
                </c:pt>
                <c:pt idx="3">
                  <c:v>Feb 18, Apr 18</c:v>
                </c:pt>
                <c:pt idx="4">
                  <c:v>Mar 18, May 18</c:v>
                </c:pt>
                <c:pt idx="5">
                  <c:v>Apr 18, Jun 18</c:v>
                </c:pt>
                <c:pt idx="6">
                  <c:v>May 18, Jul 18</c:v>
                </c:pt>
                <c:pt idx="7">
                  <c:v>Jun 18, Aug 18</c:v>
                </c:pt>
                <c:pt idx="8">
                  <c:v>Jul 18, Sep 18</c:v>
                </c:pt>
                <c:pt idx="9">
                  <c:v>Aug 18, Oct 18</c:v>
                </c:pt>
                <c:pt idx="10">
                  <c:v>Sep 18, Nov 18</c:v>
                </c:pt>
                <c:pt idx="11">
                  <c:v>Oct 18, Dec 18</c:v>
                </c:pt>
              </c:strCache>
            </c:strRef>
          </c:cat>
          <c:val>
            <c:numRef>
              <c:f>'NGE2'!$L$16:$L$27</c:f>
              <c:numCache>
                <c:formatCode>General</c:formatCode>
                <c:ptCount val="12"/>
                <c:pt idx="0">
                  <c:v>-5.5999999999999994E-2</c:v>
                </c:pt>
                <c:pt idx="1">
                  <c:v>-3.2000000000000001E-2</c:v>
                </c:pt>
                <c:pt idx="2">
                  <c:v>-1.7999999999999995E-2</c:v>
                </c:pt>
                <c:pt idx="3">
                  <c:v>-0.13299999999999995</c:v>
                </c:pt>
                <c:pt idx="4">
                  <c:v>-0.13500000000000001</c:v>
                </c:pt>
                <c:pt idx="5">
                  <c:v>-1.9E-2</c:v>
                </c:pt>
                <c:pt idx="6">
                  <c:v>-8.0000000000000002E-3</c:v>
                </c:pt>
                <c:pt idx="7">
                  <c:v>-2.9999999999999992E-3</c:v>
                </c:pt>
                <c:pt idx="8">
                  <c:v>-5.000000000000001E-3</c:v>
                </c:pt>
                <c:pt idx="9">
                  <c:v>-6.0000000000000001E-3</c:v>
                </c:pt>
                <c:pt idx="10">
                  <c:v>-5.5000000000000049E-3</c:v>
                </c:pt>
                <c:pt idx="11">
                  <c:v>-1.0000000000000009E-2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365337648"/>
        <c:axId val="365338208"/>
      </c:barChart>
      <c:catAx>
        <c:axId val="36533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38208"/>
        <c:crosses val="autoZero"/>
        <c:auto val="1"/>
        <c:lblAlgn val="ctr"/>
        <c:lblOffset val="100"/>
        <c:noMultiLvlLbl val="0"/>
      </c:catAx>
      <c:valAx>
        <c:axId val="36533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3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8430190869979E-2"/>
          <c:y val="0.18245614035087721"/>
          <c:w val="0.95785454021313587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'NGE3'!$AI$2:$AI$13</c:f>
              <c:strCache>
                <c:ptCount val="12"/>
                <c:pt idx="0">
                  <c:v>Nov 17, Feb 18</c:v>
                </c:pt>
                <c:pt idx="1">
                  <c:v>Dec 17, Mar 18</c:v>
                </c:pt>
                <c:pt idx="2">
                  <c:v>Jan 18, Apr 18</c:v>
                </c:pt>
                <c:pt idx="3">
                  <c:v>Feb 18, May 18</c:v>
                </c:pt>
                <c:pt idx="4">
                  <c:v>Mar 18, Jun 18</c:v>
                </c:pt>
                <c:pt idx="5">
                  <c:v>Apr 18, Jul 18</c:v>
                </c:pt>
                <c:pt idx="6">
                  <c:v>May 18, Aug 18</c:v>
                </c:pt>
                <c:pt idx="7">
                  <c:v>Jun 18, Sep 18</c:v>
                </c:pt>
                <c:pt idx="8">
                  <c:v>Jul 18, Oct 18</c:v>
                </c:pt>
                <c:pt idx="9">
                  <c:v>Aug 18, Nov 18</c:v>
                </c:pt>
                <c:pt idx="10">
                  <c:v>Sep 18, Dec 18</c:v>
                </c:pt>
                <c:pt idx="11">
                  <c:v>Oct 18, Jan 19</c:v>
                </c:pt>
              </c:strCache>
            </c:strRef>
          </c:cat>
          <c:val>
            <c:numRef>
              <c:f>'NGE3'!$L$16:$L$27</c:f>
              <c:numCache>
                <c:formatCode>General</c:formatCode>
                <c:ptCount val="12"/>
                <c:pt idx="0">
                  <c:v>-6.3E-2</c:v>
                </c:pt>
                <c:pt idx="1">
                  <c:v>-4.2999999999999997E-2</c:v>
                </c:pt>
                <c:pt idx="2">
                  <c:v>-0.13899999999999996</c:v>
                </c:pt>
                <c:pt idx="3">
                  <c:v>-0.14700000000000002</c:v>
                </c:pt>
                <c:pt idx="4">
                  <c:v>-0.14099999999999999</c:v>
                </c:pt>
                <c:pt idx="5">
                  <c:v>-2.3E-2</c:v>
                </c:pt>
                <c:pt idx="6">
                  <c:v>-9.0000000000000011E-3</c:v>
                </c:pt>
                <c:pt idx="7">
                  <c:v>-9.0000000000000011E-3</c:v>
                </c:pt>
                <c:pt idx="8">
                  <c:v>-6.0000000000000001E-3</c:v>
                </c:pt>
                <c:pt idx="9">
                  <c:v>-1.0499999999999995E-2</c:v>
                </c:pt>
                <c:pt idx="10">
                  <c:v>-8.9999999999999802E-3</c:v>
                </c:pt>
                <c:pt idx="11">
                  <c:v>-1.0000000000000009E-2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365340448"/>
        <c:axId val="365341008"/>
      </c:barChart>
      <c:catAx>
        <c:axId val="36534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41008"/>
        <c:crosses val="autoZero"/>
        <c:auto val="1"/>
        <c:lblAlgn val="ctr"/>
        <c:lblOffset val="100"/>
        <c:noMultiLvlLbl val="0"/>
      </c:catAx>
      <c:valAx>
        <c:axId val="36534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6534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4.xml"/><Relationship Id="rId2" Type="http://schemas.openxmlformats.org/officeDocument/2006/relationships/chart" Target="../charts/chart2.xml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image" Target="../media/image3.png"/><Relationship Id="rId15" Type="http://schemas.openxmlformats.org/officeDocument/2006/relationships/image" Target="../media/image4.png"/><Relationship Id="rId10" Type="http://schemas.openxmlformats.org/officeDocument/2006/relationships/chart" Target="../charts/chart8.xml"/><Relationship Id="rId4" Type="http://schemas.openxmlformats.org/officeDocument/2006/relationships/image" Target="../media/image2.png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1</xdr:row>
      <xdr:rowOff>95251</xdr:rowOff>
    </xdr:from>
    <xdr:ext cx="1222030" cy="28430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" y="304801"/>
          <a:ext cx="1222030" cy="2843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800099</xdr:colOff>
      <xdr:row>9</xdr:row>
      <xdr:rowOff>171451</xdr:rowOff>
    </xdr:from>
    <xdr:to>
      <xdr:col>22</xdr:col>
      <xdr:colOff>9525</xdr:colOff>
      <xdr:row>24</xdr:row>
      <xdr:rowOff>28575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28576</xdr:colOff>
      <xdr:row>45</xdr:row>
      <xdr:rowOff>9525</xdr:rowOff>
    </xdr:from>
    <xdr:to>
      <xdr:col>21</xdr:col>
      <xdr:colOff>942976</xdr:colOff>
      <xdr:row>56</xdr:row>
      <xdr:rowOff>104776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47625</xdr:colOff>
      <xdr:row>60</xdr:row>
      <xdr:rowOff>180975</xdr:rowOff>
    </xdr:from>
    <xdr:to>
      <xdr:col>21</xdr:col>
      <xdr:colOff>942975</xdr:colOff>
      <xdr:row>72</xdr:row>
      <xdr:rowOff>85726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342900</xdr:colOff>
      <xdr:row>25</xdr:row>
      <xdr:rowOff>142875</xdr:rowOff>
    </xdr:from>
    <xdr:ext cx="583582" cy="137790"/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400550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457201</xdr:colOff>
      <xdr:row>25</xdr:row>
      <xdr:rowOff>123825</xdr:rowOff>
    </xdr:from>
    <xdr:ext cx="628473" cy="148390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6" y="4381500"/>
          <a:ext cx="628473" cy="148390"/>
        </a:xfrm>
        <a:prstGeom prst="rect">
          <a:avLst/>
        </a:prstGeom>
      </xdr:spPr>
    </xdr:pic>
    <xdr:clientData/>
  </xdr:oneCellAnchor>
  <xdr:twoCellAnchor>
    <xdr:from>
      <xdr:col>9</xdr:col>
      <xdr:colOff>19050</xdr:colOff>
      <xdr:row>77</xdr:row>
      <xdr:rowOff>19050</xdr:rowOff>
    </xdr:from>
    <xdr:to>
      <xdr:col>22</xdr:col>
      <xdr:colOff>0</xdr:colOff>
      <xdr:row>88</xdr:row>
      <xdr:rowOff>114301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57151</xdr:colOff>
      <xdr:row>93</xdr:row>
      <xdr:rowOff>28576</xdr:rowOff>
    </xdr:from>
    <xdr:to>
      <xdr:col>22</xdr:col>
      <xdr:colOff>0</xdr:colOff>
      <xdr:row>102</xdr:row>
      <xdr:rowOff>114300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47625</xdr:colOff>
      <xdr:row>29</xdr:row>
      <xdr:rowOff>47625</xdr:rowOff>
    </xdr:from>
    <xdr:to>
      <xdr:col>22</xdr:col>
      <xdr:colOff>19049</xdr:colOff>
      <xdr:row>40</xdr:row>
      <xdr:rowOff>9525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28575</xdr:colOff>
      <xdr:row>36</xdr:row>
      <xdr:rowOff>123825</xdr:rowOff>
    </xdr:from>
    <xdr:to>
      <xdr:col>22</xdr:col>
      <xdr:colOff>66675</xdr:colOff>
      <xdr:row>41</xdr:row>
      <xdr:rowOff>76200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1</xdr:col>
      <xdr:colOff>333375</xdr:colOff>
      <xdr:row>41</xdr:row>
      <xdr:rowOff>142875</xdr:rowOff>
    </xdr:from>
    <xdr:ext cx="583582" cy="137790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448550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447676</xdr:colOff>
      <xdr:row>41</xdr:row>
      <xdr:rowOff>123825</xdr:rowOff>
    </xdr:from>
    <xdr:ext cx="628473" cy="148390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7429500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57</xdr:row>
      <xdr:rowOff>133350</xdr:rowOff>
    </xdr:from>
    <xdr:ext cx="583582" cy="137790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0487025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466726</xdr:colOff>
      <xdr:row>57</xdr:row>
      <xdr:rowOff>114300</xdr:rowOff>
    </xdr:from>
    <xdr:ext cx="628473" cy="148390"/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1" y="10467975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73</xdr:row>
      <xdr:rowOff>161925</xdr:rowOff>
    </xdr:from>
    <xdr:ext cx="583582" cy="137790"/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3563600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447676</xdr:colOff>
      <xdr:row>73</xdr:row>
      <xdr:rowOff>142875</xdr:rowOff>
    </xdr:from>
    <xdr:ext cx="628473" cy="148390"/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13544550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89</xdr:row>
      <xdr:rowOff>171450</xdr:rowOff>
    </xdr:from>
    <xdr:ext cx="583582" cy="137790"/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621125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428626</xdr:colOff>
      <xdr:row>89</xdr:row>
      <xdr:rowOff>152400</xdr:rowOff>
    </xdr:from>
    <xdr:ext cx="628473" cy="148390"/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1" y="16602075"/>
          <a:ext cx="628473" cy="148390"/>
        </a:xfrm>
        <a:prstGeom prst="rect">
          <a:avLst/>
        </a:prstGeom>
      </xdr:spPr>
    </xdr:pic>
    <xdr:clientData/>
  </xdr:oneCellAnchor>
  <xdr:twoCellAnchor>
    <xdr:from>
      <xdr:col>9</xdr:col>
      <xdr:colOff>38100</xdr:colOff>
      <xdr:row>52</xdr:row>
      <xdr:rowOff>133350</xdr:rowOff>
    </xdr:from>
    <xdr:to>
      <xdr:col>22</xdr:col>
      <xdr:colOff>66674</xdr:colOff>
      <xdr:row>57</xdr:row>
      <xdr:rowOff>85725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38100</xdr:colOff>
      <xdr:row>68</xdr:row>
      <xdr:rowOff>161925</xdr:rowOff>
    </xdr:from>
    <xdr:to>
      <xdr:col>22</xdr:col>
      <xdr:colOff>95249</xdr:colOff>
      <xdr:row>73</xdr:row>
      <xdr:rowOff>114300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84</xdr:row>
      <xdr:rowOff>152400</xdr:rowOff>
    </xdr:from>
    <xdr:to>
      <xdr:col>21</xdr:col>
      <xdr:colOff>942975</xdr:colOff>
      <xdr:row>89</xdr:row>
      <xdr:rowOff>104775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47624</xdr:colOff>
      <xdr:row>101</xdr:row>
      <xdr:rowOff>95250</xdr:rowOff>
    </xdr:from>
    <xdr:to>
      <xdr:col>22</xdr:col>
      <xdr:colOff>38100</xdr:colOff>
      <xdr:row>108</xdr:row>
      <xdr:rowOff>38100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19051</xdr:colOff>
      <xdr:row>20</xdr:row>
      <xdr:rowOff>123824</xdr:rowOff>
    </xdr:from>
    <xdr:to>
      <xdr:col>22</xdr:col>
      <xdr:colOff>19050</xdr:colOff>
      <xdr:row>25</xdr:row>
      <xdr:rowOff>76199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</xdr:col>
      <xdr:colOff>495300</xdr:colOff>
      <xdr:row>124</xdr:row>
      <xdr:rowOff>57150</xdr:rowOff>
    </xdr:from>
    <xdr:ext cx="718254" cy="169588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2221825"/>
          <a:ext cx="718254" cy="169588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108</xdr:row>
      <xdr:rowOff>171450</xdr:rowOff>
    </xdr:from>
    <xdr:ext cx="583582" cy="137790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163925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428626</xdr:colOff>
      <xdr:row>108</xdr:row>
      <xdr:rowOff>152400</xdr:rowOff>
    </xdr:from>
    <xdr:ext cx="628473" cy="148390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1" y="16144875"/>
          <a:ext cx="628473" cy="148390"/>
        </a:xfrm>
        <a:prstGeom prst="rect">
          <a:avLst/>
        </a:prstGeom>
      </xdr:spPr>
    </xdr:pic>
    <xdr:clientData/>
  </xdr:oneCellAnchor>
  <xdr:twoCellAnchor>
    <xdr:from>
      <xdr:col>9</xdr:col>
      <xdr:colOff>0</xdr:colOff>
      <xdr:row>112</xdr:row>
      <xdr:rowOff>0</xdr:rowOff>
    </xdr:from>
    <xdr:to>
      <xdr:col>21</xdr:col>
      <xdr:colOff>904874</xdr:colOff>
      <xdr:row>121</xdr:row>
      <xdr:rowOff>85724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800100</xdr:colOff>
      <xdr:row>120</xdr:row>
      <xdr:rowOff>85725</xdr:rowOff>
    </xdr:from>
    <xdr:to>
      <xdr:col>21</xdr:col>
      <xdr:colOff>942976</xdr:colOff>
      <xdr:row>124</xdr:row>
      <xdr:rowOff>28575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11</xdr:row>
      <xdr:rowOff>9527</xdr:rowOff>
    </xdr:from>
    <xdr:to>
      <xdr:col>15</xdr:col>
      <xdr:colOff>19051</xdr:colOff>
      <xdr:row>16</xdr:row>
      <xdr:rowOff>76201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161924</xdr:colOff>
      <xdr:row>6</xdr:row>
      <xdr:rowOff>38102</xdr:rowOff>
    </xdr:from>
    <xdr:to>
      <xdr:col>21</xdr:col>
      <xdr:colOff>1381125</xdr:colOff>
      <xdr:row>16</xdr:row>
      <xdr:rowOff>257175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</xdr:colOff>
      <xdr:row>15</xdr:row>
      <xdr:rowOff>19050</xdr:rowOff>
    </xdr:from>
    <xdr:to>
      <xdr:col>15</xdr:col>
      <xdr:colOff>38101</xdr:colOff>
      <xdr:row>18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18</xdr:row>
      <xdr:rowOff>219076</xdr:rowOff>
    </xdr:from>
    <xdr:to>
      <xdr:col>21</xdr:col>
      <xdr:colOff>1133475</xdr:colOff>
      <xdr:row>32</xdr:row>
      <xdr:rowOff>38099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152401</xdr:colOff>
      <xdr:row>24</xdr:row>
      <xdr:rowOff>76199</xdr:rowOff>
    </xdr:from>
    <xdr:to>
      <xdr:col>16</xdr:col>
      <xdr:colOff>790576</xdr:colOff>
      <xdr:row>30</xdr:row>
      <xdr:rowOff>257174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57150</xdr:colOff>
      <xdr:row>30</xdr:row>
      <xdr:rowOff>76201</xdr:rowOff>
    </xdr:from>
    <xdr:to>
      <xdr:col>17</xdr:col>
      <xdr:colOff>0</xdr:colOff>
      <xdr:row>32</xdr:row>
      <xdr:rowOff>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123825</xdr:colOff>
      <xdr:row>39</xdr:row>
      <xdr:rowOff>9527</xdr:rowOff>
    </xdr:from>
    <xdr:to>
      <xdr:col>15</xdr:col>
      <xdr:colOff>19051</xdr:colOff>
      <xdr:row>44</xdr:row>
      <xdr:rowOff>76201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161924</xdr:colOff>
      <xdr:row>34</xdr:row>
      <xdr:rowOff>38102</xdr:rowOff>
    </xdr:from>
    <xdr:to>
      <xdr:col>21</xdr:col>
      <xdr:colOff>1381125</xdr:colOff>
      <xdr:row>44</xdr:row>
      <xdr:rowOff>257175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95250</xdr:colOff>
      <xdr:row>43</xdr:row>
      <xdr:rowOff>19050</xdr:rowOff>
    </xdr:from>
    <xdr:to>
      <xdr:col>15</xdr:col>
      <xdr:colOff>38101</xdr:colOff>
      <xdr:row>46</xdr:row>
      <xdr:rowOff>38100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46</xdr:row>
      <xdr:rowOff>219076</xdr:rowOff>
    </xdr:from>
    <xdr:to>
      <xdr:col>21</xdr:col>
      <xdr:colOff>1133475</xdr:colOff>
      <xdr:row>60</xdr:row>
      <xdr:rowOff>38099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152401</xdr:colOff>
      <xdr:row>52</xdr:row>
      <xdr:rowOff>76199</xdr:rowOff>
    </xdr:from>
    <xdr:to>
      <xdr:col>16</xdr:col>
      <xdr:colOff>790576</xdr:colOff>
      <xdr:row>58</xdr:row>
      <xdr:rowOff>257174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57150</xdr:colOff>
      <xdr:row>58</xdr:row>
      <xdr:rowOff>76201</xdr:rowOff>
    </xdr:from>
    <xdr:to>
      <xdr:col>17</xdr:col>
      <xdr:colOff>0</xdr:colOff>
      <xdr:row>60</xdr:row>
      <xdr:rowOff>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9"/>
  <sheetViews>
    <sheetView showRowColHeaders="0" tabSelected="1" workbookViewId="0">
      <selection activeCell="F1" sqref="F1"/>
    </sheetView>
  </sheetViews>
  <sheetFormatPr defaultRowHeight="16.5" x14ac:dyDescent="0.3"/>
  <cols>
    <col min="1" max="1" width="0.875" style="123" customWidth="1"/>
    <col min="2" max="2" width="9" style="122" customWidth="1"/>
    <col min="3" max="4" width="0" style="122" hidden="1" customWidth="1"/>
    <col min="5" max="5" width="7.625" style="122" customWidth="1"/>
    <col min="6" max="7" width="9.125" style="122" bestFit="1" customWidth="1"/>
    <col min="8" max="8" width="12.625" style="122" customWidth="1"/>
    <col min="9" max="9" width="0.375" style="124" customWidth="1"/>
    <col min="10" max="10" width="9" style="124" customWidth="1"/>
    <col min="11" max="11" width="9.625" style="122" customWidth="1"/>
    <col min="12" max="12" width="0.875" style="122" customWidth="1"/>
    <col min="13" max="13" width="9" style="122" customWidth="1"/>
    <col min="14" max="14" width="9.125" style="122" customWidth="1"/>
    <col min="15" max="15" width="0.375" style="122" customWidth="1"/>
    <col min="16" max="16" width="9.125" style="122" customWidth="1"/>
    <col min="17" max="17" width="9" style="122" customWidth="1"/>
    <col min="18" max="18" width="9" style="123" customWidth="1"/>
    <col min="19" max="20" width="12.625" style="122" customWidth="1"/>
    <col min="21" max="21" width="9" style="122"/>
    <col min="22" max="23" width="12.625" style="122" customWidth="1"/>
    <col min="24" max="24" width="10.625" style="122" customWidth="1"/>
    <col min="25" max="25" width="9" style="122" customWidth="1"/>
    <col min="26" max="26" width="9.375" style="122" bestFit="1" customWidth="1"/>
    <col min="27" max="27" width="15.625" style="122" customWidth="1"/>
    <col min="28" max="30" width="10.625" style="122" bestFit="1" customWidth="1"/>
    <col min="31" max="16384" width="9" style="122"/>
  </cols>
  <sheetData>
    <row r="1" spans="1:41" ht="5.0999999999999996" customHeight="1" x14ac:dyDescent="0.3">
      <c r="AH1" s="153"/>
      <c r="AI1" s="153"/>
      <c r="AJ1" s="153"/>
      <c r="AK1" s="153"/>
      <c r="AL1" s="153"/>
      <c r="AM1" s="153"/>
      <c r="AN1" s="153"/>
      <c r="AO1" s="153"/>
    </row>
    <row r="2" spans="1:41" ht="16.5" customHeight="1" x14ac:dyDescent="0.3">
      <c r="B2" s="289"/>
      <c r="C2" s="290"/>
      <c r="D2" s="290"/>
      <c r="E2" s="290"/>
      <c r="F2" s="290"/>
      <c r="G2" s="290"/>
      <c r="H2" s="295" t="s">
        <v>208</v>
      </c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85">
        <f>RTD("cqg.rtd", ,"SystemInfo", "Linetime")</f>
        <v>43014.385300925926</v>
      </c>
      <c r="Z2" s="285"/>
      <c r="AA2" s="285"/>
      <c r="AB2" s="286"/>
      <c r="AC2" s="179"/>
      <c r="AD2" s="153"/>
      <c r="AE2" s="153"/>
      <c r="AF2" s="153"/>
      <c r="AG2" s="153"/>
      <c r="AH2" s="153"/>
      <c r="AI2" s="153"/>
      <c r="AJ2" s="153"/>
    </row>
    <row r="3" spans="1:41" ht="16.5" customHeight="1" x14ac:dyDescent="0.3">
      <c r="B3" s="291"/>
      <c r="C3" s="292"/>
      <c r="D3" s="292"/>
      <c r="E3" s="292"/>
      <c r="F3" s="292"/>
      <c r="G3" s="292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87"/>
      <c r="Z3" s="287"/>
      <c r="AA3" s="287"/>
      <c r="AB3" s="288"/>
      <c r="AC3" s="179"/>
      <c r="AD3" s="153"/>
      <c r="AE3" s="153"/>
      <c r="AF3" s="153"/>
      <c r="AG3" s="153"/>
      <c r="AH3" s="153"/>
      <c r="AI3" s="153"/>
      <c r="AJ3" s="153"/>
    </row>
    <row r="4" spans="1:41" ht="3.95" customHeight="1" x14ac:dyDescent="0.3">
      <c r="B4" s="177"/>
      <c r="C4" s="177"/>
      <c r="D4" s="177"/>
      <c r="E4" s="177"/>
      <c r="F4" s="177"/>
      <c r="G4" s="177"/>
      <c r="H4" s="177"/>
      <c r="I4" s="178"/>
      <c r="J4" s="178"/>
      <c r="K4" s="177"/>
      <c r="L4" s="177"/>
      <c r="M4" s="177"/>
      <c r="N4" s="177"/>
      <c r="O4" s="177"/>
      <c r="P4" s="177"/>
      <c r="Q4" s="177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5"/>
      <c r="AD4" s="175"/>
      <c r="AE4" s="175"/>
      <c r="AF4" s="175"/>
      <c r="AG4" s="175"/>
      <c r="AH4" s="175"/>
      <c r="AI4" s="175"/>
      <c r="AJ4" s="175"/>
      <c r="AK4" s="175"/>
      <c r="AL4" s="174"/>
      <c r="AM4" s="174"/>
      <c r="AN4" s="174"/>
      <c r="AO4" s="174"/>
    </row>
    <row r="5" spans="1:41" ht="16.5" customHeight="1" x14ac:dyDescent="0.3">
      <c r="B5" s="279" t="s">
        <v>207</v>
      </c>
      <c r="C5" s="280"/>
      <c r="D5" s="280"/>
      <c r="E5" s="280"/>
      <c r="F5" s="280"/>
      <c r="G5" s="280"/>
      <c r="H5" s="280"/>
      <c r="I5" s="173"/>
      <c r="J5" s="279" t="s">
        <v>206</v>
      </c>
      <c r="K5" s="280"/>
      <c r="L5" s="280"/>
      <c r="M5" s="280"/>
      <c r="N5" s="280"/>
      <c r="O5" s="172"/>
      <c r="P5" s="279" t="s">
        <v>205</v>
      </c>
      <c r="Q5" s="280"/>
      <c r="R5" s="280"/>
      <c r="S5" s="280"/>
      <c r="T5" s="280"/>
      <c r="U5" s="280"/>
      <c r="V5" s="280"/>
      <c r="W5" s="280"/>
      <c r="X5" s="280"/>
      <c r="Y5" s="280" t="s">
        <v>204</v>
      </c>
      <c r="Z5" s="280"/>
      <c r="AA5" s="280"/>
      <c r="AB5" s="171">
        <f>IFERROR(0.5625-MOD(RTD("cqg.rtd", ,"SystemInfo", "Linetime"),1),"")</f>
        <v>0.17719907407445135</v>
      </c>
      <c r="AC5" s="153"/>
      <c r="AD5" s="153"/>
      <c r="AE5" s="153"/>
      <c r="AF5" s="153"/>
      <c r="AG5" s="153"/>
      <c r="AH5" s="153"/>
      <c r="AI5" s="153"/>
      <c r="AJ5" s="170"/>
    </row>
    <row r="6" spans="1:41" ht="16.5" customHeight="1" x14ac:dyDescent="0.3">
      <c r="B6" s="281" t="s">
        <v>20</v>
      </c>
      <c r="C6" s="169"/>
      <c r="D6" s="169"/>
      <c r="E6" s="165" t="s">
        <v>203</v>
      </c>
      <c r="F6" s="165" t="s">
        <v>8</v>
      </c>
      <c r="G6" s="165" t="s">
        <v>203</v>
      </c>
      <c r="H6" s="165" t="s">
        <v>202</v>
      </c>
      <c r="I6" s="167"/>
      <c r="J6" s="165" t="s">
        <v>0</v>
      </c>
      <c r="K6" s="281" t="s">
        <v>0</v>
      </c>
      <c r="L6" s="168"/>
      <c r="M6" s="283" t="s">
        <v>1</v>
      </c>
      <c r="N6" s="165" t="s">
        <v>1</v>
      </c>
      <c r="O6" s="167"/>
      <c r="P6" s="281" t="s">
        <v>9</v>
      </c>
      <c r="Q6" s="281" t="s">
        <v>10</v>
      </c>
      <c r="R6" s="281" t="s">
        <v>11</v>
      </c>
      <c r="S6" s="165" t="s">
        <v>199</v>
      </c>
      <c r="T6" s="165" t="s">
        <v>198</v>
      </c>
      <c r="U6" s="281" t="s">
        <v>200</v>
      </c>
      <c r="V6" s="165" t="s">
        <v>9</v>
      </c>
      <c r="W6" s="165" t="s">
        <v>201</v>
      </c>
      <c r="X6" s="281" t="s">
        <v>200</v>
      </c>
      <c r="Y6" s="165" t="s">
        <v>199</v>
      </c>
      <c r="Z6" s="166" t="s">
        <v>198</v>
      </c>
      <c r="AA6" s="165" t="s">
        <v>197</v>
      </c>
      <c r="AB6" s="293" t="s">
        <v>20</v>
      </c>
      <c r="AC6" s="153"/>
      <c r="AD6" s="153"/>
      <c r="AE6" s="153"/>
      <c r="AF6" s="153"/>
      <c r="AG6" s="153"/>
      <c r="AH6" s="153"/>
      <c r="AI6" s="153"/>
      <c r="AJ6" s="153"/>
    </row>
    <row r="7" spans="1:41" x14ac:dyDescent="0.3">
      <c r="B7" s="282"/>
      <c r="C7" s="164"/>
      <c r="D7" s="164"/>
      <c r="E7" s="161" t="s">
        <v>196</v>
      </c>
      <c r="F7" s="161" t="s">
        <v>196</v>
      </c>
      <c r="G7" s="161" t="s">
        <v>196</v>
      </c>
      <c r="H7" s="161" t="s">
        <v>195</v>
      </c>
      <c r="I7" s="162"/>
      <c r="J7" s="161" t="s">
        <v>13</v>
      </c>
      <c r="K7" s="282"/>
      <c r="L7" s="163"/>
      <c r="M7" s="284"/>
      <c r="N7" s="161" t="s">
        <v>13</v>
      </c>
      <c r="O7" s="162"/>
      <c r="P7" s="282"/>
      <c r="Q7" s="282"/>
      <c r="R7" s="282"/>
      <c r="S7" s="161" t="s">
        <v>13</v>
      </c>
      <c r="T7" s="161" t="s">
        <v>13</v>
      </c>
      <c r="U7" s="282"/>
      <c r="V7" s="161" t="s">
        <v>194</v>
      </c>
      <c r="W7" s="161" t="s">
        <v>193</v>
      </c>
      <c r="X7" s="282"/>
      <c r="Y7" s="161" t="s">
        <v>192</v>
      </c>
      <c r="Z7" s="161" t="s">
        <v>192</v>
      </c>
      <c r="AA7" s="161" t="s">
        <v>191</v>
      </c>
      <c r="AB7" s="294"/>
      <c r="AC7" s="160"/>
      <c r="AD7" s="160"/>
    </row>
    <row r="8" spans="1:41" x14ac:dyDescent="0.3">
      <c r="A8" s="123" t="s">
        <v>190</v>
      </c>
      <c r="B8" s="154" t="str">
        <f>RIGHT(RTD("cqg.rtd", ,"ContractData",A8, "LongDescription",, "T"),6)</f>
        <v>Nov 17</v>
      </c>
      <c r="C8" s="153">
        <v>1</v>
      </c>
      <c r="D8" s="153">
        <f t="shared" ref="D8:D39" si="0">IF(ISEVEN(C8),1,0)</f>
        <v>0</v>
      </c>
      <c r="E8" s="159">
        <f>IF(B8="","",RTD("cqg.rtd",,"ContractData",A8,"NetLastTradeToday",,"T"))</f>
        <v>-2.6000000000000002E-2</v>
      </c>
      <c r="F8" s="145">
        <f>IF(B8="","",RTD("cqg.rtd",,"ContractData",A8,"LastTradeToday",,"T"))</f>
        <v>2.8970000000000002</v>
      </c>
      <c r="G8" s="145">
        <f>IF(B8="","",RTD("cqg.rtd",,"ContractData",A8,"NetLastTradeToday",,"T"))</f>
        <v>-2.6000000000000002E-2</v>
      </c>
      <c r="H8" s="151">
        <f>IF(F8="","",MOD(RTD("cqg.rtd", ,"ContractData",A8, "DTLastTrade",, "T"),1))</f>
        <v>0.38472222222480923</v>
      </c>
      <c r="I8" s="276"/>
      <c r="J8" s="150">
        <f>IF(RTD("cqg.rtd", ,"ContractData",A8, "MT_LastBidVolume",, "T")=0,"",RTD("cqg.rtd", ,"ContractData",A8, "MT_LastBidVolume",, "T"))</f>
        <v>31</v>
      </c>
      <c r="K8" s="145">
        <f>RTD("cqg.rtd", ,"ContractData",A8, "Bid",, "T")</f>
        <v>2.8959999999999999</v>
      </c>
      <c r="L8" s="145"/>
      <c r="M8" s="145">
        <f>RTD("cqg.rtd", ,"ContractData",A8, "Ask",, "T")</f>
        <v>2.8970000000000002</v>
      </c>
      <c r="N8" s="150">
        <f>IF(RTD("cqg.rtd", ,"ContractData",A8, "MT_LastAskVolume",, "T")=0,"",RTD("cqg.rtd", ,"ContractData",A8, "MT_LastAskVolume",, "T"))</f>
        <v>30</v>
      </c>
      <c r="O8" s="158" t="b">
        <f t="shared" ref="O8:O39" si="1">IF(F8="",0,IF(F8=P8,1,IF(Q8-F8&lt;=0.001,2,IF(F8-R8&lt;=0.001,3))))</f>
        <v>0</v>
      </c>
      <c r="P8" s="145">
        <f>IF(B8="","",RTD("cqg.rtd",,"ContractData",A8,"Open",,"T"))</f>
        <v>2.895</v>
      </c>
      <c r="Q8" s="145">
        <f>IF(B8="","",RTD("cqg.rtd",,"ContractData",A8,"High",,"T"))</f>
        <v>2.9170000000000003</v>
      </c>
      <c r="R8" s="145">
        <f>IF(B8="","",RTD("cqg.rtd",,"ContractData",A8,"Low",,"T"))</f>
        <v>2.887</v>
      </c>
      <c r="S8" s="147">
        <f>IF(RTD("cqg.rtd", ,"ContractData",A8, "T_CVol",, "T")=0,"",RTD("cqg.rtd", ,"ContractData",A8, "T_CVol",, "T"))</f>
        <v>57846</v>
      </c>
      <c r="T8" s="147">
        <f>IF(RTD("cqg.rtd", ,"ContractData",A8, "Y_CVol",, "T")=0,"",RTD("cqg.rtd", ,"ContractData",A8, "Y_CVol",, "T"))</f>
        <v>180003</v>
      </c>
      <c r="U8" s="147">
        <f t="shared" ref="U8:U39" si="2">IFERROR(IF(S8-T8=0,"",S8-T8),"")</f>
        <v>-122157</v>
      </c>
      <c r="V8" s="147">
        <f>IF(RTD("cqg.rtd",,"StudyData",A8, "OI", "OIType=Contract", "OI","D","-1","ALL",,,"TRUE","T")=0,"",RTD("cqg.rtd",,"StudyData",A8, "OI", "OIType=Contract", "OI","D","-1","ALL",,,"TRUE","T"))</f>
        <v>336575</v>
      </c>
      <c r="W8" s="146">
        <f>IF(RTD("cqg.rtd",,"StudyData",A8, "OI", "OIType=Contract", "OI","D","-2","ALL",,,"TRUE","T")=0,"",RTD("cqg.rtd",,"StudyData",A8, "OI", "OIType=Contract", "OI","D","-2","ALL",,,"TRUE","T"))</f>
        <v>340400</v>
      </c>
      <c r="X8" s="146">
        <f t="shared" ref="X8:X39" si="3">IFERROR(IF(V8-W8=0,"",V8-W8),"")</f>
        <v>-3825</v>
      </c>
      <c r="Y8" s="145" t="str">
        <f>RTD("cqg.rtd", ,"ContractData",A8, "T_Settlement",, "T")</f>
        <v/>
      </c>
      <c r="Z8" s="145">
        <f>RTD("cqg.rtd", ,"ContractData",A8, "Y_Settlement",, "T")</f>
        <v>2.923</v>
      </c>
      <c r="AA8" s="157">
        <f>RTD("cqg.rtd", ,"ContractData",A8, "ExpirationDate",, "T")</f>
        <v>43035</v>
      </c>
      <c r="AB8" s="156" t="str">
        <f>RIGHT(RTD("cqg.rtd", ,"ContractData",A8, "LongDescription",, "T"),6)</f>
        <v>Nov 17</v>
      </c>
      <c r="AC8" s="155"/>
      <c r="AD8" s="155"/>
      <c r="AE8" s="124"/>
      <c r="AF8" s="124"/>
      <c r="AG8" s="124"/>
      <c r="AH8" s="124"/>
      <c r="AI8" s="124"/>
      <c r="AJ8" s="124"/>
      <c r="AK8" s="124"/>
      <c r="AL8" s="124"/>
      <c r="AM8" s="124"/>
    </row>
    <row r="9" spans="1:41" x14ac:dyDescent="0.3">
      <c r="A9" s="123" t="s">
        <v>189</v>
      </c>
      <c r="B9" s="154" t="str">
        <f>RIGHT(RTD("cqg.rtd", ,"ContractData",A9, "LongDescription",, "T"),6)</f>
        <v>Dec 17</v>
      </c>
      <c r="C9" s="153">
        <f t="shared" ref="C9:C40" si="4">IF(RIGHT(B9,1)=RIGHT(B8,1),C8,C8+1)</f>
        <v>1</v>
      </c>
      <c r="D9" s="153">
        <f t="shared" si="0"/>
        <v>0</v>
      </c>
      <c r="E9" s="152">
        <f>IF(B9="","",RTD("cqg.rtd",,"ContractData",A9,"NetLastTradeToday",,"T"))</f>
        <v>-3.2000000000000001E-2</v>
      </c>
      <c r="F9" s="148">
        <f>IF(B9="","",RTD("cqg.rtd",,"ContractData",A9,"LastTradeToday",,"T"))</f>
        <v>3.0710000000000002</v>
      </c>
      <c r="G9" s="148">
        <f>IF(B9="","",RTD("cqg.rtd",,"ContractData",A9,"NetLastTradeToday",,"T"))</f>
        <v>-3.2000000000000001E-2</v>
      </c>
      <c r="H9" s="151">
        <f>IF(F9="","",MOD(RTD("cqg.rtd", ,"ContractData",A9, "DTLastTrade",, "T"),1))</f>
        <v>0.38472222222480923</v>
      </c>
      <c r="I9" s="277"/>
      <c r="J9" s="150">
        <f>IF(RTD("cqg.rtd", ,"ContractData",A9, "MT_LastBidVolume",, "T")=0,"",RTD("cqg.rtd", ,"ContractData",A9, "MT_LastBidVolume",, "T"))</f>
        <v>51</v>
      </c>
      <c r="K9" s="145">
        <f>RTD("cqg.rtd", ,"ContractData",A9, "Bid",, "T")</f>
        <v>3.069</v>
      </c>
      <c r="L9" s="145"/>
      <c r="M9" s="145">
        <f>RTD("cqg.rtd", ,"ContractData",A9, "Ask",, "T")</f>
        <v>3.0710000000000002</v>
      </c>
      <c r="N9" s="150">
        <f>IF(RTD("cqg.rtd", ,"ContractData",A9, "MT_LastAskVolume",, "T")=0,"",RTD("cqg.rtd", ,"ContractData",A9, "MT_LastAskVolume",, "T"))</f>
        <v>38</v>
      </c>
      <c r="O9" s="149" t="b">
        <f t="shared" si="1"/>
        <v>0</v>
      </c>
      <c r="P9" s="148">
        <f>IF(B9="","",RTD("cqg.rtd",,"ContractData",A9,"Open",,"T"))</f>
        <v>3.0790000000000002</v>
      </c>
      <c r="Q9" s="148">
        <f>IF(B9="","",RTD("cqg.rtd",,"ContractData",A9,"High",,"T"))</f>
        <v>3.093</v>
      </c>
      <c r="R9" s="148">
        <f>IF(B9="","",RTD("cqg.rtd",,"ContractData",A9,"Low",,"T"))</f>
        <v>3.0640000000000001</v>
      </c>
      <c r="S9" s="147">
        <f>IF(RTD("cqg.rtd", ,"ContractData",A9, "T_CVol",, "T")=0,"",RTD("cqg.rtd", ,"ContractData",A9, "T_CVol",, "T"))</f>
        <v>22483</v>
      </c>
      <c r="T9" s="147">
        <f>IF(RTD("cqg.rtd", ,"ContractData",A9, "Y_CVol",, "T")=0,"",RTD("cqg.rtd", ,"ContractData",A9, "Y_CVol",, "T"))</f>
        <v>61729</v>
      </c>
      <c r="U9" s="147">
        <f t="shared" si="2"/>
        <v>-39246</v>
      </c>
      <c r="V9" s="147">
        <f>IF(RTD("cqg.rtd",,"StudyData",A9, "OI", "OIType=Contract", "OI","D","-1","ALL",,,"TRUE","T")=0,"",RTD("cqg.rtd",,"StudyData",A9, "OI", "OIType=Contract", "OI","D","-1","ALL",,,"TRUE","T"))</f>
        <v>137863</v>
      </c>
      <c r="W9" s="147">
        <f>IF(RTD("cqg.rtd",,"StudyData",A9, "OI", "OIType=Contract", "OI","D","-2","ALL",,,"TRUE","T")=0,"",RTD("cqg.rtd",,"StudyData",A9, "OI", "OIType=Contract", "OI","D","-2","ALL",,,"TRUE","T"))</f>
        <v>134473</v>
      </c>
      <c r="X9" s="146">
        <f t="shared" si="3"/>
        <v>3390</v>
      </c>
      <c r="Y9" s="145" t="str">
        <f>RTD("cqg.rtd", ,"ContractData",A9, "T_Settlement",, "T")</f>
        <v/>
      </c>
      <c r="Z9" s="145">
        <f>RTD("cqg.rtd", ,"ContractData",A9, "Y_Settlement",, "T")</f>
        <v>3.1030000000000002</v>
      </c>
      <c r="AA9" s="144">
        <f>RTD("cqg.rtd", ,"ContractData",A9, "ExpirationDate",, "T")</f>
        <v>43067</v>
      </c>
      <c r="AB9" s="143" t="str">
        <f>RIGHT(RTD("cqg.rtd", ,"ContractData",A9, "LongDescription",, "T"),6)</f>
        <v>Dec 17</v>
      </c>
      <c r="AC9" s="155"/>
      <c r="AD9" s="155"/>
      <c r="AE9" s="124"/>
      <c r="AF9" s="124"/>
      <c r="AG9" s="124"/>
      <c r="AH9" s="124"/>
      <c r="AI9" s="124"/>
      <c r="AJ9" s="124"/>
      <c r="AK9" s="124"/>
      <c r="AL9" s="124"/>
      <c r="AM9" s="124"/>
    </row>
    <row r="10" spans="1:41" x14ac:dyDescent="0.3">
      <c r="A10" s="123" t="s">
        <v>188</v>
      </c>
      <c r="B10" s="154" t="str">
        <f>RIGHT(RTD("cqg.rtd", ,"ContractData",A10, "LongDescription",, "T"),6)</f>
        <v>Jan 18</v>
      </c>
      <c r="C10" s="153">
        <f t="shared" si="4"/>
        <v>2</v>
      </c>
      <c r="D10" s="153">
        <f t="shared" si="0"/>
        <v>1</v>
      </c>
      <c r="E10" s="152">
        <f>IF(B10="","",RTD("cqg.rtd",,"ContractData",A10,"NetLastTradeToday",,"T"))</f>
        <v>-3.3000000000000002E-2</v>
      </c>
      <c r="F10" s="148">
        <f>IF(B10="","",RTD("cqg.rtd",,"ContractData",A10,"LastTradeToday",,"T"))</f>
        <v>3.1970000000000001</v>
      </c>
      <c r="G10" s="148">
        <f>IF(B10="","",RTD("cqg.rtd",,"ContractData",A10,"NetLastTradeToday",,"T"))</f>
        <v>-3.3000000000000002E-2</v>
      </c>
      <c r="H10" s="151">
        <f>IF(F10="","",MOD(RTD("cqg.rtd", ,"ContractData",A10, "DTLastTrade",, "T"),1))</f>
        <v>0.38472222222480923</v>
      </c>
      <c r="I10" s="277"/>
      <c r="J10" s="150">
        <f>IF(RTD("cqg.rtd", ,"ContractData",A10, "MT_LastBidVolume",, "T")=0,"",RTD("cqg.rtd", ,"ContractData",A10, "MT_LastBidVolume",, "T"))</f>
        <v>5</v>
      </c>
      <c r="K10" s="145">
        <f>RTD("cqg.rtd", ,"ContractData",A10, "Bid",, "T")</f>
        <v>3.1960000000000002</v>
      </c>
      <c r="L10" s="145"/>
      <c r="M10" s="145">
        <f>RTD("cqg.rtd", ,"ContractData",A10, "Ask",, "T")</f>
        <v>3.1970000000000001</v>
      </c>
      <c r="N10" s="150">
        <f>IF(RTD("cqg.rtd", ,"ContractData",A10, "MT_LastAskVolume",, "T")=0,"",RTD("cqg.rtd", ,"ContractData",A10, "MT_LastAskVolume",, "T"))</f>
        <v>5</v>
      </c>
      <c r="O10" s="149" t="b">
        <f t="shared" si="1"/>
        <v>0</v>
      </c>
      <c r="P10" s="148">
        <f>IF(B10="","",RTD("cqg.rtd",,"ContractData",A10,"Open",,"T"))</f>
        <v>3.2050000000000001</v>
      </c>
      <c r="Q10" s="148">
        <f>IF(B10="","",RTD("cqg.rtd",,"ContractData",A10,"High",,"T"))</f>
        <v>3.2189999999999999</v>
      </c>
      <c r="R10" s="148">
        <f>IF(B10="","",RTD("cqg.rtd",,"ContractData",A10,"Low",,"T"))</f>
        <v>3.19</v>
      </c>
      <c r="S10" s="147">
        <f>IF(RTD("cqg.rtd", ,"ContractData",A10, "T_CVol",, "T")=0,"",RTD("cqg.rtd", ,"ContractData",A10, "T_CVol",, "T"))</f>
        <v>14801</v>
      </c>
      <c r="T10" s="147">
        <f>IF(RTD("cqg.rtd", ,"ContractData",A10, "Y_CVol",, "T")=0,"",RTD("cqg.rtd", ,"ContractData",A10, "Y_CVol",, "T"))</f>
        <v>51895</v>
      </c>
      <c r="U10" s="147">
        <f t="shared" si="2"/>
        <v>-37094</v>
      </c>
      <c r="V10" s="147">
        <f>IF(RTD("cqg.rtd",,"StudyData",A10, "OI", "OIType=Contract", "OI","D","-1","ALL",,,"TRUE","T")=0,"",RTD("cqg.rtd",,"StudyData",A10, "OI", "OIType=Contract", "OI","D","-1","ALL",,,"TRUE","T"))</f>
        <v>162543</v>
      </c>
      <c r="W10" s="147">
        <f>IF(RTD("cqg.rtd",,"StudyData",A10, "OI", "OIType=Contract", "OI","D","-2","ALL",,,"TRUE","T")=0,"",RTD("cqg.rtd",,"StudyData",A10, "OI", "OIType=Contract", "OI","D","-2","ALL",,,"TRUE","T"))</f>
        <v>157699</v>
      </c>
      <c r="X10" s="146">
        <f t="shared" si="3"/>
        <v>4844</v>
      </c>
      <c r="Y10" s="145" t="str">
        <f>RTD("cqg.rtd", ,"ContractData",A10, "T_Settlement",, "T")</f>
        <v/>
      </c>
      <c r="Z10" s="145">
        <f>RTD("cqg.rtd", ,"ContractData",A10, "Y_Settlement",, "T")</f>
        <v>3.23</v>
      </c>
      <c r="AA10" s="144">
        <f>RTD("cqg.rtd", ,"ContractData",A10, "ExpirationDate",, "T")</f>
        <v>43096</v>
      </c>
      <c r="AB10" s="143" t="str">
        <f>RIGHT(RTD("cqg.rtd", ,"ContractData",A10, "LongDescription",, "T"),6)</f>
        <v>Jan 18</v>
      </c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</row>
    <row r="11" spans="1:41" x14ac:dyDescent="0.3">
      <c r="A11" s="123" t="s">
        <v>187</v>
      </c>
      <c r="B11" s="154" t="str">
        <f>RIGHT(RTD("cqg.rtd", ,"ContractData",A11, "LongDescription",, "T"),6)</f>
        <v>Feb 18</v>
      </c>
      <c r="C11" s="153">
        <f t="shared" si="4"/>
        <v>2</v>
      </c>
      <c r="D11" s="153">
        <f t="shared" si="0"/>
        <v>1</v>
      </c>
      <c r="E11" s="152">
        <f>IF(B11="","",RTD("cqg.rtd",,"ContractData",A11,"NetLastTradeToday",,"T"))</f>
        <v>-3.3000000000000002E-2</v>
      </c>
      <c r="F11" s="148">
        <f>IF(B11="","",RTD("cqg.rtd",,"ContractData",A11,"LastTradeToday",,"T"))</f>
        <v>3.202</v>
      </c>
      <c r="G11" s="148">
        <f>IF(B11="","",RTD("cqg.rtd",,"ContractData",A11,"NetLastTradeToday",,"T"))</f>
        <v>-3.3000000000000002E-2</v>
      </c>
      <c r="H11" s="151">
        <f>IF(F11="","",MOD(RTD("cqg.rtd", ,"ContractData",A11, "DTLastTrade",, "T"),1))</f>
        <v>0.38472222222480923</v>
      </c>
      <c r="I11" s="277"/>
      <c r="J11" s="150">
        <f>IF(RTD("cqg.rtd", ,"ContractData",A11, "MT_LastBidVolume",, "T")=0,"",RTD("cqg.rtd", ,"ContractData",A11, "MT_LastBidVolume",, "T"))</f>
        <v>40</v>
      </c>
      <c r="K11" s="145">
        <f>RTD("cqg.rtd", ,"ContractData",A11, "Bid",, "T")</f>
        <v>3.2010000000000001</v>
      </c>
      <c r="L11" s="145"/>
      <c r="M11" s="145">
        <f>RTD("cqg.rtd", ,"ContractData",A11, "Ask",, "T")</f>
        <v>3.2029999999999998</v>
      </c>
      <c r="N11" s="150">
        <f>IF(RTD("cqg.rtd", ,"ContractData",A11, "MT_LastAskVolume",, "T")=0,"",RTD("cqg.rtd", ,"ContractData",A11, "MT_LastAskVolume",, "T"))</f>
        <v>41</v>
      </c>
      <c r="O11" s="149" t="b">
        <f t="shared" si="1"/>
        <v>0</v>
      </c>
      <c r="P11" s="148">
        <f>IF(B11="","",RTD("cqg.rtd",,"ContractData",A11,"Open",,"T"))</f>
        <v>3.2160000000000002</v>
      </c>
      <c r="Q11" s="148">
        <f>IF(B11="","",RTD("cqg.rtd",,"ContractData",A11,"High",,"T"))</f>
        <v>3.222</v>
      </c>
      <c r="R11" s="148">
        <f>IF(B11="","",RTD("cqg.rtd",,"ContractData",A11,"Low",,"T"))</f>
        <v>3.1960000000000002</v>
      </c>
      <c r="S11" s="147">
        <f>IF(RTD("cqg.rtd", ,"ContractData",A11, "T_CVol",, "T")=0,"",RTD("cqg.rtd", ,"ContractData",A11, "T_CVol",, "T"))</f>
        <v>5067</v>
      </c>
      <c r="T11" s="147">
        <f>IF(RTD("cqg.rtd", ,"ContractData",A11, "Y_CVol",, "T")=0,"",RTD("cqg.rtd", ,"ContractData",A11, "Y_CVol",, "T"))</f>
        <v>20062</v>
      </c>
      <c r="U11" s="147">
        <f t="shared" si="2"/>
        <v>-14995</v>
      </c>
      <c r="V11" s="147">
        <f>IF(RTD("cqg.rtd",,"StudyData",A11, "OI", "OIType=Contract", "OI","D","-1","ALL",,,"TRUE","T")=0,"",RTD("cqg.rtd",,"StudyData",A11, "OI", "OIType=Contract", "OI","D","-1","ALL",,,"TRUE","T"))</f>
        <v>87178</v>
      </c>
      <c r="W11" s="147">
        <f>IF(RTD("cqg.rtd",,"StudyData",A11, "OI", "OIType=Contract", "OI","D","-2","ALL",,,"TRUE","T")=0,"",RTD("cqg.rtd",,"StudyData",A11, "OI", "OIType=Contract", "OI","D","-2","ALL",,,"TRUE","T"))</f>
        <v>86753</v>
      </c>
      <c r="X11" s="146">
        <f t="shared" si="3"/>
        <v>425</v>
      </c>
      <c r="Y11" s="145" t="str">
        <f>RTD("cqg.rtd", ,"ContractData",A11, "T_Settlement",, "T")</f>
        <v/>
      </c>
      <c r="Z11" s="145">
        <f>RTD("cqg.rtd", ,"ContractData",A11, "Y_Settlement",, "T")</f>
        <v>3.2349999999999999</v>
      </c>
      <c r="AA11" s="144">
        <f>RTD("cqg.rtd", ,"ContractData",A11, "ExpirationDate",, "T")</f>
        <v>43129</v>
      </c>
      <c r="AB11" s="143" t="str">
        <f>RIGHT(RTD("cqg.rtd", ,"ContractData",A11, "LongDescription",, "T"),6)</f>
        <v>Feb 18</v>
      </c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</row>
    <row r="12" spans="1:41" x14ac:dyDescent="0.3">
      <c r="A12" s="123" t="s">
        <v>186</v>
      </c>
      <c r="B12" s="154" t="str">
        <f>RIGHT(RTD("cqg.rtd", ,"ContractData",A12, "LongDescription",, "T"),6)</f>
        <v>Mar 18</v>
      </c>
      <c r="C12" s="153">
        <f t="shared" si="4"/>
        <v>2</v>
      </c>
      <c r="D12" s="153">
        <f t="shared" si="0"/>
        <v>1</v>
      </c>
      <c r="E12" s="152">
        <f>IF(B12="","",RTD("cqg.rtd",,"ContractData",A12,"NetLastTradeToday",,"T"))</f>
        <v>-2.9000000000000001E-2</v>
      </c>
      <c r="F12" s="148">
        <f>IF(B12="","",RTD("cqg.rtd",,"ContractData",A12,"LastTradeToday",,"T"))</f>
        <v>3.1640000000000001</v>
      </c>
      <c r="G12" s="148">
        <f>IF(B12="","",RTD("cqg.rtd",,"ContractData",A12,"NetLastTradeToday",,"T"))</f>
        <v>-2.9000000000000001E-2</v>
      </c>
      <c r="H12" s="151">
        <f>IF(F12="","",MOD(RTD("cqg.rtd", ,"ContractData",A12, "DTLastTrade",, "T"),1))</f>
        <v>0.38472222222480923</v>
      </c>
      <c r="I12" s="277"/>
      <c r="J12" s="150">
        <f>IF(RTD("cqg.rtd", ,"ContractData",A12, "MT_LastBidVolume",, "T")=0,"",RTD("cqg.rtd", ,"ContractData",A12, "MT_LastBidVolume",, "T"))</f>
        <v>18</v>
      </c>
      <c r="K12" s="145">
        <f>RTD("cqg.rtd", ,"ContractData",A12, "Bid",, "T")</f>
        <v>3.1619999999999999</v>
      </c>
      <c r="L12" s="145"/>
      <c r="M12" s="145">
        <f>RTD("cqg.rtd", ,"ContractData",A12, "Ask",, "T")</f>
        <v>3.1630000000000003</v>
      </c>
      <c r="N12" s="150">
        <f>IF(RTD("cqg.rtd", ,"ContractData",A12, "MT_LastAskVolume",, "T")=0,"",RTD("cqg.rtd", ,"ContractData",A12, "MT_LastAskVolume",, "T"))</f>
        <v>3</v>
      </c>
      <c r="O12" s="149" t="b">
        <f t="shared" si="1"/>
        <v>0</v>
      </c>
      <c r="P12" s="148">
        <f>IF(B12="","",RTD("cqg.rtd",,"ContractData",A12,"Open",,"T"))</f>
        <v>3.17</v>
      </c>
      <c r="Q12" s="148">
        <f>IF(B12="","",RTD("cqg.rtd",,"ContractData",A12,"High",,"T"))</f>
        <v>3.1790000000000003</v>
      </c>
      <c r="R12" s="148">
        <f>IF(B12="","",RTD("cqg.rtd",,"ContractData",A12,"Low",,"T"))</f>
        <v>3.1560000000000001</v>
      </c>
      <c r="S12" s="147">
        <f>IF(RTD("cqg.rtd", ,"ContractData",A12, "T_CVol",, "T")=0,"",RTD("cqg.rtd", ,"ContractData",A12, "T_CVol",, "T"))</f>
        <v>8085</v>
      </c>
      <c r="T12" s="147">
        <f>IF(RTD("cqg.rtd", ,"ContractData",A12, "Y_CVol",, "T")=0,"",RTD("cqg.rtd", ,"ContractData",A12, "Y_CVol",, "T"))</f>
        <v>27805</v>
      </c>
      <c r="U12" s="147">
        <f t="shared" si="2"/>
        <v>-19720</v>
      </c>
      <c r="V12" s="147">
        <f>IF(RTD("cqg.rtd",,"StudyData",A12, "OI", "OIType=Contract", "OI","D","-1","ALL",,,"TRUE","T")=0,"",RTD("cqg.rtd",,"StudyData",A12, "OI", "OIType=Contract", "OI","D","-1","ALL",,,"TRUE","T"))</f>
        <v>132088</v>
      </c>
      <c r="W12" s="147">
        <f>IF(RTD("cqg.rtd",,"StudyData",A12, "OI", "OIType=Contract", "OI","D","-2","ALL",,,"TRUE","T")=0,"",RTD("cqg.rtd",,"StudyData",A12, "OI", "OIType=Contract", "OI","D","-2","ALL",,,"TRUE","T"))</f>
        <v>130907</v>
      </c>
      <c r="X12" s="146">
        <f t="shared" si="3"/>
        <v>1181</v>
      </c>
      <c r="Y12" s="145" t="str">
        <f>RTD("cqg.rtd", ,"ContractData",A12, "T_Settlement",, "T")</f>
        <v/>
      </c>
      <c r="Z12" s="145">
        <f>RTD("cqg.rtd", ,"ContractData",A12, "Y_Settlement",, "T")</f>
        <v>3.1930000000000001</v>
      </c>
      <c r="AA12" s="144">
        <f>RTD("cqg.rtd", ,"ContractData",A12, "ExpirationDate",, "T")</f>
        <v>43157</v>
      </c>
      <c r="AB12" s="143" t="str">
        <f>RIGHT(RTD("cqg.rtd", ,"ContractData",A12, "LongDescription",, "T"),6)</f>
        <v>Mar 18</v>
      </c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</row>
    <row r="13" spans="1:41" x14ac:dyDescent="0.3">
      <c r="A13" s="123" t="s">
        <v>185</v>
      </c>
      <c r="B13" s="154" t="str">
        <f>RIGHT(RTD("cqg.rtd", ,"ContractData",A13, "LongDescription",, "T"),6)</f>
        <v>Apr 18</v>
      </c>
      <c r="C13" s="153">
        <f t="shared" si="4"/>
        <v>2</v>
      </c>
      <c r="D13" s="153">
        <f t="shared" si="0"/>
        <v>1</v>
      </c>
      <c r="E13" s="152">
        <f>IF(B13="","",RTD("cqg.rtd",,"ContractData",A13,"NetLastTradeToday",,"T"))</f>
        <v>-1.4E-2</v>
      </c>
      <c r="F13" s="148">
        <f>IF(B13="","",RTD("cqg.rtd",,"ContractData",A13,"LastTradeToday",,"T"))</f>
        <v>2.9250000000000003</v>
      </c>
      <c r="G13" s="148">
        <f>IF(B13="","",RTD("cqg.rtd",,"ContractData",A13,"NetLastTradeToday",,"T"))</f>
        <v>-1.4E-2</v>
      </c>
      <c r="H13" s="151">
        <f>IF(F13="","",MOD(RTD("cqg.rtd", ,"ContractData",A13, "DTLastTrade",, "T"),1))</f>
        <v>0.38472222222480923</v>
      </c>
      <c r="I13" s="277"/>
      <c r="J13" s="150">
        <f>IF(RTD("cqg.rtd", ,"ContractData",A13, "MT_LastBidVolume",, "T")=0,"",RTD("cqg.rtd", ,"ContractData",A13, "MT_LastBidVolume",, "T"))</f>
        <v>15</v>
      </c>
      <c r="K13" s="145">
        <f>RTD("cqg.rtd", ,"ContractData",A13, "Bid",, "T")</f>
        <v>2.9239999999999999</v>
      </c>
      <c r="L13" s="145"/>
      <c r="M13" s="145">
        <f>RTD("cqg.rtd", ,"ContractData",A13, "Ask",, "T")</f>
        <v>2.9250000000000003</v>
      </c>
      <c r="N13" s="150">
        <f>IF(RTD("cqg.rtd", ,"ContractData",A13, "MT_LastAskVolume",, "T")=0,"",RTD("cqg.rtd", ,"ContractData",A13, "MT_LastAskVolume",, "T"))</f>
        <v>1</v>
      </c>
      <c r="O13" s="149" t="b">
        <f t="shared" si="1"/>
        <v>0</v>
      </c>
      <c r="P13" s="148">
        <f>IF(B13="","",RTD("cqg.rtd",,"ContractData",A13,"Open",,"T"))</f>
        <v>2.927</v>
      </c>
      <c r="Q13" s="148">
        <f>IF(B13="","",RTD("cqg.rtd",,"ContractData",A13,"High",,"T"))</f>
        <v>2.9319999999999999</v>
      </c>
      <c r="R13" s="148">
        <f>IF(B13="","",RTD("cqg.rtd",,"ContractData",A13,"Low",,"T"))</f>
        <v>2.9180000000000001</v>
      </c>
      <c r="S13" s="147">
        <f>IF(RTD("cqg.rtd", ,"ContractData",A13, "T_CVol",, "T")=0,"",RTD("cqg.rtd", ,"ContractData",A13, "T_CVol",, "T"))</f>
        <v>5093</v>
      </c>
      <c r="T13" s="147">
        <f>IF(RTD("cqg.rtd", ,"ContractData",A13, "Y_CVol",, "T")=0,"",RTD("cqg.rtd", ,"ContractData",A13, "Y_CVol",, "T"))</f>
        <v>23294</v>
      </c>
      <c r="U13" s="147">
        <f t="shared" si="2"/>
        <v>-18201</v>
      </c>
      <c r="V13" s="147">
        <f>IF(RTD("cqg.rtd",,"StudyData",A13, "OI", "OIType=Contract", "OI","D","-1","ALL",,,"TRUE","T")=0,"",RTD("cqg.rtd",,"StudyData",A13, "OI", "OIType=Contract", "OI","D","-1","ALL",,,"TRUE","T"))</f>
        <v>126730</v>
      </c>
      <c r="W13" s="147">
        <f>IF(RTD("cqg.rtd",,"StudyData",A13, "OI", "OIType=Contract", "OI","D","-2","ALL",,,"TRUE","T")=0,"",RTD("cqg.rtd",,"StudyData",A13, "OI", "OIType=Contract", "OI","D","-2","ALL",,,"TRUE","T"))</f>
        <v>127545</v>
      </c>
      <c r="X13" s="146">
        <f t="shared" si="3"/>
        <v>-815</v>
      </c>
      <c r="Y13" s="145" t="str">
        <f>RTD("cqg.rtd", ,"ContractData",A13, "T_Settlement",, "T")</f>
        <v/>
      </c>
      <c r="Z13" s="145">
        <f>RTD("cqg.rtd", ,"ContractData",A13, "Y_Settlement",, "T")</f>
        <v>2.9390000000000001</v>
      </c>
      <c r="AA13" s="144">
        <f>RTD("cqg.rtd", ,"ContractData",A13, "ExpirationDate",, "T")</f>
        <v>43186</v>
      </c>
      <c r="AB13" s="143" t="str">
        <f>RIGHT(RTD("cqg.rtd", ,"ContractData",A13, "LongDescription",, "T"),6)</f>
        <v>Apr 18</v>
      </c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</row>
    <row r="14" spans="1:41" x14ac:dyDescent="0.3">
      <c r="A14" s="123" t="s">
        <v>184</v>
      </c>
      <c r="B14" s="154" t="str">
        <f>RIGHT(RTD("cqg.rtd", ,"ContractData",A14, "LongDescription",, "T"),6)</f>
        <v>May 18</v>
      </c>
      <c r="C14" s="153">
        <f t="shared" si="4"/>
        <v>2</v>
      </c>
      <c r="D14" s="153">
        <f t="shared" si="0"/>
        <v>1</v>
      </c>
      <c r="E14" s="152">
        <f>IF(B14="","",RTD("cqg.rtd",,"ContractData",A14,"NetLastTradeToday",,"T"))</f>
        <v>-9.0000000000000011E-3</v>
      </c>
      <c r="F14" s="148">
        <f>IF(B14="","",RTD("cqg.rtd",,"ContractData",A14,"LastTradeToday",,"T"))</f>
        <v>2.9020000000000001</v>
      </c>
      <c r="G14" s="148">
        <f>IF(B14="","",RTD("cqg.rtd",,"ContractData",A14,"NetLastTradeToday",,"T"))</f>
        <v>-9.0000000000000011E-3</v>
      </c>
      <c r="H14" s="151">
        <f>IF(F14="","",MOD(RTD("cqg.rtd", ,"ContractData",A14, "DTLastTrade",, "T"),1))</f>
        <v>0.38472222222480923</v>
      </c>
      <c r="I14" s="277"/>
      <c r="J14" s="150">
        <f>IF(RTD("cqg.rtd", ,"ContractData",A14, "MT_LastBidVolume",, "T")=0,"",RTD("cqg.rtd", ,"ContractData",A14, "MT_LastBidVolume",, "T"))</f>
        <v>4</v>
      </c>
      <c r="K14" s="145">
        <f>RTD("cqg.rtd", ,"ContractData",A14, "Bid",, "T")</f>
        <v>2.9</v>
      </c>
      <c r="L14" s="145"/>
      <c r="M14" s="145">
        <f>RTD("cqg.rtd", ,"ContractData",A14, "Ask",, "T")</f>
        <v>2.9010000000000002</v>
      </c>
      <c r="N14" s="150">
        <f>IF(RTD("cqg.rtd", ,"ContractData",A14, "MT_LastAskVolume",, "T")=0,"",RTD("cqg.rtd", ,"ContractData",A14, "MT_LastAskVolume",, "T"))</f>
        <v>2</v>
      </c>
      <c r="O14" s="149" t="b">
        <f t="shared" si="1"/>
        <v>0</v>
      </c>
      <c r="P14" s="148">
        <f>IF(B14="","",RTD("cqg.rtd",,"ContractData",A14,"Open",,"T"))</f>
        <v>2.8970000000000002</v>
      </c>
      <c r="Q14" s="148">
        <f>IF(B14="","",RTD("cqg.rtd",,"ContractData",A14,"High",,"T"))</f>
        <v>2.9039999999999999</v>
      </c>
      <c r="R14" s="148">
        <f>IF(B14="","",RTD("cqg.rtd",,"ContractData",A14,"Low",,"T"))</f>
        <v>2.8940000000000001</v>
      </c>
      <c r="S14" s="147">
        <f>IF(RTD("cqg.rtd", ,"ContractData",A14, "T_CVol",, "T")=0,"",RTD("cqg.rtd", ,"ContractData",A14, "T_CVol",, "T"))</f>
        <v>1940</v>
      </c>
      <c r="T14" s="147">
        <f>IF(RTD("cqg.rtd", ,"ContractData",A14, "Y_CVol",, "T")=0,"",RTD("cqg.rtd", ,"ContractData",A14, "Y_CVol",, "T"))</f>
        <v>9760</v>
      </c>
      <c r="U14" s="147">
        <f t="shared" si="2"/>
        <v>-7820</v>
      </c>
      <c r="V14" s="147">
        <f>IF(RTD("cqg.rtd",,"StudyData",A14, "OI", "OIType=Contract", "OI","D","-1","ALL",,,"TRUE","T")=0,"",RTD("cqg.rtd",,"StudyData",A14, "OI", "OIType=Contract", "OI","D","-1","ALL",,,"TRUE","T"))</f>
        <v>71670</v>
      </c>
      <c r="W14" s="147">
        <f>IF(RTD("cqg.rtd",,"StudyData",A14, "OI", "OIType=Contract", "OI","D","-2","ALL",,,"TRUE","T")=0,"",RTD("cqg.rtd",,"StudyData",A14, "OI", "OIType=Contract", "OI","D","-2","ALL",,,"TRUE","T"))</f>
        <v>72185</v>
      </c>
      <c r="X14" s="146">
        <f t="shared" si="3"/>
        <v>-515</v>
      </c>
      <c r="Y14" s="145" t="str">
        <f>RTD("cqg.rtd", ,"ContractData",A14, "T_Settlement",, "T")</f>
        <v/>
      </c>
      <c r="Z14" s="145">
        <f>RTD("cqg.rtd", ,"ContractData",A14, "Y_Settlement",, "T")</f>
        <v>2.911</v>
      </c>
      <c r="AA14" s="144">
        <f>RTD("cqg.rtd", ,"ContractData",A14, "ExpirationDate",, "T")</f>
        <v>43216</v>
      </c>
      <c r="AB14" s="143" t="str">
        <f>RIGHT(RTD("cqg.rtd", ,"ContractData",A14, "LongDescription",, "T"),6)</f>
        <v>May 18</v>
      </c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</row>
    <row r="15" spans="1:41" x14ac:dyDescent="0.3">
      <c r="A15" s="123" t="s">
        <v>183</v>
      </c>
      <c r="B15" s="154" t="str">
        <f>RIGHT(RTD("cqg.rtd", ,"ContractData",A15, "LongDescription",, "T"),6)</f>
        <v>Jun 18</v>
      </c>
      <c r="C15" s="153">
        <f t="shared" si="4"/>
        <v>2</v>
      </c>
      <c r="D15" s="153">
        <f t="shared" si="0"/>
        <v>1</v>
      </c>
      <c r="E15" s="152">
        <f>IF(B15="","",RTD("cqg.rtd",,"ContractData",A15,"NetLastTradeToday",,"T"))</f>
        <v>-8.0000000000000002E-3</v>
      </c>
      <c r="F15" s="148">
        <f>IF(B15="","",RTD("cqg.rtd",,"ContractData",A15,"LastTradeToday",,"T"))</f>
        <v>2.931</v>
      </c>
      <c r="G15" s="148">
        <f>IF(B15="","",RTD("cqg.rtd",,"ContractData",A15,"NetLastTradeToday",,"T"))</f>
        <v>-8.0000000000000002E-3</v>
      </c>
      <c r="H15" s="151">
        <f>IF(F15="","",MOD(RTD("cqg.rtd", ,"ContractData",A15, "DTLastTrade",, "T"),1))</f>
        <v>0.38472222222480923</v>
      </c>
      <c r="I15" s="277"/>
      <c r="J15" s="150">
        <f>IF(RTD("cqg.rtd", ,"ContractData",A15, "MT_LastBidVolume",, "T")=0,"",RTD("cqg.rtd", ,"ContractData",A15, "MT_LastBidVolume",, "T"))</f>
        <v>8</v>
      </c>
      <c r="K15" s="145">
        <f>RTD("cqg.rtd", ,"ContractData",A15, "Bid",, "T")</f>
        <v>2.9290000000000003</v>
      </c>
      <c r="L15" s="145"/>
      <c r="M15" s="145">
        <f>RTD("cqg.rtd", ,"ContractData",A15, "Ask",, "T")</f>
        <v>2.931</v>
      </c>
      <c r="N15" s="150">
        <f>IF(RTD("cqg.rtd", ,"ContractData",A15, "MT_LastAskVolume",, "T")=0,"",RTD("cqg.rtd", ,"ContractData",A15, "MT_LastAskVolume",, "T"))</f>
        <v>3</v>
      </c>
      <c r="O15" s="149">
        <f t="shared" si="1"/>
        <v>2</v>
      </c>
      <c r="P15" s="148">
        <f>IF(B15="","",RTD("cqg.rtd",,"ContractData",A15,"Open",,"T"))</f>
        <v>2.927</v>
      </c>
      <c r="Q15" s="148">
        <f>IF(B15="","",RTD("cqg.rtd",,"ContractData",A15,"High",,"T"))</f>
        <v>2.931</v>
      </c>
      <c r="R15" s="148">
        <f>IF(B15="","",RTD("cqg.rtd",,"ContractData",A15,"Low",,"T"))</f>
        <v>2.9260000000000002</v>
      </c>
      <c r="S15" s="147">
        <f>IF(RTD("cqg.rtd", ,"ContractData",A15, "T_CVol",, "T")=0,"",RTD("cqg.rtd", ,"ContractData",A15, "T_CVol",, "T"))</f>
        <v>243</v>
      </c>
      <c r="T15" s="147">
        <f>IF(RTD("cqg.rtd", ,"ContractData",A15, "Y_CVol",, "T")=0,"",RTD("cqg.rtd", ,"ContractData",A15, "Y_CVol",, "T"))</f>
        <v>3964</v>
      </c>
      <c r="U15" s="147">
        <f t="shared" si="2"/>
        <v>-3721</v>
      </c>
      <c r="V15" s="147">
        <f>IF(RTD("cqg.rtd",,"StudyData",A15, "OI", "OIType=Contract", "OI","D","-1","ALL",,,"TRUE","T")=0,"",RTD("cqg.rtd",,"StudyData",A15, "OI", "OIType=Contract", "OI","D","-1","ALL",,,"TRUE","T"))</f>
        <v>37730</v>
      </c>
      <c r="W15" s="147">
        <f>IF(RTD("cqg.rtd",,"StudyData",A15, "OI", "OIType=Contract", "OI","D","-2","ALL",,,"TRUE","T")=0,"",RTD("cqg.rtd",,"StudyData",A15, "OI", "OIType=Contract", "OI","D","-2","ALL",,,"TRUE","T"))</f>
        <v>38084</v>
      </c>
      <c r="X15" s="146">
        <f t="shared" si="3"/>
        <v>-354</v>
      </c>
      <c r="Y15" s="145" t="str">
        <f>RTD("cqg.rtd", ,"ContractData",A15, "T_Settlement",, "T")</f>
        <v/>
      </c>
      <c r="Z15" s="145">
        <f>RTD("cqg.rtd", ,"ContractData",A15, "Y_Settlement",, "T")</f>
        <v>2.9390000000000001</v>
      </c>
      <c r="AA15" s="144">
        <f>RTD("cqg.rtd", ,"ContractData",A15, "ExpirationDate",, "T")</f>
        <v>43249</v>
      </c>
      <c r="AB15" s="143" t="str">
        <f>RIGHT(RTD("cqg.rtd", ,"ContractData",A15, "LongDescription",, "T"),6)</f>
        <v>Jun 18</v>
      </c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</row>
    <row r="16" spans="1:41" x14ac:dyDescent="0.3">
      <c r="A16" s="123" t="s">
        <v>182</v>
      </c>
      <c r="B16" s="154" t="str">
        <f>RIGHT(RTD("cqg.rtd", ,"ContractData",A16, "LongDescription",, "T"),6)</f>
        <v>Jul 18</v>
      </c>
      <c r="C16" s="153">
        <f t="shared" si="4"/>
        <v>2</v>
      </c>
      <c r="D16" s="153">
        <f t="shared" si="0"/>
        <v>1</v>
      </c>
      <c r="E16" s="152">
        <f>IF(B16="","",RTD("cqg.rtd",,"ContractData",A16,"NetLastTradeToday",,"T"))</f>
        <v>-8.0000000000000002E-3</v>
      </c>
      <c r="F16" s="148">
        <f>IF(B16="","",RTD("cqg.rtd",,"ContractData",A16,"LastTradeToday",,"T"))</f>
        <v>2.9580000000000002</v>
      </c>
      <c r="G16" s="148">
        <f>IF(B16="","",RTD("cqg.rtd",,"ContractData",A16,"NetLastTradeToday",,"T"))</f>
        <v>-8.0000000000000002E-3</v>
      </c>
      <c r="H16" s="151">
        <f>IF(F16="","",MOD(RTD("cqg.rtd", ,"ContractData",A16, "DTLastTrade",, "T"),1))</f>
        <v>0.38472222222480923</v>
      </c>
      <c r="I16" s="277"/>
      <c r="J16" s="150">
        <f>IF(RTD("cqg.rtd", ,"ContractData",A16, "MT_LastBidVolume",, "T")=0,"",RTD("cqg.rtd", ,"ContractData",A16, "MT_LastBidVolume",, "T"))</f>
        <v>17</v>
      </c>
      <c r="K16" s="145">
        <f>RTD("cqg.rtd", ,"ContractData",A16, "Bid",, "T")</f>
        <v>2.956</v>
      </c>
      <c r="L16" s="145"/>
      <c r="M16" s="145">
        <f>RTD("cqg.rtd", ,"ContractData",A16, "Ask",, "T")</f>
        <v>2.9580000000000002</v>
      </c>
      <c r="N16" s="150">
        <f>IF(RTD("cqg.rtd", ,"ContractData",A16, "MT_LastAskVolume",, "T")=0,"",RTD("cqg.rtd", ,"ContractData",A16, "MT_LastAskVolume",, "T"))</f>
        <v>2</v>
      </c>
      <c r="O16" s="149" t="b">
        <f t="shared" si="1"/>
        <v>0</v>
      </c>
      <c r="P16" s="148">
        <f>IF(B16="","",RTD("cqg.rtd",,"ContractData",A16,"Open",,"T"))</f>
        <v>2.9550000000000001</v>
      </c>
      <c r="Q16" s="148">
        <f>IF(B16="","",RTD("cqg.rtd",,"ContractData",A16,"High",,"T"))</f>
        <v>2.96</v>
      </c>
      <c r="R16" s="148">
        <f>IF(B16="","",RTD("cqg.rtd",,"ContractData",A16,"Low",,"T"))</f>
        <v>2.9510000000000001</v>
      </c>
      <c r="S16" s="147">
        <f>IF(RTD("cqg.rtd", ,"ContractData",A16, "T_CVol",, "T")=0,"",RTD("cqg.rtd", ,"ContractData",A16, "T_CVol",, "T"))</f>
        <v>942</v>
      </c>
      <c r="T16" s="147">
        <f>IF(RTD("cqg.rtd", ,"ContractData",A16, "Y_CVol",, "T")=0,"",RTD("cqg.rtd", ,"ContractData",A16, "Y_CVol",, "T"))</f>
        <v>3231</v>
      </c>
      <c r="U16" s="147">
        <f t="shared" si="2"/>
        <v>-2289</v>
      </c>
      <c r="V16" s="147">
        <f>IF(RTD("cqg.rtd",,"StudyData",A16, "OI", "OIType=Contract", "OI","D","-1","ALL",,,"TRUE","T")=0,"",RTD("cqg.rtd",,"StudyData",A16, "OI", "OIType=Contract", "OI","D","-1","ALL",,,"TRUE","T"))</f>
        <v>32927</v>
      </c>
      <c r="W16" s="147">
        <f>IF(RTD("cqg.rtd",,"StudyData",A16, "OI", "OIType=Contract", "OI","D","-2","ALL",,,"TRUE","T")=0,"",RTD("cqg.rtd",,"StudyData",A16, "OI", "OIType=Contract", "OI","D","-2","ALL",,,"TRUE","T"))</f>
        <v>33253</v>
      </c>
      <c r="X16" s="146">
        <f t="shared" si="3"/>
        <v>-326</v>
      </c>
      <c r="Y16" s="145" t="str">
        <f>RTD("cqg.rtd", ,"ContractData",A16, "T_Settlement",, "T")</f>
        <v/>
      </c>
      <c r="Z16" s="145">
        <f>RTD("cqg.rtd", ,"ContractData",A16, "Y_Settlement",, "T")</f>
        <v>2.9660000000000002</v>
      </c>
      <c r="AA16" s="144">
        <f>RTD("cqg.rtd", ,"ContractData",A16, "ExpirationDate",, "T")</f>
        <v>43278</v>
      </c>
      <c r="AB16" s="143" t="str">
        <f>RIGHT(RTD("cqg.rtd", ,"ContractData",A16, "LongDescription",, "T"),6)</f>
        <v>Jul 18</v>
      </c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</row>
    <row r="17" spans="1:39" x14ac:dyDescent="0.3">
      <c r="A17" s="123" t="s">
        <v>181</v>
      </c>
      <c r="B17" s="154" t="str">
        <f>RIGHT(RTD("cqg.rtd", ,"ContractData",A17, "LongDescription",, "T"),6)</f>
        <v>Aug 18</v>
      </c>
      <c r="C17" s="153">
        <f t="shared" si="4"/>
        <v>2</v>
      </c>
      <c r="D17" s="153">
        <f t="shared" si="0"/>
        <v>1</v>
      </c>
      <c r="E17" s="152">
        <f>IF(B17="","",RTD("cqg.rtd",,"ContractData",A17,"NetLastTradeToday",,"T"))</f>
        <v>-9.0000000000000011E-3</v>
      </c>
      <c r="F17" s="148">
        <f>IF(B17="","",RTD("cqg.rtd",,"ContractData",A17,"LastTradeToday",,"T"))</f>
        <v>2.96</v>
      </c>
      <c r="G17" s="148">
        <f>IF(B17="","",RTD("cqg.rtd",,"ContractData",A17,"NetLastTradeToday",,"T"))</f>
        <v>-9.0000000000000011E-3</v>
      </c>
      <c r="H17" s="151">
        <f>IF(F17="","",MOD(RTD("cqg.rtd", ,"ContractData",A17, "DTLastTrade",, "T"),1))</f>
        <v>0.38055555555911269</v>
      </c>
      <c r="I17" s="277"/>
      <c r="J17" s="150">
        <f>IF(RTD("cqg.rtd", ,"ContractData",A17, "MT_LastBidVolume",, "T")=0,"",RTD("cqg.rtd", ,"ContractData",A17, "MT_LastBidVolume",, "T"))</f>
        <v>11</v>
      </c>
      <c r="K17" s="145">
        <f>RTD("cqg.rtd", ,"ContractData",A17, "Bid",, "T")</f>
        <v>2.9590000000000001</v>
      </c>
      <c r="L17" s="145"/>
      <c r="M17" s="145">
        <f>RTD("cqg.rtd", ,"ContractData",A17, "Ask",, "T")</f>
        <v>2.9609999999999999</v>
      </c>
      <c r="N17" s="150">
        <f>IF(RTD("cqg.rtd", ,"ContractData",A17, "MT_LastAskVolume",, "T")=0,"",RTD("cqg.rtd", ,"ContractData",A17, "MT_LastAskVolume",, "T"))</f>
        <v>4</v>
      </c>
      <c r="O17" s="149" t="b">
        <f t="shared" si="1"/>
        <v>0</v>
      </c>
      <c r="P17" s="148">
        <f>IF(B17="","",RTD("cqg.rtd",,"ContractData",A17,"Open",,"T"))</f>
        <v>2.9550000000000001</v>
      </c>
      <c r="Q17" s="148">
        <f>IF(B17="","",RTD("cqg.rtd",,"ContractData",A17,"High",,"T"))</f>
        <v>2.9620000000000002</v>
      </c>
      <c r="R17" s="148">
        <f>IF(B17="","",RTD("cqg.rtd",,"ContractData",A17,"Low",,"T"))</f>
        <v>2.9529999999999998</v>
      </c>
      <c r="S17" s="147">
        <f>IF(RTD("cqg.rtd", ,"ContractData",A17, "T_CVol",, "T")=0,"",RTD("cqg.rtd", ,"ContractData",A17, "T_CVol",, "T"))</f>
        <v>951</v>
      </c>
      <c r="T17" s="147">
        <f>IF(RTD("cqg.rtd", ,"ContractData",A17, "Y_CVol",, "T")=0,"",RTD("cqg.rtd", ,"ContractData",A17, "Y_CVol",, "T"))</f>
        <v>1825</v>
      </c>
      <c r="U17" s="147">
        <f t="shared" si="2"/>
        <v>-874</v>
      </c>
      <c r="V17" s="147">
        <f>IF(RTD("cqg.rtd",,"StudyData",A17, "OI", "OIType=Contract", "OI","D","-1","ALL",,,"TRUE","T")=0,"",RTD("cqg.rtd",,"StudyData",A17, "OI", "OIType=Contract", "OI","D","-1","ALL",,,"TRUE","T"))</f>
        <v>30787</v>
      </c>
      <c r="W17" s="147">
        <f>IF(RTD("cqg.rtd",,"StudyData",A17, "OI", "OIType=Contract", "OI","D","-2","ALL",,,"TRUE","T")=0,"",RTD("cqg.rtd",,"StudyData",A17, "OI", "OIType=Contract", "OI","D","-2","ALL",,,"TRUE","T"))</f>
        <v>30492</v>
      </c>
      <c r="X17" s="146">
        <f t="shared" si="3"/>
        <v>295</v>
      </c>
      <c r="Y17" s="145" t="str">
        <f>RTD("cqg.rtd", ,"ContractData",A17, "T_Settlement",, "T")</f>
        <v/>
      </c>
      <c r="Z17" s="145">
        <f>RTD("cqg.rtd", ,"ContractData",A17, "Y_Settlement",, "T")</f>
        <v>2.9689999999999999</v>
      </c>
      <c r="AA17" s="144">
        <f>RTD("cqg.rtd", ,"ContractData",A17, "ExpirationDate",, "T")</f>
        <v>43308</v>
      </c>
      <c r="AB17" s="143" t="str">
        <f>RIGHT(RTD("cqg.rtd", ,"ContractData",A17, "LongDescription",, "T"),6)</f>
        <v>Aug 18</v>
      </c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</row>
    <row r="18" spans="1:39" x14ac:dyDescent="0.3">
      <c r="A18" s="123" t="s">
        <v>180</v>
      </c>
      <c r="B18" s="154" t="str">
        <f>RIGHT(RTD("cqg.rtd", ,"ContractData",A18, "LongDescription",, "T"),6)</f>
        <v>Sep 18</v>
      </c>
      <c r="C18" s="153">
        <f t="shared" si="4"/>
        <v>2</v>
      </c>
      <c r="D18" s="153">
        <f t="shared" si="0"/>
        <v>1</v>
      </c>
      <c r="E18" s="152">
        <f>IF(B18="","",RTD("cqg.rtd",,"ContractData",A18,"NetLastTradeToday",,"T"))</f>
        <v>-9.0000000000000011E-3</v>
      </c>
      <c r="F18" s="148">
        <f>IF(B18="","",RTD("cqg.rtd",,"ContractData",A18,"LastTradeToday",,"T"))</f>
        <v>2.9420000000000002</v>
      </c>
      <c r="G18" s="148">
        <f>IF(B18="","",RTD("cqg.rtd",,"ContractData",A18,"NetLastTradeToday",,"T"))</f>
        <v>-9.0000000000000011E-3</v>
      </c>
      <c r="H18" s="151">
        <f>IF(F18="","",MOD(RTD("cqg.rtd", ,"ContractData",A18, "DTLastTrade",, "T"),1))</f>
        <v>0.38263888889196096</v>
      </c>
      <c r="I18" s="277"/>
      <c r="J18" s="150">
        <f>IF(RTD("cqg.rtd", ,"ContractData",A18, "MT_LastBidVolume",, "T")=0,"",RTD("cqg.rtd", ,"ContractData",A18, "MT_LastBidVolume",, "T"))</f>
        <v>2</v>
      </c>
      <c r="K18" s="145">
        <f>RTD("cqg.rtd", ,"ContractData",A18, "Bid",, "T")</f>
        <v>2.9420000000000002</v>
      </c>
      <c r="L18" s="145"/>
      <c r="M18" s="145">
        <f>RTD("cqg.rtd", ,"ContractData",A18, "Ask",, "T")</f>
        <v>2.944</v>
      </c>
      <c r="N18" s="150">
        <f>IF(RTD("cqg.rtd", ,"ContractData",A18, "MT_LastAskVolume",, "T")=0,"",RTD("cqg.rtd", ,"ContractData",A18, "MT_LastAskVolume",, "T"))</f>
        <v>5</v>
      </c>
      <c r="O18" s="149" t="b">
        <f t="shared" si="1"/>
        <v>0</v>
      </c>
      <c r="P18" s="148">
        <f>IF(B18="","",RTD("cqg.rtd",,"ContractData",A18,"Open",,"T"))</f>
        <v>2.944</v>
      </c>
      <c r="Q18" s="148">
        <f>IF(B18="","",RTD("cqg.rtd",,"ContractData",A18,"High",,"T"))</f>
        <v>2.944</v>
      </c>
      <c r="R18" s="148">
        <f>IF(B18="","",RTD("cqg.rtd",,"ContractData",A18,"Low",,"T"))</f>
        <v>2.9350000000000001</v>
      </c>
      <c r="S18" s="147">
        <f>IF(RTD("cqg.rtd", ,"ContractData",A18, "T_CVol",, "T")=0,"",RTD("cqg.rtd", ,"ContractData",A18, "T_CVol",, "T"))</f>
        <v>744</v>
      </c>
      <c r="T18" s="147">
        <f>IF(RTD("cqg.rtd", ,"ContractData",A18, "Y_CVol",, "T")=0,"",RTD("cqg.rtd", ,"ContractData",A18, "Y_CVol",, "T"))</f>
        <v>1835</v>
      </c>
      <c r="U18" s="147">
        <f t="shared" si="2"/>
        <v>-1091</v>
      </c>
      <c r="V18" s="147">
        <f>IF(RTD("cqg.rtd",,"StudyData",A18, "OI", "OIType=Contract", "OI","D","-1","ALL",,,"TRUE","T")=0,"",RTD("cqg.rtd",,"StudyData",A18, "OI", "OIType=Contract", "OI","D","-1","ALL",,,"TRUE","T"))</f>
        <v>31482</v>
      </c>
      <c r="W18" s="147">
        <f>IF(RTD("cqg.rtd",,"StudyData",A18, "OI", "OIType=Contract", "OI","D","-2","ALL",,,"TRUE","T")=0,"",RTD("cqg.rtd",,"StudyData",A18, "OI", "OIType=Contract", "OI","D","-2","ALL",,,"TRUE","T"))</f>
        <v>31753</v>
      </c>
      <c r="X18" s="146">
        <f t="shared" si="3"/>
        <v>-271</v>
      </c>
      <c r="Y18" s="145" t="str">
        <f>RTD("cqg.rtd", ,"ContractData",A18, "T_Settlement",, "T")</f>
        <v/>
      </c>
      <c r="Z18" s="145">
        <f>RTD("cqg.rtd", ,"ContractData",A18, "Y_Settlement",, "T")</f>
        <v>2.9510000000000001</v>
      </c>
      <c r="AA18" s="144">
        <f>RTD("cqg.rtd", ,"ContractData",A18, "ExpirationDate",, "T")</f>
        <v>43341</v>
      </c>
      <c r="AB18" s="143" t="str">
        <f>RIGHT(RTD("cqg.rtd", ,"ContractData",A18, "LongDescription",, "T"),6)</f>
        <v>Sep 18</v>
      </c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</row>
    <row r="19" spans="1:39" x14ac:dyDescent="0.3">
      <c r="A19" s="123" t="s">
        <v>179</v>
      </c>
      <c r="B19" s="154" t="str">
        <f>RIGHT(RTD("cqg.rtd", ,"ContractData",A19, "LongDescription",, "T"),6)</f>
        <v>Oct 18</v>
      </c>
      <c r="C19" s="153">
        <f t="shared" si="4"/>
        <v>2</v>
      </c>
      <c r="D19" s="153">
        <f t="shared" si="0"/>
        <v>1</v>
      </c>
      <c r="E19" s="152">
        <f>IF(B19="","",RTD("cqg.rtd",,"ContractData",A19,"NetLastTradeToday",,"T"))</f>
        <v>-7.0000000000000001E-3</v>
      </c>
      <c r="F19" s="148">
        <f>IF(B19="","",RTD("cqg.rtd",,"ContractData",A19,"LastTradeToday",,"T"))</f>
        <v>2.9670000000000001</v>
      </c>
      <c r="G19" s="148">
        <f>IF(B19="","",RTD("cqg.rtd",,"ContractData",A19,"NetLastTradeToday",,"T"))</f>
        <v>-7.0000000000000001E-3</v>
      </c>
      <c r="H19" s="151">
        <f>IF(F19="","",MOD(RTD("cqg.rtd", ,"ContractData",A19, "DTLastTrade",, "T"),1))</f>
        <v>0.38263888889196096</v>
      </c>
      <c r="I19" s="277"/>
      <c r="J19" s="150">
        <f>IF(RTD("cqg.rtd", ,"ContractData",A19, "MT_LastBidVolume",, "T")=0,"",RTD("cqg.rtd", ,"ContractData",A19, "MT_LastBidVolume",, "T"))</f>
        <v>12</v>
      </c>
      <c r="K19" s="145">
        <f>RTD("cqg.rtd", ,"ContractData",A19, "Bid",, "T")</f>
        <v>2.964</v>
      </c>
      <c r="L19" s="145"/>
      <c r="M19" s="145">
        <f>RTD("cqg.rtd", ,"ContractData",A19, "Ask",, "T")</f>
        <v>2.9660000000000002</v>
      </c>
      <c r="N19" s="150">
        <f>IF(RTD("cqg.rtd", ,"ContractData",A19, "MT_LastAskVolume",, "T")=0,"",RTD("cqg.rtd", ,"ContractData",A19, "MT_LastAskVolume",, "T"))</f>
        <v>1</v>
      </c>
      <c r="O19" s="149">
        <f t="shared" si="1"/>
        <v>2</v>
      </c>
      <c r="P19" s="148">
        <f>IF(B19="","",RTD("cqg.rtd",,"ContractData",A19,"Open",,"T"))</f>
        <v>2.9660000000000002</v>
      </c>
      <c r="Q19" s="148">
        <f>IF(B19="","",RTD("cqg.rtd",,"ContractData",A19,"High",,"T"))</f>
        <v>2.968</v>
      </c>
      <c r="R19" s="148">
        <f>IF(B19="","",RTD("cqg.rtd",,"ContractData",A19,"Low",,"T"))</f>
        <v>2.9580000000000002</v>
      </c>
      <c r="S19" s="147">
        <f>IF(RTD("cqg.rtd", ,"ContractData",A19, "T_CVol",, "T")=0,"",RTD("cqg.rtd", ,"ContractData",A19, "T_CVol",, "T"))</f>
        <v>1142</v>
      </c>
      <c r="T19" s="147">
        <f>IF(RTD("cqg.rtd", ,"ContractData",A19, "Y_CVol",, "T")=0,"",RTD("cqg.rtd", ,"ContractData",A19, "Y_CVol",, "T"))</f>
        <v>6148</v>
      </c>
      <c r="U19" s="147">
        <f t="shared" si="2"/>
        <v>-5006</v>
      </c>
      <c r="V19" s="147">
        <f>IF(RTD("cqg.rtd",,"StudyData",A19, "OI", "OIType=Contract", "OI","D","-1","ALL",,,"TRUE","T")=0,"",RTD("cqg.rtd",,"StudyData",A19, "OI", "OIType=Contract", "OI","D","-1","ALL",,,"TRUE","T"))</f>
        <v>61467</v>
      </c>
      <c r="W19" s="147">
        <f>IF(RTD("cqg.rtd",,"StudyData",A19, "OI", "OIType=Contract", "OI","D","-2","ALL",,,"TRUE","T")=0,"",RTD("cqg.rtd",,"StudyData",A19, "OI", "OIType=Contract", "OI","D","-2","ALL",,,"TRUE","T"))</f>
        <v>60969</v>
      </c>
      <c r="X19" s="146">
        <f t="shared" si="3"/>
        <v>498</v>
      </c>
      <c r="Y19" s="145" t="str">
        <f>RTD("cqg.rtd", ,"ContractData",A19, "T_Settlement",, "T")</f>
        <v/>
      </c>
      <c r="Z19" s="145">
        <f>RTD("cqg.rtd", ,"ContractData",A19, "Y_Settlement",, "T")</f>
        <v>2.9740000000000002</v>
      </c>
      <c r="AA19" s="144">
        <f>RTD("cqg.rtd", ,"ContractData",A19, "ExpirationDate",, "T")</f>
        <v>43369</v>
      </c>
      <c r="AB19" s="143" t="str">
        <f>RIGHT(RTD("cqg.rtd", ,"ContractData",A19, "LongDescription",, "T"),6)</f>
        <v>Oct 18</v>
      </c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</row>
    <row r="20" spans="1:39" x14ac:dyDescent="0.3">
      <c r="A20" s="123" t="s">
        <v>178</v>
      </c>
      <c r="B20" s="154" t="str">
        <f>RIGHT(RTD("cqg.rtd", ,"ContractData",A20, "LongDescription",, "T"),6)</f>
        <v>Nov 18</v>
      </c>
      <c r="C20" s="153">
        <f t="shared" si="4"/>
        <v>2</v>
      </c>
      <c r="D20" s="153">
        <f t="shared" si="0"/>
        <v>1</v>
      </c>
      <c r="E20" s="152">
        <f>IF(B20="","",RTD("cqg.rtd",,"ContractData",A20,"NetLastTradeToday",,"T"))</f>
        <v>-7.0000000000000001E-3</v>
      </c>
      <c r="F20" s="148">
        <f>IF(B20="","",RTD("cqg.rtd",,"ContractData",A20,"LastTradeToday",,"T"))</f>
        <v>3.0209999999999999</v>
      </c>
      <c r="G20" s="148">
        <f>IF(B20="","",RTD("cqg.rtd",,"ContractData",A20,"NetLastTradeToday",,"T"))</f>
        <v>-7.0000000000000001E-3</v>
      </c>
      <c r="H20" s="151">
        <f>IF(F20="","",MOD(RTD("cqg.rtd", ,"ContractData",A20, "DTLastTrade",, "T"),1))</f>
        <v>0.38333333333139308</v>
      </c>
      <c r="I20" s="277"/>
      <c r="J20" s="150">
        <f>IF(RTD("cqg.rtd", ,"ContractData",A20, "MT_LastBidVolume",, "T")=0,"",RTD("cqg.rtd", ,"ContractData",A20, "MT_LastBidVolume",, "T"))</f>
        <v>6</v>
      </c>
      <c r="K20" s="145">
        <f>RTD("cqg.rtd", ,"ContractData",A20, "Bid",, "T")</f>
        <v>3.0169999999999999</v>
      </c>
      <c r="L20" s="145"/>
      <c r="M20" s="145">
        <f>RTD("cqg.rtd", ,"ContractData",A20, "Ask",, "T")</f>
        <v>3.02</v>
      </c>
      <c r="N20" s="150">
        <f>IF(RTD("cqg.rtd", ,"ContractData",A20, "MT_LastAskVolume",, "T")=0,"",RTD("cqg.rtd", ,"ContractData",A20, "MT_LastAskVolume",, "T"))</f>
        <v>7</v>
      </c>
      <c r="O20" s="149">
        <f t="shared" si="1"/>
        <v>2</v>
      </c>
      <c r="P20" s="148">
        <f>IF(B20="","",RTD("cqg.rtd",,"ContractData",A20,"Open",,"T"))</f>
        <v>3.016</v>
      </c>
      <c r="Q20" s="148">
        <f>IF(B20="","",RTD("cqg.rtd",,"ContractData",A20,"High",,"T"))</f>
        <v>3.0209999999999999</v>
      </c>
      <c r="R20" s="148">
        <f>IF(B20="","",RTD("cqg.rtd",,"ContractData",A20,"Low",,"T"))</f>
        <v>3.016</v>
      </c>
      <c r="S20" s="147">
        <f>IF(RTD("cqg.rtd", ,"ContractData",A20, "T_CVol",, "T")=0,"",RTD("cqg.rtd", ,"ContractData",A20, "T_CVol",, "T"))</f>
        <v>120</v>
      </c>
      <c r="T20" s="147">
        <f>IF(RTD("cqg.rtd", ,"ContractData",A20, "Y_CVol",, "T")=0,"",RTD("cqg.rtd", ,"ContractData",A20, "Y_CVol",, "T"))</f>
        <v>1560</v>
      </c>
      <c r="U20" s="147">
        <f t="shared" si="2"/>
        <v>-1440</v>
      </c>
      <c r="V20" s="147">
        <f>IF(RTD("cqg.rtd",,"StudyData",A20, "OI", "OIType=Contract", "OI","D","-1","ALL",,,"TRUE","T")=0,"",RTD("cqg.rtd",,"StudyData",A20, "OI", "OIType=Contract", "OI","D","-1","ALL",,,"TRUE","T"))</f>
        <v>27449</v>
      </c>
      <c r="W20" s="147">
        <f>IF(RTD("cqg.rtd",,"StudyData",A20, "OI", "OIType=Contract", "OI","D","-2","ALL",,,"TRUE","T")=0,"",RTD("cqg.rtd",,"StudyData",A20, "OI", "OIType=Contract", "OI","D","-2","ALL",,,"TRUE","T"))</f>
        <v>27375</v>
      </c>
      <c r="X20" s="146">
        <f t="shared" si="3"/>
        <v>74</v>
      </c>
      <c r="Y20" s="145" t="str">
        <f>RTD("cqg.rtd", ,"ContractData",A20, "T_Settlement",, "T")</f>
        <v/>
      </c>
      <c r="Z20" s="145">
        <f>RTD("cqg.rtd", ,"ContractData",A20, "Y_Settlement",, "T")</f>
        <v>3.028</v>
      </c>
      <c r="AA20" s="144">
        <f>RTD("cqg.rtd", ,"ContractData",A20, "ExpirationDate",, "T")</f>
        <v>43402</v>
      </c>
      <c r="AB20" s="143" t="str">
        <f>RIGHT(RTD("cqg.rtd", ,"ContractData",A20, "LongDescription",, "T"),6)</f>
        <v>Nov 18</v>
      </c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</row>
    <row r="21" spans="1:39" x14ac:dyDescent="0.3">
      <c r="A21" s="123" t="s">
        <v>177</v>
      </c>
      <c r="B21" s="154" t="str">
        <f>RIGHT(RTD("cqg.rtd", ,"ContractData",A21, "LongDescription",, "T"),6)</f>
        <v>Dec 18</v>
      </c>
      <c r="C21" s="153">
        <f t="shared" si="4"/>
        <v>2</v>
      </c>
      <c r="D21" s="153">
        <f t="shared" si="0"/>
        <v>1</v>
      </c>
      <c r="E21" s="152">
        <f>IF(B21="","",RTD("cqg.rtd",,"ContractData",A21,"NetLastTradeToday",,"T"))</f>
        <v>-1.4E-2</v>
      </c>
      <c r="F21" s="148">
        <f>IF(B21="","",RTD("cqg.rtd",,"ContractData",A21,"LastTradeToday",,"T"))</f>
        <v>3.15</v>
      </c>
      <c r="G21" s="148">
        <f>IF(B21="","",RTD("cqg.rtd",,"ContractData",A21,"NetLastTradeToday",,"T"))</f>
        <v>-1.4E-2</v>
      </c>
      <c r="H21" s="151">
        <f>IF(F21="","",MOD(RTD("cqg.rtd", ,"ContractData",A21, "DTLastTrade",, "T"),1))</f>
        <v>0.35138888889196096</v>
      </c>
      <c r="I21" s="277"/>
      <c r="J21" s="150">
        <f>IF(RTD("cqg.rtd", ,"ContractData",A21, "MT_LastBidVolume",, "T")=0,"",RTD("cqg.rtd", ,"ContractData",A21, "MT_LastBidVolume",, "T"))</f>
        <v>4</v>
      </c>
      <c r="K21" s="145">
        <f>RTD("cqg.rtd", ,"ContractData",A21, "Bid",, "T")</f>
        <v>3.153</v>
      </c>
      <c r="L21" s="145"/>
      <c r="M21" s="145">
        <f>RTD("cqg.rtd", ,"ContractData",A21, "Ask",, "T")</f>
        <v>3.157</v>
      </c>
      <c r="N21" s="150">
        <f>IF(RTD("cqg.rtd", ,"ContractData",A21, "MT_LastAskVolume",, "T")=0,"",RTD("cqg.rtd", ,"ContractData",A21, "MT_LastAskVolume",, "T"))</f>
        <v>7</v>
      </c>
      <c r="O21" s="149">
        <f t="shared" si="1"/>
        <v>3</v>
      </c>
      <c r="P21" s="148">
        <f>IF(B21="","",RTD("cqg.rtd",,"ContractData",A21,"Open",,"T"))</f>
        <v>3.1550000000000002</v>
      </c>
      <c r="Q21" s="148">
        <f>IF(B21="","",RTD("cqg.rtd",,"ContractData",A21,"High",,"T"))</f>
        <v>3.1560000000000001</v>
      </c>
      <c r="R21" s="148">
        <f>IF(B21="","",RTD("cqg.rtd",,"ContractData",A21,"Low",,"T"))</f>
        <v>3.15</v>
      </c>
      <c r="S21" s="147">
        <f>IF(RTD("cqg.rtd", ,"ContractData",A21, "T_CVol",, "T")=0,"",RTD("cqg.rtd", ,"ContractData",A21, "T_CVol",, "T"))</f>
        <v>66</v>
      </c>
      <c r="T21" s="147">
        <f>IF(RTD("cqg.rtd", ,"ContractData",A21, "Y_CVol",, "T")=0,"",RTD("cqg.rtd", ,"ContractData",A21, "Y_CVol",, "T"))</f>
        <v>1751</v>
      </c>
      <c r="U21" s="147">
        <f t="shared" si="2"/>
        <v>-1685</v>
      </c>
      <c r="V21" s="147">
        <f>IF(RTD("cqg.rtd",,"StudyData",A21, "OI", "OIType=Contract", "OI","D","-1","ALL",,,"TRUE","T")=0,"",RTD("cqg.rtd",,"StudyData",A21, "OI", "OIType=Contract", "OI","D","-1","ALL",,,"TRUE","T"))</f>
        <v>28664</v>
      </c>
      <c r="W21" s="147">
        <f>IF(RTD("cqg.rtd",,"StudyData",A21, "OI", "OIType=Contract", "OI","D","-2","ALL",,,"TRUE","T")=0,"",RTD("cqg.rtd",,"StudyData",A21, "OI", "OIType=Contract", "OI","D","-2","ALL",,,"TRUE","T"))</f>
        <v>28761</v>
      </c>
      <c r="X21" s="146">
        <f t="shared" si="3"/>
        <v>-97</v>
      </c>
      <c r="Y21" s="145" t="str">
        <f>RTD("cqg.rtd", ,"ContractData",A21, "T_Settlement",, "T")</f>
        <v/>
      </c>
      <c r="Z21" s="145">
        <f>RTD("cqg.rtd", ,"ContractData",A21, "Y_Settlement",, "T")</f>
        <v>3.1640000000000001</v>
      </c>
      <c r="AA21" s="144">
        <f>RTD("cqg.rtd", ,"ContractData",A21, "ExpirationDate",, "T")</f>
        <v>43432</v>
      </c>
      <c r="AB21" s="143" t="str">
        <f>RIGHT(RTD("cqg.rtd", ,"ContractData",A21, "LongDescription",, "T"),6)</f>
        <v>Dec 18</v>
      </c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</row>
    <row r="22" spans="1:39" x14ac:dyDescent="0.3">
      <c r="A22" s="123" t="s">
        <v>176</v>
      </c>
      <c r="B22" s="154" t="str">
        <f>RIGHT(RTD("cqg.rtd", ,"ContractData",A22, "LongDescription",, "T"),6)</f>
        <v>Jan 19</v>
      </c>
      <c r="C22" s="153">
        <f t="shared" si="4"/>
        <v>3</v>
      </c>
      <c r="D22" s="153">
        <f t="shared" si="0"/>
        <v>0</v>
      </c>
      <c r="E22" s="152">
        <f>IF(B22="","",RTD("cqg.rtd",,"ContractData",A22,"NetLastTradeToday",,"T"))</f>
        <v>-7.0000000000000001E-3</v>
      </c>
      <c r="F22" s="148">
        <f>IF(B22="","",RTD("cqg.rtd",,"ContractData",A22,"LastTradeToday",,"T"))</f>
        <v>3.2410000000000001</v>
      </c>
      <c r="G22" s="148">
        <f>IF(B22="","",RTD("cqg.rtd",,"ContractData",A22,"NetLastTradeToday",,"T"))</f>
        <v>-7.0000000000000001E-3</v>
      </c>
      <c r="H22" s="151">
        <f>IF(F22="","",MOD(RTD("cqg.rtd", ,"ContractData",A22, "DTLastTrade",, "T"),1))</f>
        <v>0.38472222222480923</v>
      </c>
      <c r="I22" s="277"/>
      <c r="J22" s="150">
        <f>IF(RTD("cqg.rtd", ,"ContractData",A22, "MT_LastBidVolume",, "T")=0,"",RTD("cqg.rtd", ,"ContractData",A22, "MT_LastBidVolume",, "T"))</f>
        <v>5</v>
      </c>
      <c r="K22" s="145">
        <f>RTD("cqg.rtd", ,"ContractData",A22, "Bid",, "T")</f>
        <v>3.238</v>
      </c>
      <c r="L22" s="145"/>
      <c r="M22" s="145">
        <f>RTD("cqg.rtd", ,"ContractData",A22, "Ask",, "T")</f>
        <v>3.242</v>
      </c>
      <c r="N22" s="150">
        <f>IF(RTD("cqg.rtd", ,"ContractData",A22, "MT_LastAskVolume",, "T")=0,"",RTD("cqg.rtd", ,"ContractData",A22, "MT_LastAskVolume",, "T"))</f>
        <v>8</v>
      </c>
      <c r="O22" s="149">
        <f t="shared" si="1"/>
        <v>2</v>
      </c>
      <c r="P22" s="148">
        <f>IF(B22="","",RTD("cqg.rtd",,"ContractData",A22,"Open",,"T"))</f>
        <v>3.2360000000000002</v>
      </c>
      <c r="Q22" s="148">
        <f>IF(B22="","",RTD("cqg.rtd",,"ContractData",A22,"High",,"T"))</f>
        <v>3.242</v>
      </c>
      <c r="R22" s="148">
        <f>IF(B22="","",RTD("cqg.rtd",,"ContractData",A22,"Low",,"T"))</f>
        <v>3.234</v>
      </c>
      <c r="S22" s="147">
        <f>IF(RTD("cqg.rtd", ,"ContractData",A22, "T_CVol",, "T")=0,"",RTD("cqg.rtd", ,"ContractData",A22, "T_CVol",, "T"))</f>
        <v>263</v>
      </c>
      <c r="T22" s="147">
        <f>IF(RTD("cqg.rtd", ,"ContractData",A22, "Y_CVol",, "T")=0,"",RTD("cqg.rtd", ,"ContractData",A22, "Y_CVol",, "T"))</f>
        <v>2106</v>
      </c>
      <c r="U22" s="147">
        <f t="shared" si="2"/>
        <v>-1843</v>
      </c>
      <c r="V22" s="147">
        <f>IF(RTD("cqg.rtd",,"StudyData",A22, "OI", "OIType=Contract", "OI","D","-1","ALL",,,"TRUE","T")=0,"",RTD("cqg.rtd",,"StudyData",A22, "OI", "OIType=Contract", "OI","D","-1","ALL",,,"TRUE","T"))</f>
        <v>19292</v>
      </c>
      <c r="W22" s="147">
        <f>IF(RTD("cqg.rtd",,"StudyData",A22, "OI", "OIType=Contract", "OI","D","-2","ALL",,,"TRUE","T")=0,"",RTD("cqg.rtd",,"StudyData",A22, "OI", "OIType=Contract", "OI","D","-2","ALL",,,"TRUE","T"))</f>
        <v>19252</v>
      </c>
      <c r="X22" s="146">
        <f t="shared" si="3"/>
        <v>40</v>
      </c>
      <c r="Y22" s="145" t="str">
        <f>RTD("cqg.rtd", ,"ContractData",A22, "T_Settlement",, "T")</f>
        <v/>
      </c>
      <c r="Z22" s="145">
        <f>RTD("cqg.rtd", ,"ContractData",A22, "Y_Settlement",, "T")</f>
        <v>3.2480000000000002</v>
      </c>
      <c r="AA22" s="144">
        <f>RTD("cqg.rtd", ,"ContractData",A22, "ExpirationDate",, "T")</f>
        <v>43461</v>
      </c>
      <c r="AB22" s="143" t="str">
        <f>RIGHT(RTD("cqg.rtd", ,"ContractData",A22, "LongDescription",, "T"),6)</f>
        <v>Jan 19</v>
      </c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</row>
    <row r="23" spans="1:39" x14ac:dyDescent="0.3">
      <c r="A23" s="123" t="s">
        <v>175</v>
      </c>
      <c r="B23" s="154" t="str">
        <f>RIGHT(RTD("cqg.rtd", ,"ContractData",A23, "LongDescription",, "T"),6)</f>
        <v>Feb 19</v>
      </c>
      <c r="C23" s="153">
        <f t="shared" si="4"/>
        <v>3</v>
      </c>
      <c r="D23" s="153">
        <f t="shared" si="0"/>
        <v>0</v>
      </c>
      <c r="E23" s="152" t="str">
        <f>IF(B23="","",RTD("cqg.rtd",,"ContractData",A23,"NetLastTradeToday",,"T"))</f>
        <v/>
      </c>
      <c r="F23" s="148" t="str">
        <f>IF(B23="","",RTD("cqg.rtd",,"ContractData",A23,"LastTradeToday",,"T"))</f>
        <v/>
      </c>
      <c r="G23" s="148" t="str">
        <f>IF(B23="","",RTD("cqg.rtd",,"ContractData",A23,"NetLastTradeToday",,"T"))</f>
        <v/>
      </c>
      <c r="H23" s="151" t="str">
        <f>IF(F23="","",MOD(RTD("cqg.rtd", ,"ContractData",A23, "DTLastTrade",, "T"),1))</f>
        <v/>
      </c>
      <c r="I23" s="277"/>
      <c r="J23" s="150">
        <f>IF(RTD("cqg.rtd", ,"ContractData",A23, "MT_LastBidVolume",, "T")=0,"",RTD("cqg.rtd", ,"ContractData",A23, "MT_LastBidVolume",, "T"))</f>
        <v>2</v>
      </c>
      <c r="K23" s="145">
        <f>RTD("cqg.rtd", ,"ContractData",A23, "Bid",, "T")</f>
        <v>3.2120000000000002</v>
      </c>
      <c r="L23" s="145"/>
      <c r="M23" s="145">
        <f>RTD("cqg.rtd", ,"ContractData",A23, "Ask",, "T")</f>
        <v>3.2189999999999999</v>
      </c>
      <c r="N23" s="150">
        <f>IF(RTD("cqg.rtd", ,"ContractData",A23, "MT_LastAskVolume",, "T")=0,"",RTD("cqg.rtd", ,"ContractData",A23, "MT_LastAskVolume",, "T"))</f>
        <v>2</v>
      </c>
      <c r="O23" s="149">
        <f t="shared" si="1"/>
        <v>0</v>
      </c>
      <c r="P23" s="148" t="str">
        <f>IF(B23="","",RTD("cqg.rtd",,"ContractData",A23,"Open",,"T"))</f>
        <v/>
      </c>
      <c r="Q23" s="148" t="str">
        <f>IF(B23="","",RTD("cqg.rtd",,"ContractData",A23,"High",,"T"))</f>
        <v/>
      </c>
      <c r="R23" s="148" t="str">
        <f>IF(B23="","",RTD("cqg.rtd",,"ContractData",A23,"Low",,"T"))</f>
        <v/>
      </c>
      <c r="S23" s="147">
        <f>IF(RTD("cqg.rtd", ,"ContractData",A23, "T_CVol",, "T")=0,"",RTD("cqg.rtd", ,"ContractData",A23, "T_CVol",, "T"))</f>
        <v>23</v>
      </c>
      <c r="T23" s="147">
        <f>IF(RTD("cqg.rtd", ,"ContractData",A23, "Y_CVol",, "T")=0,"",RTD("cqg.rtd", ,"ContractData",A23, "Y_CVol",, "T"))</f>
        <v>217</v>
      </c>
      <c r="U23" s="147">
        <f t="shared" si="2"/>
        <v>-194</v>
      </c>
      <c r="V23" s="147">
        <f>IF(RTD("cqg.rtd",,"StudyData",A23, "OI", "OIType=Contract", "OI","D","-1","ALL",,,"TRUE","T")=0,"",RTD("cqg.rtd",,"StudyData",A23, "OI", "OIType=Contract", "OI","D","-1","ALL",,,"TRUE","T"))</f>
        <v>6985</v>
      </c>
      <c r="W23" s="147">
        <f>IF(RTD("cqg.rtd",,"StudyData",A23, "OI", "OIType=Contract", "OI","D","-2","ALL",,,"TRUE","T")=0,"",RTD("cqg.rtd",,"StudyData",A23, "OI", "OIType=Contract", "OI","D","-2","ALL",,,"TRUE","T"))</f>
        <v>7012</v>
      </c>
      <c r="X23" s="146">
        <f t="shared" si="3"/>
        <v>-27</v>
      </c>
      <c r="Y23" s="145" t="str">
        <f>RTD("cqg.rtd", ,"ContractData",A23, "T_Settlement",, "T")</f>
        <v/>
      </c>
      <c r="Z23" s="145">
        <f>RTD("cqg.rtd", ,"ContractData",A23, "Y_Settlement",, "T")</f>
        <v>3.2250000000000001</v>
      </c>
      <c r="AA23" s="144">
        <f>RTD("cqg.rtd", ,"ContractData",A23, "ExpirationDate",, "T")</f>
        <v>43494</v>
      </c>
      <c r="AB23" s="143" t="str">
        <f>RIGHT(RTD("cqg.rtd", ,"ContractData",A23, "LongDescription",, "T"),6)</f>
        <v>Feb 19</v>
      </c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</row>
    <row r="24" spans="1:39" x14ac:dyDescent="0.3">
      <c r="A24" s="123" t="s">
        <v>174</v>
      </c>
      <c r="B24" s="154" t="str">
        <f>RIGHT(RTD("cqg.rtd", ,"ContractData",A24, "LongDescription",, "T"),6)</f>
        <v>Mar 19</v>
      </c>
      <c r="C24" s="153">
        <f t="shared" si="4"/>
        <v>3</v>
      </c>
      <c r="D24" s="153">
        <f t="shared" si="0"/>
        <v>0</v>
      </c>
      <c r="E24" s="152" t="str">
        <f>IF(B24="","",RTD("cqg.rtd",,"ContractData",A24,"NetLastTradeToday",,"T"))</f>
        <v/>
      </c>
      <c r="F24" s="148" t="str">
        <f>IF(B24="","",RTD("cqg.rtd",,"ContractData",A24,"LastTradeToday",,"T"))</f>
        <v/>
      </c>
      <c r="G24" s="148" t="str">
        <f>IF(B24="","",RTD("cqg.rtd",,"ContractData",A24,"NetLastTradeToday",,"T"))</f>
        <v/>
      </c>
      <c r="H24" s="151" t="str">
        <f>IF(F24="","",MOD(RTD("cqg.rtd", ,"ContractData",A24, "DTLastTrade",, "T"),1))</f>
        <v/>
      </c>
      <c r="I24" s="277"/>
      <c r="J24" s="150">
        <f>IF(RTD("cqg.rtd", ,"ContractData",A24, "MT_LastBidVolume",, "T")=0,"",RTD("cqg.rtd", ,"ContractData",A24, "MT_LastBidVolume",, "T"))</f>
        <v>2</v>
      </c>
      <c r="K24" s="145">
        <f>RTD("cqg.rtd", ,"ContractData",A24, "Bid",, "T")</f>
        <v>3.14</v>
      </c>
      <c r="L24" s="145"/>
      <c r="M24" s="145">
        <f>RTD("cqg.rtd", ,"ContractData",A24, "Ask",, "T")</f>
        <v>3.1470000000000002</v>
      </c>
      <c r="N24" s="150">
        <f>IF(RTD("cqg.rtd", ,"ContractData",A24, "MT_LastAskVolume",, "T")=0,"",RTD("cqg.rtd", ,"ContractData",A24, "MT_LastAskVolume",, "T"))</f>
        <v>4</v>
      </c>
      <c r="O24" s="149">
        <f t="shared" si="1"/>
        <v>0</v>
      </c>
      <c r="P24" s="148" t="str">
        <f>IF(B24="","",RTD("cqg.rtd",,"ContractData",A24,"Open",,"T"))</f>
        <v/>
      </c>
      <c r="Q24" s="148" t="str">
        <f>IF(B24="","",RTD("cqg.rtd",,"ContractData",A24,"High",,"T"))</f>
        <v/>
      </c>
      <c r="R24" s="148" t="str">
        <f>IF(B24="","",RTD("cqg.rtd",,"ContractData",A24,"Low",,"T"))</f>
        <v/>
      </c>
      <c r="S24" s="147">
        <f>IF(RTD("cqg.rtd", ,"ContractData",A24, "T_CVol",, "T")=0,"",RTD("cqg.rtd", ,"ContractData",A24, "T_CVol",, "T"))</f>
        <v>27</v>
      </c>
      <c r="T24" s="147">
        <f>IF(RTD("cqg.rtd", ,"ContractData",A24, "Y_CVol",, "T")=0,"",RTD("cqg.rtd", ,"ContractData",A24, "Y_CVol",, "T"))</f>
        <v>1757</v>
      </c>
      <c r="U24" s="147">
        <f t="shared" si="2"/>
        <v>-1730</v>
      </c>
      <c r="V24" s="147">
        <f>IF(RTD("cqg.rtd",,"StudyData",A24, "OI", "OIType=Contract", "OI","D","-1","ALL",,,"TRUE","T")=0,"",RTD("cqg.rtd",,"StudyData",A24, "OI", "OIType=Contract", "OI","D","-1","ALL",,,"TRUE","T"))</f>
        <v>15414</v>
      </c>
      <c r="W24" s="147">
        <f>IF(RTD("cqg.rtd",,"StudyData",A24, "OI", "OIType=Contract", "OI","D","-2","ALL",,,"TRUE","T")=0,"",RTD("cqg.rtd",,"StudyData",A24, "OI", "OIType=Contract", "OI","D","-2","ALL",,,"TRUE","T"))</f>
        <v>15130</v>
      </c>
      <c r="X24" s="146">
        <f t="shared" si="3"/>
        <v>284</v>
      </c>
      <c r="Y24" s="145" t="str">
        <f>RTD("cqg.rtd", ,"ContractData",A24, "T_Settlement",, "T")</f>
        <v/>
      </c>
      <c r="Z24" s="145">
        <f>RTD("cqg.rtd", ,"ContractData",A24, "Y_Settlement",, "T")</f>
        <v>3.153</v>
      </c>
      <c r="AA24" s="144">
        <f>RTD("cqg.rtd", ,"ContractData",A24, "ExpirationDate",, "T")</f>
        <v>43522</v>
      </c>
      <c r="AB24" s="143" t="str">
        <f>RIGHT(RTD("cqg.rtd", ,"ContractData",A24, "LongDescription",, "T"),6)</f>
        <v>Mar 19</v>
      </c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</row>
    <row r="25" spans="1:39" x14ac:dyDescent="0.3">
      <c r="A25" s="123" t="s">
        <v>173</v>
      </c>
      <c r="B25" s="154" t="str">
        <f>RIGHT(RTD("cqg.rtd", ,"ContractData",A25, "LongDescription",, "T"),6)</f>
        <v>Apr 19</v>
      </c>
      <c r="C25" s="153">
        <f t="shared" si="4"/>
        <v>3</v>
      </c>
      <c r="D25" s="153">
        <f t="shared" si="0"/>
        <v>0</v>
      </c>
      <c r="E25" s="152" t="str">
        <f>IF(B25="","",RTD("cqg.rtd",,"ContractData",A25,"NetLastTradeToday",,"T"))</f>
        <v/>
      </c>
      <c r="F25" s="148" t="str">
        <f>IF(B25="","",RTD("cqg.rtd",,"ContractData",A25,"LastTradeToday",,"T"))</f>
        <v/>
      </c>
      <c r="G25" s="148" t="str">
        <f>IF(B25="","",RTD("cqg.rtd",,"ContractData",A25,"NetLastTradeToday",,"T"))</f>
        <v/>
      </c>
      <c r="H25" s="151" t="str">
        <f>IF(F25="","",MOD(RTD("cqg.rtd", ,"ContractData",A25, "DTLastTrade",, "T"),1))</f>
        <v/>
      </c>
      <c r="I25" s="277"/>
      <c r="J25" s="150">
        <f>IF(RTD("cqg.rtd", ,"ContractData",A25, "MT_LastBidVolume",, "T")=0,"",RTD("cqg.rtd", ,"ContractData",A25, "MT_LastBidVolume",, "T"))</f>
        <v>1</v>
      </c>
      <c r="K25" s="145">
        <f>RTD("cqg.rtd", ,"ContractData",A25, "Bid",, "T")</f>
        <v>2.7450000000000001</v>
      </c>
      <c r="L25" s="145"/>
      <c r="M25" s="145">
        <f>RTD("cqg.rtd", ,"ContractData",A25, "Ask",, "T")</f>
        <v>2.7610000000000001</v>
      </c>
      <c r="N25" s="150">
        <f>IF(RTD("cqg.rtd", ,"ContractData",A25, "MT_LastAskVolume",, "T")=0,"",RTD("cqg.rtd", ,"ContractData",A25, "MT_LastAskVolume",, "T"))</f>
        <v>1</v>
      </c>
      <c r="O25" s="149">
        <f t="shared" si="1"/>
        <v>0</v>
      </c>
      <c r="P25" s="148" t="str">
        <f>IF(B25="","",RTD("cqg.rtd",,"ContractData",A25,"Open",,"T"))</f>
        <v/>
      </c>
      <c r="Q25" s="148" t="str">
        <f>IF(B25="","",RTD("cqg.rtd",,"ContractData",A25,"High",,"T"))</f>
        <v/>
      </c>
      <c r="R25" s="148" t="str">
        <f>IF(B25="","",RTD("cqg.rtd",,"ContractData",A25,"Low",,"T"))</f>
        <v/>
      </c>
      <c r="S25" s="147">
        <f>IF(RTD("cqg.rtd", ,"ContractData",A25, "T_CVol",, "T")=0,"",RTD("cqg.rtd", ,"ContractData",A25, "T_CVol",, "T"))</f>
        <v>5</v>
      </c>
      <c r="T25" s="147">
        <f>IF(RTD("cqg.rtd", ,"ContractData",A25, "Y_CVol",, "T")=0,"",RTD("cqg.rtd", ,"ContractData",A25, "Y_CVol",, "T"))</f>
        <v>2491</v>
      </c>
      <c r="U25" s="147">
        <f t="shared" si="2"/>
        <v>-2486</v>
      </c>
      <c r="V25" s="147">
        <f>IF(RTD("cqg.rtd",,"StudyData",A25, "OI", "OIType=Contract", "OI","D","-1","ALL",,,"TRUE","T")=0,"",RTD("cqg.rtd",,"StudyData",A25, "OI", "OIType=Contract", "OI","D","-1","ALL",,,"TRUE","T"))</f>
        <v>14990</v>
      </c>
      <c r="W25" s="147">
        <f>IF(RTD("cqg.rtd",,"StudyData",A25, "OI", "OIType=Contract", "OI","D","-2","ALL",,,"TRUE","T")=0,"",RTD("cqg.rtd",,"StudyData",A25, "OI", "OIType=Contract", "OI","D","-2","ALL",,,"TRUE","T"))</f>
        <v>15066</v>
      </c>
      <c r="X25" s="146">
        <f t="shared" si="3"/>
        <v>-76</v>
      </c>
      <c r="Y25" s="145" t="str">
        <f>RTD("cqg.rtd", ,"ContractData",A25, "T_Settlement",, "T")</f>
        <v/>
      </c>
      <c r="Z25" s="145">
        <f>RTD("cqg.rtd", ,"ContractData",A25, "Y_Settlement",, "T")</f>
        <v>2.758</v>
      </c>
      <c r="AA25" s="144">
        <f>RTD("cqg.rtd", ,"ContractData",A25, "ExpirationDate",, "T")</f>
        <v>43551</v>
      </c>
      <c r="AB25" s="143" t="str">
        <f>RIGHT(RTD("cqg.rtd", ,"ContractData",A25, "LongDescription",, "T"),6)</f>
        <v>Apr 19</v>
      </c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</row>
    <row r="26" spans="1:39" x14ac:dyDescent="0.3">
      <c r="A26" s="123" t="s">
        <v>172</v>
      </c>
      <c r="B26" s="154" t="str">
        <f>RIGHT(RTD("cqg.rtd", ,"ContractData",A26, "LongDescription",, "T"),6)</f>
        <v>May 19</v>
      </c>
      <c r="C26" s="153">
        <f t="shared" si="4"/>
        <v>3</v>
      </c>
      <c r="D26" s="153">
        <f t="shared" si="0"/>
        <v>0</v>
      </c>
      <c r="E26" s="152" t="str">
        <f>IF(B26="","",RTD("cqg.rtd",,"ContractData",A26,"NetLastTradeToday",,"T"))</f>
        <v/>
      </c>
      <c r="F26" s="148" t="str">
        <f>IF(B26="","",RTD("cqg.rtd",,"ContractData",A26,"LastTradeToday",,"T"))</f>
        <v/>
      </c>
      <c r="G26" s="148" t="str">
        <f>IF(B26="","",RTD("cqg.rtd",,"ContractData",A26,"NetLastTradeToday",,"T"))</f>
        <v/>
      </c>
      <c r="H26" s="151" t="str">
        <f>IF(F26="","",MOD(RTD("cqg.rtd", ,"ContractData",A26, "DTLastTrade",, "T"),1))</f>
        <v/>
      </c>
      <c r="I26" s="277"/>
      <c r="J26" s="150">
        <f>IF(RTD("cqg.rtd", ,"ContractData",A26, "MT_LastBidVolume",, "T")=0,"",RTD("cqg.rtd", ,"ContractData",A26, "MT_LastBidVolume",, "T"))</f>
        <v>6</v>
      </c>
      <c r="K26" s="145">
        <f>RTD("cqg.rtd", ,"ContractData",A26, "Bid",, "T")</f>
        <v>2.702</v>
      </c>
      <c r="L26" s="145"/>
      <c r="M26" s="145">
        <f>RTD("cqg.rtd", ,"ContractData",A26, "Ask",, "T")</f>
        <v>2.7250000000000001</v>
      </c>
      <c r="N26" s="150">
        <f>IF(RTD("cqg.rtd", ,"ContractData",A26, "MT_LastAskVolume",, "T")=0,"",RTD("cqg.rtd", ,"ContractData",A26, "MT_LastAskVolume",, "T"))</f>
        <v>1</v>
      </c>
      <c r="O26" s="149">
        <f t="shared" si="1"/>
        <v>0</v>
      </c>
      <c r="P26" s="148" t="str">
        <f>IF(B26="","",RTD("cqg.rtd",,"ContractData",A26,"Open",,"T"))</f>
        <v/>
      </c>
      <c r="Q26" s="148" t="str">
        <f>IF(B26="","",RTD("cqg.rtd",,"ContractData",A26,"High",,"T"))</f>
        <v/>
      </c>
      <c r="R26" s="148" t="str">
        <f>IF(B26="","",RTD("cqg.rtd",,"ContractData",A26,"Low",,"T"))</f>
        <v/>
      </c>
      <c r="S26" s="147" t="str">
        <f>IF(RTD("cqg.rtd", ,"ContractData",A26, "T_CVol",, "T")=0,"",RTD("cqg.rtd", ,"ContractData",A26, "T_CVol",, "T"))</f>
        <v/>
      </c>
      <c r="T26" s="147">
        <f>IF(RTD("cqg.rtd", ,"ContractData",A26, "Y_CVol",, "T")=0,"",RTD("cqg.rtd", ,"ContractData",A26, "Y_CVol",, "T"))</f>
        <v>1456</v>
      </c>
      <c r="U26" s="147" t="str">
        <f t="shared" si="2"/>
        <v/>
      </c>
      <c r="V26" s="147">
        <f>IF(RTD("cqg.rtd",,"StudyData",A26, "OI", "OIType=Contract", "OI","D","-1","ALL",,,"TRUE","T")=0,"",RTD("cqg.rtd",,"StudyData",A26, "OI", "OIType=Contract", "OI","D","-1","ALL",,,"TRUE","T"))</f>
        <v>3426</v>
      </c>
      <c r="W26" s="147">
        <f>IF(RTD("cqg.rtd",,"StudyData",A26, "OI", "OIType=Contract", "OI","D","-2","ALL",,,"TRUE","T")=0,"",RTD("cqg.rtd",,"StudyData",A26, "OI", "OIType=Contract", "OI","D","-2","ALL",,,"TRUE","T"))</f>
        <v>3316</v>
      </c>
      <c r="X26" s="146">
        <f t="shared" si="3"/>
        <v>110</v>
      </c>
      <c r="Y26" s="145" t="str">
        <f>RTD("cqg.rtd", ,"ContractData",A26, "T_Settlement",, "T")</f>
        <v/>
      </c>
      <c r="Z26" s="145">
        <f>RTD("cqg.rtd", ,"ContractData",A26, "Y_Settlement",, "T")</f>
        <v>2.7189999999999999</v>
      </c>
      <c r="AA26" s="144">
        <f>RTD("cqg.rtd", ,"ContractData",A26, "ExpirationDate",, "T")</f>
        <v>43581</v>
      </c>
      <c r="AB26" s="143" t="str">
        <f>RIGHT(RTD("cqg.rtd", ,"ContractData",A26, "LongDescription",, "T"),6)</f>
        <v>May 19</v>
      </c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</row>
    <row r="27" spans="1:39" x14ac:dyDescent="0.3">
      <c r="A27" s="123" t="s">
        <v>171</v>
      </c>
      <c r="B27" s="154" t="str">
        <f>RIGHT(RTD("cqg.rtd", ,"ContractData",A27, "LongDescription",, "T"),6)</f>
        <v>Jun 19</v>
      </c>
      <c r="C27" s="153">
        <f t="shared" si="4"/>
        <v>3</v>
      </c>
      <c r="D27" s="153">
        <f t="shared" si="0"/>
        <v>0</v>
      </c>
      <c r="E27" s="152" t="str">
        <f>IF(B27="","",RTD("cqg.rtd",,"ContractData",A27,"NetLastTradeToday",,"T"))</f>
        <v/>
      </c>
      <c r="F27" s="148" t="str">
        <f>IF(B27="","",RTD("cqg.rtd",,"ContractData",A27,"LastTradeToday",,"T"))</f>
        <v/>
      </c>
      <c r="G27" s="148" t="str">
        <f>IF(B27="","",RTD("cqg.rtd",,"ContractData",A27,"NetLastTradeToday",,"T"))</f>
        <v/>
      </c>
      <c r="H27" s="151" t="str">
        <f>IF(F27="","",MOD(RTD("cqg.rtd", ,"ContractData",A27, "DTLastTrade",, "T"),1))</f>
        <v/>
      </c>
      <c r="I27" s="277"/>
      <c r="J27" s="150">
        <f>IF(RTD("cqg.rtd", ,"ContractData",A27, "MT_LastBidVolume",, "T")=0,"",RTD("cqg.rtd", ,"ContractData",A27, "MT_LastBidVolume",, "T"))</f>
        <v>4</v>
      </c>
      <c r="K27" s="145">
        <f>RTD("cqg.rtd", ,"ContractData",A27, "Bid",, "T")</f>
        <v>2.7229999999999999</v>
      </c>
      <c r="L27" s="145"/>
      <c r="M27" s="145">
        <f>RTD("cqg.rtd", ,"ContractData",A27, "Ask",, "T")</f>
        <v>2.7480000000000002</v>
      </c>
      <c r="N27" s="150">
        <f>IF(RTD("cqg.rtd", ,"ContractData",A27, "MT_LastAskVolume",, "T")=0,"",RTD("cqg.rtd", ,"ContractData",A27, "MT_LastAskVolume",, "T"))</f>
        <v>6</v>
      </c>
      <c r="O27" s="149">
        <f t="shared" si="1"/>
        <v>0</v>
      </c>
      <c r="P27" s="148" t="str">
        <f>IF(B27="","",RTD("cqg.rtd",,"ContractData",A27,"Open",,"T"))</f>
        <v/>
      </c>
      <c r="Q27" s="148" t="str">
        <f>IF(B27="","",RTD("cqg.rtd",,"ContractData",A27,"High",,"T"))</f>
        <v/>
      </c>
      <c r="R27" s="148" t="str">
        <f>IF(B27="","",RTD("cqg.rtd",,"ContractData",A27,"Low",,"T"))</f>
        <v/>
      </c>
      <c r="S27" s="147" t="str">
        <f>IF(RTD("cqg.rtd", ,"ContractData",A27, "T_CVol",, "T")=0,"",RTD("cqg.rtd", ,"ContractData",A27, "T_CVol",, "T"))</f>
        <v/>
      </c>
      <c r="T27" s="147">
        <f>IF(RTD("cqg.rtd", ,"ContractData",A27, "Y_CVol",, "T")=0,"",RTD("cqg.rtd", ,"ContractData",A27, "Y_CVol",, "T"))</f>
        <v>738</v>
      </c>
      <c r="U27" s="147" t="str">
        <f t="shared" si="2"/>
        <v/>
      </c>
      <c r="V27" s="147">
        <f>IF(RTD("cqg.rtd",,"StudyData",A27, "OI", "OIType=Contract", "OI","D","-1","ALL",,,"TRUE","T")=0,"",RTD("cqg.rtd",,"StudyData",A27, "OI", "OIType=Contract", "OI","D","-1","ALL",,,"TRUE","T"))</f>
        <v>3834</v>
      </c>
      <c r="W27" s="147">
        <f>IF(RTD("cqg.rtd",,"StudyData",A27, "OI", "OIType=Contract", "OI","D","-2","ALL",,,"TRUE","T")=0,"",RTD("cqg.rtd",,"StudyData",A27, "OI", "OIType=Contract", "OI","D","-2","ALL",,,"TRUE","T"))</f>
        <v>3497</v>
      </c>
      <c r="X27" s="146">
        <f t="shared" si="3"/>
        <v>337</v>
      </c>
      <c r="Y27" s="145" t="str">
        <f>RTD("cqg.rtd", ,"ContractData",A27, "T_Settlement",, "T")</f>
        <v/>
      </c>
      <c r="Z27" s="145">
        <f>RTD("cqg.rtd", ,"ContractData",A27, "Y_Settlement",, "T")</f>
        <v>2.7410000000000001</v>
      </c>
      <c r="AA27" s="144">
        <f>RTD("cqg.rtd", ,"ContractData",A27, "ExpirationDate",, "T")</f>
        <v>43614</v>
      </c>
      <c r="AB27" s="143" t="str">
        <f>RIGHT(RTD("cqg.rtd", ,"ContractData",A27, "LongDescription",, "T"),6)</f>
        <v>Jun 19</v>
      </c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</row>
    <row r="28" spans="1:39" x14ac:dyDescent="0.3">
      <c r="A28" s="123" t="s">
        <v>170</v>
      </c>
      <c r="B28" s="154" t="str">
        <f>RIGHT(RTD("cqg.rtd", ,"ContractData",A28, "LongDescription",, "T"),6)</f>
        <v>Jul 19</v>
      </c>
      <c r="C28" s="153">
        <f t="shared" si="4"/>
        <v>3</v>
      </c>
      <c r="D28" s="153">
        <f t="shared" si="0"/>
        <v>0</v>
      </c>
      <c r="E28" s="152" t="str">
        <f>IF(B28="","",RTD("cqg.rtd",,"ContractData",A28,"NetLastTradeToday",,"T"))</f>
        <v/>
      </c>
      <c r="F28" s="148" t="str">
        <f>IF(B28="","",RTD("cqg.rtd",,"ContractData",A28,"LastTradeToday",,"T"))</f>
        <v/>
      </c>
      <c r="G28" s="148" t="str">
        <f>IF(B28="","",RTD("cqg.rtd",,"ContractData",A28,"NetLastTradeToday",,"T"))</f>
        <v/>
      </c>
      <c r="H28" s="151" t="str">
        <f>IF(F28="","",MOD(RTD("cqg.rtd", ,"ContractData",A28, "DTLastTrade",, "T"),1))</f>
        <v/>
      </c>
      <c r="I28" s="277"/>
      <c r="J28" s="150">
        <f>IF(RTD("cqg.rtd", ,"ContractData",A28, "MT_LastBidVolume",, "T")=0,"",RTD("cqg.rtd", ,"ContractData",A28, "MT_LastBidVolume",, "T"))</f>
        <v>4</v>
      </c>
      <c r="K28" s="145">
        <f>RTD("cqg.rtd", ,"ContractData",A28, "Bid",, "T")</f>
        <v>2.7429999999999999</v>
      </c>
      <c r="L28" s="145"/>
      <c r="M28" s="145">
        <f>RTD("cqg.rtd", ,"ContractData",A28, "Ask",, "T")</f>
        <v>2.7709999999999999</v>
      </c>
      <c r="N28" s="150">
        <f>IF(RTD("cqg.rtd", ,"ContractData",A28, "MT_LastAskVolume",, "T")=0,"",RTD("cqg.rtd", ,"ContractData",A28, "MT_LastAskVolume",, "T"))</f>
        <v>6</v>
      </c>
      <c r="O28" s="149">
        <f t="shared" si="1"/>
        <v>0</v>
      </c>
      <c r="P28" s="148" t="str">
        <f>IF(B28="","",RTD("cqg.rtd",,"ContractData",A28,"Open",,"T"))</f>
        <v/>
      </c>
      <c r="Q28" s="148" t="str">
        <f>IF(B28="","",RTD("cqg.rtd",,"ContractData",A28,"High",,"T"))</f>
        <v/>
      </c>
      <c r="R28" s="148" t="str">
        <f>IF(B28="","",RTD("cqg.rtd",,"ContractData",A28,"Low",,"T"))</f>
        <v/>
      </c>
      <c r="S28" s="147">
        <f>IF(RTD("cqg.rtd", ,"ContractData",A28, "T_CVol",, "T")=0,"",RTD("cqg.rtd", ,"ContractData",A28, "T_CVol",, "T"))</f>
        <v>10</v>
      </c>
      <c r="T28" s="147">
        <f>IF(RTD("cqg.rtd", ,"ContractData",A28, "Y_CVol",, "T")=0,"",RTD("cqg.rtd", ,"ContractData",A28, "Y_CVol",, "T"))</f>
        <v>413</v>
      </c>
      <c r="U28" s="147">
        <f t="shared" si="2"/>
        <v>-403</v>
      </c>
      <c r="V28" s="147">
        <f>IF(RTD("cqg.rtd",,"StudyData",A28, "OI", "OIType=Contract", "OI","D","-1","ALL",,,"TRUE","T")=0,"",RTD("cqg.rtd",,"StudyData",A28, "OI", "OIType=Contract", "OI","D","-1","ALL",,,"TRUE","T"))</f>
        <v>2645</v>
      </c>
      <c r="W28" s="147">
        <f>IF(RTD("cqg.rtd",,"StudyData",A28, "OI", "OIType=Contract", "OI","D","-2","ALL",,,"TRUE","T")=0,"",RTD("cqg.rtd",,"StudyData",A28, "OI", "OIType=Contract", "OI","D","-2","ALL",,,"TRUE","T"))</f>
        <v>2304</v>
      </c>
      <c r="X28" s="146">
        <f t="shared" si="3"/>
        <v>341</v>
      </c>
      <c r="Y28" s="145" t="str">
        <f>RTD("cqg.rtd", ,"ContractData",A28, "T_Settlement",, "T")</f>
        <v/>
      </c>
      <c r="Z28" s="145">
        <f>RTD("cqg.rtd", ,"ContractData",A28, "Y_Settlement",, "T")</f>
        <v>2.7629999999999999</v>
      </c>
      <c r="AA28" s="144">
        <f>RTD("cqg.rtd", ,"ContractData",A28, "ExpirationDate",, "T")</f>
        <v>43642</v>
      </c>
      <c r="AB28" s="143" t="str">
        <f>RIGHT(RTD("cqg.rtd", ,"ContractData",A28, "LongDescription",, "T"),6)</f>
        <v>Jul 19</v>
      </c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</row>
    <row r="29" spans="1:39" x14ac:dyDescent="0.3">
      <c r="A29" s="123" t="s">
        <v>169</v>
      </c>
      <c r="B29" s="154" t="str">
        <f>RIGHT(RTD("cqg.rtd", ,"ContractData",A29, "LongDescription",, "T"),6)</f>
        <v>Aug 19</v>
      </c>
      <c r="C29" s="153">
        <f t="shared" si="4"/>
        <v>3</v>
      </c>
      <c r="D29" s="153">
        <f t="shared" si="0"/>
        <v>0</v>
      </c>
      <c r="E29" s="152" t="str">
        <f>IF(B29="","",RTD("cqg.rtd",,"ContractData",A29,"NetLastTradeToday",,"T"))</f>
        <v/>
      </c>
      <c r="F29" s="148" t="str">
        <f>IF(B29="","",RTD("cqg.rtd",,"ContractData",A29,"LastTradeToday",,"T"))</f>
        <v/>
      </c>
      <c r="G29" s="148" t="str">
        <f>IF(B29="","",RTD("cqg.rtd",,"ContractData",A29,"NetLastTradeToday",,"T"))</f>
        <v/>
      </c>
      <c r="H29" s="151" t="str">
        <f>IF(F29="","",MOD(RTD("cqg.rtd", ,"ContractData",A29, "DTLastTrade",, "T"),1))</f>
        <v/>
      </c>
      <c r="I29" s="277"/>
      <c r="J29" s="150">
        <f>IF(RTD("cqg.rtd", ,"ContractData",A29, "MT_LastBidVolume",, "T")=0,"",RTD("cqg.rtd", ,"ContractData",A29, "MT_LastBidVolume",, "T"))</f>
        <v>3</v>
      </c>
      <c r="K29" s="145">
        <f>RTD("cqg.rtd", ,"ContractData",A29, "Bid",, "T")</f>
        <v>2.7469999999999999</v>
      </c>
      <c r="L29" s="145"/>
      <c r="M29" s="145">
        <f>RTD("cqg.rtd", ,"ContractData",A29, "Ask",, "T")</f>
        <v>2.7760000000000002</v>
      </c>
      <c r="N29" s="150">
        <f>IF(RTD("cqg.rtd", ,"ContractData",A29, "MT_LastAskVolume",, "T")=0,"",RTD("cqg.rtd", ,"ContractData",A29, "MT_LastAskVolume",, "T"))</f>
        <v>6</v>
      </c>
      <c r="O29" s="149">
        <f t="shared" si="1"/>
        <v>0</v>
      </c>
      <c r="P29" s="148" t="str">
        <f>IF(B29="","",RTD("cqg.rtd",,"ContractData",A29,"Open",,"T"))</f>
        <v/>
      </c>
      <c r="Q29" s="148" t="str">
        <f>IF(B29="","",RTD("cqg.rtd",,"ContractData",A29,"High",,"T"))</f>
        <v/>
      </c>
      <c r="R29" s="148" t="str">
        <f>IF(B29="","",RTD("cqg.rtd",,"ContractData",A29,"Low",,"T"))</f>
        <v/>
      </c>
      <c r="S29" s="147" t="str">
        <f>IF(RTD("cqg.rtd", ,"ContractData",A29, "T_CVol",, "T")=0,"",RTD("cqg.rtd", ,"ContractData",A29, "T_CVol",, "T"))</f>
        <v/>
      </c>
      <c r="T29" s="147">
        <f>IF(RTD("cqg.rtd", ,"ContractData",A29, "Y_CVol",, "T")=0,"",RTD("cqg.rtd", ,"ContractData",A29, "Y_CVol",, "T"))</f>
        <v>163</v>
      </c>
      <c r="U29" s="147" t="str">
        <f t="shared" si="2"/>
        <v/>
      </c>
      <c r="V29" s="147">
        <f>IF(RTD("cqg.rtd",,"StudyData",A29, "OI", "OIType=Contract", "OI","D","-1","ALL",,,"TRUE","T")=0,"",RTD("cqg.rtd",,"StudyData",A29, "OI", "OIType=Contract", "OI","D","-1","ALL",,,"TRUE","T"))</f>
        <v>2456</v>
      </c>
      <c r="W29" s="147">
        <f>IF(RTD("cqg.rtd",,"StudyData",A29, "OI", "OIType=Contract", "OI","D","-2","ALL",,,"TRUE","T")=0,"",RTD("cqg.rtd",,"StudyData",A29, "OI", "OIType=Contract", "OI","D","-2","ALL",,,"TRUE","T"))</f>
        <v>2436</v>
      </c>
      <c r="X29" s="146">
        <f t="shared" si="3"/>
        <v>20</v>
      </c>
      <c r="Y29" s="145" t="str">
        <f>RTD("cqg.rtd", ,"ContractData",A29, "T_Settlement",, "T")</f>
        <v/>
      </c>
      <c r="Z29" s="145">
        <f>RTD("cqg.rtd", ,"ContractData",A29, "Y_Settlement",, "T")</f>
        <v>2.7669999999999999</v>
      </c>
      <c r="AA29" s="144">
        <f>RTD("cqg.rtd", ,"ContractData",A29, "ExpirationDate",, "T")</f>
        <v>43675</v>
      </c>
      <c r="AB29" s="143" t="str">
        <f>RIGHT(RTD("cqg.rtd", ,"ContractData",A29, "LongDescription",, "T"),6)</f>
        <v>Aug 19</v>
      </c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</row>
    <row r="30" spans="1:39" x14ac:dyDescent="0.3">
      <c r="A30" s="123" t="s">
        <v>168</v>
      </c>
      <c r="B30" s="154" t="str">
        <f>RIGHT(RTD("cqg.rtd", ,"ContractData",A30, "LongDescription",, "T"),6)</f>
        <v>Sep 19</v>
      </c>
      <c r="C30" s="153">
        <f t="shared" si="4"/>
        <v>3</v>
      </c>
      <c r="D30" s="153">
        <f t="shared" si="0"/>
        <v>0</v>
      </c>
      <c r="E30" s="152" t="str">
        <f>IF(B30="","",RTD("cqg.rtd",,"ContractData",A30,"NetLastTradeToday",,"T"))</f>
        <v/>
      </c>
      <c r="F30" s="148" t="str">
        <f>IF(B30="","",RTD("cqg.rtd",,"ContractData",A30,"LastTradeToday",,"T"))</f>
        <v/>
      </c>
      <c r="G30" s="148" t="str">
        <f>IF(B30="","",RTD("cqg.rtd",,"ContractData",A30,"NetLastTradeToday",,"T"))</f>
        <v/>
      </c>
      <c r="H30" s="151" t="str">
        <f>IF(F30="","",MOD(RTD("cqg.rtd", ,"ContractData",A30, "DTLastTrade",, "T"),1))</f>
        <v/>
      </c>
      <c r="I30" s="277"/>
      <c r="J30" s="150">
        <f>IF(RTD("cqg.rtd", ,"ContractData",A30, "MT_LastBidVolume",, "T")=0,"",RTD("cqg.rtd", ,"ContractData",A30, "MT_LastBidVolume",, "T"))</f>
        <v>3</v>
      </c>
      <c r="K30" s="145">
        <f>RTD("cqg.rtd", ,"ContractData",A30, "Bid",, "T")</f>
        <v>2.7309999999999999</v>
      </c>
      <c r="L30" s="145"/>
      <c r="M30" s="145">
        <f>RTD("cqg.rtd", ,"ContractData",A30, "Ask",, "T")</f>
        <v>2.7530000000000001</v>
      </c>
      <c r="N30" s="150">
        <f>IF(RTD("cqg.rtd", ,"ContractData",A30, "MT_LastAskVolume",, "T")=0,"",RTD("cqg.rtd", ,"ContractData",A30, "MT_LastAskVolume",, "T"))</f>
        <v>1</v>
      </c>
      <c r="O30" s="149">
        <f t="shared" si="1"/>
        <v>0</v>
      </c>
      <c r="P30" s="148" t="str">
        <f>IF(B30="","",RTD("cqg.rtd",,"ContractData",A30,"Open",,"T"))</f>
        <v/>
      </c>
      <c r="Q30" s="148" t="str">
        <f>IF(B30="","",RTD("cqg.rtd",,"ContractData",A30,"High",,"T"))</f>
        <v/>
      </c>
      <c r="R30" s="148" t="str">
        <f>IF(B30="","",RTD("cqg.rtd",,"ContractData",A30,"Low",,"T"))</f>
        <v/>
      </c>
      <c r="S30" s="147" t="str">
        <f>IF(RTD("cqg.rtd", ,"ContractData",A30, "T_CVol",, "T")=0,"",RTD("cqg.rtd", ,"ContractData",A30, "T_CVol",, "T"))</f>
        <v/>
      </c>
      <c r="T30" s="147">
        <f>IF(RTD("cqg.rtd", ,"ContractData",A30, "Y_CVol",, "T")=0,"",RTD("cqg.rtd", ,"ContractData",A30, "Y_CVol",, "T"))</f>
        <v>319</v>
      </c>
      <c r="U30" s="147" t="str">
        <f t="shared" si="2"/>
        <v/>
      </c>
      <c r="V30" s="147">
        <f>IF(RTD("cqg.rtd",,"StudyData",A30, "OI", "OIType=Contract", "OI","D","-1","ALL",,,"TRUE","T")=0,"",RTD("cqg.rtd",,"StudyData",A30, "OI", "OIType=Contract", "OI","D","-1","ALL",,,"TRUE","T"))</f>
        <v>2354</v>
      </c>
      <c r="W30" s="147">
        <f>IF(RTD("cqg.rtd",,"StudyData",A30, "OI", "OIType=Contract", "OI","D","-2","ALL",,,"TRUE","T")=0,"",RTD("cqg.rtd",,"StudyData",A30, "OI", "OIType=Contract", "OI","D","-2","ALL",,,"TRUE","T"))</f>
        <v>2316</v>
      </c>
      <c r="X30" s="146">
        <f t="shared" si="3"/>
        <v>38</v>
      </c>
      <c r="Y30" s="145" t="str">
        <f>RTD("cqg.rtd", ,"ContractData",A30, "T_Settlement",, "T")</f>
        <v/>
      </c>
      <c r="Z30" s="145">
        <f>RTD("cqg.rtd", ,"ContractData",A30, "Y_Settlement",, "T")</f>
        <v>2.7530000000000001</v>
      </c>
      <c r="AA30" s="144">
        <f>RTD("cqg.rtd", ,"ContractData",A30, "ExpirationDate",, "T")</f>
        <v>43705</v>
      </c>
      <c r="AB30" s="143" t="str">
        <f>RIGHT(RTD("cqg.rtd", ,"ContractData",A30, "LongDescription",, "T"),6)</f>
        <v>Sep 19</v>
      </c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</row>
    <row r="31" spans="1:39" x14ac:dyDescent="0.3">
      <c r="A31" s="123" t="s">
        <v>167</v>
      </c>
      <c r="B31" s="154" t="str">
        <f>RIGHT(RTD("cqg.rtd", ,"ContractData",A31, "LongDescription",, "T"),6)</f>
        <v>Oct 19</v>
      </c>
      <c r="C31" s="153">
        <f t="shared" si="4"/>
        <v>3</v>
      </c>
      <c r="D31" s="153">
        <f t="shared" si="0"/>
        <v>0</v>
      </c>
      <c r="E31" s="152" t="str">
        <f>IF(B31="","",RTD("cqg.rtd",,"ContractData",A31,"NetLastTradeToday",,"T"))</f>
        <v/>
      </c>
      <c r="F31" s="148" t="str">
        <f>IF(B31="","",RTD("cqg.rtd",,"ContractData",A31,"LastTradeToday",,"T"))</f>
        <v/>
      </c>
      <c r="G31" s="148" t="str">
        <f>IF(B31="","",RTD("cqg.rtd",,"ContractData",A31,"NetLastTradeToday",,"T"))</f>
        <v/>
      </c>
      <c r="H31" s="151" t="str">
        <f>IF(F31="","",MOD(RTD("cqg.rtd", ,"ContractData",A31, "DTLastTrade",, "T"),1))</f>
        <v/>
      </c>
      <c r="I31" s="277"/>
      <c r="J31" s="150">
        <f>IF(RTD("cqg.rtd", ,"ContractData",A31, "MT_LastBidVolume",, "T")=0,"",RTD("cqg.rtd", ,"ContractData",A31, "MT_LastBidVolume",, "T"))</f>
        <v>1</v>
      </c>
      <c r="K31" s="145">
        <f>RTD("cqg.rtd", ,"ContractData",A31, "Bid",, "T")</f>
        <v>2.762</v>
      </c>
      <c r="L31" s="145"/>
      <c r="M31" s="145">
        <f>RTD("cqg.rtd", ,"ContractData",A31, "Ask",, "T")</f>
        <v>2.7749999999999999</v>
      </c>
      <c r="N31" s="150">
        <f>IF(RTD("cqg.rtd", ,"ContractData",A31, "MT_LastAskVolume",, "T")=0,"",RTD("cqg.rtd", ,"ContractData",A31, "MT_LastAskVolume",, "T"))</f>
        <v>1</v>
      </c>
      <c r="O31" s="149">
        <f t="shared" si="1"/>
        <v>0</v>
      </c>
      <c r="P31" s="148" t="str">
        <f>IF(B31="","",RTD("cqg.rtd",,"ContractData",A31,"Open",,"T"))</f>
        <v/>
      </c>
      <c r="Q31" s="148" t="str">
        <f>IF(B31="","",RTD("cqg.rtd",,"ContractData",A31,"High",,"T"))</f>
        <v/>
      </c>
      <c r="R31" s="148" t="str">
        <f>IF(B31="","",RTD("cqg.rtd",,"ContractData",A31,"Low",,"T"))</f>
        <v/>
      </c>
      <c r="S31" s="147" t="str">
        <f>IF(RTD("cqg.rtd", ,"ContractData",A31, "T_CVol",, "T")=0,"",RTD("cqg.rtd", ,"ContractData",A31, "T_CVol",, "T"))</f>
        <v/>
      </c>
      <c r="T31" s="147">
        <f>IF(RTD("cqg.rtd", ,"ContractData",A31, "Y_CVol",, "T")=0,"",RTD("cqg.rtd", ,"ContractData",A31, "Y_CVol",, "T"))</f>
        <v>747</v>
      </c>
      <c r="U31" s="147" t="str">
        <f t="shared" si="2"/>
        <v/>
      </c>
      <c r="V31" s="147">
        <f>IF(RTD("cqg.rtd",,"StudyData",A31, "OI", "OIType=Contract", "OI","D","-1","ALL",,,"TRUE","T")=0,"",RTD("cqg.rtd",,"StudyData",A31, "OI", "OIType=Contract", "OI","D","-1","ALL",,,"TRUE","T"))</f>
        <v>3324</v>
      </c>
      <c r="W31" s="147">
        <f>IF(RTD("cqg.rtd",,"StudyData",A31, "OI", "OIType=Contract", "OI","D","-2","ALL",,,"TRUE","T")=0,"",RTD("cqg.rtd",,"StudyData",A31, "OI", "OIType=Contract", "OI","D","-2","ALL",,,"TRUE","T"))</f>
        <v>3358</v>
      </c>
      <c r="X31" s="146">
        <f t="shared" si="3"/>
        <v>-34</v>
      </c>
      <c r="Y31" s="145" t="str">
        <f>RTD("cqg.rtd", ,"ContractData",A31, "T_Settlement",, "T")</f>
        <v/>
      </c>
      <c r="Z31" s="145">
        <f>RTD("cqg.rtd", ,"ContractData",A31, "Y_Settlement",, "T")</f>
        <v>2.7760000000000002</v>
      </c>
      <c r="AA31" s="144">
        <f>RTD("cqg.rtd", ,"ContractData",A31, "ExpirationDate",, "T")</f>
        <v>43734</v>
      </c>
      <c r="AB31" s="143" t="str">
        <f>RIGHT(RTD("cqg.rtd", ,"ContractData",A31, "LongDescription",, "T"),6)</f>
        <v>Oct 19</v>
      </c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</row>
    <row r="32" spans="1:39" x14ac:dyDescent="0.3">
      <c r="A32" s="123" t="s">
        <v>166</v>
      </c>
      <c r="B32" s="154" t="str">
        <f>RIGHT(RTD("cqg.rtd", ,"ContractData",A32, "LongDescription",, "T"),6)</f>
        <v>Nov 19</v>
      </c>
      <c r="C32" s="153">
        <f t="shared" si="4"/>
        <v>3</v>
      </c>
      <c r="D32" s="153">
        <f t="shared" si="0"/>
        <v>0</v>
      </c>
      <c r="E32" s="152" t="str">
        <f>IF(B32="","",RTD("cqg.rtd",,"ContractData",A32,"NetLastTradeToday",,"T"))</f>
        <v/>
      </c>
      <c r="F32" s="148" t="str">
        <f>IF(B32="","",RTD("cqg.rtd",,"ContractData",A32,"LastTradeToday",,"T"))</f>
        <v/>
      </c>
      <c r="G32" s="148" t="str">
        <f>IF(B32="","",RTD("cqg.rtd",,"ContractData",A32,"NetLastTradeToday",,"T"))</f>
        <v/>
      </c>
      <c r="H32" s="151" t="str">
        <f>IF(F32="","",MOD(RTD("cqg.rtd", ,"ContractData",A32, "DTLastTrade",, "T"),1))</f>
        <v/>
      </c>
      <c r="I32" s="277"/>
      <c r="J32" s="150">
        <f>IF(RTD("cqg.rtd", ,"ContractData",A32, "MT_LastBidVolume",, "T")=0,"",RTD("cqg.rtd", ,"ContractData",A32, "MT_LastBidVolume",, "T"))</f>
        <v>1</v>
      </c>
      <c r="K32" s="145">
        <f>RTD("cqg.rtd", ,"ContractData",A32, "Bid",, "T")</f>
        <v>2.74</v>
      </c>
      <c r="L32" s="145"/>
      <c r="M32" s="145">
        <f>RTD("cqg.rtd", ,"ContractData",A32, "Ask",, "T")</f>
        <v>3</v>
      </c>
      <c r="N32" s="150">
        <f>IF(RTD("cqg.rtd", ,"ContractData",A32, "MT_LastAskVolume",, "T")=0,"",RTD("cqg.rtd", ,"ContractData",A32, "MT_LastAskVolume",, "T"))</f>
        <v>1</v>
      </c>
      <c r="O32" s="149">
        <f t="shared" si="1"/>
        <v>0</v>
      </c>
      <c r="P32" s="148" t="str">
        <f>IF(B32="","",RTD("cqg.rtd",,"ContractData",A32,"Open",,"T"))</f>
        <v/>
      </c>
      <c r="Q32" s="148" t="str">
        <f>IF(B32="","",RTD("cqg.rtd",,"ContractData",A32,"High",,"T"))</f>
        <v/>
      </c>
      <c r="R32" s="148" t="str">
        <f>IF(B32="","",RTD("cqg.rtd",,"ContractData",A32,"Low",,"T"))</f>
        <v/>
      </c>
      <c r="S32" s="147" t="str">
        <f>IF(RTD("cqg.rtd", ,"ContractData",A32, "T_CVol",, "T")=0,"",RTD("cqg.rtd", ,"ContractData",A32, "T_CVol",, "T"))</f>
        <v/>
      </c>
      <c r="T32" s="147">
        <f>IF(RTD("cqg.rtd", ,"ContractData",A32, "Y_CVol",, "T")=0,"",RTD("cqg.rtd", ,"ContractData",A32, "Y_CVol",, "T"))</f>
        <v>4</v>
      </c>
      <c r="U32" s="147" t="str">
        <f t="shared" si="2"/>
        <v/>
      </c>
      <c r="V32" s="147">
        <f>IF(RTD("cqg.rtd",,"StudyData",A32, "OI", "OIType=Contract", "OI","D","-1","ALL",,,"TRUE","T")=0,"",RTD("cqg.rtd",,"StudyData",A32, "OI", "OIType=Contract", "OI","D","-1","ALL",,,"TRUE","T"))</f>
        <v>2107</v>
      </c>
      <c r="W32" s="147">
        <f>IF(RTD("cqg.rtd",,"StudyData",A32, "OI", "OIType=Contract", "OI","D","-2","ALL",,,"TRUE","T")=0,"",RTD("cqg.rtd",,"StudyData",A32, "OI", "OIType=Contract", "OI","D","-2","ALL",,,"TRUE","T"))</f>
        <v>2106</v>
      </c>
      <c r="X32" s="146">
        <f t="shared" si="3"/>
        <v>1</v>
      </c>
      <c r="Y32" s="145" t="str">
        <f>RTD("cqg.rtd", ,"ContractData",A32, "T_Settlement",, "T")</f>
        <v/>
      </c>
      <c r="Z32" s="145">
        <f>RTD("cqg.rtd", ,"ContractData",A32, "Y_Settlement",, "T")</f>
        <v>2.8410000000000002</v>
      </c>
      <c r="AA32" s="144">
        <f>RTD("cqg.rtd", ,"ContractData",A32, "ExpirationDate",, "T")</f>
        <v>43767</v>
      </c>
      <c r="AB32" s="143" t="str">
        <f>RIGHT(RTD("cqg.rtd", ,"ContractData",A32, "LongDescription",, "T"),6)</f>
        <v>Nov 19</v>
      </c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</row>
    <row r="33" spans="1:39" x14ac:dyDescent="0.3">
      <c r="A33" s="123" t="s">
        <v>165</v>
      </c>
      <c r="B33" s="154" t="str">
        <f>RIGHT(RTD("cqg.rtd", ,"ContractData",A33, "LongDescription",, "T"),6)</f>
        <v>Dec 19</v>
      </c>
      <c r="C33" s="153">
        <f t="shared" si="4"/>
        <v>3</v>
      </c>
      <c r="D33" s="153">
        <f t="shared" si="0"/>
        <v>0</v>
      </c>
      <c r="E33" s="152" t="str">
        <f>IF(B33="","",RTD("cqg.rtd",,"ContractData",A33,"NetLastTradeToday",,"T"))</f>
        <v/>
      </c>
      <c r="F33" s="148" t="str">
        <f>IF(B33="","",RTD("cqg.rtd",,"ContractData",A33,"LastTradeToday",,"T"))</f>
        <v/>
      </c>
      <c r="G33" s="148" t="str">
        <f>IF(B33="","",RTD("cqg.rtd",,"ContractData",A33,"NetLastTradeToday",,"T"))</f>
        <v/>
      </c>
      <c r="H33" s="151" t="str">
        <f>IF(F33="","",MOD(RTD("cqg.rtd", ,"ContractData",A33, "DTLastTrade",, "T"),1))</f>
        <v/>
      </c>
      <c r="I33" s="277"/>
      <c r="J33" s="150">
        <f>IF(RTD("cqg.rtd", ,"ContractData",A33, "MT_LastBidVolume",, "T")=0,"",RTD("cqg.rtd", ,"ContractData",A33, "MT_LastBidVolume",, "T"))</f>
        <v>1</v>
      </c>
      <c r="K33" s="145">
        <f>RTD("cqg.rtd", ,"ContractData",A33, "Bid",, "T")</f>
        <v>2.88</v>
      </c>
      <c r="L33" s="145"/>
      <c r="M33" s="145">
        <f>RTD("cqg.rtd", ,"ContractData",A33, "Ask",, "T")</f>
        <v>3.004</v>
      </c>
      <c r="N33" s="150">
        <f>IF(RTD("cqg.rtd", ,"ContractData",A33, "MT_LastAskVolume",, "T")=0,"",RTD("cqg.rtd", ,"ContractData",A33, "MT_LastAskVolume",, "T"))</f>
        <v>2</v>
      </c>
      <c r="O33" s="149">
        <f t="shared" si="1"/>
        <v>0</v>
      </c>
      <c r="P33" s="148" t="str">
        <f>IF(B33="","",RTD("cqg.rtd",,"ContractData",A33,"Open",,"T"))</f>
        <v/>
      </c>
      <c r="Q33" s="148" t="str">
        <f>IF(B33="","",RTD("cqg.rtd",,"ContractData",A33,"High",,"T"))</f>
        <v/>
      </c>
      <c r="R33" s="148" t="str">
        <f>IF(B33="","",RTD("cqg.rtd",,"ContractData",A33,"Low",,"T"))</f>
        <v/>
      </c>
      <c r="S33" s="147">
        <f>IF(RTD("cqg.rtd", ,"ContractData",A33, "T_CVol",, "T")=0,"",RTD("cqg.rtd", ,"ContractData",A33, "T_CVol",, "T"))</f>
        <v>1</v>
      </c>
      <c r="T33" s="147">
        <f>IF(RTD("cqg.rtd", ,"ContractData",A33, "Y_CVol",, "T")=0,"",RTD("cqg.rtd", ,"ContractData",A33, "Y_CVol",, "T"))</f>
        <v>30</v>
      </c>
      <c r="U33" s="147">
        <f t="shared" si="2"/>
        <v>-29</v>
      </c>
      <c r="V33" s="147">
        <f>IF(RTD("cqg.rtd",,"StudyData",A33, "OI", "OIType=Contract", "OI","D","-1","ALL",,,"TRUE","T")=0,"",RTD("cqg.rtd",,"StudyData",A33, "OI", "OIType=Contract", "OI","D","-1","ALL",,,"TRUE","T"))</f>
        <v>2319</v>
      </c>
      <c r="W33" s="147">
        <f>IF(RTD("cqg.rtd",,"StudyData",A33, "OI", "OIType=Contract", "OI","D","-2","ALL",,,"TRUE","T")=0,"",RTD("cqg.rtd",,"StudyData",A33, "OI", "OIType=Contract", "OI","D","-2","ALL",,,"TRUE","T"))</f>
        <v>2309</v>
      </c>
      <c r="X33" s="146">
        <f t="shared" si="3"/>
        <v>10</v>
      </c>
      <c r="Y33" s="145" t="str">
        <f>RTD("cqg.rtd", ,"ContractData",A33, "T_Settlement",, "T")</f>
        <v/>
      </c>
      <c r="Z33" s="145">
        <f>RTD("cqg.rtd", ,"ContractData",A33, "Y_Settlement",, "T")</f>
        <v>2.9980000000000002</v>
      </c>
      <c r="AA33" s="144">
        <f>RTD("cqg.rtd", ,"ContractData",A33, "ExpirationDate",, "T")</f>
        <v>43795</v>
      </c>
      <c r="AB33" s="143" t="str">
        <f>RIGHT(RTD("cqg.rtd", ,"ContractData",A33, "LongDescription",, "T"),6)</f>
        <v>Dec 19</v>
      </c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</row>
    <row r="34" spans="1:39" x14ac:dyDescent="0.3">
      <c r="A34" s="123" t="s">
        <v>164</v>
      </c>
      <c r="B34" s="154" t="str">
        <f>RIGHT(RTD("cqg.rtd", ,"ContractData",A34, "LongDescription",, "T"),6)</f>
        <v>Jan 20</v>
      </c>
      <c r="C34" s="153">
        <f t="shared" si="4"/>
        <v>4</v>
      </c>
      <c r="D34" s="153">
        <f t="shared" si="0"/>
        <v>1</v>
      </c>
      <c r="E34" s="152" t="str">
        <f>IF(B34="","",RTD("cqg.rtd",,"ContractData",A34,"NetLastTradeToday",,"T"))</f>
        <v/>
      </c>
      <c r="F34" s="148" t="str">
        <f>IF(B34="","",RTD("cqg.rtd",,"ContractData",A34,"LastTradeToday",,"T"))</f>
        <v/>
      </c>
      <c r="G34" s="148" t="str">
        <f>IF(B34="","",RTD("cqg.rtd",,"ContractData",A34,"NetLastTradeToday",,"T"))</f>
        <v/>
      </c>
      <c r="H34" s="151" t="str">
        <f>IF(F34="","",MOD(RTD("cqg.rtd", ,"ContractData",A34, "DTLastTrade",, "T"),1))</f>
        <v/>
      </c>
      <c r="I34" s="277"/>
      <c r="J34" s="150">
        <f>IF(RTD("cqg.rtd", ,"ContractData",A34, "MT_LastBidVolume",, "T")=0,"",RTD("cqg.rtd", ,"ContractData",A34, "MT_LastBidVolume",, "T"))</f>
        <v>1</v>
      </c>
      <c r="K34" s="145">
        <f>RTD("cqg.rtd", ,"ContractData",A34, "Bid",, "T")</f>
        <v>3.0950000000000002</v>
      </c>
      <c r="L34" s="145"/>
      <c r="M34" s="145">
        <f>RTD("cqg.rtd", ,"ContractData",A34, "Ask",, "T")</f>
        <v>3.1</v>
      </c>
      <c r="N34" s="150">
        <f>IF(RTD("cqg.rtd", ,"ContractData",A34, "MT_LastAskVolume",, "T")=0,"",RTD("cqg.rtd", ,"ContractData",A34, "MT_LastAskVolume",, "T"))</f>
        <v>1</v>
      </c>
      <c r="O34" s="149">
        <f t="shared" si="1"/>
        <v>0</v>
      </c>
      <c r="P34" s="148" t="str">
        <f>IF(B34="","",RTD("cqg.rtd",,"ContractData",A34,"Open",,"T"))</f>
        <v/>
      </c>
      <c r="Q34" s="148" t="str">
        <f>IF(B34="","",RTD("cqg.rtd",,"ContractData",A34,"High",,"T"))</f>
        <v/>
      </c>
      <c r="R34" s="148" t="str">
        <f>IF(B34="","",RTD("cqg.rtd",,"ContractData",A34,"Low",,"T"))</f>
        <v/>
      </c>
      <c r="S34" s="147" t="str">
        <f>IF(RTD("cqg.rtd", ,"ContractData",A34, "T_CVol",, "T")=0,"",RTD("cqg.rtd", ,"ContractData",A34, "T_CVol",, "T"))</f>
        <v/>
      </c>
      <c r="T34" s="147">
        <f>IF(RTD("cqg.rtd", ,"ContractData",A34, "Y_CVol",, "T")=0,"",RTD("cqg.rtd", ,"ContractData",A34, "Y_CVol",, "T"))</f>
        <v>4</v>
      </c>
      <c r="U34" s="147" t="str">
        <f t="shared" si="2"/>
        <v/>
      </c>
      <c r="V34" s="147">
        <f>IF(RTD("cqg.rtd",,"StudyData",A34, "OI", "OIType=Contract", "OI","D","-1","ALL",,,"TRUE","T")=0,"",RTD("cqg.rtd",,"StudyData",A34, "OI", "OIType=Contract", "OI","D","-1","ALL",,,"TRUE","T"))</f>
        <v>1448</v>
      </c>
      <c r="W34" s="147">
        <f>IF(RTD("cqg.rtd",,"StudyData",A34, "OI", "OIType=Contract", "OI","D","-2","ALL",,,"TRUE","T")=0,"",RTD("cqg.rtd",,"StudyData",A34, "OI", "OIType=Contract", "OI","D","-2","ALL",,,"TRUE","T"))</f>
        <v>1447</v>
      </c>
      <c r="X34" s="146">
        <f t="shared" si="3"/>
        <v>1</v>
      </c>
      <c r="Y34" s="145" t="str">
        <f>RTD("cqg.rtd", ,"ContractData",A34, "T_Settlement",, "T")</f>
        <v/>
      </c>
      <c r="Z34" s="145">
        <f>RTD("cqg.rtd", ,"ContractData",A34, "Y_Settlement",, "T")</f>
        <v>3.105</v>
      </c>
      <c r="AA34" s="144">
        <f>RTD("cqg.rtd", ,"ContractData",A34, "ExpirationDate",, "T")</f>
        <v>43826</v>
      </c>
      <c r="AB34" s="143" t="str">
        <f>RIGHT(RTD("cqg.rtd", ,"ContractData",A34, "LongDescription",, "T"),6)</f>
        <v>Jan 20</v>
      </c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</row>
    <row r="35" spans="1:39" x14ac:dyDescent="0.3">
      <c r="A35" s="123" t="s">
        <v>163</v>
      </c>
      <c r="B35" s="154" t="str">
        <f>RIGHT(RTD("cqg.rtd", ,"ContractData",A35, "LongDescription",, "T"),6)</f>
        <v>Feb 20</v>
      </c>
      <c r="C35" s="153">
        <f t="shared" si="4"/>
        <v>4</v>
      </c>
      <c r="D35" s="153">
        <f t="shared" si="0"/>
        <v>1</v>
      </c>
      <c r="E35" s="152" t="str">
        <f>IF(B35="","",RTD("cqg.rtd",,"ContractData",A35,"NetLastTradeToday",,"T"))</f>
        <v/>
      </c>
      <c r="F35" s="148" t="str">
        <f>IF(B35="","",RTD("cqg.rtd",,"ContractData",A35,"LastTradeToday",,"T"))</f>
        <v/>
      </c>
      <c r="G35" s="148" t="str">
        <f>IF(B35="","",RTD("cqg.rtd",,"ContractData",A35,"NetLastTradeToday",,"T"))</f>
        <v/>
      </c>
      <c r="H35" s="151" t="str">
        <f>IF(F35="","",MOD(RTD("cqg.rtd", ,"ContractData",A35, "DTLastTrade",, "T"),1))</f>
        <v/>
      </c>
      <c r="I35" s="277"/>
      <c r="J35" s="150">
        <f>IF(RTD("cqg.rtd", ,"ContractData",A35, "MT_LastBidVolume",, "T")=0,"",RTD("cqg.rtd", ,"ContractData",A35, "MT_LastBidVolume",, "T"))</f>
        <v>1</v>
      </c>
      <c r="K35" s="145">
        <f>RTD("cqg.rtd", ,"ContractData",A35, "Bid",, "T")</f>
        <v>2.96</v>
      </c>
      <c r="L35" s="145"/>
      <c r="M35" s="145" t="str">
        <f>RTD("cqg.rtd", ,"ContractData",A35, "Ask",, "T")</f>
        <v/>
      </c>
      <c r="N35" s="150" t="str">
        <f>IF(RTD("cqg.rtd", ,"ContractData",A35, "MT_LastAskVolume",, "T")=0,"",RTD("cqg.rtd", ,"ContractData",A35, "MT_LastAskVolume",, "T"))</f>
        <v/>
      </c>
      <c r="O35" s="149">
        <f t="shared" si="1"/>
        <v>0</v>
      </c>
      <c r="P35" s="148" t="str">
        <f>IF(B35="","",RTD("cqg.rtd",,"ContractData",A35,"Open",,"T"))</f>
        <v/>
      </c>
      <c r="Q35" s="148" t="str">
        <f>IF(B35="","",RTD("cqg.rtd",,"ContractData",A35,"High",,"T"))</f>
        <v/>
      </c>
      <c r="R35" s="148" t="str">
        <f>IF(B35="","",RTD("cqg.rtd",,"ContractData",A35,"Low",,"T"))</f>
        <v/>
      </c>
      <c r="S35" s="147" t="str">
        <f>IF(RTD("cqg.rtd", ,"ContractData",A35, "T_CVol",, "T")=0,"",RTD("cqg.rtd", ,"ContractData",A35, "T_CVol",, "T"))</f>
        <v/>
      </c>
      <c r="T35" s="147" t="str">
        <f>IF(RTD("cqg.rtd", ,"ContractData",A35, "Y_CVol",, "T")=0,"",RTD("cqg.rtd", ,"ContractData",A35, "Y_CVol",, "T"))</f>
        <v/>
      </c>
      <c r="U35" s="147" t="str">
        <f t="shared" si="2"/>
        <v/>
      </c>
      <c r="V35" s="147">
        <f>IF(RTD("cqg.rtd",,"StudyData",A35, "OI", "OIType=Contract", "OI","D","-1","ALL",,,"TRUE","T")=0,"",RTD("cqg.rtd",,"StudyData",A35, "OI", "OIType=Contract", "OI","D","-1","ALL",,,"TRUE","T"))</f>
        <v>564</v>
      </c>
      <c r="W35" s="147">
        <f>IF(RTD("cqg.rtd",,"StudyData",A35, "OI", "OIType=Contract", "OI","D","-2","ALL",,,"TRUE","T")=0,"",RTD("cqg.rtd",,"StudyData",A35, "OI", "OIType=Contract", "OI","D","-2","ALL",,,"TRUE","T"))</f>
        <v>564</v>
      </c>
      <c r="X35" s="146" t="str">
        <f t="shared" si="3"/>
        <v/>
      </c>
      <c r="Y35" s="145" t="str">
        <f>RTD("cqg.rtd", ,"ContractData",A35, "T_Settlement",, "T")</f>
        <v/>
      </c>
      <c r="Z35" s="145">
        <f>RTD("cqg.rtd", ,"ContractData",A35, "Y_Settlement",, "T")</f>
        <v>3.085</v>
      </c>
      <c r="AA35" s="144">
        <f>RTD("cqg.rtd", ,"ContractData",A35, "ExpirationDate",, "T")</f>
        <v>43859</v>
      </c>
      <c r="AB35" s="143" t="str">
        <f>RIGHT(RTD("cqg.rtd", ,"ContractData",A35, "LongDescription",, "T"),6)</f>
        <v>Feb 20</v>
      </c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</row>
    <row r="36" spans="1:39" x14ac:dyDescent="0.3">
      <c r="A36" s="123" t="s">
        <v>162</v>
      </c>
      <c r="B36" s="154" t="str">
        <f>RIGHT(RTD("cqg.rtd", ,"ContractData",A36, "LongDescription",, "T"),6)</f>
        <v>Mar 20</v>
      </c>
      <c r="C36" s="153">
        <f t="shared" si="4"/>
        <v>4</v>
      </c>
      <c r="D36" s="153">
        <f t="shared" si="0"/>
        <v>1</v>
      </c>
      <c r="E36" s="152" t="str">
        <f>IF(B36="","",RTD("cqg.rtd",,"ContractData",A36,"NetLastTradeToday",,"T"))</f>
        <v/>
      </c>
      <c r="F36" s="148" t="str">
        <f>IF(B36="","",RTD("cqg.rtd",,"ContractData",A36,"LastTradeToday",,"T"))</f>
        <v/>
      </c>
      <c r="G36" s="148" t="str">
        <f>IF(B36="","",RTD("cqg.rtd",,"ContractData",A36,"NetLastTradeToday",,"T"))</f>
        <v/>
      </c>
      <c r="H36" s="151" t="str">
        <f>IF(F36="","",MOD(RTD("cqg.rtd", ,"ContractData",A36, "DTLastTrade",, "T"),1))</f>
        <v/>
      </c>
      <c r="I36" s="277"/>
      <c r="J36" s="150">
        <f>IF(RTD("cqg.rtd", ,"ContractData",A36, "MT_LastBidVolume",, "T")=0,"",RTD("cqg.rtd", ,"ContractData",A36, "MT_LastBidVolume",, "T"))</f>
        <v>1</v>
      </c>
      <c r="K36" s="145">
        <f>RTD("cqg.rtd", ,"ContractData",A36, "Bid",, "T")</f>
        <v>3</v>
      </c>
      <c r="L36" s="145"/>
      <c r="M36" s="145" t="str">
        <f>RTD("cqg.rtd", ,"ContractData",A36, "Ask",, "T")</f>
        <v/>
      </c>
      <c r="N36" s="150" t="str">
        <f>IF(RTD("cqg.rtd", ,"ContractData",A36, "MT_LastAskVolume",, "T")=0,"",RTD("cqg.rtd", ,"ContractData",A36, "MT_LastAskVolume",, "T"))</f>
        <v/>
      </c>
      <c r="O36" s="149">
        <f t="shared" si="1"/>
        <v>0</v>
      </c>
      <c r="P36" s="148" t="str">
        <f>IF(B36="","",RTD("cqg.rtd",,"ContractData",A36,"Open",,"T"))</f>
        <v/>
      </c>
      <c r="Q36" s="148" t="str">
        <f>IF(B36="","",RTD("cqg.rtd",,"ContractData",A36,"High",,"T"))</f>
        <v/>
      </c>
      <c r="R36" s="148" t="str">
        <f>IF(B36="","",RTD("cqg.rtd",,"ContractData",A36,"Low",,"T"))</f>
        <v/>
      </c>
      <c r="S36" s="147" t="str">
        <f>IF(RTD("cqg.rtd", ,"ContractData",A36, "T_CVol",, "T")=0,"",RTD("cqg.rtd", ,"ContractData",A36, "T_CVol",, "T"))</f>
        <v/>
      </c>
      <c r="T36" s="147" t="str">
        <f>IF(RTD("cqg.rtd", ,"ContractData",A36, "Y_CVol",, "T")=0,"",RTD("cqg.rtd", ,"ContractData",A36, "Y_CVol",, "T"))</f>
        <v/>
      </c>
      <c r="U36" s="147" t="str">
        <f t="shared" si="2"/>
        <v/>
      </c>
      <c r="V36" s="147">
        <f>IF(RTD("cqg.rtd",,"StudyData",A36, "OI", "OIType=Contract", "OI","D","-1","ALL",,,"TRUE","T")=0,"",RTD("cqg.rtd",,"StudyData",A36, "OI", "OIType=Contract", "OI","D","-1","ALL",,,"TRUE","T"))</f>
        <v>788</v>
      </c>
      <c r="W36" s="147">
        <f>IF(RTD("cqg.rtd",,"StudyData",A36, "OI", "OIType=Contract", "OI","D","-2","ALL",,,"TRUE","T")=0,"",RTD("cqg.rtd",,"StudyData",A36, "OI", "OIType=Contract", "OI","D","-2","ALL",,,"TRUE","T"))</f>
        <v>788</v>
      </c>
      <c r="X36" s="146" t="str">
        <f t="shared" si="3"/>
        <v/>
      </c>
      <c r="Y36" s="145" t="str">
        <f>RTD("cqg.rtd", ,"ContractData",A36, "T_Settlement",, "T")</f>
        <v/>
      </c>
      <c r="Z36" s="145">
        <f>RTD("cqg.rtd", ,"ContractData",A36, "Y_Settlement",, "T")</f>
        <v>3.0300000000000002</v>
      </c>
      <c r="AA36" s="144">
        <f>RTD("cqg.rtd", ,"ContractData",A36, "ExpirationDate",, "T")</f>
        <v>43887</v>
      </c>
      <c r="AB36" s="143" t="str">
        <f>RIGHT(RTD("cqg.rtd", ,"ContractData",A36, "LongDescription",, "T"),6)</f>
        <v>Mar 20</v>
      </c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</row>
    <row r="37" spans="1:39" x14ac:dyDescent="0.3">
      <c r="A37" s="123" t="s">
        <v>161</v>
      </c>
      <c r="B37" s="154" t="str">
        <f>RIGHT(RTD("cqg.rtd", ,"ContractData",A37, "LongDescription",, "T"),6)</f>
        <v>Apr 20</v>
      </c>
      <c r="C37" s="153">
        <f t="shared" si="4"/>
        <v>4</v>
      </c>
      <c r="D37" s="153">
        <f t="shared" si="0"/>
        <v>1</v>
      </c>
      <c r="E37" s="152" t="str">
        <f>IF(B37="","",RTD("cqg.rtd",,"ContractData",A37,"NetLastTradeToday",,"T"))</f>
        <v/>
      </c>
      <c r="F37" s="148" t="str">
        <f>IF(B37="","",RTD("cqg.rtd",,"ContractData",A37,"LastTradeToday",,"T"))</f>
        <v/>
      </c>
      <c r="G37" s="148" t="str">
        <f>IF(B37="","",RTD("cqg.rtd",,"ContractData",A37,"NetLastTradeToday",,"T"))</f>
        <v/>
      </c>
      <c r="H37" s="151" t="str">
        <f>IF(F37="","",MOD(RTD("cqg.rtd", ,"ContractData",A37, "DTLastTrade",, "T"),1))</f>
        <v/>
      </c>
      <c r="I37" s="277"/>
      <c r="J37" s="150">
        <f>IF(RTD("cqg.rtd", ,"ContractData",A37, "MT_LastBidVolume",, "T")=0,"",RTD("cqg.rtd", ,"ContractData",A37, "MT_LastBidVolume",, "T"))</f>
        <v>5</v>
      </c>
      <c r="K37" s="145">
        <f>RTD("cqg.rtd", ,"ContractData",A37, "Bid",, "T")</f>
        <v>2.65</v>
      </c>
      <c r="L37" s="145"/>
      <c r="M37" s="145" t="str">
        <f>RTD("cqg.rtd", ,"ContractData",A37, "Ask",, "T")</f>
        <v/>
      </c>
      <c r="N37" s="150" t="str">
        <f>IF(RTD("cqg.rtd", ,"ContractData",A37, "MT_LastAskVolume",, "T")=0,"",RTD("cqg.rtd", ,"ContractData",A37, "MT_LastAskVolume",, "T"))</f>
        <v/>
      </c>
      <c r="O37" s="149">
        <f t="shared" si="1"/>
        <v>0</v>
      </c>
      <c r="P37" s="148" t="str">
        <f>IF(B37="","",RTD("cqg.rtd",,"ContractData",A37,"Open",,"T"))</f>
        <v/>
      </c>
      <c r="Q37" s="148" t="str">
        <f>IF(B37="","",RTD("cqg.rtd",,"ContractData",A37,"High",,"T"))</f>
        <v/>
      </c>
      <c r="R37" s="148" t="str">
        <f>IF(B37="","",RTD("cqg.rtd",,"ContractData",A37,"Low",,"T"))</f>
        <v/>
      </c>
      <c r="S37" s="147" t="str">
        <f>IF(RTD("cqg.rtd", ,"ContractData",A37, "T_CVol",, "T")=0,"",RTD("cqg.rtd", ,"ContractData",A37, "T_CVol",, "T"))</f>
        <v/>
      </c>
      <c r="T37" s="147" t="str">
        <f>IF(RTD("cqg.rtd", ,"ContractData",A37, "Y_CVol",, "T")=0,"",RTD("cqg.rtd", ,"ContractData",A37, "Y_CVol",, "T"))</f>
        <v/>
      </c>
      <c r="U37" s="147" t="str">
        <f t="shared" si="2"/>
        <v/>
      </c>
      <c r="V37" s="147">
        <f>IF(RTD("cqg.rtd",,"StudyData",A37, "OI", "OIType=Contract", "OI","D","-1","ALL",,,"TRUE","T")=0,"",RTD("cqg.rtd",,"StudyData",A37, "OI", "OIType=Contract", "OI","D","-1","ALL",,,"TRUE","T"))</f>
        <v>947</v>
      </c>
      <c r="W37" s="147">
        <f>IF(RTD("cqg.rtd",,"StudyData",A37, "OI", "OIType=Contract", "OI","D","-2","ALL",,,"TRUE","T")=0,"",RTD("cqg.rtd",,"StudyData",A37, "OI", "OIType=Contract", "OI","D","-2","ALL",,,"TRUE","T"))</f>
        <v>947</v>
      </c>
      <c r="X37" s="146" t="str">
        <f t="shared" si="3"/>
        <v/>
      </c>
      <c r="Y37" s="145" t="str">
        <f>RTD("cqg.rtd", ,"ContractData",A37, "T_Settlement",, "T")</f>
        <v/>
      </c>
      <c r="Z37" s="145">
        <f>RTD("cqg.rtd", ,"ContractData",A37, "Y_Settlement",, "T")</f>
        <v>2.7120000000000002</v>
      </c>
      <c r="AA37" s="144">
        <f>RTD("cqg.rtd", ,"ContractData",A37, "ExpirationDate",, "T")</f>
        <v>43917</v>
      </c>
      <c r="AB37" s="143" t="str">
        <f>RIGHT(RTD("cqg.rtd", ,"ContractData",A37, "LongDescription",, "T"),6)</f>
        <v>Apr 20</v>
      </c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</row>
    <row r="38" spans="1:39" x14ac:dyDescent="0.3">
      <c r="A38" s="123" t="s">
        <v>160</v>
      </c>
      <c r="B38" s="154" t="str">
        <f>RIGHT(RTD("cqg.rtd", ,"ContractData",A38, "LongDescription",, "T"),6)</f>
        <v>May 20</v>
      </c>
      <c r="C38" s="153">
        <f t="shared" si="4"/>
        <v>4</v>
      </c>
      <c r="D38" s="153">
        <f t="shared" si="0"/>
        <v>1</v>
      </c>
      <c r="E38" s="152" t="str">
        <f>IF(B38="","",RTD("cqg.rtd",,"ContractData",A38,"NetLastTradeToday",,"T"))</f>
        <v/>
      </c>
      <c r="F38" s="148" t="str">
        <f>IF(B38="","",RTD("cqg.rtd",,"ContractData",A38,"LastTradeToday",,"T"))</f>
        <v/>
      </c>
      <c r="G38" s="148" t="str">
        <f>IF(B38="","",RTD("cqg.rtd",,"ContractData",A38,"NetLastTradeToday",,"T"))</f>
        <v/>
      </c>
      <c r="H38" s="151" t="str">
        <f>IF(F38="","",MOD(RTD("cqg.rtd", ,"ContractData",A38, "DTLastTrade",, "T"),1))</f>
        <v/>
      </c>
      <c r="I38" s="277"/>
      <c r="J38" s="150">
        <f>IF(RTD("cqg.rtd", ,"ContractData",A38, "MT_LastBidVolume",, "T")=0,"",RTD("cqg.rtd", ,"ContractData",A38, "MT_LastBidVolume",, "T"))</f>
        <v>1</v>
      </c>
      <c r="K38" s="145">
        <f>RTD("cqg.rtd", ,"ContractData",A38, "Bid",, "T")</f>
        <v>2.64</v>
      </c>
      <c r="L38" s="145"/>
      <c r="M38" s="145">
        <f>RTD("cqg.rtd", ,"ContractData",A38, "Ask",, "T")</f>
        <v>2.754</v>
      </c>
      <c r="N38" s="150">
        <f>IF(RTD("cqg.rtd", ,"ContractData",A38, "MT_LastAskVolume",, "T")=0,"",RTD("cqg.rtd", ,"ContractData",A38, "MT_LastAskVolume",, "T"))</f>
        <v>5</v>
      </c>
      <c r="O38" s="149">
        <f t="shared" si="1"/>
        <v>0</v>
      </c>
      <c r="P38" s="148" t="str">
        <f>IF(B38="","",RTD("cqg.rtd",,"ContractData",A38,"Open",,"T"))</f>
        <v/>
      </c>
      <c r="Q38" s="148" t="str">
        <f>IF(B38="","",RTD("cqg.rtd",,"ContractData",A38,"High",,"T"))</f>
        <v/>
      </c>
      <c r="R38" s="148" t="str">
        <f>IF(B38="","",RTD("cqg.rtd",,"ContractData",A38,"Low",,"T"))</f>
        <v/>
      </c>
      <c r="S38" s="147" t="str">
        <f>IF(RTD("cqg.rtd", ,"ContractData",A38, "T_CVol",, "T")=0,"",RTD("cqg.rtd", ,"ContractData",A38, "T_CVol",, "T"))</f>
        <v/>
      </c>
      <c r="T38" s="147" t="str">
        <f>IF(RTD("cqg.rtd", ,"ContractData",A38, "Y_CVol",, "T")=0,"",RTD("cqg.rtd", ,"ContractData",A38, "Y_CVol",, "T"))</f>
        <v/>
      </c>
      <c r="U38" s="147" t="str">
        <f t="shared" si="2"/>
        <v/>
      </c>
      <c r="V38" s="147">
        <f>IF(RTD("cqg.rtd",,"StudyData",A38, "OI", "OIType=Contract", "OI","D","-1","ALL",,,"TRUE","T")=0,"",RTD("cqg.rtd",,"StudyData",A38, "OI", "OIType=Contract", "OI","D","-1","ALL",,,"TRUE","T"))</f>
        <v>627</v>
      </c>
      <c r="W38" s="147">
        <f>IF(RTD("cqg.rtd",,"StudyData",A38, "OI", "OIType=Contract", "OI","D","-2","ALL",,,"TRUE","T")=0,"",RTD("cqg.rtd",,"StudyData",A38, "OI", "OIType=Contract", "OI","D","-2","ALL",,,"TRUE","T"))</f>
        <v>627</v>
      </c>
      <c r="X38" s="146" t="str">
        <f t="shared" si="3"/>
        <v/>
      </c>
      <c r="Y38" s="145" t="str">
        <f>RTD("cqg.rtd", ,"ContractData",A38, "T_Settlement",, "T")</f>
        <v/>
      </c>
      <c r="Z38" s="145">
        <f>RTD("cqg.rtd", ,"ContractData",A38, "Y_Settlement",, "T")</f>
        <v>2.6850000000000001</v>
      </c>
      <c r="AA38" s="144">
        <f>RTD("cqg.rtd", ,"ContractData",A38, "ExpirationDate",, "T")</f>
        <v>43949</v>
      </c>
      <c r="AB38" s="143" t="str">
        <f>RIGHT(RTD("cqg.rtd", ,"ContractData",A38, "LongDescription",, "T"),6)</f>
        <v>May 20</v>
      </c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</row>
    <row r="39" spans="1:39" x14ac:dyDescent="0.3">
      <c r="A39" s="123" t="s">
        <v>159</v>
      </c>
      <c r="B39" s="154" t="str">
        <f>RIGHT(RTD("cqg.rtd", ,"ContractData",A39, "LongDescription",, "T"),6)</f>
        <v>Jun 20</v>
      </c>
      <c r="C39" s="153">
        <f t="shared" si="4"/>
        <v>4</v>
      </c>
      <c r="D39" s="153">
        <f t="shared" si="0"/>
        <v>1</v>
      </c>
      <c r="E39" s="152" t="str">
        <f>IF(B39="","",RTD("cqg.rtd",,"ContractData",A39,"NetLastTradeToday",,"T"))</f>
        <v/>
      </c>
      <c r="F39" s="148" t="str">
        <f>IF(B39="","",RTD("cqg.rtd",,"ContractData",A39,"LastTradeToday",,"T"))</f>
        <v/>
      </c>
      <c r="G39" s="148" t="str">
        <f>IF(B39="","",RTD("cqg.rtd",,"ContractData",A39,"NetLastTradeToday",,"T"))</f>
        <v/>
      </c>
      <c r="H39" s="151" t="str">
        <f>IF(F39="","",MOD(RTD("cqg.rtd", ,"ContractData",A39, "DTLastTrade",, "T"),1))</f>
        <v/>
      </c>
      <c r="I39" s="277"/>
      <c r="J39" s="150" t="str">
        <f>IF(RTD("cqg.rtd", ,"ContractData",A39, "MT_LastBidVolume",, "T")=0,"",RTD("cqg.rtd", ,"ContractData",A39, "MT_LastBidVolume",, "T"))</f>
        <v/>
      </c>
      <c r="K39" s="145" t="str">
        <f>RTD("cqg.rtd", ,"ContractData",A39, "Bid",, "T")</f>
        <v/>
      </c>
      <c r="L39" s="145"/>
      <c r="M39" s="145" t="str">
        <f>RTD("cqg.rtd", ,"ContractData",A39, "Ask",, "T")</f>
        <v/>
      </c>
      <c r="N39" s="150" t="str">
        <f>IF(RTD("cqg.rtd", ,"ContractData",A39, "MT_LastAskVolume",, "T")=0,"",RTD("cqg.rtd", ,"ContractData",A39, "MT_LastAskVolume",, "T"))</f>
        <v/>
      </c>
      <c r="O39" s="149">
        <f t="shared" si="1"/>
        <v>0</v>
      </c>
      <c r="P39" s="148" t="str">
        <f>IF(B39="","",RTD("cqg.rtd",,"ContractData",A39,"Open",,"T"))</f>
        <v/>
      </c>
      <c r="Q39" s="148" t="str">
        <f>IF(B39="","",RTD("cqg.rtd",,"ContractData",A39,"High",,"T"))</f>
        <v/>
      </c>
      <c r="R39" s="148" t="str">
        <f>IF(B39="","",RTD("cqg.rtd",,"ContractData",A39,"Low",,"T"))</f>
        <v/>
      </c>
      <c r="S39" s="147" t="str">
        <f>IF(RTD("cqg.rtd", ,"ContractData",A39, "T_CVol",, "T")=0,"",RTD("cqg.rtd", ,"ContractData",A39, "T_CVol",, "T"))</f>
        <v/>
      </c>
      <c r="T39" s="147" t="str">
        <f>IF(RTD("cqg.rtd", ,"ContractData",A39, "Y_CVol",, "T")=0,"",RTD("cqg.rtd", ,"ContractData",A39, "Y_CVol",, "T"))</f>
        <v/>
      </c>
      <c r="U39" s="147" t="str">
        <f t="shared" si="2"/>
        <v/>
      </c>
      <c r="V39" s="147">
        <f>IF(RTD("cqg.rtd",,"StudyData",A39, "OI", "OIType=Contract", "OI","D","-1","ALL",,,"TRUE","T")=0,"",RTD("cqg.rtd",,"StudyData",A39, "OI", "OIType=Contract", "OI","D","-1","ALL",,,"TRUE","T"))</f>
        <v>561</v>
      </c>
      <c r="W39" s="147">
        <f>IF(RTD("cqg.rtd",,"StudyData",A39, "OI", "OIType=Contract", "OI","D","-2","ALL",,,"TRUE","T")=0,"",RTD("cqg.rtd",,"StudyData",A39, "OI", "OIType=Contract", "OI","D","-2","ALL",,,"TRUE","T"))</f>
        <v>561</v>
      </c>
      <c r="X39" s="146" t="str">
        <f t="shared" si="3"/>
        <v/>
      </c>
      <c r="Y39" s="145" t="str">
        <f>RTD("cqg.rtd", ,"ContractData",A39, "T_Settlement",, "T")</f>
        <v/>
      </c>
      <c r="Z39" s="145">
        <f>RTD("cqg.rtd", ,"ContractData",A39, "Y_Settlement",, "T")</f>
        <v>2.7080000000000002</v>
      </c>
      <c r="AA39" s="144">
        <f>RTD("cqg.rtd", ,"ContractData",A39, "ExpirationDate",, "T")</f>
        <v>43978</v>
      </c>
      <c r="AB39" s="143" t="str">
        <f>RIGHT(RTD("cqg.rtd", ,"ContractData",A39, "LongDescription",, "T"),6)</f>
        <v>Jun 20</v>
      </c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</row>
    <row r="40" spans="1:39" x14ac:dyDescent="0.3">
      <c r="A40" s="123" t="s">
        <v>158</v>
      </c>
      <c r="B40" s="154" t="str">
        <f>RIGHT(RTD("cqg.rtd", ,"ContractData",A40, "LongDescription",, "T"),6)</f>
        <v>Jul 20</v>
      </c>
      <c r="C40" s="153">
        <f t="shared" si="4"/>
        <v>4</v>
      </c>
      <c r="D40" s="153">
        <f t="shared" ref="D40:D71" si="5">IF(ISEVEN(C40),1,0)</f>
        <v>1</v>
      </c>
      <c r="E40" s="152" t="str">
        <f>IF(B40="","",RTD("cqg.rtd",,"ContractData",A40,"NetLastTradeToday",,"T"))</f>
        <v/>
      </c>
      <c r="F40" s="148" t="str">
        <f>IF(B40="","",RTD("cqg.rtd",,"ContractData",A40,"LastTradeToday",,"T"))</f>
        <v/>
      </c>
      <c r="G40" s="148" t="str">
        <f>IF(B40="","",RTD("cqg.rtd",,"ContractData",A40,"NetLastTradeToday",,"T"))</f>
        <v/>
      </c>
      <c r="H40" s="151" t="str">
        <f>IF(F40="","",MOD(RTD("cqg.rtd", ,"ContractData",A40, "DTLastTrade",, "T"),1))</f>
        <v/>
      </c>
      <c r="I40" s="277"/>
      <c r="J40" s="150" t="str">
        <f>IF(RTD("cqg.rtd", ,"ContractData",A40, "MT_LastBidVolume",, "T")=0,"",RTD("cqg.rtd", ,"ContractData",A40, "MT_LastBidVolume",, "T"))</f>
        <v/>
      </c>
      <c r="K40" s="145" t="str">
        <f>RTD("cqg.rtd", ,"ContractData",A40, "Bid",, "T")</f>
        <v/>
      </c>
      <c r="L40" s="145"/>
      <c r="M40" s="145" t="str">
        <f>RTD("cqg.rtd", ,"ContractData",A40, "Ask",, "T")</f>
        <v/>
      </c>
      <c r="N40" s="150" t="str">
        <f>IF(RTD("cqg.rtd", ,"ContractData",A40, "MT_LastAskVolume",, "T")=0,"",RTD("cqg.rtd", ,"ContractData",A40, "MT_LastAskVolume",, "T"))</f>
        <v/>
      </c>
      <c r="O40" s="149">
        <f t="shared" ref="O40:O71" si="6">IF(F40="",0,IF(F40=P40,1,IF(Q40-F40&lt;=0.001,2,IF(F40-R40&lt;=0.001,3))))</f>
        <v>0</v>
      </c>
      <c r="P40" s="148" t="str">
        <f>IF(B40="","",RTD("cqg.rtd",,"ContractData",A40,"Open",,"T"))</f>
        <v/>
      </c>
      <c r="Q40" s="148" t="str">
        <f>IF(B40="","",RTD("cqg.rtd",,"ContractData",A40,"High",,"T"))</f>
        <v/>
      </c>
      <c r="R40" s="148" t="str">
        <f>IF(B40="","",RTD("cqg.rtd",,"ContractData",A40,"Low",,"T"))</f>
        <v/>
      </c>
      <c r="S40" s="147" t="str">
        <f>IF(RTD("cqg.rtd", ,"ContractData",A40, "T_CVol",, "T")=0,"",RTD("cqg.rtd", ,"ContractData",A40, "T_CVol",, "T"))</f>
        <v/>
      </c>
      <c r="T40" s="147" t="str">
        <f>IF(RTD("cqg.rtd", ,"ContractData",A40, "Y_CVol",, "T")=0,"",RTD("cqg.rtd", ,"ContractData",A40, "Y_CVol",, "T"))</f>
        <v/>
      </c>
      <c r="U40" s="147" t="str">
        <f t="shared" ref="U40:U71" si="7">IFERROR(IF(S40-T40=0,"",S40-T40),"")</f>
        <v/>
      </c>
      <c r="V40" s="147">
        <f>IF(RTD("cqg.rtd",,"StudyData",A40, "OI", "OIType=Contract", "OI","D","-1","ALL",,,"TRUE","T")=0,"",RTD("cqg.rtd",,"StudyData",A40, "OI", "OIType=Contract", "OI","D","-1","ALL",,,"TRUE","T"))</f>
        <v>505</v>
      </c>
      <c r="W40" s="147">
        <f>IF(RTD("cqg.rtd",,"StudyData",A40, "OI", "OIType=Contract", "OI","D","-2","ALL",,,"TRUE","T")=0,"",RTD("cqg.rtd",,"StudyData",A40, "OI", "OIType=Contract", "OI","D","-2","ALL",,,"TRUE","T"))</f>
        <v>505</v>
      </c>
      <c r="X40" s="146" t="str">
        <f t="shared" ref="X40:X71" si="8">IFERROR(IF(V40-W40=0,"",V40-W40),"")</f>
        <v/>
      </c>
      <c r="Y40" s="145" t="str">
        <f>RTD("cqg.rtd", ,"ContractData",A40, "T_Settlement",, "T")</f>
        <v/>
      </c>
      <c r="Z40" s="145">
        <f>RTD("cqg.rtd", ,"ContractData",A40, "Y_Settlement",, "T")</f>
        <v>2.734</v>
      </c>
      <c r="AA40" s="144">
        <f>RTD("cqg.rtd", ,"ContractData",A40, "ExpirationDate",, "T")</f>
        <v>44008</v>
      </c>
      <c r="AB40" s="143" t="str">
        <f>RIGHT(RTD("cqg.rtd", ,"ContractData",A40, "LongDescription",, "T"),6)</f>
        <v>Jul 20</v>
      </c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</row>
    <row r="41" spans="1:39" x14ac:dyDescent="0.3">
      <c r="A41" s="123" t="s">
        <v>157</v>
      </c>
      <c r="B41" s="154" t="str">
        <f>RIGHT(RTD("cqg.rtd", ,"ContractData",A41, "LongDescription",, "T"),6)</f>
        <v>Aug 20</v>
      </c>
      <c r="C41" s="153">
        <f t="shared" ref="C41:C72" si="9">IF(RIGHT(B41,1)=RIGHT(B40,1),C40,C40+1)</f>
        <v>4</v>
      </c>
      <c r="D41" s="153">
        <f t="shared" si="5"/>
        <v>1</v>
      </c>
      <c r="E41" s="152" t="str">
        <f>IF(B41="","",RTD("cqg.rtd",,"ContractData",A41,"NetLastTradeToday",,"T"))</f>
        <v/>
      </c>
      <c r="F41" s="148" t="str">
        <f>IF(B41="","",RTD("cqg.rtd",,"ContractData",A41,"LastTradeToday",,"T"))</f>
        <v/>
      </c>
      <c r="G41" s="148" t="str">
        <f>IF(B41="","",RTD("cqg.rtd",,"ContractData",A41,"NetLastTradeToday",,"T"))</f>
        <v/>
      </c>
      <c r="H41" s="151" t="str">
        <f>IF(F41="","",MOD(RTD("cqg.rtd", ,"ContractData",A41, "DTLastTrade",, "T"),1))</f>
        <v/>
      </c>
      <c r="I41" s="277"/>
      <c r="J41" s="150" t="str">
        <f>IF(RTD("cqg.rtd", ,"ContractData",A41, "MT_LastBidVolume",, "T")=0,"",RTD("cqg.rtd", ,"ContractData",A41, "MT_LastBidVolume",, "T"))</f>
        <v/>
      </c>
      <c r="K41" s="145" t="str">
        <f>RTD("cqg.rtd", ,"ContractData",A41, "Bid",, "T")</f>
        <v/>
      </c>
      <c r="L41" s="145"/>
      <c r="M41" s="145" t="str">
        <f>RTD("cqg.rtd", ,"ContractData",A41, "Ask",, "T")</f>
        <v/>
      </c>
      <c r="N41" s="150" t="str">
        <f>IF(RTD("cqg.rtd", ,"ContractData",A41, "MT_LastAskVolume",, "T")=0,"",RTD("cqg.rtd", ,"ContractData",A41, "MT_LastAskVolume",, "T"))</f>
        <v/>
      </c>
      <c r="O41" s="149">
        <f t="shared" si="6"/>
        <v>0</v>
      </c>
      <c r="P41" s="148" t="str">
        <f>IF(B41="","",RTD("cqg.rtd",,"ContractData",A41,"Open",,"T"))</f>
        <v/>
      </c>
      <c r="Q41" s="148" t="str">
        <f>IF(B41="","",RTD("cqg.rtd",,"ContractData",A41,"High",,"T"))</f>
        <v/>
      </c>
      <c r="R41" s="148" t="str">
        <f>IF(B41="","",RTD("cqg.rtd",,"ContractData",A41,"Low",,"T"))</f>
        <v/>
      </c>
      <c r="S41" s="147" t="str">
        <f>IF(RTD("cqg.rtd", ,"ContractData",A41, "T_CVol",, "T")=0,"",RTD("cqg.rtd", ,"ContractData",A41, "T_CVol",, "T"))</f>
        <v/>
      </c>
      <c r="T41" s="147" t="str">
        <f>IF(RTD("cqg.rtd", ,"ContractData",A41, "Y_CVol",, "T")=0,"",RTD("cqg.rtd", ,"ContractData",A41, "Y_CVol",, "T"))</f>
        <v/>
      </c>
      <c r="U41" s="147" t="str">
        <f t="shared" si="7"/>
        <v/>
      </c>
      <c r="V41" s="147">
        <f>IF(RTD("cqg.rtd",,"StudyData",A41, "OI", "OIType=Contract", "OI","D","-1","ALL",,,"TRUE","T")=0,"",RTD("cqg.rtd",,"StudyData",A41, "OI", "OIType=Contract", "OI","D","-1","ALL",,,"TRUE","T"))</f>
        <v>468</v>
      </c>
      <c r="W41" s="147">
        <f>IF(RTD("cqg.rtd",,"StudyData",A41, "OI", "OIType=Contract", "OI","D","-2","ALL",,,"TRUE","T")=0,"",RTD("cqg.rtd",,"StudyData",A41, "OI", "OIType=Contract", "OI","D","-2","ALL",,,"TRUE","T"))</f>
        <v>468</v>
      </c>
      <c r="X41" s="146" t="str">
        <f t="shared" si="8"/>
        <v/>
      </c>
      <c r="Y41" s="145" t="str">
        <f>RTD("cqg.rtd", ,"ContractData",A41, "T_Settlement",, "T")</f>
        <v/>
      </c>
      <c r="Z41" s="145">
        <f>RTD("cqg.rtd", ,"ContractData",A41, "Y_Settlement",, "T")</f>
        <v>2.7440000000000002</v>
      </c>
      <c r="AA41" s="144">
        <f>RTD("cqg.rtd", ,"ContractData",A41, "ExpirationDate",, "T")</f>
        <v>44041</v>
      </c>
      <c r="AB41" s="143" t="str">
        <f>RIGHT(RTD("cqg.rtd", ,"ContractData",A41, "LongDescription",, "T"),6)</f>
        <v>Aug 20</v>
      </c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</row>
    <row r="42" spans="1:39" x14ac:dyDescent="0.3">
      <c r="A42" s="123" t="s">
        <v>156</v>
      </c>
      <c r="B42" s="154" t="str">
        <f>RIGHT(RTD("cqg.rtd", ,"ContractData",A42, "LongDescription",, "T"),6)</f>
        <v>Sep 20</v>
      </c>
      <c r="C42" s="153">
        <f t="shared" si="9"/>
        <v>4</v>
      </c>
      <c r="D42" s="153">
        <f t="shared" si="5"/>
        <v>1</v>
      </c>
      <c r="E42" s="152" t="str">
        <f>IF(B42="","",RTD("cqg.rtd",,"ContractData",A42,"NetLastTradeToday",,"T"))</f>
        <v/>
      </c>
      <c r="F42" s="148" t="str">
        <f>IF(B42="","",RTD("cqg.rtd",,"ContractData",A42,"LastTradeToday",,"T"))</f>
        <v/>
      </c>
      <c r="G42" s="148" t="str">
        <f>IF(B42="","",RTD("cqg.rtd",,"ContractData",A42,"NetLastTradeToday",,"T"))</f>
        <v/>
      </c>
      <c r="H42" s="151" t="str">
        <f>IF(F42="","",MOD(RTD("cqg.rtd", ,"ContractData",A42, "DTLastTrade",, "T"),1))</f>
        <v/>
      </c>
      <c r="I42" s="277"/>
      <c r="J42" s="150" t="str">
        <f>IF(RTD("cqg.rtd", ,"ContractData",A42, "MT_LastBidVolume",, "T")=0,"",RTD("cqg.rtd", ,"ContractData",A42, "MT_LastBidVolume",, "T"))</f>
        <v/>
      </c>
      <c r="K42" s="145" t="str">
        <f>RTD("cqg.rtd", ,"ContractData",A42, "Bid",, "T")</f>
        <v/>
      </c>
      <c r="L42" s="145"/>
      <c r="M42" s="145" t="str">
        <f>RTD("cqg.rtd", ,"ContractData",A42, "Ask",, "T")</f>
        <v/>
      </c>
      <c r="N42" s="150" t="str">
        <f>IF(RTD("cqg.rtd", ,"ContractData",A42, "MT_LastAskVolume",, "T")=0,"",RTD("cqg.rtd", ,"ContractData",A42, "MT_LastAskVolume",, "T"))</f>
        <v/>
      </c>
      <c r="O42" s="149">
        <f t="shared" si="6"/>
        <v>0</v>
      </c>
      <c r="P42" s="148" t="str">
        <f>IF(B42="","",RTD("cqg.rtd",,"ContractData",A42,"Open",,"T"))</f>
        <v/>
      </c>
      <c r="Q42" s="148" t="str">
        <f>IF(B42="","",RTD("cqg.rtd",,"ContractData",A42,"High",,"T"))</f>
        <v/>
      </c>
      <c r="R42" s="148" t="str">
        <f>IF(B42="","",RTD("cqg.rtd",,"ContractData",A42,"Low",,"T"))</f>
        <v/>
      </c>
      <c r="S42" s="147" t="str">
        <f>IF(RTD("cqg.rtd", ,"ContractData",A42, "T_CVol",, "T")=0,"",RTD("cqg.rtd", ,"ContractData",A42, "T_CVol",, "T"))</f>
        <v/>
      </c>
      <c r="T42" s="147" t="str">
        <f>IF(RTD("cqg.rtd", ,"ContractData",A42, "Y_CVol",, "T")=0,"",RTD("cqg.rtd", ,"ContractData",A42, "Y_CVol",, "T"))</f>
        <v/>
      </c>
      <c r="U42" s="147" t="str">
        <f t="shared" si="7"/>
        <v/>
      </c>
      <c r="V42" s="147">
        <f>IF(RTD("cqg.rtd",,"StudyData",A42, "OI", "OIType=Contract", "OI","D","-1","ALL",,,"TRUE","T")=0,"",RTD("cqg.rtd",,"StudyData",A42, "OI", "OIType=Contract", "OI","D","-1","ALL",,,"TRUE","T"))</f>
        <v>469</v>
      </c>
      <c r="W42" s="147">
        <f>IF(RTD("cqg.rtd",,"StudyData",A42, "OI", "OIType=Contract", "OI","D","-2","ALL",,,"TRUE","T")=0,"",RTD("cqg.rtd",,"StudyData",A42, "OI", "OIType=Contract", "OI","D","-2","ALL",,,"TRUE","T"))</f>
        <v>469</v>
      </c>
      <c r="X42" s="146" t="str">
        <f t="shared" si="8"/>
        <v/>
      </c>
      <c r="Y42" s="145" t="str">
        <f>RTD("cqg.rtd", ,"ContractData",A42, "T_Settlement",, "T")</f>
        <v/>
      </c>
      <c r="Z42" s="145">
        <f>RTD("cqg.rtd", ,"ContractData",A42, "Y_Settlement",, "T")</f>
        <v>2.74</v>
      </c>
      <c r="AA42" s="144">
        <f>RTD("cqg.rtd", ,"ContractData",A42, "ExpirationDate",, "T")</f>
        <v>44070</v>
      </c>
      <c r="AB42" s="143" t="str">
        <f>RIGHT(RTD("cqg.rtd", ,"ContractData",A42, "LongDescription",, "T"),6)</f>
        <v>Sep 20</v>
      </c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</row>
    <row r="43" spans="1:39" x14ac:dyDescent="0.3">
      <c r="A43" s="123" t="s">
        <v>155</v>
      </c>
      <c r="B43" s="154" t="str">
        <f>RIGHT(RTD("cqg.rtd", ,"ContractData",A43, "LongDescription",, "T"),6)</f>
        <v>Oct 20</v>
      </c>
      <c r="C43" s="153">
        <f t="shared" si="9"/>
        <v>4</v>
      </c>
      <c r="D43" s="153">
        <f t="shared" si="5"/>
        <v>1</v>
      </c>
      <c r="E43" s="152" t="str">
        <f>IF(B43="","",RTD("cqg.rtd",,"ContractData",A43,"NetLastTradeToday",,"T"))</f>
        <v/>
      </c>
      <c r="F43" s="148" t="str">
        <f>IF(B43="","",RTD("cqg.rtd",,"ContractData",A43,"LastTradeToday",,"T"))</f>
        <v/>
      </c>
      <c r="G43" s="148" t="str">
        <f>IF(B43="","",RTD("cqg.rtd",,"ContractData",A43,"NetLastTradeToday",,"T"))</f>
        <v/>
      </c>
      <c r="H43" s="151" t="str">
        <f>IF(F43="","",MOD(RTD("cqg.rtd", ,"ContractData",A43, "DTLastTrade",, "T"),1))</f>
        <v/>
      </c>
      <c r="I43" s="277"/>
      <c r="J43" s="150" t="str">
        <f>IF(RTD("cqg.rtd", ,"ContractData",A43, "MT_LastBidVolume",, "T")=0,"",RTD("cqg.rtd", ,"ContractData",A43, "MT_LastBidVolume",, "T"))</f>
        <v/>
      </c>
      <c r="K43" s="145" t="str">
        <f>RTD("cqg.rtd", ,"ContractData",A43, "Bid",, "T")</f>
        <v/>
      </c>
      <c r="L43" s="145"/>
      <c r="M43" s="145" t="str">
        <f>RTD("cqg.rtd", ,"ContractData",A43, "Ask",, "T")</f>
        <v/>
      </c>
      <c r="N43" s="150" t="str">
        <f>IF(RTD("cqg.rtd", ,"ContractData",A43, "MT_LastAskVolume",, "T")=0,"",RTD("cqg.rtd", ,"ContractData",A43, "MT_LastAskVolume",, "T"))</f>
        <v/>
      </c>
      <c r="O43" s="149">
        <f t="shared" si="6"/>
        <v>0</v>
      </c>
      <c r="P43" s="148" t="str">
        <f>IF(B43="","",RTD("cqg.rtd",,"ContractData",A43,"Open",,"T"))</f>
        <v/>
      </c>
      <c r="Q43" s="148" t="str">
        <f>IF(B43="","",RTD("cqg.rtd",,"ContractData",A43,"High",,"T"))</f>
        <v/>
      </c>
      <c r="R43" s="148" t="str">
        <f>IF(B43="","",RTD("cqg.rtd",,"ContractData",A43,"Low",,"T"))</f>
        <v/>
      </c>
      <c r="S43" s="147" t="str">
        <f>IF(RTD("cqg.rtd", ,"ContractData",A43, "T_CVol",, "T")=0,"",RTD("cqg.rtd", ,"ContractData",A43, "T_CVol",, "T"))</f>
        <v/>
      </c>
      <c r="T43" s="147" t="str">
        <f>IF(RTD("cqg.rtd", ,"ContractData",A43, "Y_CVol",, "T")=0,"",RTD("cqg.rtd", ,"ContractData",A43, "Y_CVol",, "T"))</f>
        <v/>
      </c>
      <c r="U43" s="147" t="str">
        <f t="shared" si="7"/>
        <v/>
      </c>
      <c r="V43" s="147">
        <f>IF(RTD("cqg.rtd",,"StudyData",A43, "OI", "OIType=Contract", "OI","D","-1","ALL",,,"TRUE","T")=0,"",RTD("cqg.rtd",,"StudyData",A43, "OI", "OIType=Contract", "OI","D","-1","ALL",,,"TRUE","T"))</f>
        <v>517</v>
      </c>
      <c r="W43" s="147">
        <f>IF(RTD("cqg.rtd",,"StudyData",A43, "OI", "OIType=Contract", "OI","D","-2","ALL",,,"TRUE","T")=0,"",RTD("cqg.rtd",,"StudyData",A43, "OI", "OIType=Contract", "OI","D","-2","ALL",,,"TRUE","T"))</f>
        <v>517</v>
      </c>
      <c r="X43" s="146" t="str">
        <f t="shared" si="8"/>
        <v/>
      </c>
      <c r="Y43" s="145" t="str">
        <f>RTD("cqg.rtd", ,"ContractData",A43, "T_Settlement",, "T")</f>
        <v/>
      </c>
      <c r="Z43" s="145">
        <f>RTD("cqg.rtd", ,"ContractData",A43, "Y_Settlement",, "T")</f>
        <v>2.7680000000000002</v>
      </c>
      <c r="AA43" s="144">
        <f>RTD("cqg.rtd", ,"ContractData",A43, "ExpirationDate",, "T")</f>
        <v>44102</v>
      </c>
      <c r="AB43" s="143" t="str">
        <f>RIGHT(RTD("cqg.rtd", ,"ContractData",A43, "LongDescription",, "T"),6)</f>
        <v>Oct 20</v>
      </c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</row>
    <row r="44" spans="1:39" x14ac:dyDescent="0.3">
      <c r="A44" s="123" t="s">
        <v>154</v>
      </c>
      <c r="B44" s="154" t="str">
        <f>RIGHT(RTD("cqg.rtd", ,"ContractData",A44, "LongDescription",, "T"),6)</f>
        <v>Nov 20</v>
      </c>
      <c r="C44" s="153">
        <f t="shared" si="9"/>
        <v>4</v>
      </c>
      <c r="D44" s="153">
        <f t="shared" si="5"/>
        <v>1</v>
      </c>
      <c r="E44" s="152" t="str">
        <f>IF(B44="","",RTD("cqg.rtd",,"ContractData",A44,"NetLastTradeToday",,"T"))</f>
        <v/>
      </c>
      <c r="F44" s="148" t="str">
        <f>IF(B44="","",RTD("cqg.rtd",,"ContractData",A44,"LastTradeToday",,"T"))</f>
        <v/>
      </c>
      <c r="G44" s="148" t="str">
        <f>IF(B44="","",RTD("cqg.rtd",,"ContractData",A44,"NetLastTradeToday",,"T"))</f>
        <v/>
      </c>
      <c r="H44" s="151" t="str">
        <f>IF(F44="","",MOD(RTD("cqg.rtd", ,"ContractData",A44, "DTLastTrade",, "T"),1))</f>
        <v/>
      </c>
      <c r="I44" s="277"/>
      <c r="J44" s="150">
        <f>IF(RTD("cqg.rtd", ,"ContractData",A44, "MT_LastBidVolume",, "T")=0,"",RTD("cqg.rtd", ,"ContractData",A44, "MT_LastBidVolume",, "T"))</f>
        <v>1</v>
      </c>
      <c r="K44" s="145">
        <f>RTD("cqg.rtd", ,"ContractData",A44, "Bid",, "T")</f>
        <v>2.68</v>
      </c>
      <c r="L44" s="145"/>
      <c r="M44" s="145" t="str">
        <f>RTD("cqg.rtd", ,"ContractData",A44, "Ask",, "T")</f>
        <v/>
      </c>
      <c r="N44" s="150" t="str">
        <f>IF(RTD("cqg.rtd", ,"ContractData",A44, "MT_LastAskVolume",, "T")=0,"",RTD("cqg.rtd", ,"ContractData",A44, "MT_LastAskVolume",, "T"))</f>
        <v/>
      </c>
      <c r="O44" s="149">
        <f t="shared" si="6"/>
        <v>0</v>
      </c>
      <c r="P44" s="148" t="str">
        <f>IF(B44="","",RTD("cqg.rtd",,"ContractData",A44,"Open",,"T"))</f>
        <v/>
      </c>
      <c r="Q44" s="148" t="str">
        <f>IF(B44="","",RTD("cqg.rtd",,"ContractData",A44,"High",,"T"))</f>
        <v/>
      </c>
      <c r="R44" s="148" t="str">
        <f>IF(B44="","",RTD("cqg.rtd",,"ContractData",A44,"Low",,"T"))</f>
        <v/>
      </c>
      <c r="S44" s="147" t="str">
        <f>IF(RTD("cqg.rtd", ,"ContractData",A44, "T_CVol",, "T")=0,"",RTD("cqg.rtd", ,"ContractData",A44, "T_CVol",, "T"))</f>
        <v/>
      </c>
      <c r="T44" s="147" t="str">
        <f>IF(RTD("cqg.rtd", ,"ContractData",A44, "Y_CVol",, "T")=0,"",RTD("cqg.rtd", ,"ContractData",A44, "Y_CVol",, "T"))</f>
        <v/>
      </c>
      <c r="U44" s="147" t="str">
        <f t="shared" si="7"/>
        <v/>
      </c>
      <c r="V44" s="147">
        <f>IF(RTD("cqg.rtd",,"StudyData",A44, "OI", "OIType=Contract", "OI","D","-1","ALL",,,"TRUE","T")=0,"",RTD("cqg.rtd",,"StudyData",A44, "OI", "OIType=Contract", "OI","D","-1","ALL",,,"TRUE","T"))</f>
        <v>501</v>
      </c>
      <c r="W44" s="147">
        <f>IF(RTD("cqg.rtd",,"StudyData",A44, "OI", "OIType=Contract", "OI","D","-2","ALL",,,"TRUE","T")=0,"",RTD("cqg.rtd",,"StudyData",A44, "OI", "OIType=Contract", "OI","D","-2","ALL",,,"TRUE","T"))</f>
        <v>501</v>
      </c>
      <c r="X44" s="146" t="str">
        <f t="shared" si="8"/>
        <v/>
      </c>
      <c r="Y44" s="145" t="str">
        <f>RTD("cqg.rtd", ,"ContractData",A44, "T_Settlement",, "T")</f>
        <v/>
      </c>
      <c r="Z44" s="145">
        <f>RTD("cqg.rtd", ,"ContractData",A44, "Y_Settlement",, "T")</f>
        <v>2.8420000000000001</v>
      </c>
      <c r="AA44" s="144">
        <f>RTD("cqg.rtd", ,"ContractData",A44, "ExpirationDate",, "T")</f>
        <v>44132</v>
      </c>
      <c r="AB44" s="143" t="str">
        <f>RIGHT(RTD("cqg.rtd", ,"ContractData",A44, "LongDescription",, "T"),6)</f>
        <v>Nov 20</v>
      </c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</row>
    <row r="45" spans="1:39" x14ac:dyDescent="0.3">
      <c r="A45" s="123" t="s">
        <v>153</v>
      </c>
      <c r="B45" s="154" t="str">
        <f>RIGHT(RTD("cqg.rtd", ,"ContractData",A45, "LongDescription",, "T"),6)</f>
        <v>Dec 20</v>
      </c>
      <c r="C45" s="153">
        <f t="shared" si="9"/>
        <v>4</v>
      </c>
      <c r="D45" s="153">
        <f t="shared" si="5"/>
        <v>1</v>
      </c>
      <c r="E45" s="152" t="str">
        <f>IF(B45="","",RTD("cqg.rtd",,"ContractData",A45,"NetLastTradeToday",,"T"))</f>
        <v/>
      </c>
      <c r="F45" s="148" t="str">
        <f>IF(B45="","",RTD("cqg.rtd",,"ContractData",A45,"LastTradeToday",,"T"))</f>
        <v/>
      </c>
      <c r="G45" s="148" t="str">
        <f>IF(B45="","",RTD("cqg.rtd",,"ContractData",A45,"NetLastTradeToday",,"T"))</f>
        <v/>
      </c>
      <c r="H45" s="151" t="str">
        <f>IF(F45="","",MOD(RTD("cqg.rtd", ,"ContractData",A45, "DTLastTrade",, "T"),1))</f>
        <v/>
      </c>
      <c r="I45" s="277"/>
      <c r="J45" s="150">
        <f>IF(RTD("cqg.rtd", ,"ContractData",A45, "MT_LastBidVolume",, "T")=0,"",RTD("cqg.rtd", ,"ContractData",A45, "MT_LastBidVolume",, "T"))</f>
        <v>1</v>
      </c>
      <c r="K45" s="145">
        <f>RTD("cqg.rtd", ,"ContractData",A45, "Bid",, "T")</f>
        <v>2.88</v>
      </c>
      <c r="L45" s="145"/>
      <c r="M45" s="145" t="str">
        <f>RTD("cqg.rtd", ,"ContractData",A45, "Ask",, "T")</f>
        <v/>
      </c>
      <c r="N45" s="150" t="str">
        <f>IF(RTD("cqg.rtd", ,"ContractData",A45, "MT_LastAskVolume",, "T")=0,"",RTD("cqg.rtd", ,"ContractData",A45, "MT_LastAskVolume",, "T"))</f>
        <v/>
      </c>
      <c r="O45" s="149">
        <f t="shared" si="6"/>
        <v>0</v>
      </c>
      <c r="P45" s="148" t="str">
        <f>IF(B45="","",RTD("cqg.rtd",,"ContractData",A45,"Open",,"T"))</f>
        <v/>
      </c>
      <c r="Q45" s="148" t="str">
        <f>IF(B45="","",RTD("cqg.rtd",,"ContractData",A45,"High",,"T"))</f>
        <v/>
      </c>
      <c r="R45" s="148" t="str">
        <f>IF(B45="","",RTD("cqg.rtd",,"ContractData",A45,"Low",,"T"))</f>
        <v/>
      </c>
      <c r="S45" s="147" t="str">
        <f>IF(RTD("cqg.rtd", ,"ContractData",A45, "T_CVol",, "T")=0,"",RTD("cqg.rtd", ,"ContractData",A45, "T_CVol",, "T"))</f>
        <v/>
      </c>
      <c r="T45" s="147" t="str">
        <f>IF(RTD("cqg.rtd", ,"ContractData",A45, "Y_CVol",, "T")=0,"",RTD("cqg.rtd", ,"ContractData",A45, "Y_CVol",, "T"))</f>
        <v/>
      </c>
      <c r="U45" s="147" t="str">
        <f t="shared" si="7"/>
        <v/>
      </c>
      <c r="V45" s="147">
        <f>IF(RTD("cqg.rtd",,"StudyData",A45, "OI", "OIType=Contract", "OI","D","-1","ALL",,,"TRUE","T")=0,"",RTD("cqg.rtd",,"StudyData",A45, "OI", "OIType=Contract", "OI","D","-1","ALL",,,"TRUE","T"))</f>
        <v>795</v>
      </c>
      <c r="W45" s="147">
        <f>IF(RTD("cqg.rtd",,"StudyData",A45, "OI", "OIType=Contract", "OI","D","-2","ALL",,,"TRUE","T")=0,"",RTD("cqg.rtd",,"StudyData",A45, "OI", "OIType=Contract", "OI","D","-2","ALL",,,"TRUE","T"))</f>
        <v>795</v>
      </c>
      <c r="X45" s="146" t="str">
        <f t="shared" si="8"/>
        <v/>
      </c>
      <c r="Y45" s="145" t="str">
        <f>RTD("cqg.rtd", ,"ContractData",A45, "T_Settlement",, "T")</f>
        <v/>
      </c>
      <c r="Z45" s="145">
        <f>RTD("cqg.rtd", ,"ContractData",A45, "Y_Settlement",, "T")</f>
        <v>2.992</v>
      </c>
      <c r="AA45" s="144">
        <f>RTD("cqg.rtd", ,"ContractData",A45, "ExpirationDate",, "T")</f>
        <v>44160</v>
      </c>
      <c r="AB45" s="143" t="str">
        <f>RIGHT(RTD("cqg.rtd", ,"ContractData",A45, "LongDescription",, "T"),6)</f>
        <v>Dec 20</v>
      </c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</row>
    <row r="46" spans="1:39" x14ac:dyDescent="0.3">
      <c r="A46" s="123" t="s">
        <v>152</v>
      </c>
      <c r="B46" s="154" t="str">
        <f>RIGHT(RTD("cqg.rtd", ,"ContractData",A46, "LongDescription",, "T"),6)</f>
        <v>Jan 21</v>
      </c>
      <c r="C46" s="153">
        <f t="shared" si="9"/>
        <v>5</v>
      </c>
      <c r="D46" s="153">
        <f t="shared" si="5"/>
        <v>0</v>
      </c>
      <c r="E46" s="152" t="str">
        <f>IF(B46="","",RTD("cqg.rtd",,"ContractData",A46,"NetLastTradeToday",,"T"))</f>
        <v/>
      </c>
      <c r="F46" s="148" t="str">
        <f>IF(B46="","",RTD("cqg.rtd",,"ContractData",A46,"LastTradeToday",,"T"))</f>
        <v/>
      </c>
      <c r="G46" s="148" t="str">
        <f>IF(B46="","",RTD("cqg.rtd",,"ContractData",A46,"NetLastTradeToday",,"T"))</f>
        <v/>
      </c>
      <c r="H46" s="151" t="str">
        <f>IF(F46="","",MOD(RTD("cqg.rtd", ,"ContractData",A46, "DTLastTrade",, "T"),1))</f>
        <v/>
      </c>
      <c r="I46" s="277"/>
      <c r="J46" s="150">
        <f>IF(RTD("cqg.rtd", ,"ContractData",A46, "MT_LastBidVolume",, "T")=0,"",RTD("cqg.rtd", ,"ContractData",A46, "MT_LastBidVolume",, "T"))</f>
        <v>10</v>
      </c>
      <c r="K46" s="145">
        <f>RTD("cqg.rtd", ,"ContractData",A46, "Bid",, "T")</f>
        <v>3.09</v>
      </c>
      <c r="L46" s="145"/>
      <c r="M46" s="145" t="str">
        <f>RTD("cqg.rtd", ,"ContractData",A46, "Ask",, "T")</f>
        <v/>
      </c>
      <c r="N46" s="150" t="str">
        <f>IF(RTD("cqg.rtd", ,"ContractData",A46, "MT_LastAskVolume",, "T")=0,"",RTD("cqg.rtd", ,"ContractData",A46, "MT_LastAskVolume",, "T"))</f>
        <v/>
      </c>
      <c r="O46" s="149">
        <f t="shared" si="6"/>
        <v>0</v>
      </c>
      <c r="P46" s="148" t="str">
        <f>IF(B46="","",RTD("cqg.rtd",,"ContractData",A46,"Open",,"T"))</f>
        <v/>
      </c>
      <c r="Q46" s="148" t="str">
        <f>IF(B46="","",RTD("cqg.rtd",,"ContractData",A46,"High",,"T"))</f>
        <v/>
      </c>
      <c r="R46" s="148" t="str">
        <f>IF(B46="","",RTD("cqg.rtd",,"ContractData",A46,"Low",,"T"))</f>
        <v/>
      </c>
      <c r="S46" s="147" t="str">
        <f>IF(RTD("cqg.rtd", ,"ContractData",A46, "T_CVol",, "T")=0,"",RTD("cqg.rtd", ,"ContractData",A46, "T_CVol",, "T"))</f>
        <v/>
      </c>
      <c r="T46" s="147" t="str">
        <f>IF(RTD("cqg.rtd", ,"ContractData",A46, "Y_CVol",, "T")=0,"",RTD("cqg.rtd", ,"ContractData",A46, "Y_CVol",, "T"))</f>
        <v/>
      </c>
      <c r="U46" s="147" t="str">
        <f t="shared" si="7"/>
        <v/>
      </c>
      <c r="V46" s="147">
        <f>IF(RTD("cqg.rtd",,"StudyData",A46, "OI", "OIType=Contract", "OI","D","-1","ALL",,,"TRUE","T")=0,"",RTD("cqg.rtd",,"StudyData",A46, "OI", "OIType=Contract", "OI","D","-1","ALL",,,"TRUE","T"))</f>
        <v>251</v>
      </c>
      <c r="W46" s="147">
        <f>IF(RTD("cqg.rtd",,"StudyData",A46, "OI", "OIType=Contract", "OI","D","-2","ALL",,,"TRUE","T")=0,"",RTD("cqg.rtd",,"StudyData",A46, "OI", "OIType=Contract", "OI","D","-2","ALL",,,"TRUE","T"))</f>
        <v>251</v>
      </c>
      <c r="X46" s="146" t="str">
        <f t="shared" si="8"/>
        <v/>
      </c>
      <c r="Y46" s="145" t="str">
        <f>RTD("cqg.rtd", ,"ContractData",A46, "T_Settlement",, "T")</f>
        <v/>
      </c>
      <c r="Z46" s="145">
        <f>RTD("cqg.rtd", ,"ContractData",A46, "Y_Settlement",, "T")</f>
        <v>3.1030000000000002</v>
      </c>
      <c r="AA46" s="144">
        <f>RTD("cqg.rtd", ,"ContractData",A46, "ExpirationDate",, "T")</f>
        <v>44194</v>
      </c>
      <c r="AB46" s="143" t="str">
        <f>RIGHT(RTD("cqg.rtd", ,"ContractData",A46, "LongDescription",, "T"),6)</f>
        <v>Jan 21</v>
      </c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</row>
    <row r="47" spans="1:39" x14ac:dyDescent="0.3">
      <c r="A47" s="123" t="s">
        <v>151</v>
      </c>
      <c r="B47" s="154" t="str">
        <f>RIGHT(RTD("cqg.rtd", ,"ContractData",A47, "LongDescription",, "T"),6)</f>
        <v>Feb 21</v>
      </c>
      <c r="C47" s="153">
        <f t="shared" si="9"/>
        <v>5</v>
      </c>
      <c r="D47" s="153">
        <f t="shared" si="5"/>
        <v>0</v>
      </c>
      <c r="E47" s="152" t="str">
        <f>IF(B47="","",RTD("cqg.rtd",,"ContractData",A47,"NetLastTradeToday",,"T"))</f>
        <v/>
      </c>
      <c r="F47" s="148" t="str">
        <f>IF(B47="","",RTD("cqg.rtd",,"ContractData",A47,"LastTradeToday",,"T"))</f>
        <v/>
      </c>
      <c r="G47" s="148" t="str">
        <f>IF(B47="","",RTD("cqg.rtd",,"ContractData",A47,"NetLastTradeToday",,"T"))</f>
        <v/>
      </c>
      <c r="H47" s="151" t="str">
        <f>IF(F47="","",MOD(RTD("cqg.rtd", ,"ContractData",A47, "DTLastTrade",, "T"),1))</f>
        <v/>
      </c>
      <c r="I47" s="277"/>
      <c r="J47" s="150">
        <f>IF(RTD("cqg.rtd", ,"ContractData",A47, "MT_LastBidVolume",, "T")=0,"",RTD("cqg.rtd", ,"ContractData",A47, "MT_LastBidVolume",, "T"))</f>
        <v>1</v>
      </c>
      <c r="K47" s="145">
        <f>RTD("cqg.rtd", ,"ContractData",A47, "Bid",, "T")</f>
        <v>2.88</v>
      </c>
      <c r="L47" s="145"/>
      <c r="M47" s="145" t="str">
        <f>RTD("cqg.rtd", ,"ContractData",A47, "Ask",, "T")</f>
        <v/>
      </c>
      <c r="N47" s="150" t="str">
        <f>IF(RTD("cqg.rtd", ,"ContractData",A47, "MT_LastAskVolume",, "T")=0,"",RTD("cqg.rtd", ,"ContractData",A47, "MT_LastAskVolume",, "T"))</f>
        <v/>
      </c>
      <c r="O47" s="149">
        <f t="shared" si="6"/>
        <v>0</v>
      </c>
      <c r="P47" s="148" t="str">
        <f>IF(B47="","",RTD("cqg.rtd",,"ContractData",A47,"Open",,"T"))</f>
        <v/>
      </c>
      <c r="Q47" s="148" t="str">
        <f>IF(B47="","",RTD("cqg.rtd",,"ContractData",A47,"High",,"T"))</f>
        <v/>
      </c>
      <c r="R47" s="148" t="str">
        <f>IF(B47="","",RTD("cqg.rtd",,"ContractData",A47,"Low",,"T"))</f>
        <v/>
      </c>
      <c r="S47" s="147" t="str">
        <f>IF(RTD("cqg.rtd", ,"ContractData",A47, "T_CVol",, "T")=0,"",RTD("cqg.rtd", ,"ContractData",A47, "T_CVol",, "T"))</f>
        <v/>
      </c>
      <c r="T47" s="147" t="str">
        <f>IF(RTD("cqg.rtd", ,"ContractData",A47, "Y_CVol",, "T")=0,"",RTD("cqg.rtd", ,"ContractData",A47, "Y_CVol",, "T"))</f>
        <v/>
      </c>
      <c r="U47" s="147" t="str">
        <f t="shared" si="7"/>
        <v/>
      </c>
      <c r="V47" s="147">
        <f>IF(RTD("cqg.rtd",,"StudyData",A47, "OI", "OIType=Contract", "OI","D","-1","ALL",,,"TRUE","T")=0,"",RTD("cqg.rtd",,"StudyData",A47, "OI", "OIType=Contract", "OI","D","-1","ALL",,,"TRUE","T"))</f>
        <v>186</v>
      </c>
      <c r="W47" s="147">
        <f>IF(RTD("cqg.rtd",,"StudyData",A47, "OI", "OIType=Contract", "OI","D","-2","ALL",,,"TRUE","T")=0,"",RTD("cqg.rtd",,"StudyData",A47, "OI", "OIType=Contract", "OI","D","-2","ALL",,,"TRUE","T"))</f>
        <v>186</v>
      </c>
      <c r="X47" s="146" t="str">
        <f t="shared" si="8"/>
        <v/>
      </c>
      <c r="Y47" s="145" t="str">
        <f>RTD("cqg.rtd", ,"ContractData",A47, "T_Settlement",, "T")</f>
        <v/>
      </c>
      <c r="Z47" s="145">
        <f>RTD("cqg.rtd", ,"ContractData",A47, "Y_Settlement",, "T")</f>
        <v>3.0819999999999999</v>
      </c>
      <c r="AA47" s="144">
        <f>RTD("cqg.rtd", ,"ContractData",A47, "ExpirationDate",, "T")</f>
        <v>44223</v>
      </c>
      <c r="AB47" s="143" t="str">
        <f>RIGHT(RTD("cqg.rtd", ,"ContractData",A47, "LongDescription",, "T"),6)</f>
        <v>Feb 21</v>
      </c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</row>
    <row r="48" spans="1:39" x14ac:dyDescent="0.3">
      <c r="A48" s="123" t="s">
        <v>150</v>
      </c>
      <c r="B48" s="154" t="str">
        <f>RIGHT(RTD("cqg.rtd", ,"ContractData",A48, "LongDescription",, "T"),6)</f>
        <v>Mar 21</v>
      </c>
      <c r="C48" s="153">
        <f t="shared" si="9"/>
        <v>5</v>
      </c>
      <c r="D48" s="153">
        <f t="shared" si="5"/>
        <v>0</v>
      </c>
      <c r="E48" s="152" t="str">
        <f>IF(B48="","",RTD("cqg.rtd",,"ContractData",A48,"NetLastTradeToday",,"T"))</f>
        <v/>
      </c>
      <c r="F48" s="148" t="str">
        <f>IF(B48="","",RTD("cqg.rtd",,"ContractData",A48,"LastTradeToday",,"T"))</f>
        <v/>
      </c>
      <c r="G48" s="148" t="str">
        <f>IF(B48="","",RTD("cqg.rtd",,"ContractData",A48,"NetLastTradeToday",,"T"))</f>
        <v/>
      </c>
      <c r="H48" s="151" t="str">
        <f>IF(F48="","",MOD(RTD("cqg.rtd", ,"ContractData",A48, "DTLastTrade",, "T"),1))</f>
        <v/>
      </c>
      <c r="I48" s="277"/>
      <c r="J48" s="150" t="str">
        <f>IF(RTD("cqg.rtd", ,"ContractData",A48, "MT_LastBidVolume",, "T")=0,"",RTD("cqg.rtd", ,"ContractData",A48, "MT_LastBidVolume",, "T"))</f>
        <v/>
      </c>
      <c r="K48" s="145" t="str">
        <f>RTD("cqg.rtd", ,"ContractData",A48, "Bid",, "T")</f>
        <v/>
      </c>
      <c r="L48" s="145"/>
      <c r="M48" s="145" t="str">
        <f>RTD("cqg.rtd", ,"ContractData",A48, "Ask",, "T")</f>
        <v/>
      </c>
      <c r="N48" s="150" t="str">
        <f>IF(RTD("cqg.rtd", ,"ContractData",A48, "MT_LastAskVolume",, "T")=0,"",RTD("cqg.rtd", ,"ContractData",A48, "MT_LastAskVolume",, "T"))</f>
        <v/>
      </c>
      <c r="O48" s="149">
        <f t="shared" si="6"/>
        <v>0</v>
      </c>
      <c r="P48" s="148" t="str">
        <f>IF(B48="","",RTD("cqg.rtd",,"ContractData",A48,"Open",,"T"))</f>
        <v/>
      </c>
      <c r="Q48" s="148" t="str">
        <f>IF(B48="","",RTD("cqg.rtd",,"ContractData",A48,"High",,"T"))</f>
        <v/>
      </c>
      <c r="R48" s="148" t="str">
        <f>IF(B48="","",RTD("cqg.rtd",,"ContractData",A48,"Low",,"T"))</f>
        <v/>
      </c>
      <c r="S48" s="147" t="str">
        <f>IF(RTD("cqg.rtd", ,"ContractData",A48, "T_CVol",, "T")=0,"",RTD("cqg.rtd", ,"ContractData",A48, "T_CVol",, "T"))</f>
        <v/>
      </c>
      <c r="T48" s="147" t="str">
        <f>IF(RTD("cqg.rtd", ,"ContractData",A48, "Y_CVol",, "T")=0,"",RTD("cqg.rtd", ,"ContractData",A48, "Y_CVol",, "T"))</f>
        <v/>
      </c>
      <c r="U48" s="147" t="str">
        <f t="shared" si="7"/>
        <v/>
      </c>
      <c r="V48" s="147">
        <f>IF(RTD("cqg.rtd",,"StudyData",A48, "OI", "OIType=Contract", "OI","D","-1","ALL",,,"TRUE","T")=0,"",RTD("cqg.rtd",,"StudyData",A48, "OI", "OIType=Contract", "OI","D","-1","ALL",,,"TRUE","T"))</f>
        <v>184</v>
      </c>
      <c r="W48" s="147">
        <f>IF(RTD("cqg.rtd",,"StudyData",A48, "OI", "OIType=Contract", "OI","D","-2","ALL",,,"TRUE","T")=0,"",RTD("cqg.rtd",,"StudyData",A48, "OI", "OIType=Contract", "OI","D","-2","ALL",,,"TRUE","T"))</f>
        <v>184</v>
      </c>
      <c r="X48" s="146" t="str">
        <f t="shared" si="8"/>
        <v/>
      </c>
      <c r="Y48" s="145" t="str">
        <f>RTD("cqg.rtd", ,"ContractData",A48, "T_Settlement",, "T")</f>
        <v/>
      </c>
      <c r="Z48" s="145">
        <f>RTD("cqg.rtd", ,"ContractData",A48, "Y_Settlement",, "T")</f>
        <v>3.024</v>
      </c>
      <c r="AA48" s="144">
        <f>RTD("cqg.rtd", ,"ContractData",A48, "ExpirationDate",, "T")</f>
        <v>44251</v>
      </c>
      <c r="AB48" s="143" t="str">
        <f>RIGHT(RTD("cqg.rtd", ,"ContractData",A48, "LongDescription",, "T"),6)</f>
        <v>Mar 21</v>
      </c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</row>
    <row r="49" spans="1:39" x14ac:dyDescent="0.3">
      <c r="A49" s="123" t="s">
        <v>149</v>
      </c>
      <c r="B49" s="154" t="str">
        <f>RIGHT(RTD("cqg.rtd", ,"ContractData",A49, "LongDescription",, "T"),6)</f>
        <v>Apr 21</v>
      </c>
      <c r="C49" s="153">
        <f t="shared" si="9"/>
        <v>5</v>
      </c>
      <c r="D49" s="153">
        <f t="shared" si="5"/>
        <v>0</v>
      </c>
      <c r="E49" s="152" t="str">
        <f>IF(B49="","",RTD("cqg.rtd",,"ContractData",A49,"NetLastTradeToday",,"T"))</f>
        <v/>
      </c>
      <c r="F49" s="148" t="str">
        <f>IF(B49="","",RTD("cqg.rtd",,"ContractData",A49,"LastTradeToday",,"T"))</f>
        <v/>
      </c>
      <c r="G49" s="148" t="str">
        <f>IF(B49="","",RTD("cqg.rtd",,"ContractData",A49,"NetLastTradeToday",,"T"))</f>
        <v/>
      </c>
      <c r="H49" s="151" t="str">
        <f>IF(F49="","",MOD(RTD("cqg.rtd", ,"ContractData",A49, "DTLastTrade",, "T"),1))</f>
        <v/>
      </c>
      <c r="I49" s="277"/>
      <c r="J49" s="150" t="str">
        <f>IF(RTD("cqg.rtd", ,"ContractData",A49, "MT_LastBidVolume",, "T")=0,"",RTD("cqg.rtd", ,"ContractData",A49, "MT_LastBidVolume",, "T"))</f>
        <v/>
      </c>
      <c r="K49" s="145" t="str">
        <f>RTD("cqg.rtd", ,"ContractData",A49, "Bid",, "T")</f>
        <v/>
      </c>
      <c r="L49" s="145"/>
      <c r="M49" s="145" t="str">
        <f>RTD("cqg.rtd", ,"ContractData",A49, "Ask",, "T")</f>
        <v/>
      </c>
      <c r="N49" s="150" t="str">
        <f>IF(RTD("cqg.rtd", ,"ContractData",A49, "MT_LastAskVolume",, "T")=0,"",RTD("cqg.rtd", ,"ContractData",A49, "MT_LastAskVolume",, "T"))</f>
        <v/>
      </c>
      <c r="O49" s="149">
        <f t="shared" si="6"/>
        <v>0</v>
      </c>
      <c r="P49" s="148" t="str">
        <f>IF(B49="","",RTD("cqg.rtd",,"ContractData",A49,"Open",,"T"))</f>
        <v/>
      </c>
      <c r="Q49" s="148" t="str">
        <f>IF(B49="","",RTD("cqg.rtd",,"ContractData",A49,"High",,"T"))</f>
        <v/>
      </c>
      <c r="R49" s="148" t="str">
        <f>IF(B49="","",RTD("cqg.rtd",,"ContractData",A49,"Low",,"T"))</f>
        <v/>
      </c>
      <c r="S49" s="147" t="str">
        <f>IF(RTD("cqg.rtd", ,"ContractData",A49, "T_CVol",, "T")=0,"",RTD("cqg.rtd", ,"ContractData",A49, "T_CVol",, "T"))</f>
        <v/>
      </c>
      <c r="T49" s="147" t="str">
        <f>IF(RTD("cqg.rtd", ,"ContractData",A49, "Y_CVol",, "T")=0,"",RTD("cqg.rtd", ,"ContractData",A49, "Y_CVol",, "T"))</f>
        <v/>
      </c>
      <c r="U49" s="147" t="str">
        <f t="shared" si="7"/>
        <v/>
      </c>
      <c r="V49" s="147">
        <f>IF(RTD("cqg.rtd",,"StudyData",A49, "OI", "OIType=Contract", "OI","D","-1","ALL",,,"TRUE","T")=0,"",RTD("cqg.rtd",,"StudyData",A49, "OI", "OIType=Contract", "OI","D","-1","ALL",,,"TRUE","T"))</f>
        <v>110</v>
      </c>
      <c r="W49" s="147">
        <f>IF(RTD("cqg.rtd",,"StudyData",A49, "OI", "OIType=Contract", "OI","D","-2","ALL",,,"TRUE","T")=0,"",RTD("cqg.rtd",,"StudyData",A49, "OI", "OIType=Contract", "OI","D","-2","ALL",,,"TRUE","T"))</f>
        <v>110</v>
      </c>
      <c r="X49" s="146" t="str">
        <f t="shared" si="8"/>
        <v/>
      </c>
      <c r="Y49" s="145" t="str">
        <f>RTD("cqg.rtd", ,"ContractData",A49, "T_Settlement",, "T")</f>
        <v/>
      </c>
      <c r="Z49" s="145">
        <f>RTD("cqg.rtd", ,"ContractData",A49, "Y_Settlement",, "T")</f>
        <v>2.7090000000000001</v>
      </c>
      <c r="AA49" s="144">
        <f>RTD("cqg.rtd", ,"ContractData",A49, "ExpirationDate",, "T")</f>
        <v>44284</v>
      </c>
      <c r="AB49" s="143" t="str">
        <f>RIGHT(RTD("cqg.rtd", ,"ContractData",A49, "LongDescription",, "T"),6)</f>
        <v>Apr 21</v>
      </c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</row>
    <row r="50" spans="1:39" x14ac:dyDescent="0.3">
      <c r="A50" s="123" t="s">
        <v>148</v>
      </c>
      <c r="B50" s="154" t="str">
        <f>RIGHT(RTD("cqg.rtd", ,"ContractData",A50, "LongDescription",, "T"),6)</f>
        <v>May 21</v>
      </c>
      <c r="C50" s="153">
        <f t="shared" si="9"/>
        <v>5</v>
      </c>
      <c r="D50" s="153">
        <f t="shared" si="5"/>
        <v>0</v>
      </c>
      <c r="E50" s="152" t="str">
        <f>IF(B50="","",RTD("cqg.rtd",,"ContractData",A50,"NetLastTradeToday",,"T"))</f>
        <v/>
      </c>
      <c r="F50" s="148" t="str">
        <f>IF(B50="","",RTD("cqg.rtd",,"ContractData",A50,"LastTradeToday",,"T"))</f>
        <v/>
      </c>
      <c r="G50" s="148" t="str">
        <f>IF(B50="","",RTD("cqg.rtd",,"ContractData",A50,"NetLastTradeToday",,"T"))</f>
        <v/>
      </c>
      <c r="H50" s="151" t="str">
        <f>IF(F50="","",MOD(RTD("cqg.rtd", ,"ContractData",A50, "DTLastTrade",, "T"),1))</f>
        <v/>
      </c>
      <c r="I50" s="277"/>
      <c r="J50" s="150" t="str">
        <f>IF(RTD("cqg.rtd", ,"ContractData",A50, "MT_LastBidVolume",, "T")=0,"",RTD("cqg.rtd", ,"ContractData",A50, "MT_LastBidVolume",, "T"))</f>
        <v/>
      </c>
      <c r="K50" s="145" t="str">
        <f>RTD("cqg.rtd", ,"ContractData",A50, "Bid",, "T")</f>
        <v/>
      </c>
      <c r="L50" s="145"/>
      <c r="M50" s="145" t="str">
        <f>RTD("cqg.rtd", ,"ContractData",A50, "Ask",, "T")</f>
        <v/>
      </c>
      <c r="N50" s="150" t="str">
        <f>IF(RTD("cqg.rtd", ,"ContractData",A50, "MT_LastAskVolume",, "T")=0,"",RTD("cqg.rtd", ,"ContractData",A50, "MT_LastAskVolume",, "T"))</f>
        <v/>
      </c>
      <c r="O50" s="149">
        <f t="shared" si="6"/>
        <v>0</v>
      </c>
      <c r="P50" s="148" t="str">
        <f>IF(B50="","",RTD("cqg.rtd",,"ContractData",A50,"Open",,"T"))</f>
        <v/>
      </c>
      <c r="Q50" s="148" t="str">
        <f>IF(B50="","",RTD("cqg.rtd",,"ContractData",A50,"High",,"T"))</f>
        <v/>
      </c>
      <c r="R50" s="148" t="str">
        <f>IF(B50="","",RTD("cqg.rtd",,"ContractData",A50,"Low",,"T"))</f>
        <v/>
      </c>
      <c r="S50" s="147" t="str">
        <f>IF(RTD("cqg.rtd", ,"ContractData",A50, "T_CVol",, "T")=0,"",RTD("cqg.rtd", ,"ContractData",A50, "T_CVol",, "T"))</f>
        <v/>
      </c>
      <c r="T50" s="147" t="str">
        <f>IF(RTD("cqg.rtd", ,"ContractData",A50, "Y_CVol",, "T")=0,"",RTD("cqg.rtd", ,"ContractData",A50, "Y_CVol",, "T"))</f>
        <v/>
      </c>
      <c r="U50" s="147" t="str">
        <f t="shared" si="7"/>
        <v/>
      </c>
      <c r="V50" s="147">
        <f>IF(RTD("cqg.rtd",,"StudyData",A50, "OI", "OIType=Contract", "OI","D","-1","ALL",,,"TRUE","T")=0,"",RTD("cqg.rtd",,"StudyData",A50, "OI", "OIType=Contract", "OI","D","-1","ALL",,,"TRUE","T"))</f>
        <v>102</v>
      </c>
      <c r="W50" s="147">
        <f>IF(RTD("cqg.rtd",,"StudyData",A50, "OI", "OIType=Contract", "OI","D","-2","ALL",,,"TRUE","T")=0,"",RTD("cqg.rtd",,"StudyData",A50, "OI", "OIType=Contract", "OI","D","-2","ALL",,,"TRUE","T"))</f>
        <v>102</v>
      </c>
      <c r="X50" s="146" t="str">
        <f t="shared" si="8"/>
        <v/>
      </c>
      <c r="Y50" s="145" t="str">
        <f>RTD("cqg.rtd", ,"ContractData",A50, "T_Settlement",, "T")</f>
        <v/>
      </c>
      <c r="Z50" s="145">
        <f>RTD("cqg.rtd", ,"ContractData",A50, "Y_Settlement",, "T")</f>
        <v>2.6850000000000001</v>
      </c>
      <c r="AA50" s="144">
        <f>RTD("cqg.rtd", ,"ContractData",A50, "ExpirationDate",, "T")</f>
        <v>44314</v>
      </c>
      <c r="AB50" s="143" t="str">
        <f>RIGHT(RTD("cqg.rtd", ,"ContractData",A50, "LongDescription",, "T"),6)</f>
        <v>May 21</v>
      </c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</row>
    <row r="51" spans="1:39" x14ac:dyDescent="0.3">
      <c r="A51" s="123" t="s">
        <v>147</v>
      </c>
      <c r="B51" s="154" t="str">
        <f>RIGHT(RTD("cqg.rtd", ,"ContractData",A51, "LongDescription",, "T"),6)</f>
        <v>Jun 21</v>
      </c>
      <c r="C51" s="153">
        <f t="shared" si="9"/>
        <v>5</v>
      </c>
      <c r="D51" s="153">
        <f t="shared" si="5"/>
        <v>0</v>
      </c>
      <c r="E51" s="152" t="str">
        <f>IF(B51="","",RTD("cqg.rtd",,"ContractData",A51,"NetLastTradeToday",,"T"))</f>
        <v/>
      </c>
      <c r="F51" s="148" t="str">
        <f>IF(B51="","",RTD("cqg.rtd",,"ContractData",A51,"LastTradeToday",,"T"))</f>
        <v/>
      </c>
      <c r="G51" s="148" t="str">
        <f>IF(B51="","",RTD("cqg.rtd",,"ContractData",A51,"NetLastTradeToday",,"T"))</f>
        <v/>
      </c>
      <c r="H51" s="151" t="str">
        <f>IF(F51="","",MOD(RTD("cqg.rtd", ,"ContractData",A51, "DTLastTrade",, "T"),1))</f>
        <v/>
      </c>
      <c r="I51" s="277"/>
      <c r="J51" s="150" t="str">
        <f>IF(RTD("cqg.rtd", ,"ContractData",A51, "MT_LastBidVolume",, "T")=0,"",RTD("cqg.rtd", ,"ContractData",A51, "MT_LastBidVolume",, "T"))</f>
        <v/>
      </c>
      <c r="K51" s="145" t="str">
        <f>RTD("cqg.rtd", ,"ContractData",A51, "Bid",, "T")</f>
        <v/>
      </c>
      <c r="L51" s="145"/>
      <c r="M51" s="145" t="str">
        <f>RTD("cqg.rtd", ,"ContractData",A51, "Ask",, "T")</f>
        <v/>
      </c>
      <c r="N51" s="150" t="str">
        <f>IF(RTD("cqg.rtd", ,"ContractData",A51, "MT_LastAskVolume",, "T")=0,"",RTD("cqg.rtd", ,"ContractData",A51, "MT_LastAskVolume",, "T"))</f>
        <v/>
      </c>
      <c r="O51" s="149">
        <f t="shared" si="6"/>
        <v>0</v>
      </c>
      <c r="P51" s="148" t="str">
        <f>IF(B51="","",RTD("cqg.rtd",,"ContractData",A51,"Open",,"T"))</f>
        <v/>
      </c>
      <c r="Q51" s="148" t="str">
        <f>IF(B51="","",RTD("cqg.rtd",,"ContractData",A51,"High",,"T"))</f>
        <v/>
      </c>
      <c r="R51" s="148" t="str">
        <f>IF(B51="","",RTD("cqg.rtd",,"ContractData",A51,"Low",,"T"))</f>
        <v/>
      </c>
      <c r="S51" s="147" t="str">
        <f>IF(RTD("cqg.rtd", ,"ContractData",A51, "T_CVol",, "T")=0,"",RTD("cqg.rtd", ,"ContractData",A51, "T_CVol",, "T"))</f>
        <v/>
      </c>
      <c r="T51" s="147" t="str">
        <f>IF(RTD("cqg.rtd", ,"ContractData",A51, "Y_CVol",, "T")=0,"",RTD("cqg.rtd", ,"ContractData",A51, "Y_CVol",, "T"))</f>
        <v/>
      </c>
      <c r="U51" s="147" t="str">
        <f t="shared" si="7"/>
        <v/>
      </c>
      <c r="V51" s="147">
        <f>IF(RTD("cqg.rtd",,"StudyData",A51, "OI", "OIType=Contract", "OI","D","-1","ALL",,,"TRUE","T")=0,"",RTD("cqg.rtd",,"StudyData",A51, "OI", "OIType=Contract", "OI","D","-1","ALL",,,"TRUE","T"))</f>
        <v>89</v>
      </c>
      <c r="W51" s="147">
        <f>IF(RTD("cqg.rtd",,"StudyData",A51, "OI", "OIType=Contract", "OI","D","-2","ALL",,,"TRUE","T")=0,"",RTD("cqg.rtd",,"StudyData",A51, "OI", "OIType=Contract", "OI","D","-2","ALL",,,"TRUE","T"))</f>
        <v>89</v>
      </c>
      <c r="X51" s="146" t="str">
        <f t="shared" si="8"/>
        <v/>
      </c>
      <c r="Y51" s="145" t="str">
        <f>RTD("cqg.rtd", ,"ContractData",A51, "T_Settlement",, "T")</f>
        <v/>
      </c>
      <c r="Z51" s="145">
        <f>RTD("cqg.rtd", ,"ContractData",A51, "Y_Settlement",, "T")</f>
        <v>2.7069999999999999</v>
      </c>
      <c r="AA51" s="144">
        <f>RTD("cqg.rtd", ,"ContractData",A51, "ExpirationDate",, "T")</f>
        <v>44343</v>
      </c>
      <c r="AB51" s="143" t="str">
        <f>RIGHT(RTD("cqg.rtd", ,"ContractData",A51, "LongDescription",, "T"),6)</f>
        <v>Jun 21</v>
      </c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</row>
    <row r="52" spans="1:39" x14ac:dyDescent="0.3">
      <c r="A52" s="123" t="s">
        <v>146</v>
      </c>
      <c r="B52" s="154" t="str">
        <f>RIGHT(RTD("cqg.rtd", ,"ContractData",A52, "LongDescription",, "T"),6)</f>
        <v>Jul 21</v>
      </c>
      <c r="C52" s="153">
        <f t="shared" si="9"/>
        <v>5</v>
      </c>
      <c r="D52" s="153">
        <f t="shared" si="5"/>
        <v>0</v>
      </c>
      <c r="E52" s="152" t="str">
        <f>IF(B52="","",RTD("cqg.rtd",,"ContractData",A52,"NetLastTradeToday",,"T"))</f>
        <v/>
      </c>
      <c r="F52" s="148" t="str">
        <f>IF(B52="","",RTD("cqg.rtd",,"ContractData",A52,"LastTradeToday",,"T"))</f>
        <v/>
      </c>
      <c r="G52" s="148" t="str">
        <f>IF(B52="","",RTD("cqg.rtd",,"ContractData",A52,"NetLastTradeToday",,"T"))</f>
        <v/>
      </c>
      <c r="H52" s="151" t="str">
        <f>IF(F52="","",MOD(RTD("cqg.rtd", ,"ContractData",A52, "DTLastTrade",, "T"),1))</f>
        <v/>
      </c>
      <c r="I52" s="277"/>
      <c r="J52" s="150" t="str">
        <f>IF(RTD("cqg.rtd", ,"ContractData",A52, "MT_LastBidVolume",, "T")=0,"",RTD("cqg.rtd", ,"ContractData",A52, "MT_LastBidVolume",, "T"))</f>
        <v/>
      </c>
      <c r="K52" s="145" t="str">
        <f>RTD("cqg.rtd", ,"ContractData",A52, "Bid",, "T")</f>
        <v/>
      </c>
      <c r="L52" s="145"/>
      <c r="M52" s="145" t="str">
        <f>RTD("cqg.rtd", ,"ContractData",A52, "Ask",, "T")</f>
        <v/>
      </c>
      <c r="N52" s="150" t="str">
        <f>IF(RTD("cqg.rtd", ,"ContractData",A52, "MT_LastAskVolume",, "T")=0,"",RTD("cqg.rtd", ,"ContractData",A52, "MT_LastAskVolume",, "T"))</f>
        <v/>
      </c>
      <c r="O52" s="149">
        <f t="shared" si="6"/>
        <v>0</v>
      </c>
      <c r="P52" s="148" t="str">
        <f>IF(B52="","",RTD("cqg.rtd",,"ContractData",A52,"Open",,"T"))</f>
        <v/>
      </c>
      <c r="Q52" s="148" t="str">
        <f>IF(B52="","",RTD("cqg.rtd",,"ContractData",A52,"High",,"T"))</f>
        <v/>
      </c>
      <c r="R52" s="148" t="str">
        <f>IF(B52="","",RTD("cqg.rtd",,"ContractData",A52,"Low",,"T"))</f>
        <v/>
      </c>
      <c r="S52" s="147" t="str">
        <f>IF(RTD("cqg.rtd", ,"ContractData",A52, "T_CVol",, "T")=0,"",RTD("cqg.rtd", ,"ContractData",A52, "T_CVol",, "T"))</f>
        <v/>
      </c>
      <c r="T52" s="147" t="str">
        <f>IF(RTD("cqg.rtd", ,"ContractData",A52, "Y_CVol",, "T")=0,"",RTD("cqg.rtd", ,"ContractData",A52, "Y_CVol",, "T"))</f>
        <v/>
      </c>
      <c r="U52" s="147" t="str">
        <f t="shared" si="7"/>
        <v/>
      </c>
      <c r="V52" s="147">
        <f>IF(RTD("cqg.rtd",,"StudyData",A52, "OI", "OIType=Contract", "OI","D","-1","ALL",,,"TRUE","T")=0,"",RTD("cqg.rtd",,"StudyData",A52, "OI", "OIType=Contract", "OI","D","-1","ALL",,,"TRUE","T"))</f>
        <v>89</v>
      </c>
      <c r="W52" s="147">
        <f>IF(RTD("cqg.rtd",,"StudyData",A52, "OI", "OIType=Contract", "OI","D","-2","ALL",,,"TRUE","T")=0,"",RTD("cqg.rtd",,"StudyData",A52, "OI", "OIType=Contract", "OI","D","-2","ALL",,,"TRUE","T"))</f>
        <v>89</v>
      </c>
      <c r="X52" s="146" t="str">
        <f t="shared" si="8"/>
        <v/>
      </c>
      <c r="Y52" s="145" t="str">
        <f>RTD("cqg.rtd", ,"ContractData",A52, "T_Settlement",, "T")</f>
        <v/>
      </c>
      <c r="Z52" s="145">
        <f>RTD("cqg.rtd", ,"ContractData",A52, "Y_Settlement",, "T")</f>
        <v>2.73</v>
      </c>
      <c r="AA52" s="144">
        <f>RTD("cqg.rtd", ,"ContractData",A52, "ExpirationDate",, "T")</f>
        <v>44375</v>
      </c>
      <c r="AB52" s="143" t="str">
        <f>RIGHT(RTD("cqg.rtd", ,"ContractData",A52, "LongDescription",, "T"),6)</f>
        <v>Jul 21</v>
      </c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</row>
    <row r="53" spans="1:39" x14ac:dyDescent="0.3">
      <c r="A53" s="123" t="s">
        <v>145</v>
      </c>
      <c r="B53" s="154" t="str">
        <f>RIGHT(RTD("cqg.rtd", ,"ContractData",A53, "LongDescription",, "T"),6)</f>
        <v>Aug 21</v>
      </c>
      <c r="C53" s="153">
        <f t="shared" si="9"/>
        <v>5</v>
      </c>
      <c r="D53" s="153">
        <f t="shared" si="5"/>
        <v>0</v>
      </c>
      <c r="E53" s="152" t="str">
        <f>IF(B53="","",RTD("cqg.rtd",,"ContractData",A53,"NetLastTradeToday",,"T"))</f>
        <v/>
      </c>
      <c r="F53" s="148" t="str">
        <f>IF(B53="","",RTD("cqg.rtd",,"ContractData",A53,"LastTradeToday",,"T"))</f>
        <v/>
      </c>
      <c r="G53" s="148" t="str">
        <f>IF(B53="","",RTD("cqg.rtd",,"ContractData",A53,"NetLastTradeToday",,"T"))</f>
        <v/>
      </c>
      <c r="H53" s="151" t="str">
        <f>IF(F53="","",MOD(RTD("cqg.rtd", ,"ContractData",A53, "DTLastTrade",, "T"),1))</f>
        <v/>
      </c>
      <c r="I53" s="277"/>
      <c r="J53" s="150" t="str">
        <f>IF(RTD("cqg.rtd", ,"ContractData",A53, "MT_LastBidVolume",, "T")=0,"",RTD("cqg.rtd", ,"ContractData",A53, "MT_LastBidVolume",, "T"))</f>
        <v/>
      </c>
      <c r="K53" s="145" t="str">
        <f>RTD("cqg.rtd", ,"ContractData",A53, "Bid",, "T")</f>
        <v/>
      </c>
      <c r="L53" s="145"/>
      <c r="M53" s="145" t="str">
        <f>RTD("cqg.rtd", ,"ContractData",A53, "Ask",, "T")</f>
        <v/>
      </c>
      <c r="N53" s="150" t="str">
        <f>IF(RTD("cqg.rtd", ,"ContractData",A53, "MT_LastAskVolume",, "T")=0,"",RTD("cqg.rtd", ,"ContractData",A53, "MT_LastAskVolume",, "T"))</f>
        <v/>
      </c>
      <c r="O53" s="149">
        <f t="shared" si="6"/>
        <v>0</v>
      </c>
      <c r="P53" s="148" t="str">
        <f>IF(B53="","",RTD("cqg.rtd",,"ContractData",A53,"Open",,"T"))</f>
        <v/>
      </c>
      <c r="Q53" s="148" t="str">
        <f>IF(B53="","",RTD("cqg.rtd",,"ContractData",A53,"High",,"T"))</f>
        <v/>
      </c>
      <c r="R53" s="148" t="str">
        <f>IF(B53="","",RTD("cqg.rtd",,"ContractData",A53,"Low",,"T"))</f>
        <v/>
      </c>
      <c r="S53" s="147" t="str">
        <f>IF(RTD("cqg.rtd", ,"ContractData",A53, "T_CVol",, "T")=0,"",RTD("cqg.rtd", ,"ContractData",A53, "T_CVol",, "T"))</f>
        <v/>
      </c>
      <c r="T53" s="147" t="str">
        <f>IF(RTD("cqg.rtd", ,"ContractData",A53, "Y_CVol",, "T")=0,"",RTD("cqg.rtd", ,"ContractData",A53, "Y_CVol",, "T"))</f>
        <v/>
      </c>
      <c r="U53" s="147" t="str">
        <f t="shared" si="7"/>
        <v/>
      </c>
      <c r="V53" s="147">
        <f>IF(RTD("cqg.rtd",,"StudyData",A53, "OI", "OIType=Contract", "OI","D","-1","ALL",,,"TRUE","T")=0,"",RTD("cqg.rtd",,"StudyData",A53, "OI", "OIType=Contract", "OI","D","-1","ALL",,,"TRUE","T"))</f>
        <v>92</v>
      </c>
      <c r="W53" s="147">
        <f>IF(RTD("cqg.rtd",,"StudyData",A53, "OI", "OIType=Contract", "OI","D","-2","ALL",,,"TRUE","T")=0,"",RTD("cqg.rtd",,"StudyData",A53, "OI", "OIType=Contract", "OI","D","-2","ALL",,,"TRUE","T"))</f>
        <v>92</v>
      </c>
      <c r="X53" s="146" t="str">
        <f t="shared" si="8"/>
        <v/>
      </c>
      <c r="Y53" s="145" t="str">
        <f>RTD("cqg.rtd", ,"ContractData",A53, "T_Settlement",, "T")</f>
        <v/>
      </c>
      <c r="Z53" s="145">
        <f>RTD("cqg.rtd", ,"ContractData",A53, "Y_Settlement",, "T")</f>
        <v>2.7490000000000001</v>
      </c>
      <c r="AA53" s="144">
        <f>RTD("cqg.rtd", ,"ContractData",A53, "ExpirationDate",, "T")</f>
        <v>44405</v>
      </c>
      <c r="AB53" s="143" t="str">
        <f>RIGHT(RTD("cqg.rtd", ,"ContractData",A53, "LongDescription",, "T"),6)</f>
        <v>Aug 21</v>
      </c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</row>
    <row r="54" spans="1:39" x14ac:dyDescent="0.3">
      <c r="A54" s="123" t="s">
        <v>144</v>
      </c>
      <c r="B54" s="154" t="str">
        <f>RIGHT(RTD("cqg.rtd", ,"ContractData",A54, "LongDescription",, "T"),6)</f>
        <v>Sep 21</v>
      </c>
      <c r="C54" s="153">
        <f t="shared" si="9"/>
        <v>5</v>
      </c>
      <c r="D54" s="153">
        <f t="shared" si="5"/>
        <v>0</v>
      </c>
      <c r="E54" s="152" t="str">
        <f>IF(B54="","",RTD("cqg.rtd",,"ContractData",A54,"NetLastTradeToday",,"T"))</f>
        <v/>
      </c>
      <c r="F54" s="148" t="str">
        <f>IF(B54="","",RTD("cqg.rtd",,"ContractData",A54,"LastTradeToday",,"T"))</f>
        <v/>
      </c>
      <c r="G54" s="148" t="str">
        <f>IF(B54="","",RTD("cqg.rtd",,"ContractData",A54,"NetLastTradeToday",,"T"))</f>
        <v/>
      </c>
      <c r="H54" s="151" t="str">
        <f>IF(F54="","",MOD(RTD("cqg.rtd", ,"ContractData",A54, "DTLastTrade",, "T"),1))</f>
        <v/>
      </c>
      <c r="I54" s="277"/>
      <c r="J54" s="150" t="str">
        <f>IF(RTD("cqg.rtd", ,"ContractData",A54, "MT_LastBidVolume",, "T")=0,"",RTD("cqg.rtd", ,"ContractData",A54, "MT_LastBidVolume",, "T"))</f>
        <v/>
      </c>
      <c r="K54" s="145" t="str">
        <f>RTD("cqg.rtd", ,"ContractData",A54, "Bid",, "T")</f>
        <v/>
      </c>
      <c r="L54" s="145"/>
      <c r="M54" s="145" t="str">
        <f>RTD("cqg.rtd", ,"ContractData",A54, "Ask",, "T")</f>
        <v/>
      </c>
      <c r="N54" s="150" t="str">
        <f>IF(RTD("cqg.rtd", ,"ContractData",A54, "MT_LastAskVolume",, "T")=0,"",RTD("cqg.rtd", ,"ContractData",A54, "MT_LastAskVolume",, "T"))</f>
        <v/>
      </c>
      <c r="O54" s="149">
        <f t="shared" si="6"/>
        <v>0</v>
      </c>
      <c r="P54" s="148" t="str">
        <f>IF(B54="","",RTD("cqg.rtd",,"ContractData",A54,"Open",,"T"))</f>
        <v/>
      </c>
      <c r="Q54" s="148" t="str">
        <f>IF(B54="","",RTD("cqg.rtd",,"ContractData",A54,"High",,"T"))</f>
        <v/>
      </c>
      <c r="R54" s="148" t="str">
        <f>IF(B54="","",RTD("cqg.rtd",,"ContractData",A54,"Low",,"T"))</f>
        <v/>
      </c>
      <c r="S54" s="147" t="str">
        <f>IF(RTD("cqg.rtd", ,"ContractData",A54, "T_CVol",, "T")=0,"",RTD("cqg.rtd", ,"ContractData",A54, "T_CVol",, "T"))</f>
        <v/>
      </c>
      <c r="T54" s="147" t="str">
        <f>IF(RTD("cqg.rtd", ,"ContractData",A54, "Y_CVol",, "T")=0,"",RTD("cqg.rtd", ,"ContractData",A54, "Y_CVol",, "T"))</f>
        <v/>
      </c>
      <c r="U54" s="147" t="str">
        <f t="shared" si="7"/>
        <v/>
      </c>
      <c r="V54" s="147">
        <f>IF(RTD("cqg.rtd",,"StudyData",A54, "OI", "OIType=Contract", "OI","D","-1","ALL",,,"TRUE","T")=0,"",RTD("cqg.rtd",,"StudyData",A54, "OI", "OIType=Contract", "OI","D","-1","ALL",,,"TRUE","T"))</f>
        <v>96</v>
      </c>
      <c r="W54" s="147">
        <f>IF(RTD("cqg.rtd",,"StudyData",A54, "OI", "OIType=Contract", "OI","D","-2","ALL",,,"TRUE","T")=0,"",RTD("cqg.rtd",,"StudyData",A54, "OI", "OIType=Contract", "OI","D","-2","ALL",,,"TRUE","T"))</f>
        <v>96</v>
      </c>
      <c r="X54" s="146" t="str">
        <f t="shared" si="8"/>
        <v/>
      </c>
      <c r="Y54" s="145" t="str">
        <f>RTD("cqg.rtd", ,"ContractData",A54, "T_Settlement",, "T")</f>
        <v/>
      </c>
      <c r="Z54" s="145">
        <f>RTD("cqg.rtd", ,"ContractData",A54, "Y_Settlement",, "T")</f>
        <v>2.7469999999999999</v>
      </c>
      <c r="AA54" s="144">
        <f>RTD("cqg.rtd", ,"ContractData",A54, "ExpirationDate",, "T")</f>
        <v>44435</v>
      </c>
      <c r="AB54" s="143" t="str">
        <f>RIGHT(RTD("cqg.rtd", ,"ContractData",A54, "LongDescription",, "T"),6)</f>
        <v>Sep 21</v>
      </c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</row>
    <row r="55" spans="1:39" x14ac:dyDescent="0.3">
      <c r="A55" s="123" t="s">
        <v>143</v>
      </c>
      <c r="B55" s="154" t="str">
        <f>RIGHT(RTD("cqg.rtd", ,"ContractData",A55, "LongDescription",, "T"),6)</f>
        <v>Oct 21</v>
      </c>
      <c r="C55" s="153">
        <f t="shared" si="9"/>
        <v>5</v>
      </c>
      <c r="D55" s="153">
        <f t="shared" si="5"/>
        <v>0</v>
      </c>
      <c r="E55" s="152" t="str">
        <f>IF(B55="","",RTD("cqg.rtd",,"ContractData",A55,"NetLastTradeToday",,"T"))</f>
        <v/>
      </c>
      <c r="F55" s="148" t="str">
        <f>IF(B55="","",RTD("cqg.rtd",,"ContractData",A55,"LastTradeToday",,"T"))</f>
        <v/>
      </c>
      <c r="G55" s="148" t="str">
        <f>IF(B55="","",RTD("cqg.rtd",,"ContractData",A55,"NetLastTradeToday",,"T"))</f>
        <v/>
      </c>
      <c r="H55" s="151" t="str">
        <f>IF(F55="","",MOD(RTD("cqg.rtd", ,"ContractData",A55, "DTLastTrade",, "T"),1))</f>
        <v/>
      </c>
      <c r="I55" s="277"/>
      <c r="J55" s="150">
        <f>IF(RTD("cqg.rtd", ,"ContractData",A55, "MT_LastBidVolume",, "T")=0,"",RTD("cqg.rtd", ,"ContractData",A55, "MT_LastBidVolume",, "T"))</f>
        <v>1</v>
      </c>
      <c r="K55" s="145">
        <f>RTD("cqg.rtd", ,"ContractData",A55, "Bid",, "T")</f>
        <v>2.58</v>
      </c>
      <c r="L55" s="145"/>
      <c r="M55" s="145" t="str">
        <f>RTD("cqg.rtd", ,"ContractData",A55, "Ask",, "T")</f>
        <v/>
      </c>
      <c r="N55" s="150" t="str">
        <f>IF(RTD("cqg.rtd", ,"ContractData",A55, "MT_LastAskVolume",, "T")=0,"",RTD("cqg.rtd", ,"ContractData",A55, "MT_LastAskVolume",, "T"))</f>
        <v/>
      </c>
      <c r="O55" s="149">
        <f t="shared" si="6"/>
        <v>0</v>
      </c>
      <c r="P55" s="148" t="str">
        <f>IF(B55="","",RTD("cqg.rtd",,"ContractData",A55,"Open",,"T"))</f>
        <v/>
      </c>
      <c r="Q55" s="148" t="str">
        <f>IF(B55="","",RTD("cqg.rtd",,"ContractData",A55,"High",,"T"))</f>
        <v/>
      </c>
      <c r="R55" s="148" t="str">
        <f>IF(B55="","",RTD("cqg.rtd",,"ContractData",A55,"Low",,"T"))</f>
        <v/>
      </c>
      <c r="S55" s="147" t="str">
        <f>IF(RTD("cqg.rtd", ,"ContractData",A55, "T_CVol",, "T")=0,"",RTD("cqg.rtd", ,"ContractData",A55, "T_CVol",, "T"))</f>
        <v/>
      </c>
      <c r="T55" s="147" t="str">
        <f>IF(RTD("cqg.rtd", ,"ContractData",A55, "Y_CVol",, "T")=0,"",RTD("cqg.rtd", ,"ContractData",A55, "Y_CVol",, "T"))</f>
        <v/>
      </c>
      <c r="U55" s="147" t="str">
        <f t="shared" si="7"/>
        <v/>
      </c>
      <c r="V55" s="147">
        <f>IF(RTD("cqg.rtd",,"StudyData",A55, "OI", "OIType=Contract", "OI","D","-1","ALL",,,"TRUE","T")=0,"",RTD("cqg.rtd",,"StudyData",A55, "OI", "OIType=Contract", "OI","D","-1","ALL",,,"TRUE","T"))</f>
        <v>73</v>
      </c>
      <c r="W55" s="147">
        <f>IF(RTD("cqg.rtd",,"StudyData",A55, "OI", "OIType=Contract", "OI","D","-2","ALL",,,"TRUE","T")=0,"",RTD("cqg.rtd",,"StudyData",A55, "OI", "OIType=Contract", "OI","D","-2","ALL",,,"TRUE","T"))</f>
        <v>73</v>
      </c>
      <c r="X55" s="146" t="str">
        <f t="shared" si="8"/>
        <v/>
      </c>
      <c r="Y55" s="145" t="str">
        <f>RTD("cqg.rtd", ,"ContractData",A55, "T_Settlement",, "T")</f>
        <v/>
      </c>
      <c r="Z55" s="145">
        <f>RTD("cqg.rtd", ,"ContractData",A55, "Y_Settlement",, "T")</f>
        <v>2.7730000000000001</v>
      </c>
      <c r="AA55" s="144">
        <f>RTD("cqg.rtd", ,"ContractData",A55, "ExpirationDate",, "T")</f>
        <v>44467</v>
      </c>
      <c r="AB55" s="143" t="str">
        <f>RIGHT(RTD("cqg.rtd", ,"ContractData",A55, "LongDescription",, "T"),6)</f>
        <v>Oct 21</v>
      </c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</row>
    <row r="56" spans="1:39" x14ac:dyDescent="0.3">
      <c r="A56" s="123" t="s">
        <v>142</v>
      </c>
      <c r="B56" s="154" t="str">
        <f>RIGHT(RTD("cqg.rtd", ,"ContractData",A56, "LongDescription",, "T"),6)</f>
        <v>Nov 21</v>
      </c>
      <c r="C56" s="153">
        <f t="shared" si="9"/>
        <v>5</v>
      </c>
      <c r="D56" s="153">
        <f t="shared" si="5"/>
        <v>0</v>
      </c>
      <c r="E56" s="152" t="str">
        <f>IF(B56="","",RTD("cqg.rtd",,"ContractData",A56,"NetLastTradeToday",,"T"))</f>
        <v/>
      </c>
      <c r="F56" s="148" t="str">
        <f>IF(B56="","",RTD("cqg.rtd",,"ContractData",A56,"LastTradeToday",,"T"))</f>
        <v/>
      </c>
      <c r="G56" s="148" t="str">
        <f>IF(B56="","",RTD("cqg.rtd",,"ContractData",A56,"NetLastTradeToday",,"T"))</f>
        <v/>
      </c>
      <c r="H56" s="151" t="str">
        <f>IF(F56="","",MOD(RTD("cqg.rtd", ,"ContractData",A56, "DTLastTrade",, "T"),1))</f>
        <v/>
      </c>
      <c r="I56" s="277"/>
      <c r="J56" s="150" t="str">
        <f>IF(RTD("cqg.rtd", ,"ContractData",A56, "MT_LastBidVolume",, "T")=0,"",RTD("cqg.rtd", ,"ContractData",A56, "MT_LastBidVolume",, "T"))</f>
        <v/>
      </c>
      <c r="K56" s="145" t="str">
        <f>RTD("cqg.rtd", ,"ContractData",A56, "Bid",, "T")</f>
        <v/>
      </c>
      <c r="L56" s="145"/>
      <c r="M56" s="145" t="str">
        <f>RTD("cqg.rtd", ,"ContractData",A56, "Ask",, "T")</f>
        <v/>
      </c>
      <c r="N56" s="150" t="str">
        <f>IF(RTD("cqg.rtd", ,"ContractData",A56, "MT_LastAskVolume",, "T")=0,"",RTD("cqg.rtd", ,"ContractData",A56, "MT_LastAskVolume",, "T"))</f>
        <v/>
      </c>
      <c r="O56" s="149">
        <f t="shared" si="6"/>
        <v>0</v>
      </c>
      <c r="P56" s="148" t="str">
        <f>IF(B56="","",RTD("cqg.rtd",,"ContractData",A56,"Open",,"T"))</f>
        <v/>
      </c>
      <c r="Q56" s="148" t="str">
        <f>IF(B56="","",RTD("cqg.rtd",,"ContractData",A56,"High",,"T"))</f>
        <v/>
      </c>
      <c r="R56" s="148" t="str">
        <f>IF(B56="","",RTD("cqg.rtd",,"ContractData",A56,"Low",,"T"))</f>
        <v/>
      </c>
      <c r="S56" s="147" t="str">
        <f>IF(RTD("cqg.rtd", ,"ContractData",A56, "T_CVol",, "T")=0,"",RTD("cqg.rtd", ,"ContractData",A56, "T_CVol",, "T"))</f>
        <v/>
      </c>
      <c r="T56" s="147" t="str">
        <f>IF(RTD("cqg.rtd", ,"ContractData",A56, "Y_CVol",, "T")=0,"",RTD("cqg.rtd", ,"ContractData",A56, "Y_CVol",, "T"))</f>
        <v/>
      </c>
      <c r="U56" s="147" t="str">
        <f t="shared" si="7"/>
        <v/>
      </c>
      <c r="V56" s="147">
        <f>IF(RTD("cqg.rtd",,"StudyData",A56, "OI", "OIType=Contract", "OI","D","-1","ALL",,,"TRUE","T")=0,"",RTD("cqg.rtd",,"StudyData",A56, "OI", "OIType=Contract", "OI","D","-1","ALL",,,"TRUE","T"))</f>
        <v>72</v>
      </c>
      <c r="W56" s="147">
        <f>IF(RTD("cqg.rtd",,"StudyData",A56, "OI", "OIType=Contract", "OI","D","-2","ALL",,,"TRUE","T")=0,"",RTD("cqg.rtd",,"StudyData",A56, "OI", "OIType=Contract", "OI","D","-2","ALL",,,"TRUE","T"))</f>
        <v>72</v>
      </c>
      <c r="X56" s="146" t="str">
        <f t="shared" si="8"/>
        <v/>
      </c>
      <c r="Y56" s="145" t="str">
        <f>RTD("cqg.rtd", ,"ContractData",A56, "T_Settlement",, "T")</f>
        <v/>
      </c>
      <c r="Z56" s="145">
        <f>RTD("cqg.rtd", ,"ContractData",A56, "Y_Settlement",, "T")</f>
        <v>2.847</v>
      </c>
      <c r="AA56" s="144">
        <f>RTD("cqg.rtd", ,"ContractData",A56, "ExpirationDate",, "T")</f>
        <v>44496</v>
      </c>
      <c r="AB56" s="143" t="str">
        <f>RIGHT(RTD("cqg.rtd", ,"ContractData",A56, "LongDescription",, "T"),6)</f>
        <v>Nov 21</v>
      </c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</row>
    <row r="57" spans="1:39" x14ac:dyDescent="0.3">
      <c r="A57" s="123" t="s">
        <v>141</v>
      </c>
      <c r="B57" s="154" t="str">
        <f>RIGHT(RTD("cqg.rtd", ,"ContractData",A57, "LongDescription",, "T"),6)</f>
        <v>Dec 21</v>
      </c>
      <c r="C57" s="153">
        <f t="shared" si="9"/>
        <v>5</v>
      </c>
      <c r="D57" s="153">
        <f t="shared" si="5"/>
        <v>0</v>
      </c>
      <c r="E57" s="152" t="str">
        <f>IF(B57="","",RTD("cqg.rtd",,"ContractData",A57,"NetLastTradeToday",,"T"))</f>
        <v/>
      </c>
      <c r="F57" s="148" t="str">
        <f>IF(B57="","",RTD("cqg.rtd",,"ContractData",A57,"LastTradeToday",,"T"))</f>
        <v/>
      </c>
      <c r="G57" s="148" t="str">
        <f>IF(B57="","",RTD("cqg.rtd",,"ContractData",A57,"NetLastTradeToday",,"T"))</f>
        <v/>
      </c>
      <c r="H57" s="151" t="str">
        <f>IF(F57="","",MOD(RTD("cqg.rtd", ,"ContractData",A57, "DTLastTrade",, "T"),1))</f>
        <v/>
      </c>
      <c r="I57" s="277"/>
      <c r="J57" s="150">
        <f>IF(RTD("cqg.rtd", ,"ContractData",A57, "MT_LastBidVolume",, "T")=0,"",RTD("cqg.rtd", ,"ContractData",A57, "MT_LastBidVolume",, "T"))</f>
        <v>1</v>
      </c>
      <c r="K57" s="145">
        <f>RTD("cqg.rtd", ,"ContractData",A57, "Bid",, "T")</f>
        <v>2.88</v>
      </c>
      <c r="L57" s="145"/>
      <c r="M57" s="145">
        <f>RTD("cqg.rtd", ,"ContractData",A57, "Ask",, "T")</f>
        <v>3.0150000000000001</v>
      </c>
      <c r="N57" s="150">
        <f>IF(RTD("cqg.rtd", ,"ContractData",A57, "MT_LastAskVolume",, "T")=0,"",RTD("cqg.rtd", ,"ContractData",A57, "MT_LastAskVolume",, "T"))</f>
        <v>4</v>
      </c>
      <c r="O57" s="149">
        <f t="shared" si="6"/>
        <v>0</v>
      </c>
      <c r="P57" s="148" t="str">
        <f>IF(B57="","",RTD("cqg.rtd",,"ContractData",A57,"Open",,"T"))</f>
        <v/>
      </c>
      <c r="Q57" s="148" t="str">
        <f>IF(B57="","",RTD("cqg.rtd",,"ContractData",A57,"High",,"T"))</f>
        <v/>
      </c>
      <c r="R57" s="148" t="str">
        <f>IF(B57="","",RTD("cqg.rtd",,"ContractData",A57,"Low",,"T"))</f>
        <v/>
      </c>
      <c r="S57" s="147" t="str">
        <f>IF(RTD("cqg.rtd", ,"ContractData",A57, "T_CVol",, "T")=0,"",RTD("cqg.rtd", ,"ContractData",A57, "T_CVol",, "T"))</f>
        <v/>
      </c>
      <c r="T57" s="147" t="str">
        <f>IF(RTD("cqg.rtd", ,"ContractData",A57, "Y_CVol",, "T")=0,"",RTD("cqg.rtd", ,"ContractData",A57, "Y_CVol",, "T"))</f>
        <v/>
      </c>
      <c r="U57" s="147" t="str">
        <f t="shared" si="7"/>
        <v/>
      </c>
      <c r="V57" s="147">
        <f>IF(RTD("cqg.rtd",,"StudyData",A57, "OI", "OIType=Contract", "OI","D","-1","ALL",,,"TRUE","T")=0,"",RTD("cqg.rtd",,"StudyData",A57, "OI", "OIType=Contract", "OI","D","-1","ALL",,,"TRUE","T"))</f>
        <v>103</v>
      </c>
      <c r="W57" s="147">
        <f>IF(RTD("cqg.rtd",,"StudyData",A57, "OI", "OIType=Contract", "OI","D","-2","ALL",,,"TRUE","T")=0,"",RTD("cqg.rtd",,"StudyData",A57, "OI", "OIType=Contract", "OI","D","-2","ALL",,,"TRUE","T"))</f>
        <v>103</v>
      </c>
      <c r="X57" s="146" t="str">
        <f t="shared" si="8"/>
        <v/>
      </c>
      <c r="Y57" s="145" t="str">
        <f>RTD("cqg.rtd", ,"ContractData",A57, "T_Settlement",, "T")</f>
        <v/>
      </c>
      <c r="Z57" s="145">
        <f>RTD("cqg.rtd", ,"ContractData",A57, "Y_Settlement",, "T")</f>
        <v>3</v>
      </c>
      <c r="AA57" s="144">
        <f>RTD("cqg.rtd", ,"ContractData",A57, "ExpirationDate",, "T")</f>
        <v>44526</v>
      </c>
      <c r="AB57" s="143" t="str">
        <f>RIGHT(RTD("cqg.rtd", ,"ContractData",A57, "LongDescription",, "T"),6)</f>
        <v>Dec 21</v>
      </c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</row>
    <row r="58" spans="1:39" x14ac:dyDescent="0.3">
      <c r="A58" s="123" t="s">
        <v>140</v>
      </c>
      <c r="B58" s="154" t="str">
        <f>RIGHT(RTD("cqg.rtd", ,"ContractData",A58, "LongDescription",, "T"),6)</f>
        <v>Jan 22</v>
      </c>
      <c r="C58" s="153">
        <f t="shared" si="9"/>
        <v>6</v>
      </c>
      <c r="D58" s="153">
        <f t="shared" si="5"/>
        <v>1</v>
      </c>
      <c r="E58" s="152" t="str">
        <f>IF(B58="","",RTD("cqg.rtd",,"ContractData",A58,"NetLastTradeToday",,"T"))</f>
        <v/>
      </c>
      <c r="F58" s="148" t="str">
        <f>IF(B58="","",RTD("cqg.rtd",,"ContractData",A58,"LastTradeToday",,"T"))</f>
        <v/>
      </c>
      <c r="G58" s="148" t="str">
        <f>IF(B58="","",RTD("cqg.rtd",,"ContractData",A58,"NetLastTradeToday",,"T"))</f>
        <v/>
      </c>
      <c r="H58" s="151" t="str">
        <f>IF(F58="","",MOD(RTD("cqg.rtd", ,"ContractData",A58, "DTLastTrade",, "T"),1))</f>
        <v/>
      </c>
      <c r="I58" s="277"/>
      <c r="J58" s="150">
        <f>IF(RTD("cqg.rtd", ,"ContractData",A58, "MT_LastBidVolume",, "T")=0,"",RTD("cqg.rtd", ,"ContractData",A58, "MT_LastBidVolume",, "T"))</f>
        <v>11</v>
      </c>
      <c r="K58" s="145">
        <f>RTD("cqg.rtd", ,"ContractData",A58, "Bid",, "T")</f>
        <v>3</v>
      </c>
      <c r="L58" s="145"/>
      <c r="M58" s="145" t="str">
        <f>RTD("cqg.rtd", ,"ContractData",A58, "Ask",, "T")</f>
        <v/>
      </c>
      <c r="N58" s="150" t="str">
        <f>IF(RTD("cqg.rtd", ,"ContractData",A58, "MT_LastAskVolume",, "T")=0,"",RTD("cqg.rtd", ,"ContractData",A58, "MT_LastAskVolume",, "T"))</f>
        <v/>
      </c>
      <c r="O58" s="149">
        <f t="shared" si="6"/>
        <v>0</v>
      </c>
      <c r="P58" s="148" t="str">
        <f>IF(B58="","",RTD("cqg.rtd",,"ContractData",A58,"Open",,"T"))</f>
        <v/>
      </c>
      <c r="Q58" s="148" t="str">
        <f>IF(B58="","",RTD("cqg.rtd",,"ContractData",A58,"High",,"T"))</f>
        <v/>
      </c>
      <c r="R58" s="148" t="str">
        <f>IF(B58="","",RTD("cqg.rtd",,"ContractData",A58,"Low",,"T"))</f>
        <v/>
      </c>
      <c r="S58" s="147" t="str">
        <f>IF(RTD("cqg.rtd", ,"ContractData",A58, "T_CVol",, "T")=0,"",RTD("cqg.rtd", ,"ContractData",A58, "T_CVol",, "T"))</f>
        <v/>
      </c>
      <c r="T58" s="147" t="str">
        <f>IF(RTD("cqg.rtd", ,"ContractData",A58, "Y_CVol",, "T")=0,"",RTD("cqg.rtd", ,"ContractData",A58, "Y_CVol",, "T"))</f>
        <v/>
      </c>
      <c r="U58" s="147" t="str">
        <f t="shared" si="7"/>
        <v/>
      </c>
      <c r="V58" s="147">
        <f>IF(RTD("cqg.rtd",,"StudyData",A58, "OI", "OIType=Contract", "OI","D","-1","ALL",,,"TRUE","T")=0,"",RTD("cqg.rtd",,"StudyData",A58, "OI", "OIType=Contract", "OI","D","-1","ALL",,,"TRUE","T"))</f>
        <v>18</v>
      </c>
      <c r="W58" s="147">
        <f>IF(RTD("cqg.rtd",,"StudyData",A58, "OI", "OIType=Contract", "OI","D","-2","ALL",,,"TRUE","T")=0,"",RTD("cqg.rtd",,"StudyData",A58, "OI", "OIType=Contract", "OI","D","-2","ALL",,,"TRUE","T"))</f>
        <v>18</v>
      </c>
      <c r="X58" s="146" t="str">
        <f t="shared" si="8"/>
        <v/>
      </c>
      <c r="Y58" s="145" t="str">
        <f>RTD("cqg.rtd", ,"ContractData",A58, "T_Settlement",, "T")</f>
        <v/>
      </c>
      <c r="Z58" s="145">
        <f>RTD("cqg.rtd", ,"ContractData",A58, "Y_Settlement",, "T")</f>
        <v>3.1120000000000001</v>
      </c>
      <c r="AA58" s="144">
        <f>RTD("cqg.rtd", ,"ContractData",A58, "ExpirationDate",, "T")</f>
        <v>44559</v>
      </c>
      <c r="AB58" s="143" t="str">
        <f>RIGHT(RTD("cqg.rtd", ,"ContractData",A58, "LongDescription",, "T"),6)</f>
        <v>Jan 22</v>
      </c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</row>
    <row r="59" spans="1:39" x14ac:dyDescent="0.3">
      <c r="A59" s="123" t="s">
        <v>139</v>
      </c>
      <c r="B59" s="154" t="str">
        <f>RIGHT(RTD("cqg.rtd", ,"ContractData",A59, "LongDescription",, "T"),6)</f>
        <v>Feb 22</v>
      </c>
      <c r="C59" s="153">
        <f t="shared" si="9"/>
        <v>6</v>
      </c>
      <c r="D59" s="153">
        <f t="shared" si="5"/>
        <v>1</v>
      </c>
      <c r="E59" s="152" t="str">
        <f>IF(B59="","",RTD("cqg.rtd",,"ContractData",A59,"NetLastTradeToday",,"T"))</f>
        <v/>
      </c>
      <c r="F59" s="148" t="str">
        <f>IF(B59="","",RTD("cqg.rtd",,"ContractData",A59,"LastTradeToday",,"T"))</f>
        <v/>
      </c>
      <c r="G59" s="148" t="str">
        <f>IF(B59="","",RTD("cqg.rtd",,"ContractData",A59,"NetLastTradeToday",,"T"))</f>
        <v/>
      </c>
      <c r="H59" s="151" t="str">
        <f>IF(F59="","",MOD(RTD("cqg.rtd", ,"ContractData",A59, "DTLastTrade",, "T"),1))</f>
        <v/>
      </c>
      <c r="I59" s="277"/>
      <c r="J59" s="150">
        <f>IF(RTD("cqg.rtd", ,"ContractData",A59, "MT_LastBidVolume",, "T")=0,"",RTD("cqg.rtd", ,"ContractData",A59, "MT_LastBidVolume",, "T"))</f>
        <v>5</v>
      </c>
      <c r="K59" s="145">
        <f>RTD("cqg.rtd", ,"ContractData",A59, "Bid",, "T")</f>
        <v>2.93</v>
      </c>
      <c r="L59" s="145"/>
      <c r="M59" s="145" t="str">
        <f>RTD("cqg.rtd", ,"ContractData",A59, "Ask",, "T")</f>
        <v/>
      </c>
      <c r="N59" s="150" t="str">
        <f>IF(RTD("cqg.rtd", ,"ContractData",A59, "MT_LastAskVolume",, "T")=0,"",RTD("cqg.rtd", ,"ContractData",A59, "MT_LastAskVolume",, "T"))</f>
        <v/>
      </c>
      <c r="O59" s="149">
        <f t="shared" si="6"/>
        <v>0</v>
      </c>
      <c r="P59" s="148" t="str">
        <f>IF(B59="","",RTD("cqg.rtd",,"ContractData",A59,"Open",,"T"))</f>
        <v/>
      </c>
      <c r="Q59" s="148" t="str">
        <f>IF(B59="","",RTD("cqg.rtd",,"ContractData",A59,"High",,"T"))</f>
        <v/>
      </c>
      <c r="R59" s="148" t="str">
        <f>IF(B59="","",RTD("cqg.rtd",,"ContractData",A59,"Low",,"T"))</f>
        <v/>
      </c>
      <c r="S59" s="147" t="str">
        <f>IF(RTD("cqg.rtd", ,"ContractData",A59, "T_CVol",, "T")=0,"",RTD("cqg.rtd", ,"ContractData",A59, "T_CVol",, "T"))</f>
        <v/>
      </c>
      <c r="T59" s="147" t="str">
        <f>IF(RTD("cqg.rtd", ,"ContractData",A59, "Y_CVol",, "T")=0,"",RTD("cqg.rtd", ,"ContractData",A59, "Y_CVol",, "T"))</f>
        <v/>
      </c>
      <c r="U59" s="147" t="str">
        <f t="shared" si="7"/>
        <v/>
      </c>
      <c r="V59" s="147">
        <f>IF(RTD("cqg.rtd",,"StudyData",A59, "OI", "OIType=Contract", "OI","D","-1","ALL",,,"TRUE","T")=0,"",RTD("cqg.rtd",,"StudyData",A59, "OI", "OIType=Contract", "OI","D","-1","ALL",,,"TRUE","T"))</f>
        <v>22</v>
      </c>
      <c r="W59" s="147">
        <f>IF(RTD("cqg.rtd",,"StudyData",A59, "OI", "OIType=Contract", "OI","D","-2","ALL",,,"TRUE","T")=0,"",RTD("cqg.rtd",,"StudyData",A59, "OI", "OIType=Contract", "OI","D","-2","ALL",,,"TRUE","T"))</f>
        <v>22</v>
      </c>
      <c r="X59" s="146" t="str">
        <f t="shared" si="8"/>
        <v/>
      </c>
      <c r="Y59" s="145" t="str">
        <f>RTD("cqg.rtd", ,"ContractData",A59, "T_Settlement",, "T")</f>
        <v/>
      </c>
      <c r="Z59" s="145">
        <f>RTD("cqg.rtd", ,"ContractData",A59, "Y_Settlement",, "T")</f>
        <v>3.0910000000000002</v>
      </c>
      <c r="AA59" s="144">
        <f>RTD("cqg.rtd", ,"ContractData",A59, "ExpirationDate",, "T")</f>
        <v>44588</v>
      </c>
      <c r="AB59" s="143" t="str">
        <f>RIGHT(RTD("cqg.rtd", ,"ContractData",A59, "LongDescription",, "T"),6)</f>
        <v>Feb 22</v>
      </c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</row>
    <row r="60" spans="1:39" x14ac:dyDescent="0.3">
      <c r="A60" s="123" t="s">
        <v>138</v>
      </c>
      <c r="B60" s="154" t="str">
        <f>RIGHT(RTD("cqg.rtd", ,"ContractData",A60, "LongDescription",, "T"),6)</f>
        <v>Mar 22</v>
      </c>
      <c r="C60" s="153">
        <f t="shared" si="9"/>
        <v>6</v>
      </c>
      <c r="D60" s="153">
        <f t="shared" si="5"/>
        <v>1</v>
      </c>
      <c r="E60" s="152" t="str">
        <f>IF(B60="","",RTD("cqg.rtd",,"ContractData",A60,"NetLastTradeToday",,"T"))</f>
        <v/>
      </c>
      <c r="F60" s="148" t="str">
        <f>IF(B60="","",RTD("cqg.rtd",,"ContractData",A60,"LastTradeToday",,"T"))</f>
        <v/>
      </c>
      <c r="G60" s="148" t="str">
        <f>IF(B60="","",RTD("cqg.rtd",,"ContractData",A60,"NetLastTradeToday",,"T"))</f>
        <v/>
      </c>
      <c r="H60" s="151" t="str">
        <f>IF(F60="","",MOD(RTD("cqg.rtd", ,"ContractData",A60, "DTLastTrade",, "T"),1))</f>
        <v/>
      </c>
      <c r="I60" s="277"/>
      <c r="J60" s="150" t="str">
        <f>IF(RTD("cqg.rtd", ,"ContractData",A60, "MT_LastBidVolume",, "T")=0,"",RTD("cqg.rtd", ,"ContractData",A60, "MT_LastBidVolume",, "T"))</f>
        <v/>
      </c>
      <c r="K60" s="145" t="str">
        <f>RTD("cqg.rtd", ,"ContractData",A60, "Bid",, "T")</f>
        <v/>
      </c>
      <c r="L60" s="145"/>
      <c r="M60" s="145" t="str">
        <f>RTD("cqg.rtd", ,"ContractData",A60, "Ask",, "T")</f>
        <v/>
      </c>
      <c r="N60" s="150" t="str">
        <f>IF(RTD("cqg.rtd", ,"ContractData",A60, "MT_LastAskVolume",, "T")=0,"",RTD("cqg.rtd", ,"ContractData",A60, "MT_LastAskVolume",, "T"))</f>
        <v/>
      </c>
      <c r="O60" s="149">
        <f t="shared" si="6"/>
        <v>0</v>
      </c>
      <c r="P60" s="148" t="str">
        <f>IF(B60="","",RTD("cqg.rtd",,"ContractData",A60,"Open",,"T"))</f>
        <v/>
      </c>
      <c r="Q60" s="148" t="str">
        <f>IF(B60="","",RTD("cqg.rtd",,"ContractData",A60,"High",,"T"))</f>
        <v/>
      </c>
      <c r="R60" s="148" t="str">
        <f>IF(B60="","",RTD("cqg.rtd",,"ContractData",A60,"Low",,"T"))</f>
        <v/>
      </c>
      <c r="S60" s="147" t="str">
        <f>IF(RTD("cqg.rtd", ,"ContractData",A60, "T_CVol",, "T")=0,"",RTD("cqg.rtd", ,"ContractData",A60, "T_CVol",, "T"))</f>
        <v/>
      </c>
      <c r="T60" s="147" t="str">
        <f>IF(RTD("cqg.rtd", ,"ContractData",A60, "Y_CVol",, "T")=0,"",RTD("cqg.rtd", ,"ContractData",A60, "Y_CVol",, "T"))</f>
        <v/>
      </c>
      <c r="U60" s="147" t="str">
        <f t="shared" si="7"/>
        <v/>
      </c>
      <c r="V60" s="147">
        <f>IF(RTD("cqg.rtd",,"StudyData",A60, "OI", "OIType=Contract", "OI","D","-1","ALL",,,"TRUE","T")=0,"",RTD("cqg.rtd",,"StudyData",A60, "OI", "OIType=Contract", "OI","D","-1","ALL",,,"TRUE","T"))</f>
        <v>19</v>
      </c>
      <c r="W60" s="147">
        <f>IF(RTD("cqg.rtd",,"StudyData",A60, "OI", "OIType=Contract", "OI","D","-2","ALL",,,"TRUE","T")=0,"",RTD("cqg.rtd",,"StudyData",A60, "OI", "OIType=Contract", "OI","D","-2","ALL",,,"TRUE","T"))</f>
        <v>19</v>
      </c>
      <c r="X60" s="146" t="str">
        <f t="shared" si="8"/>
        <v/>
      </c>
      <c r="Y60" s="145" t="str">
        <f>RTD("cqg.rtd", ,"ContractData",A60, "T_Settlement",, "T")</f>
        <v/>
      </c>
      <c r="Z60" s="145">
        <f>RTD("cqg.rtd", ,"ContractData",A60, "Y_Settlement",, "T")</f>
        <v>3.0329999999999999</v>
      </c>
      <c r="AA60" s="144">
        <f>RTD("cqg.rtd", ,"ContractData",A60, "ExpirationDate",, "T")</f>
        <v>44616</v>
      </c>
      <c r="AB60" s="143" t="str">
        <f>RIGHT(RTD("cqg.rtd", ,"ContractData",A60, "LongDescription",, "T"),6)</f>
        <v>Mar 22</v>
      </c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</row>
    <row r="61" spans="1:39" x14ac:dyDescent="0.3">
      <c r="A61" s="123" t="s">
        <v>137</v>
      </c>
      <c r="B61" s="154" t="str">
        <f>RIGHT(RTD("cqg.rtd", ,"ContractData",A61, "LongDescription",, "T"),6)</f>
        <v>Apr 22</v>
      </c>
      <c r="C61" s="153">
        <f t="shared" si="9"/>
        <v>6</v>
      </c>
      <c r="D61" s="153">
        <f t="shared" si="5"/>
        <v>1</v>
      </c>
      <c r="E61" s="152" t="str">
        <f>IF(B61="","",RTD("cqg.rtd",,"ContractData",A61,"NetLastTradeToday",,"T"))</f>
        <v/>
      </c>
      <c r="F61" s="148" t="str">
        <f>IF(B61="","",RTD("cqg.rtd",,"ContractData",A61,"LastTradeToday",,"T"))</f>
        <v/>
      </c>
      <c r="G61" s="148" t="str">
        <f>IF(B61="","",RTD("cqg.rtd",,"ContractData",A61,"NetLastTradeToday",,"T"))</f>
        <v/>
      </c>
      <c r="H61" s="151" t="str">
        <f>IF(F61="","",MOD(RTD("cqg.rtd", ,"ContractData",A61, "DTLastTrade",, "T"),1))</f>
        <v/>
      </c>
      <c r="I61" s="277"/>
      <c r="J61" s="150" t="str">
        <f>IF(RTD("cqg.rtd", ,"ContractData",A61, "MT_LastBidVolume",, "T")=0,"",RTD("cqg.rtd", ,"ContractData",A61, "MT_LastBidVolume",, "T"))</f>
        <v/>
      </c>
      <c r="K61" s="145" t="str">
        <f>RTD("cqg.rtd", ,"ContractData",A61, "Bid",, "T")</f>
        <v/>
      </c>
      <c r="L61" s="145"/>
      <c r="M61" s="145" t="str">
        <f>RTD("cqg.rtd", ,"ContractData",A61, "Ask",, "T")</f>
        <v/>
      </c>
      <c r="N61" s="150" t="str">
        <f>IF(RTD("cqg.rtd", ,"ContractData",A61, "MT_LastAskVolume",, "T")=0,"",RTD("cqg.rtd", ,"ContractData",A61, "MT_LastAskVolume",, "T"))</f>
        <v/>
      </c>
      <c r="O61" s="149">
        <f t="shared" si="6"/>
        <v>0</v>
      </c>
      <c r="P61" s="148" t="str">
        <f>IF(B61="","",RTD("cqg.rtd",,"ContractData",A61,"Open",,"T"))</f>
        <v/>
      </c>
      <c r="Q61" s="148" t="str">
        <f>IF(B61="","",RTD("cqg.rtd",,"ContractData",A61,"High",,"T"))</f>
        <v/>
      </c>
      <c r="R61" s="148" t="str">
        <f>IF(B61="","",RTD("cqg.rtd",,"ContractData",A61,"Low",,"T"))</f>
        <v/>
      </c>
      <c r="S61" s="147" t="str">
        <f>IF(RTD("cqg.rtd", ,"ContractData",A61, "T_CVol",, "T")=0,"",RTD("cqg.rtd", ,"ContractData",A61, "T_CVol",, "T"))</f>
        <v/>
      </c>
      <c r="T61" s="147" t="str">
        <f>IF(RTD("cqg.rtd", ,"ContractData",A61, "Y_CVol",, "T")=0,"",RTD("cqg.rtd", ,"ContractData",A61, "Y_CVol",, "T"))</f>
        <v/>
      </c>
      <c r="U61" s="147" t="str">
        <f t="shared" si="7"/>
        <v/>
      </c>
      <c r="V61" s="147">
        <f>IF(RTD("cqg.rtd",,"StudyData",A61, "OI", "OIType=Contract", "OI","D","-1","ALL",,,"TRUE","T")=0,"",RTD("cqg.rtd",,"StudyData",A61, "OI", "OIType=Contract", "OI","D","-1","ALL",,,"TRUE","T"))</f>
        <v>14</v>
      </c>
      <c r="W61" s="147">
        <f>IF(RTD("cqg.rtd",,"StudyData",A61, "OI", "OIType=Contract", "OI","D","-2","ALL",,,"TRUE","T")=0,"",RTD("cqg.rtd",,"StudyData",A61, "OI", "OIType=Contract", "OI","D","-2","ALL",,,"TRUE","T"))</f>
        <v>14</v>
      </c>
      <c r="X61" s="146" t="str">
        <f t="shared" si="8"/>
        <v/>
      </c>
      <c r="Y61" s="145" t="str">
        <f>RTD("cqg.rtd", ,"ContractData",A61, "T_Settlement",, "T")</f>
        <v/>
      </c>
      <c r="Z61" s="145">
        <f>RTD("cqg.rtd", ,"ContractData",A61, "Y_Settlement",, "T")</f>
        <v>2.7210000000000001</v>
      </c>
      <c r="AA61" s="144">
        <f>RTD("cqg.rtd", ,"ContractData",A61, "ExpirationDate",, "T")</f>
        <v>44649</v>
      </c>
      <c r="AB61" s="143" t="str">
        <f>RIGHT(RTD("cqg.rtd", ,"ContractData",A61, "LongDescription",, "T"),6)</f>
        <v>Apr 22</v>
      </c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</row>
    <row r="62" spans="1:39" x14ac:dyDescent="0.3">
      <c r="A62" s="123" t="s">
        <v>136</v>
      </c>
      <c r="B62" s="154" t="str">
        <f>RIGHT(RTD("cqg.rtd", ,"ContractData",A62, "LongDescription",, "T"),6)</f>
        <v>May 22</v>
      </c>
      <c r="C62" s="153">
        <f t="shared" si="9"/>
        <v>6</v>
      </c>
      <c r="D62" s="153">
        <f t="shared" si="5"/>
        <v>1</v>
      </c>
      <c r="E62" s="152" t="str">
        <f>IF(B62="","",RTD("cqg.rtd",,"ContractData",A62,"NetLastTradeToday",,"T"))</f>
        <v/>
      </c>
      <c r="F62" s="148" t="str">
        <f>IF(B62="","",RTD("cqg.rtd",,"ContractData",A62,"LastTradeToday",,"T"))</f>
        <v/>
      </c>
      <c r="G62" s="148" t="str">
        <f>IF(B62="","",RTD("cqg.rtd",,"ContractData",A62,"NetLastTradeToday",,"T"))</f>
        <v/>
      </c>
      <c r="H62" s="151" t="str">
        <f>IF(F62="","",MOD(RTD("cqg.rtd", ,"ContractData",A62, "DTLastTrade",, "T"),1))</f>
        <v/>
      </c>
      <c r="I62" s="277"/>
      <c r="J62" s="150" t="str">
        <f>IF(RTD("cqg.rtd", ,"ContractData",A62, "MT_LastBidVolume",, "T")=0,"",RTD("cqg.rtd", ,"ContractData",A62, "MT_LastBidVolume",, "T"))</f>
        <v/>
      </c>
      <c r="K62" s="145" t="str">
        <f>RTD("cqg.rtd", ,"ContractData",A62, "Bid",, "T")</f>
        <v/>
      </c>
      <c r="L62" s="145"/>
      <c r="M62" s="145" t="str">
        <f>RTD("cqg.rtd", ,"ContractData",A62, "Ask",, "T")</f>
        <v/>
      </c>
      <c r="N62" s="150" t="str">
        <f>IF(RTD("cqg.rtd", ,"ContractData",A62, "MT_LastAskVolume",, "T")=0,"",RTD("cqg.rtd", ,"ContractData",A62, "MT_LastAskVolume",, "T"))</f>
        <v/>
      </c>
      <c r="O62" s="149">
        <f t="shared" si="6"/>
        <v>0</v>
      </c>
      <c r="P62" s="148" t="str">
        <f>IF(B62="","",RTD("cqg.rtd",,"ContractData",A62,"Open",,"T"))</f>
        <v/>
      </c>
      <c r="Q62" s="148" t="str">
        <f>IF(B62="","",RTD("cqg.rtd",,"ContractData",A62,"High",,"T"))</f>
        <v/>
      </c>
      <c r="R62" s="148" t="str">
        <f>IF(B62="","",RTD("cqg.rtd",,"ContractData",A62,"Low",,"T"))</f>
        <v/>
      </c>
      <c r="S62" s="147" t="str">
        <f>IF(RTD("cqg.rtd", ,"ContractData",A62, "T_CVol",, "T")=0,"",RTD("cqg.rtd", ,"ContractData",A62, "T_CVol",, "T"))</f>
        <v/>
      </c>
      <c r="T62" s="147" t="str">
        <f>IF(RTD("cqg.rtd", ,"ContractData",A62, "Y_CVol",, "T")=0,"",RTD("cqg.rtd", ,"ContractData",A62, "Y_CVol",, "T"))</f>
        <v/>
      </c>
      <c r="U62" s="147" t="str">
        <f t="shared" si="7"/>
        <v/>
      </c>
      <c r="V62" s="147">
        <f>IF(RTD("cqg.rtd",,"StudyData",A62, "OI", "OIType=Contract", "OI","D","-1","ALL",,,"TRUE","T")=0,"",RTD("cqg.rtd",,"StudyData",A62, "OI", "OIType=Contract", "OI","D","-1","ALL",,,"TRUE","T"))</f>
        <v>20</v>
      </c>
      <c r="W62" s="147">
        <f>IF(RTD("cqg.rtd",,"StudyData",A62, "OI", "OIType=Contract", "OI","D","-2","ALL",,,"TRUE","T")=0,"",RTD("cqg.rtd",,"StudyData",A62, "OI", "OIType=Contract", "OI","D","-2","ALL",,,"TRUE","T"))</f>
        <v>20</v>
      </c>
      <c r="X62" s="146" t="str">
        <f t="shared" si="8"/>
        <v/>
      </c>
      <c r="Y62" s="145" t="str">
        <f>RTD("cqg.rtd", ,"ContractData",A62, "T_Settlement",, "T")</f>
        <v/>
      </c>
      <c r="Z62" s="145">
        <f>RTD("cqg.rtd", ,"ContractData",A62, "Y_Settlement",, "T")</f>
        <v>2.7029999999999998</v>
      </c>
      <c r="AA62" s="144">
        <f>RTD("cqg.rtd", ,"ContractData",A62, "ExpirationDate",, "T")</f>
        <v>44678</v>
      </c>
      <c r="AB62" s="143" t="str">
        <f>RIGHT(RTD("cqg.rtd", ,"ContractData",A62, "LongDescription",, "T"),6)</f>
        <v>May 22</v>
      </c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</row>
    <row r="63" spans="1:39" x14ac:dyDescent="0.3">
      <c r="A63" s="123" t="s">
        <v>135</v>
      </c>
      <c r="B63" s="154" t="str">
        <f>RIGHT(RTD("cqg.rtd", ,"ContractData",A63, "LongDescription",, "T"),6)</f>
        <v>Jun 22</v>
      </c>
      <c r="C63" s="153">
        <f t="shared" si="9"/>
        <v>6</v>
      </c>
      <c r="D63" s="153">
        <f t="shared" si="5"/>
        <v>1</v>
      </c>
      <c r="E63" s="152" t="str">
        <f>IF(B63="","",RTD("cqg.rtd",,"ContractData",A63,"NetLastTradeToday",,"T"))</f>
        <v/>
      </c>
      <c r="F63" s="148" t="str">
        <f>IF(B63="","",RTD("cqg.rtd",,"ContractData",A63,"LastTradeToday",,"T"))</f>
        <v/>
      </c>
      <c r="G63" s="148" t="str">
        <f>IF(B63="","",RTD("cqg.rtd",,"ContractData",A63,"NetLastTradeToday",,"T"))</f>
        <v/>
      </c>
      <c r="H63" s="151" t="str">
        <f>IF(F63="","",MOD(RTD("cqg.rtd", ,"ContractData",A63, "DTLastTrade",, "T"),1))</f>
        <v/>
      </c>
      <c r="I63" s="277"/>
      <c r="J63" s="150" t="str">
        <f>IF(RTD("cqg.rtd", ,"ContractData",A63, "MT_LastBidVolume",, "T")=0,"",RTD("cqg.rtd", ,"ContractData",A63, "MT_LastBidVolume",, "T"))</f>
        <v/>
      </c>
      <c r="K63" s="145" t="str">
        <f>RTD("cqg.rtd", ,"ContractData",A63, "Bid",, "T")</f>
        <v/>
      </c>
      <c r="L63" s="145"/>
      <c r="M63" s="145" t="str">
        <f>RTD("cqg.rtd", ,"ContractData",A63, "Ask",, "T")</f>
        <v/>
      </c>
      <c r="N63" s="150" t="str">
        <f>IF(RTD("cqg.rtd", ,"ContractData",A63, "MT_LastAskVolume",, "T")=0,"",RTD("cqg.rtd", ,"ContractData",A63, "MT_LastAskVolume",, "T"))</f>
        <v/>
      </c>
      <c r="O63" s="149">
        <f t="shared" si="6"/>
        <v>0</v>
      </c>
      <c r="P63" s="148" t="str">
        <f>IF(B63="","",RTD("cqg.rtd",,"ContractData",A63,"Open",,"T"))</f>
        <v/>
      </c>
      <c r="Q63" s="148" t="str">
        <f>IF(B63="","",RTD("cqg.rtd",,"ContractData",A63,"High",,"T"))</f>
        <v/>
      </c>
      <c r="R63" s="148" t="str">
        <f>IF(B63="","",RTD("cqg.rtd",,"ContractData",A63,"Low",,"T"))</f>
        <v/>
      </c>
      <c r="S63" s="147" t="str">
        <f>IF(RTD("cqg.rtd", ,"ContractData",A63, "T_CVol",, "T")=0,"",RTD("cqg.rtd", ,"ContractData",A63, "T_CVol",, "T"))</f>
        <v/>
      </c>
      <c r="T63" s="147" t="str">
        <f>IF(RTD("cqg.rtd", ,"ContractData",A63, "Y_CVol",, "T")=0,"",RTD("cqg.rtd", ,"ContractData",A63, "Y_CVol",, "T"))</f>
        <v/>
      </c>
      <c r="U63" s="147" t="str">
        <f t="shared" si="7"/>
        <v/>
      </c>
      <c r="V63" s="147">
        <f>IF(RTD("cqg.rtd",,"StudyData",A63, "OI", "OIType=Contract", "OI","D","-1","ALL",,,"TRUE","T")=0,"",RTD("cqg.rtd",,"StudyData",A63, "OI", "OIType=Contract", "OI","D","-1","ALL",,,"TRUE","T"))</f>
        <v>14</v>
      </c>
      <c r="W63" s="147">
        <f>IF(RTD("cqg.rtd",,"StudyData",A63, "OI", "OIType=Contract", "OI","D","-2","ALL",,,"TRUE","T")=0,"",RTD("cqg.rtd",,"StudyData",A63, "OI", "OIType=Contract", "OI","D","-2","ALL",,,"TRUE","T"))</f>
        <v>14</v>
      </c>
      <c r="X63" s="146" t="str">
        <f t="shared" si="8"/>
        <v/>
      </c>
      <c r="Y63" s="145" t="str">
        <f>RTD("cqg.rtd", ,"ContractData",A63, "T_Settlement",, "T")</f>
        <v/>
      </c>
      <c r="Z63" s="145">
        <f>RTD("cqg.rtd", ,"ContractData",A63, "Y_Settlement",, "T")</f>
        <v>2.7280000000000002</v>
      </c>
      <c r="AA63" s="144">
        <f>RTD("cqg.rtd", ,"ContractData",A63, "ExpirationDate",, "T")</f>
        <v>44708</v>
      </c>
      <c r="AB63" s="143" t="str">
        <f>RIGHT(RTD("cqg.rtd", ,"ContractData",A63, "LongDescription",, "T"),6)</f>
        <v>Jun 22</v>
      </c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</row>
    <row r="64" spans="1:39" x14ac:dyDescent="0.3">
      <c r="A64" s="123" t="s">
        <v>134</v>
      </c>
      <c r="B64" s="154" t="str">
        <f>RIGHT(RTD("cqg.rtd", ,"ContractData",A64, "LongDescription",, "T"),6)</f>
        <v>Jul 22</v>
      </c>
      <c r="C64" s="153">
        <f t="shared" si="9"/>
        <v>6</v>
      </c>
      <c r="D64" s="153">
        <f t="shared" si="5"/>
        <v>1</v>
      </c>
      <c r="E64" s="152" t="str">
        <f>IF(B64="","",RTD("cqg.rtd",,"ContractData",A64,"NetLastTradeToday",,"T"))</f>
        <v/>
      </c>
      <c r="F64" s="148" t="str">
        <f>IF(B64="","",RTD("cqg.rtd",,"ContractData",A64,"LastTradeToday",,"T"))</f>
        <v/>
      </c>
      <c r="G64" s="148" t="str">
        <f>IF(B64="","",RTD("cqg.rtd",,"ContractData",A64,"NetLastTradeToday",,"T"))</f>
        <v/>
      </c>
      <c r="H64" s="151" t="str">
        <f>IF(F64="","",MOD(RTD("cqg.rtd", ,"ContractData",A64, "DTLastTrade",, "T"),1))</f>
        <v/>
      </c>
      <c r="I64" s="277"/>
      <c r="J64" s="150">
        <f>IF(RTD("cqg.rtd", ,"ContractData",A64, "MT_LastBidVolume",, "T")=0,"",RTD("cqg.rtd", ,"ContractData",A64, "MT_LastBidVolume",, "T"))</f>
        <v>5</v>
      </c>
      <c r="K64" s="145">
        <f>RTD("cqg.rtd", ,"ContractData",A64, "Bid",, "T")</f>
        <v>2.62</v>
      </c>
      <c r="L64" s="145"/>
      <c r="M64" s="145" t="str">
        <f>RTD("cqg.rtd", ,"ContractData",A64, "Ask",, "T")</f>
        <v/>
      </c>
      <c r="N64" s="150" t="str">
        <f>IF(RTD("cqg.rtd", ,"ContractData",A64, "MT_LastAskVolume",, "T")=0,"",RTD("cqg.rtd", ,"ContractData",A64, "MT_LastAskVolume",, "T"))</f>
        <v/>
      </c>
      <c r="O64" s="149">
        <f t="shared" si="6"/>
        <v>0</v>
      </c>
      <c r="P64" s="148" t="str">
        <f>IF(B64="","",RTD("cqg.rtd",,"ContractData",A64,"Open",,"T"))</f>
        <v/>
      </c>
      <c r="Q64" s="148" t="str">
        <f>IF(B64="","",RTD("cqg.rtd",,"ContractData",A64,"High",,"T"))</f>
        <v/>
      </c>
      <c r="R64" s="148" t="str">
        <f>IF(B64="","",RTD("cqg.rtd",,"ContractData",A64,"Low",,"T"))</f>
        <v/>
      </c>
      <c r="S64" s="147" t="str">
        <f>IF(RTD("cqg.rtd", ,"ContractData",A64, "T_CVol",, "T")=0,"",RTD("cqg.rtd", ,"ContractData",A64, "T_CVol",, "T"))</f>
        <v/>
      </c>
      <c r="T64" s="147" t="str">
        <f>IF(RTD("cqg.rtd", ,"ContractData",A64, "Y_CVol",, "T")=0,"",RTD("cqg.rtd", ,"ContractData",A64, "Y_CVol",, "T"))</f>
        <v/>
      </c>
      <c r="U64" s="147" t="str">
        <f t="shared" si="7"/>
        <v/>
      </c>
      <c r="V64" s="147">
        <f>IF(RTD("cqg.rtd",,"StudyData",A64, "OI", "OIType=Contract", "OI","D","-1","ALL",,,"TRUE","T")=0,"",RTD("cqg.rtd",,"StudyData",A64, "OI", "OIType=Contract", "OI","D","-1","ALL",,,"TRUE","T"))</f>
        <v>15</v>
      </c>
      <c r="W64" s="147">
        <f>IF(RTD("cqg.rtd",,"StudyData",A64, "OI", "OIType=Contract", "OI","D","-2","ALL",,,"TRUE","T")=0,"",RTD("cqg.rtd",,"StudyData",A64, "OI", "OIType=Contract", "OI","D","-2","ALL",,,"TRUE","T"))</f>
        <v>15</v>
      </c>
      <c r="X64" s="146" t="str">
        <f t="shared" si="8"/>
        <v/>
      </c>
      <c r="Y64" s="145" t="str">
        <f>RTD("cqg.rtd", ,"ContractData",A64, "T_Settlement",, "T")</f>
        <v/>
      </c>
      <c r="Z64" s="145">
        <f>RTD("cqg.rtd", ,"ContractData",A64, "Y_Settlement",, "T")</f>
        <v>2.7549999999999999</v>
      </c>
      <c r="AA64" s="144">
        <f>RTD("cqg.rtd", ,"ContractData",A64, "ExpirationDate",, "T")</f>
        <v>44740</v>
      </c>
      <c r="AB64" s="143" t="str">
        <f>RIGHT(RTD("cqg.rtd", ,"ContractData",A64, "LongDescription",, "T"),6)</f>
        <v>Jul 22</v>
      </c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</row>
    <row r="65" spans="1:39" x14ac:dyDescent="0.3">
      <c r="A65" s="123" t="s">
        <v>133</v>
      </c>
      <c r="B65" s="154" t="str">
        <f>RIGHT(RTD("cqg.rtd", ,"ContractData",A65, "LongDescription",, "T"),6)</f>
        <v>Aug 22</v>
      </c>
      <c r="C65" s="153">
        <f t="shared" si="9"/>
        <v>6</v>
      </c>
      <c r="D65" s="153">
        <f t="shared" si="5"/>
        <v>1</v>
      </c>
      <c r="E65" s="152" t="str">
        <f>IF(B65="","",RTD("cqg.rtd",,"ContractData",A65,"NetLastTradeToday",,"T"))</f>
        <v/>
      </c>
      <c r="F65" s="148" t="str">
        <f>IF(B65="","",RTD("cqg.rtd",,"ContractData",A65,"LastTradeToday",,"T"))</f>
        <v/>
      </c>
      <c r="G65" s="148" t="str">
        <f>IF(B65="","",RTD("cqg.rtd",,"ContractData",A65,"NetLastTradeToday",,"T"))</f>
        <v/>
      </c>
      <c r="H65" s="151" t="str">
        <f>IF(F65="","",MOD(RTD("cqg.rtd", ,"ContractData",A65, "DTLastTrade",, "T"),1))</f>
        <v/>
      </c>
      <c r="I65" s="277"/>
      <c r="J65" s="150">
        <f>IF(RTD("cqg.rtd", ,"ContractData",A65, "MT_LastBidVolume",, "T")=0,"",RTD("cqg.rtd", ,"ContractData",A65, "MT_LastBidVolume",, "T"))</f>
        <v>5</v>
      </c>
      <c r="K65" s="145">
        <f>RTD("cqg.rtd", ,"ContractData",A65, "Bid",, "T")</f>
        <v>2.63</v>
      </c>
      <c r="L65" s="145"/>
      <c r="M65" s="145" t="str">
        <f>RTD("cqg.rtd", ,"ContractData",A65, "Ask",, "T")</f>
        <v/>
      </c>
      <c r="N65" s="150" t="str">
        <f>IF(RTD("cqg.rtd", ,"ContractData",A65, "MT_LastAskVolume",, "T")=0,"",RTD("cqg.rtd", ,"ContractData",A65, "MT_LastAskVolume",, "T"))</f>
        <v/>
      </c>
      <c r="O65" s="149">
        <f t="shared" si="6"/>
        <v>0</v>
      </c>
      <c r="P65" s="148" t="str">
        <f>IF(B65="","",RTD("cqg.rtd",,"ContractData",A65,"Open",,"T"))</f>
        <v/>
      </c>
      <c r="Q65" s="148" t="str">
        <f>IF(B65="","",RTD("cqg.rtd",,"ContractData",A65,"High",,"T"))</f>
        <v/>
      </c>
      <c r="R65" s="148" t="str">
        <f>IF(B65="","",RTD("cqg.rtd",,"ContractData",A65,"Low",,"T"))</f>
        <v/>
      </c>
      <c r="S65" s="147" t="str">
        <f>IF(RTD("cqg.rtd", ,"ContractData",A65, "T_CVol",, "T")=0,"",RTD("cqg.rtd", ,"ContractData",A65, "T_CVol",, "T"))</f>
        <v/>
      </c>
      <c r="T65" s="147" t="str">
        <f>IF(RTD("cqg.rtd", ,"ContractData",A65, "Y_CVol",, "T")=0,"",RTD("cqg.rtd", ,"ContractData",A65, "Y_CVol",, "T"))</f>
        <v/>
      </c>
      <c r="U65" s="147" t="str">
        <f t="shared" si="7"/>
        <v/>
      </c>
      <c r="V65" s="147">
        <f>IF(RTD("cqg.rtd",,"StudyData",A65, "OI", "OIType=Contract", "OI","D","-1","ALL",,,"TRUE","T")=0,"",RTD("cqg.rtd",,"StudyData",A65, "OI", "OIType=Contract", "OI","D","-1","ALL",,,"TRUE","T"))</f>
        <v>15</v>
      </c>
      <c r="W65" s="147">
        <f>IF(RTD("cqg.rtd",,"StudyData",A65, "OI", "OIType=Contract", "OI","D","-2","ALL",,,"TRUE","T")=0,"",RTD("cqg.rtd",,"StudyData",A65, "OI", "OIType=Contract", "OI","D","-2","ALL",,,"TRUE","T"))</f>
        <v>15</v>
      </c>
      <c r="X65" s="146" t="str">
        <f t="shared" si="8"/>
        <v/>
      </c>
      <c r="Y65" s="145" t="str">
        <f>RTD("cqg.rtd", ,"ContractData",A65, "T_Settlement",, "T")</f>
        <v/>
      </c>
      <c r="Z65" s="145">
        <f>RTD("cqg.rtd", ,"ContractData",A65, "Y_Settlement",, "T")</f>
        <v>2.778</v>
      </c>
      <c r="AA65" s="144">
        <f>RTD("cqg.rtd", ,"ContractData",A65, "ExpirationDate",, "T")</f>
        <v>44769</v>
      </c>
      <c r="AB65" s="143" t="str">
        <f>RIGHT(RTD("cqg.rtd", ,"ContractData",A65, "LongDescription",, "T"),6)</f>
        <v>Aug 22</v>
      </c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</row>
    <row r="66" spans="1:39" x14ac:dyDescent="0.3">
      <c r="A66" s="123" t="s">
        <v>132</v>
      </c>
      <c r="B66" s="154" t="str">
        <f>RIGHT(RTD("cqg.rtd", ,"ContractData",A66, "LongDescription",, "T"),6)</f>
        <v>Sep 22</v>
      </c>
      <c r="C66" s="153">
        <f t="shared" si="9"/>
        <v>6</v>
      </c>
      <c r="D66" s="153">
        <f t="shared" si="5"/>
        <v>1</v>
      </c>
      <c r="E66" s="152" t="str">
        <f>IF(B66="","",RTD("cqg.rtd",,"ContractData",A66,"NetLastTradeToday",,"T"))</f>
        <v/>
      </c>
      <c r="F66" s="148" t="str">
        <f>IF(B66="","",RTD("cqg.rtd",,"ContractData",A66,"LastTradeToday",,"T"))</f>
        <v/>
      </c>
      <c r="G66" s="148" t="str">
        <f>IF(B66="","",RTD("cqg.rtd",,"ContractData",A66,"NetLastTradeToday",,"T"))</f>
        <v/>
      </c>
      <c r="H66" s="151" t="str">
        <f>IF(F66="","",MOD(RTD("cqg.rtd", ,"ContractData",A66, "DTLastTrade",, "T"),1))</f>
        <v/>
      </c>
      <c r="I66" s="277"/>
      <c r="J66" s="150">
        <f>IF(RTD("cqg.rtd", ,"ContractData",A66, "MT_LastBidVolume",, "T")=0,"",RTD("cqg.rtd", ,"ContractData",A66, "MT_LastBidVolume",, "T"))</f>
        <v>5</v>
      </c>
      <c r="K66" s="145">
        <f>RTD("cqg.rtd", ,"ContractData",A66, "Bid",, "T")</f>
        <v>2.63</v>
      </c>
      <c r="L66" s="145"/>
      <c r="M66" s="145" t="str">
        <f>RTD("cqg.rtd", ,"ContractData",A66, "Ask",, "T")</f>
        <v/>
      </c>
      <c r="N66" s="150" t="str">
        <f>IF(RTD("cqg.rtd", ,"ContractData",A66, "MT_LastAskVolume",, "T")=0,"",RTD("cqg.rtd", ,"ContractData",A66, "MT_LastAskVolume",, "T"))</f>
        <v/>
      </c>
      <c r="O66" s="149">
        <f t="shared" si="6"/>
        <v>0</v>
      </c>
      <c r="P66" s="148" t="str">
        <f>IF(B66="","",RTD("cqg.rtd",,"ContractData",A66,"Open",,"T"))</f>
        <v/>
      </c>
      <c r="Q66" s="148" t="str">
        <f>IF(B66="","",RTD("cqg.rtd",,"ContractData",A66,"High",,"T"))</f>
        <v/>
      </c>
      <c r="R66" s="148" t="str">
        <f>IF(B66="","",RTD("cqg.rtd",,"ContractData",A66,"Low",,"T"))</f>
        <v/>
      </c>
      <c r="S66" s="147" t="str">
        <f>IF(RTD("cqg.rtd", ,"ContractData",A66, "T_CVol",, "T")=0,"",RTD("cqg.rtd", ,"ContractData",A66, "T_CVol",, "T"))</f>
        <v/>
      </c>
      <c r="T66" s="147" t="str">
        <f>IF(RTD("cqg.rtd", ,"ContractData",A66, "Y_CVol",, "T")=0,"",RTD("cqg.rtd", ,"ContractData",A66, "Y_CVol",, "T"))</f>
        <v/>
      </c>
      <c r="U66" s="147" t="str">
        <f t="shared" si="7"/>
        <v/>
      </c>
      <c r="V66" s="147">
        <f>IF(RTD("cqg.rtd",,"StudyData",A66, "OI", "OIType=Contract", "OI","D","-1","ALL",,,"TRUE","T")=0,"",RTD("cqg.rtd",,"StudyData",A66, "OI", "OIType=Contract", "OI","D","-1","ALL",,,"TRUE","T"))</f>
        <v>14</v>
      </c>
      <c r="W66" s="147">
        <f>IF(RTD("cqg.rtd",,"StudyData",A66, "OI", "OIType=Contract", "OI","D","-2","ALL",,,"TRUE","T")=0,"",RTD("cqg.rtd",,"StudyData",A66, "OI", "OIType=Contract", "OI","D","-2","ALL",,,"TRUE","T"))</f>
        <v>14</v>
      </c>
      <c r="X66" s="146" t="str">
        <f t="shared" si="8"/>
        <v/>
      </c>
      <c r="Y66" s="145" t="str">
        <f>RTD("cqg.rtd", ,"ContractData",A66, "T_Settlement",, "T")</f>
        <v/>
      </c>
      <c r="Z66" s="145">
        <f>RTD("cqg.rtd", ,"ContractData",A66, "Y_Settlement",, "T")</f>
        <v>2.778</v>
      </c>
      <c r="AA66" s="144">
        <f>RTD("cqg.rtd", ,"ContractData",A66, "ExpirationDate",, "T")</f>
        <v>44802</v>
      </c>
      <c r="AB66" s="143" t="str">
        <f>RIGHT(RTD("cqg.rtd", ,"ContractData",A66, "LongDescription",, "T"),6)</f>
        <v>Sep 22</v>
      </c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</row>
    <row r="67" spans="1:39" x14ac:dyDescent="0.3">
      <c r="A67" s="123" t="s">
        <v>131</v>
      </c>
      <c r="B67" s="154" t="str">
        <f>RIGHT(RTD("cqg.rtd", ,"ContractData",A67, "LongDescription",, "T"),6)</f>
        <v>Oct 22</v>
      </c>
      <c r="C67" s="153">
        <f t="shared" si="9"/>
        <v>6</v>
      </c>
      <c r="D67" s="153">
        <f t="shared" si="5"/>
        <v>1</v>
      </c>
      <c r="E67" s="152" t="str">
        <f>IF(B67="","",RTD("cqg.rtd",,"ContractData",A67,"NetLastTradeToday",,"T"))</f>
        <v/>
      </c>
      <c r="F67" s="148" t="str">
        <f>IF(B67="","",RTD("cqg.rtd",,"ContractData",A67,"LastTradeToday",,"T"))</f>
        <v/>
      </c>
      <c r="G67" s="148" t="str">
        <f>IF(B67="","",RTD("cqg.rtd",,"ContractData",A67,"NetLastTradeToday",,"T"))</f>
        <v/>
      </c>
      <c r="H67" s="151" t="str">
        <f>IF(F67="","",MOD(RTD("cqg.rtd", ,"ContractData",A67, "DTLastTrade",, "T"),1))</f>
        <v/>
      </c>
      <c r="I67" s="277"/>
      <c r="J67" s="150" t="str">
        <f>IF(RTD("cqg.rtd", ,"ContractData",A67, "MT_LastBidVolume",, "T")=0,"",RTD("cqg.rtd", ,"ContractData",A67, "MT_LastBidVolume",, "T"))</f>
        <v/>
      </c>
      <c r="K67" s="145" t="str">
        <f>RTD("cqg.rtd", ,"ContractData",A67, "Bid",, "T")</f>
        <v/>
      </c>
      <c r="L67" s="145"/>
      <c r="M67" s="145" t="str">
        <f>RTD("cqg.rtd", ,"ContractData",A67, "Ask",, "T")</f>
        <v/>
      </c>
      <c r="N67" s="150" t="str">
        <f>IF(RTD("cqg.rtd", ,"ContractData",A67, "MT_LastAskVolume",, "T")=0,"",RTD("cqg.rtd", ,"ContractData",A67, "MT_LastAskVolume",, "T"))</f>
        <v/>
      </c>
      <c r="O67" s="149">
        <f t="shared" si="6"/>
        <v>0</v>
      </c>
      <c r="P67" s="148" t="str">
        <f>IF(B67="","",RTD("cqg.rtd",,"ContractData",A67,"Open",,"T"))</f>
        <v/>
      </c>
      <c r="Q67" s="148" t="str">
        <f>IF(B67="","",RTD("cqg.rtd",,"ContractData",A67,"High",,"T"))</f>
        <v/>
      </c>
      <c r="R67" s="148" t="str">
        <f>IF(B67="","",RTD("cqg.rtd",,"ContractData",A67,"Low",,"T"))</f>
        <v/>
      </c>
      <c r="S67" s="147" t="str">
        <f>IF(RTD("cqg.rtd", ,"ContractData",A67, "T_CVol",, "T")=0,"",RTD("cqg.rtd", ,"ContractData",A67, "T_CVol",, "T"))</f>
        <v/>
      </c>
      <c r="T67" s="147" t="str">
        <f>IF(RTD("cqg.rtd", ,"ContractData",A67, "Y_CVol",, "T")=0,"",RTD("cqg.rtd", ,"ContractData",A67, "Y_CVol",, "T"))</f>
        <v/>
      </c>
      <c r="U67" s="147" t="str">
        <f t="shared" si="7"/>
        <v/>
      </c>
      <c r="V67" s="147">
        <f>IF(RTD("cqg.rtd",,"StudyData",A67, "OI", "OIType=Contract", "OI","D","-1","ALL",,,"TRUE","T")=0,"",RTD("cqg.rtd",,"StudyData",A67, "OI", "OIType=Contract", "OI","D","-1","ALL",,,"TRUE","T"))</f>
        <v>14</v>
      </c>
      <c r="W67" s="147">
        <f>IF(RTD("cqg.rtd",,"StudyData",A67, "OI", "OIType=Contract", "OI","D","-2","ALL",,,"TRUE","T")=0,"",RTD("cqg.rtd",,"StudyData",A67, "OI", "OIType=Contract", "OI","D","-2","ALL",,,"TRUE","T"))</f>
        <v>14</v>
      </c>
      <c r="X67" s="146" t="str">
        <f t="shared" si="8"/>
        <v/>
      </c>
      <c r="Y67" s="145" t="str">
        <f>RTD("cqg.rtd", ,"ContractData",A67, "T_Settlement",, "T")</f>
        <v/>
      </c>
      <c r="Z67" s="145">
        <f>RTD("cqg.rtd", ,"ContractData",A67, "Y_Settlement",, "T")</f>
        <v>2.8040000000000003</v>
      </c>
      <c r="AA67" s="144">
        <f>RTD("cqg.rtd", ,"ContractData",A67, "ExpirationDate",, "T")</f>
        <v>44832</v>
      </c>
      <c r="AB67" s="143" t="str">
        <f>RIGHT(RTD("cqg.rtd", ,"ContractData",A67, "LongDescription",, "T"),6)</f>
        <v>Oct 22</v>
      </c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</row>
    <row r="68" spans="1:39" x14ac:dyDescent="0.3">
      <c r="A68" s="123" t="s">
        <v>130</v>
      </c>
      <c r="B68" s="154" t="str">
        <f>RIGHT(RTD("cqg.rtd", ,"ContractData",A68, "LongDescription",, "T"),6)</f>
        <v>Nov 22</v>
      </c>
      <c r="C68" s="153">
        <f t="shared" si="9"/>
        <v>6</v>
      </c>
      <c r="D68" s="153">
        <f t="shared" si="5"/>
        <v>1</v>
      </c>
      <c r="E68" s="152" t="str">
        <f>IF(B68="","",RTD("cqg.rtd",,"ContractData",A68,"NetLastTradeToday",,"T"))</f>
        <v/>
      </c>
      <c r="F68" s="148" t="str">
        <f>IF(B68="","",RTD("cqg.rtd",,"ContractData",A68,"LastTradeToday",,"T"))</f>
        <v/>
      </c>
      <c r="G68" s="148" t="str">
        <f>IF(B68="","",RTD("cqg.rtd",,"ContractData",A68,"NetLastTradeToday",,"T"))</f>
        <v/>
      </c>
      <c r="H68" s="151" t="str">
        <f>IF(F68="","",MOD(RTD("cqg.rtd", ,"ContractData",A68, "DTLastTrade",, "T"),1))</f>
        <v/>
      </c>
      <c r="I68" s="277"/>
      <c r="J68" s="150" t="str">
        <f>IF(RTD("cqg.rtd", ,"ContractData",A68, "MT_LastBidVolume",, "T")=0,"",RTD("cqg.rtd", ,"ContractData",A68, "MT_LastBidVolume",, "T"))</f>
        <v/>
      </c>
      <c r="K68" s="145" t="str">
        <f>RTD("cqg.rtd", ,"ContractData",A68, "Bid",, "T")</f>
        <v/>
      </c>
      <c r="L68" s="145"/>
      <c r="M68" s="145" t="str">
        <f>RTD("cqg.rtd", ,"ContractData",A68, "Ask",, "T")</f>
        <v/>
      </c>
      <c r="N68" s="150" t="str">
        <f>IF(RTD("cqg.rtd", ,"ContractData",A68, "MT_LastAskVolume",, "T")=0,"",RTD("cqg.rtd", ,"ContractData",A68, "MT_LastAskVolume",, "T"))</f>
        <v/>
      </c>
      <c r="O68" s="149">
        <f t="shared" si="6"/>
        <v>0</v>
      </c>
      <c r="P68" s="148" t="str">
        <f>IF(B68="","",RTD("cqg.rtd",,"ContractData",A68,"Open",,"T"))</f>
        <v/>
      </c>
      <c r="Q68" s="148" t="str">
        <f>IF(B68="","",RTD("cqg.rtd",,"ContractData",A68,"High",,"T"))</f>
        <v/>
      </c>
      <c r="R68" s="148" t="str">
        <f>IF(B68="","",RTD("cqg.rtd",,"ContractData",A68,"Low",,"T"))</f>
        <v/>
      </c>
      <c r="S68" s="147" t="str">
        <f>IF(RTD("cqg.rtd", ,"ContractData",A68, "T_CVol",, "T")=0,"",RTD("cqg.rtd", ,"ContractData",A68, "T_CVol",, "T"))</f>
        <v/>
      </c>
      <c r="T68" s="147" t="str">
        <f>IF(RTD("cqg.rtd", ,"ContractData",A68, "Y_CVol",, "T")=0,"",RTD("cqg.rtd", ,"ContractData",A68, "Y_CVol",, "T"))</f>
        <v/>
      </c>
      <c r="U68" s="147" t="str">
        <f t="shared" si="7"/>
        <v/>
      </c>
      <c r="V68" s="147">
        <f>IF(RTD("cqg.rtd",,"StudyData",A68, "OI", "OIType=Contract", "OI","D","-1","ALL",,,"TRUE","T")=0,"",RTD("cqg.rtd",,"StudyData",A68, "OI", "OIType=Contract", "OI","D","-1","ALL",,,"TRUE","T"))</f>
        <v>14</v>
      </c>
      <c r="W68" s="147">
        <f>IF(RTD("cqg.rtd",,"StudyData",A68, "OI", "OIType=Contract", "OI","D","-2","ALL",,,"TRUE","T")=0,"",RTD("cqg.rtd",,"StudyData",A68, "OI", "OIType=Contract", "OI","D","-2","ALL",,,"TRUE","T"))</f>
        <v>14</v>
      </c>
      <c r="X68" s="146" t="str">
        <f t="shared" si="8"/>
        <v/>
      </c>
      <c r="Y68" s="145" t="str">
        <f>RTD("cqg.rtd", ,"ContractData",A68, "T_Settlement",, "T")</f>
        <v/>
      </c>
      <c r="Z68" s="145">
        <f>RTD("cqg.rtd", ,"ContractData",A68, "Y_Settlement",, "T")</f>
        <v>2.8780000000000001</v>
      </c>
      <c r="AA68" s="144">
        <f>RTD("cqg.rtd", ,"ContractData",A68, "ExpirationDate",, "T")</f>
        <v>44861</v>
      </c>
      <c r="AB68" s="143" t="str">
        <f>RIGHT(RTD("cqg.rtd", ,"ContractData",A68, "LongDescription",, "T"),6)</f>
        <v>Nov 22</v>
      </c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</row>
    <row r="69" spans="1:39" x14ac:dyDescent="0.3">
      <c r="A69" s="123" t="s">
        <v>129</v>
      </c>
      <c r="B69" s="154" t="str">
        <f>RIGHT(RTD("cqg.rtd", ,"ContractData",A69, "LongDescription",, "T"),6)</f>
        <v>Dec 22</v>
      </c>
      <c r="C69" s="153">
        <f t="shared" si="9"/>
        <v>6</v>
      </c>
      <c r="D69" s="153">
        <f t="shared" si="5"/>
        <v>1</v>
      </c>
      <c r="E69" s="152" t="str">
        <f>IF(B69="","",RTD("cqg.rtd",,"ContractData",A69,"NetLastTradeToday",,"T"))</f>
        <v/>
      </c>
      <c r="F69" s="148" t="str">
        <f>IF(B69="","",RTD("cqg.rtd",,"ContractData",A69,"LastTradeToday",,"T"))</f>
        <v/>
      </c>
      <c r="G69" s="148" t="str">
        <f>IF(B69="","",RTD("cqg.rtd",,"ContractData",A69,"NetLastTradeToday",,"T"))</f>
        <v/>
      </c>
      <c r="H69" s="151" t="str">
        <f>IF(F69="","",MOD(RTD("cqg.rtd", ,"ContractData",A69, "DTLastTrade",, "T"),1))</f>
        <v/>
      </c>
      <c r="I69" s="277"/>
      <c r="J69" s="150" t="str">
        <f>IF(RTD("cqg.rtd", ,"ContractData",A69, "MT_LastBidVolume",, "T")=0,"",RTD("cqg.rtd", ,"ContractData",A69, "MT_LastBidVolume",, "T"))</f>
        <v/>
      </c>
      <c r="K69" s="145" t="str">
        <f>RTD("cqg.rtd", ,"ContractData",A69, "Bid",, "T")</f>
        <v/>
      </c>
      <c r="L69" s="145"/>
      <c r="M69" s="145" t="str">
        <f>RTD("cqg.rtd", ,"ContractData",A69, "Ask",, "T")</f>
        <v/>
      </c>
      <c r="N69" s="150" t="str">
        <f>IF(RTD("cqg.rtd", ,"ContractData",A69, "MT_LastAskVolume",, "T")=0,"",RTD("cqg.rtd", ,"ContractData",A69, "MT_LastAskVolume",, "T"))</f>
        <v/>
      </c>
      <c r="O69" s="149">
        <f t="shared" si="6"/>
        <v>0</v>
      </c>
      <c r="P69" s="148" t="str">
        <f>IF(B69="","",RTD("cqg.rtd",,"ContractData",A69,"Open",,"T"))</f>
        <v/>
      </c>
      <c r="Q69" s="148" t="str">
        <f>IF(B69="","",RTD("cqg.rtd",,"ContractData",A69,"High",,"T"))</f>
        <v/>
      </c>
      <c r="R69" s="148" t="str">
        <f>IF(B69="","",RTD("cqg.rtd",,"ContractData",A69,"Low",,"T"))</f>
        <v/>
      </c>
      <c r="S69" s="147" t="str">
        <f>IF(RTD("cqg.rtd", ,"ContractData",A69, "T_CVol",, "T")=0,"",RTD("cqg.rtd", ,"ContractData",A69, "T_CVol",, "T"))</f>
        <v/>
      </c>
      <c r="T69" s="147" t="str">
        <f>IF(RTD("cqg.rtd", ,"ContractData",A69, "Y_CVol",, "T")=0,"",RTD("cqg.rtd", ,"ContractData",A69, "Y_CVol",, "T"))</f>
        <v/>
      </c>
      <c r="U69" s="147" t="str">
        <f t="shared" si="7"/>
        <v/>
      </c>
      <c r="V69" s="147">
        <f>IF(RTD("cqg.rtd",,"StudyData",A69, "OI", "OIType=Contract", "OI","D","-1","ALL",,,"TRUE","T")=0,"",RTD("cqg.rtd",,"StudyData",A69, "OI", "OIType=Contract", "OI","D","-1","ALL",,,"TRUE","T"))</f>
        <v>19</v>
      </c>
      <c r="W69" s="147">
        <f>IF(RTD("cqg.rtd",,"StudyData",A69, "OI", "OIType=Contract", "OI","D","-2","ALL",,,"TRUE","T")=0,"",RTD("cqg.rtd",,"StudyData",A69, "OI", "OIType=Contract", "OI","D","-2","ALL",,,"TRUE","T"))</f>
        <v>19</v>
      </c>
      <c r="X69" s="146" t="str">
        <f t="shared" si="8"/>
        <v/>
      </c>
      <c r="Y69" s="145" t="str">
        <f>RTD("cqg.rtd", ,"ContractData",A69, "T_Settlement",, "T")</f>
        <v/>
      </c>
      <c r="Z69" s="145">
        <f>RTD("cqg.rtd", ,"ContractData",A69, "Y_Settlement",, "T")</f>
        <v>3.0310000000000001</v>
      </c>
      <c r="AA69" s="144">
        <f>RTD("cqg.rtd", ,"ContractData",A69, "ExpirationDate",, "T")</f>
        <v>44892</v>
      </c>
      <c r="AB69" s="143" t="str">
        <f>RIGHT(RTD("cqg.rtd", ,"ContractData",A69, "LongDescription",, "T"),6)</f>
        <v>Dec 22</v>
      </c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</row>
    <row r="70" spans="1:39" x14ac:dyDescent="0.3">
      <c r="A70" s="123" t="s">
        <v>128</v>
      </c>
      <c r="B70" s="154" t="str">
        <f>RIGHT(RTD("cqg.rtd", ,"ContractData",A70, "LongDescription",, "T"),6)</f>
        <v>Jan 23</v>
      </c>
      <c r="C70" s="153">
        <f t="shared" si="9"/>
        <v>7</v>
      </c>
      <c r="D70" s="153">
        <f t="shared" si="5"/>
        <v>0</v>
      </c>
      <c r="E70" s="152" t="str">
        <f>IF(B70="","",RTD("cqg.rtd",,"ContractData",A70,"NetLastTradeToday",,"T"))</f>
        <v/>
      </c>
      <c r="F70" s="148" t="str">
        <f>IF(B70="","",RTD("cqg.rtd",,"ContractData",A70,"LastTradeToday",,"T"))</f>
        <v/>
      </c>
      <c r="G70" s="148" t="str">
        <f>IF(B70="","",RTD("cqg.rtd",,"ContractData",A70,"NetLastTradeToday",,"T"))</f>
        <v/>
      </c>
      <c r="H70" s="151" t="str">
        <f>IF(F70="","",MOD(RTD("cqg.rtd", ,"ContractData",A70, "DTLastTrade",, "T"),1))</f>
        <v/>
      </c>
      <c r="I70" s="277"/>
      <c r="J70" s="150">
        <f>IF(RTD("cqg.rtd", ,"ContractData",A70, "MT_LastBidVolume",, "T")=0,"",RTD("cqg.rtd", ,"ContractData",A70, "MT_LastBidVolume",, "T"))</f>
        <v>11</v>
      </c>
      <c r="K70" s="145">
        <f>RTD("cqg.rtd", ,"ContractData",A70, "Bid",, "T")</f>
        <v>3</v>
      </c>
      <c r="L70" s="145"/>
      <c r="M70" s="145" t="str">
        <f>RTD("cqg.rtd", ,"ContractData",A70, "Ask",, "T")</f>
        <v/>
      </c>
      <c r="N70" s="150" t="str">
        <f>IF(RTD("cqg.rtd", ,"ContractData",A70, "MT_LastAskVolume",, "T")=0,"",RTD("cqg.rtd", ,"ContractData",A70, "MT_LastAskVolume",, "T"))</f>
        <v/>
      </c>
      <c r="O70" s="149">
        <f t="shared" si="6"/>
        <v>0</v>
      </c>
      <c r="P70" s="148" t="str">
        <f>IF(B70="","",RTD("cqg.rtd",,"ContractData",A70,"Open",,"T"))</f>
        <v/>
      </c>
      <c r="Q70" s="148" t="str">
        <f>IF(B70="","",RTD("cqg.rtd",,"ContractData",A70,"High",,"T"))</f>
        <v/>
      </c>
      <c r="R70" s="148" t="str">
        <f>IF(B70="","",RTD("cqg.rtd",,"ContractData",A70,"Low",,"T"))</f>
        <v/>
      </c>
      <c r="S70" s="147" t="str">
        <f>IF(RTD("cqg.rtd", ,"ContractData",A70, "T_CVol",, "T")=0,"",RTD("cqg.rtd", ,"ContractData",A70, "T_CVol",, "T"))</f>
        <v/>
      </c>
      <c r="T70" s="147" t="str">
        <f>IF(RTD("cqg.rtd", ,"ContractData",A70, "Y_CVol",, "T")=0,"",RTD("cqg.rtd", ,"ContractData",A70, "Y_CVol",, "T"))</f>
        <v/>
      </c>
      <c r="U70" s="147" t="str">
        <f t="shared" si="7"/>
        <v/>
      </c>
      <c r="V70" s="147">
        <f>IF(RTD("cqg.rtd",,"StudyData",A70, "OI", "OIType=Contract", "OI","D","-1","ALL",,,"TRUE","T")=0,"",RTD("cqg.rtd",,"StudyData",A70, "OI", "OIType=Contract", "OI","D","-1","ALL",,,"TRUE","T"))</f>
        <v>4</v>
      </c>
      <c r="W70" s="147">
        <f>IF(RTD("cqg.rtd",,"StudyData",A70, "OI", "OIType=Contract", "OI","D","-2","ALL",,,"TRUE","T")=0,"",RTD("cqg.rtd",,"StudyData",A70, "OI", "OIType=Contract", "OI","D","-2","ALL",,,"TRUE","T"))</f>
        <v>4</v>
      </c>
      <c r="X70" s="146" t="str">
        <f t="shared" si="8"/>
        <v/>
      </c>
      <c r="Y70" s="145" t="str">
        <f>RTD("cqg.rtd", ,"ContractData",A70, "T_Settlement",, "T")</f>
        <v/>
      </c>
      <c r="Z70" s="145">
        <f>RTD("cqg.rtd", ,"ContractData",A70, "Y_Settlement",, "T")</f>
        <v>3.1430000000000002</v>
      </c>
      <c r="AA70" s="144">
        <f>RTD("cqg.rtd", ,"ContractData",A70, "ExpirationDate",, "T")</f>
        <v>44923</v>
      </c>
      <c r="AB70" s="143" t="str">
        <f>RIGHT(RTD("cqg.rtd", ,"ContractData",A70, "LongDescription",, "T"),6)</f>
        <v>Jan 23</v>
      </c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</row>
    <row r="71" spans="1:39" x14ac:dyDescent="0.3">
      <c r="A71" s="123" t="s">
        <v>127</v>
      </c>
      <c r="B71" s="154" t="str">
        <f>RIGHT(RTD("cqg.rtd", ,"ContractData",A71, "LongDescription",, "T"),6)</f>
        <v>Feb 23</v>
      </c>
      <c r="C71" s="153">
        <f t="shared" si="9"/>
        <v>7</v>
      </c>
      <c r="D71" s="153">
        <f t="shared" si="5"/>
        <v>0</v>
      </c>
      <c r="E71" s="152" t="str">
        <f>IF(B71="","",RTD("cqg.rtd",,"ContractData",A71,"NetLastTradeToday",,"T"))</f>
        <v/>
      </c>
      <c r="F71" s="148" t="str">
        <f>IF(B71="","",RTD("cqg.rtd",,"ContractData",A71,"LastTradeToday",,"T"))</f>
        <v/>
      </c>
      <c r="G71" s="148" t="str">
        <f>IF(B71="","",RTD("cqg.rtd",,"ContractData",A71,"NetLastTradeToday",,"T"))</f>
        <v/>
      </c>
      <c r="H71" s="151" t="str">
        <f>IF(F71="","",MOD(RTD("cqg.rtd", ,"ContractData",A71, "DTLastTrade",, "T"),1))</f>
        <v/>
      </c>
      <c r="I71" s="277"/>
      <c r="J71" s="150">
        <f>IF(RTD("cqg.rtd", ,"ContractData",A71, "MT_LastBidVolume",, "T")=0,"",RTD("cqg.rtd", ,"ContractData",A71, "MT_LastBidVolume",, "T"))</f>
        <v>11</v>
      </c>
      <c r="K71" s="145">
        <f>RTD("cqg.rtd", ,"ContractData",A71, "Bid",, "T")</f>
        <v>3</v>
      </c>
      <c r="L71" s="145"/>
      <c r="M71" s="145" t="str">
        <f>RTD("cqg.rtd", ,"ContractData",A71, "Ask",, "T")</f>
        <v/>
      </c>
      <c r="N71" s="150" t="str">
        <f>IF(RTD("cqg.rtd", ,"ContractData",A71, "MT_LastAskVolume",, "T")=0,"",RTD("cqg.rtd", ,"ContractData",A71, "MT_LastAskVolume",, "T"))</f>
        <v/>
      </c>
      <c r="O71" s="149">
        <f t="shared" si="6"/>
        <v>0</v>
      </c>
      <c r="P71" s="148" t="str">
        <f>IF(B71="","",RTD("cqg.rtd",,"ContractData",A71,"Open",,"T"))</f>
        <v/>
      </c>
      <c r="Q71" s="148" t="str">
        <f>IF(B71="","",RTD("cqg.rtd",,"ContractData",A71,"High",,"T"))</f>
        <v/>
      </c>
      <c r="R71" s="148" t="str">
        <f>IF(B71="","",RTD("cqg.rtd",,"ContractData",A71,"Low",,"T"))</f>
        <v/>
      </c>
      <c r="S71" s="147" t="str">
        <f>IF(RTD("cqg.rtd", ,"ContractData",A71, "T_CVol",, "T")=0,"",RTD("cqg.rtd", ,"ContractData",A71, "T_CVol",, "T"))</f>
        <v/>
      </c>
      <c r="T71" s="147" t="str">
        <f>IF(RTD("cqg.rtd", ,"ContractData",A71, "Y_CVol",, "T")=0,"",RTD("cqg.rtd", ,"ContractData",A71, "Y_CVol",, "T"))</f>
        <v/>
      </c>
      <c r="U71" s="147" t="str">
        <f t="shared" si="7"/>
        <v/>
      </c>
      <c r="V71" s="147">
        <f>IF(RTD("cqg.rtd",,"StudyData",A71, "OI", "OIType=Contract", "OI","D","-1","ALL",,,"TRUE","T")=0,"",RTD("cqg.rtd",,"StudyData",A71, "OI", "OIType=Contract", "OI","D","-1","ALL",,,"TRUE","T"))</f>
        <v>1</v>
      </c>
      <c r="W71" s="147">
        <f>IF(RTD("cqg.rtd",,"StudyData",A71, "OI", "OIType=Contract", "OI","D","-2","ALL",,,"TRUE","T")=0,"",RTD("cqg.rtd",,"StudyData",A71, "OI", "OIType=Contract", "OI","D","-2","ALL",,,"TRUE","T"))</f>
        <v>1</v>
      </c>
      <c r="X71" s="146" t="str">
        <f t="shared" si="8"/>
        <v/>
      </c>
      <c r="Y71" s="145" t="str">
        <f>RTD("cqg.rtd", ,"ContractData",A71, "T_Settlement",, "T")</f>
        <v/>
      </c>
      <c r="Z71" s="145">
        <f>RTD("cqg.rtd", ,"ContractData",A71, "Y_Settlement",, "T")</f>
        <v>3.1160000000000001</v>
      </c>
      <c r="AA71" s="144">
        <f>RTD("cqg.rtd", ,"ContractData",A71, "ExpirationDate",, "T")</f>
        <v>44953</v>
      </c>
      <c r="AB71" s="143" t="str">
        <f>RIGHT(RTD("cqg.rtd", ,"ContractData",A71, "LongDescription",, "T"),6)</f>
        <v>Feb 23</v>
      </c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</row>
    <row r="72" spans="1:39" x14ac:dyDescent="0.3">
      <c r="A72" s="123" t="s">
        <v>126</v>
      </c>
      <c r="B72" s="154" t="str">
        <f>RIGHT(RTD("cqg.rtd", ,"ContractData",A72, "LongDescription",, "T"),6)</f>
        <v>Mar 23</v>
      </c>
      <c r="C72" s="153">
        <f t="shared" si="9"/>
        <v>7</v>
      </c>
      <c r="D72" s="153">
        <f t="shared" ref="D72:D103" si="10">IF(ISEVEN(C72),1,0)</f>
        <v>0</v>
      </c>
      <c r="E72" s="152" t="str">
        <f>IF(B72="","",RTD("cqg.rtd",,"ContractData",A72,"NetLastTradeToday",,"T"))</f>
        <v/>
      </c>
      <c r="F72" s="148" t="str">
        <f>IF(B72="","",RTD("cqg.rtd",,"ContractData",A72,"LastTradeToday",,"T"))</f>
        <v/>
      </c>
      <c r="G72" s="148" t="str">
        <f>IF(B72="","",RTD("cqg.rtd",,"ContractData",A72,"NetLastTradeToday",,"T"))</f>
        <v/>
      </c>
      <c r="H72" s="151" t="str">
        <f>IF(F72="","",MOD(RTD("cqg.rtd", ,"ContractData",A72, "DTLastTrade",, "T"),1))</f>
        <v/>
      </c>
      <c r="I72" s="277"/>
      <c r="J72" s="150" t="str">
        <f>IF(RTD("cqg.rtd", ,"ContractData",A72, "MT_LastBidVolume",, "T")=0,"",RTD("cqg.rtd", ,"ContractData",A72, "MT_LastBidVolume",, "T"))</f>
        <v/>
      </c>
      <c r="K72" s="145" t="str">
        <f>RTD("cqg.rtd", ,"ContractData",A72, "Bid",, "T")</f>
        <v/>
      </c>
      <c r="L72" s="145"/>
      <c r="M72" s="145" t="str">
        <f>RTD("cqg.rtd", ,"ContractData",A72, "Ask",, "T")</f>
        <v/>
      </c>
      <c r="N72" s="150" t="str">
        <f>IF(RTD("cqg.rtd", ,"ContractData",A72, "MT_LastAskVolume",, "T")=0,"",RTD("cqg.rtd", ,"ContractData",A72, "MT_LastAskVolume",, "T"))</f>
        <v/>
      </c>
      <c r="O72" s="149">
        <f t="shared" ref="O72:O103" si="11">IF(F72="",0,IF(F72=P72,1,IF(Q72-F72&lt;=0.001,2,IF(F72-R72&lt;=0.001,3))))</f>
        <v>0</v>
      </c>
      <c r="P72" s="148" t="str">
        <f>IF(B72="","",RTD("cqg.rtd",,"ContractData",A72,"Open",,"T"))</f>
        <v/>
      </c>
      <c r="Q72" s="148" t="str">
        <f>IF(B72="","",RTD("cqg.rtd",,"ContractData",A72,"High",,"T"))</f>
        <v/>
      </c>
      <c r="R72" s="148" t="str">
        <f>IF(B72="","",RTD("cqg.rtd",,"ContractData",A72,"Low",,"T"))</f>
        <v/>
      </c>
      <c r="S72" s="147" t="str">
        <f>IF(RTD("cqg.rtd", ,"ContractData",A72, "T_CVol",, "T")=0,"",RTD("cqg.rtd", ,"ContractData",A72, "T_CVol",, "T"))</f>
        <v/>
      </c>
      <c r="T72" s="147" t="str">
        <f>IF(RTD("cqg.rtd", ,"ContractData",A72, "Y_CVol",, "T")=0,"",RTD("cqg.rtd", ,"ContractData",A72, "Y_CVol",, "T"))</f>
        <v/>
      </c>
      <c r="U72" s="147" t="str">
        <f t="shared" ref="U72:U103" si="12">IFERROR(IF(S72-T72=0,"",S72-T72),"")</f>
        <v/>
      </c>
      <c r="V72" s="147">
        <f>IF(RTD("cqg.rtd",,"StudyData",A72, "OI", "OIType=Contract", "OI","D","-1","ALL",,,"TRUE","T")=0,"",RTD("cqg.rtd",,"StudyData",A72, "OI", "OIType=Contract", "OI","D","-1","ALL",,,"TRUE","T"))</f>
        <v>12</v>
      </c>
      <c r="W72" s="147">
        <f>IF(RTD("cqg.rtd",,"StudyData",A72, "OI", "OIType=Contract", "OI","D","-2","ALL",,,"TRUE","T")=0,"",RTD("cqg.rtd",,"StudyData",A72, "OI", "OIType=Contract", "OI","D","-2","ALL",,,"TRUE","T"))</f>
        <v>12</v>
      </c>
      <c r="X72" s="146" t="str">
        <f t="shared" ref="X72:X103" si="13">IFERROR(IF(V72-W72=0,"",V72-W72),"")</f>
        <v/>
      </c>
      <c r="Y72" s="145" t="str">
        <f>RTD("cqg.rtd", ,"ContractData",A72, "T_Settlement",, "T")</f>
        <v/>
      </c>
      <c r="Z72" s="145">
        <f>RTD("cqg.rtd", ,"ContractData",A72, "Y_Settlement",, "T")</f>
        <v>3.0540000000000003</v>
      </c>
      <c r="AA72" s="144">
        <f>RTD("cqg.rtd", ,"ContractData",A72, "ExpirationDate",, "T")</f>
        <v>44981</v>
      </c>
      <c r="AB72" s="143" t="str">
        <f>RIGHT(RTD("cqg.rtd", ,"ContractData",A72, "LongDescription",, "T"),6)</f>
        <v>Mar 23</v>
      </c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</row>
    <row r="73" spans="1:39" x14ac:dyDescent="0.3">
      <c r="A73" s="123" t="s">
        <v>125</v>
      </c>
      <c r="B73" s="154" t="str">
        <f>RIGHT(RTD("cqg.rtd", ,"ContractData",A73, "LongDescription",, "T"),6)</f>
        <v>Apr 23</v>
      </c>
      <c r="C73" s="153">
        <f t="shared" ref="C73:C104" si="14">IF(RIGHT(B73,1)=RIGHT(B72,1),C72,C72+1)</f>
        <v>7</v>
      </c>
      <c r="D73" s="153">
        <f t="shared" si="10"/>
        <v>0</v>
      </c>
      <c r="E73" s="152" t="str">
        <f>IF(B73="","",RTD("cqg.rtd",,"ContractData",A73,"NetLastTradeToday",,"T"))</f>
        <v/>
      </c>
      <c r="F73" s="148" t="str">
        <f>IF(B73="","",RTD("cqg.rtd",,"ContractData",A73,"LastTradeToday",,"T"))</f>
        <v/>
      </c>
      <c r="G73" s="148" t="str">
        <f>IF(B73="","",RTD("cqg.rtd",,"ContractData",A73,"NetLastTradeToday",,"T"))</f>
        <v/>
      </c>
      <c r="H73" s="151" t="str">
        <f>IF(F73="","",MOD(RTD("cqg.rtd", ,"ContractData",A73, "DTLastTrade",, "T"),1))</f>
        <v/>
      </c>
      <c r="I73" s="277"/>
      <c r="J73" s="150" t="str">
        <f>IF(RTD("cqg.rtd", ,"ContractData",A73, "MT_LastBidVolume",, "T")=0,"",RTD("cqg.rtd", ,"ContractData",A73, "MT_LastBidVolume",, "T"))</f>
        <v/>
      </c>
      <c r="K73" s="145" t="str">
        <f>RTD("cqg.rtd", ,"ContractData",A73, "Bid",, "T")</f>
        <v/>
      </c>
      <c r="L73" s="145"/>
      <c r="M73" s="145" t="str">
        <f>RTD("cqg.rtd", ,"ContractData",A73, "Ask",, "T")</f>
        <v/>
      </c>
      <c r="N73" s="150" t="str">
        <f>IF(RTD("cqg.rtd", ,"ContractData",A73, "MT_LastAskVolume",, "T")=0,"",RTD("cqg.rtd", ,"ContractData",A73, "MT_LastAskVolume",, "T"))</f>
        <v/>
      </c>
      <c r="O73" s="149">
        <f t="shared" si="11"/>
        <v>0</v>
      </c>
      <c r="P73" s="148" t="str">
        <f>IF(B73="","",RTD("cqg.rtd",,"ContractData",A73,"Open",,"T"))</f>
        <v/>
      </c>
      <c r="Q73" s="148" t="str">
        <f>IF(B73="","",RTD("cqg.rtd",,"ContractData",A73,"High",,"T"))</f>
        <v/>
      </c>
      <c r="R73" s="148" t="str">
        <f>IF(B73="","",RTD("cqg.rtd",,"ContractData",A73,"Low",,"T"))</f>
        <v/>
      </c>
      <c r="S73" s="147" t="str">
        <f>IF(RTD("cqg.rtd", ,"ContractData",A73, "T_CVol",, "T")=0,"",RTD("cqg.rtd", ,"ContractData",A73, "T_CVol",, "T"))</f>
        <v/>
      </c>
      <c r="T73" s="147" t="str">
        <f>IF(RTD("cqg.rtd", ,"ContractData",A73, "Y_CVol",, "T")=0,"",RTD("cqg.rtd", ,"ContractData",A73, "Y_CVol",, "T"))</f>
        <v/>
      </c>
      <c r="U73" s="147" t="str">
        <f t="shared" si="12"/>
        <v/>
      </c>
      <c r="V73" s="147">
        <f>IF(RTD("cqg.rtd",,"StudyData",A73, "OI", "OIType=Contract", "OI","D","-1","ALL",,,"TRUE","T")=0,"",RTD("cqg.rtd",,"StudyData",A73, "OI", "OIType=Contract", "OI","D","-1","ALL",,,"TRUE","T"))</f>
        <v>12</v>
      </c>
      <c r="W73" s="147">
        <f>IF(RTD("cqg.rtd",,"StudyData",A73, "OI", "OIType=Contract", "OI","D","-2","ALL",,,"TRUE","T")=0,"",RTD("cqg.rtd",,"StudyData",A73, "OI", "OIType=Contract", "OI","D","-2","ALL",,,"TRUE","T"))</f>
        <v>12</v>
      </c>
      <c r="X73" s="146" t="str">
        <f t="shared" si="13"/>
        <v/>
      </c>
      <c r="Y73" s="145" t="str">
        <f>RTD("cqg.rtd", ,"ContractData",A73, "T_Settlement",, "T")</f>
        <v/>
      </c>
      <c r="Z73" s="145">
        <f>RTD("cqg.rtd", ,"ContractData",A73, "Y_Settlement",, "T")</f>
        <v>2.7410000000000001</v>
      </c>
      <c r="AA73" s="144">
        <f>RTD("cqg.rtd", ,"ContractData",A73, "ExpirationDate",, "T")</f>
        <v>45014</v>
      </c>
      <c r="AB73" s="143" t="str">
        <f>RIGHT(RTD("cqg.rtd", ,"ContractData",A73, "LongDescription",, "T"),6)</f>
        <v>Apr 23</v>
      </c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</row>
    <row r="74" spans="1:39" x14ac:dyDescent="0.3">
      <c r="A74" s="123" t="s">
        <v>124</v>
      </c>
      <c r="B74" s="154" t="str">
        <f>RIGHT(RTD("cqg.rtd", ,"ContractData",A74, "LongDescription",, "T"),6)</f>
        <v>May 23</v>
      </c>
      <c r="C74" s="153">
        <f t="shared" si="14"/>
        <v>7</v>
      </c>
      <c r="D74" s="153">
        <f t="shared" si="10"/>
        <v>0</v>
      </c>
      <c r="E74" s="152" t="str">
        <f>IF(B74="","",RTD("cqg.rtd",,"ContractData",A74,"NetLastTradeToday",,"T"))</f>
        <v/>
      </c>
      <c r="F74" s="148" t="str">
        <f>IF(B74="","",RTD("cqg.rtd",,"ContractData",A74,"LastTradeToday",,"T"))</f>
        <v/>
      </c>
      <c r="G74" s="148" t="str">
        <f>IF(B74="","",RTD("cqg.rtd",,"ContractData",A74,"NetLastTradeToday",,"T"))</f>
        <v/>
      </c>
      <c r="H74" s="151" t="str">
        <f>IF(F74="","",MOD(RTD("cqg.rtd", ,"ContractData",A74, "DTLastTrade",, "T"),1))</f>
        <v/>
      </c>
      <c r="I74" s="277"/>
      <c r="J74" s="150" t="str">
        <f>IF(RTD("cqg.rtd", ,"ContractData",A74, "MT_LastBidVolume",, "T")=0,"",RTD("cqg.rtd", ,"ContractData",A74, "MT_LastBidVolume",, "T"))</f>
        <v/>
      </c>
      <c r="K74" s="145" t="str">
        <f>RTD("cqg.rtd", ,"ContractData",A74, "Bid",, "T")</f>
        <v/>
      </c>
      <c r="L74" s="145"/>
      <c r="M74" s="145" t="str">
        <f>RTD("cqg.rtd", ,"ContractData",A74, "Ask",, "T")</f>
        <v/>
      </c>
      <c r="N74" s="150" t="str">
        <f>IF(RTD("cqg.rtd", ,"ContractData",A74, "MT_LastAskVolume",, "T")=0,"",RTD("cqg.rtd", ,"ContractData",A74, "MT_LastAskVolume",, "T"))</f>
        <v/>
      </c>
      <c r="O74" s="149">
        <f t="shared" si="11"/>
        <v>0</v>
      </c>
      <c r="P74" s="148" t="str">
        <f>IF(B74="","",RTD("cqg.rtd",,"ContractData",A74,"Open",,"T"))</f>
        <v/>
      </c>
      <c r="Q74" s="148" t="str">
        <f>IF(B74="","",RTD("cqg.rtd",,"ContractData",A74,"High",,"T"))</f>
        <v/>
      </c>
      <c r="R74" s="148" t="str">
        <f>IF(B74="","",RTD("cqg.rtd",,"ContractData",A74,"Low",,"T"))</f>
        <v/>
      </c>
      <c r="S74" s="147" t="str">
        <f>IF(RTD("cqg.rtd", ,"ContractData",A74, "T_CVol",, "T")=0,"",RTD("cqg.rtd", ,"ContractData",A74, "T_CVol",, "T"))</f>
        <v/>
      </c>
      <c r="T74" s="147" t="str">
        <f>IF(RTD("cqg.rtd", ,"ContractData",A74, "Y_CVol",, "T")=0,"",RTD("cqg.rtd", ,"ContractData",A74, "Y_CVol",, "T"))</f>
        <v/>
      </c>
      <c r="U74" s="147" t="str">
        <f t="shared" si="12"/>
        <v/>
      </c>
      <c r="V74" s="147">
        <f>IF(RTD("cqg.rtd",,"StudyData",A74, "OI", "OIType=Contract", "OI","D","-1","ALL",,,"TRUE","T")=0,"",RTD("cqg.rtd",,"StudyData",A74, "OI", "OIType=Contract", "OI","D","-1","ALL",,,"TRUE","T"))</f>
        <v>19</v>
      </c>
      <c r="W74" s="147">
        <f>IF(RTD("cqg.rtd",,"StudyData",A74, "OI", "OIType=Contract", "OI","D","-2","ALL",,,"TRUE","T")=0,"",RTD("cqg.rtd",,"StudyData",A74, "OI", "OIType=Contract", "OI","D","-2","ALL",,,"TRUE","T"))</f>
        <v>19</v>
      </c>
      <c r="X74" s="146" t="str">
        <f t="shared" si="13"/>
        <v/>
      </c>
      <c r="Y74" s="145" t="str">
        <f>RTD("cqg.rtd", ,"ContractData",A74, "T_Settlement",, "T")</f>
        <v/>
      </c>
      <c r="Z74" s="145">
        <f>RTD("cqg.rtd", ,"ContractData",A74, "Y_Settlement",, "T")</f>
        <v>2.7229999999999999</v>
      </c>
      <c r="AA74" s="144">
        <f>RTD("cqg.rtd", ,"ContractData",A74, "ExpirationDate",, "T")</f>
        <v>45042</v>
      </c>
      <c r="AB74" s="143" t="str">
        <f>RIGHT(RTD("cqg.rtd", ,"ContractData",A74, "LongDescription",, "T"),6)</f>
        <v>May 23</v>
      </c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</row>
    <row r="75" spans="1:39" x14ac:dyDescent="0.3">
      <c r="A75" s="123" t="s">
        <v>123</v>
      </c>
      <c r="B75" s="154" t="str">
        <f>RIGHT(RTD("cqg.rtd", ,"ContractData",A75, "LongDescription",, "T"),6)</f>
        <v>Jun 23</v>
      </c>
      <c r="C75" s="153">
        <f t="shared" si="14"/>
        <v>7</v>
      </c>
      <c r="D75" s="153">
        <f t="shared" si="10"/>
        <v>0</v>
      </c>
      <c r="E75" s="152" t="str">
        <f>IF(B75="","",RTD("cqg.rtd",,"ContractData",A75,"NetLastTradeToday",,"T"))</f>
        <v/>
      </c>
      <c r="F75" s="148" t="str">
        <f>IF(B75="","",RTD("cqg.rtd",,"ContractData",A75,"LastTradeToday",,"T"))</f>
        <v/>
      </c>
      <c r="G75" s="148" t="str">
        <f>IF(B75="","",RTD("cqg.rtd",,"ContractData",A75,"NetLastTradeToday",,"T"))</f>
        <v/>
      </c>
      <c r="H75" s="151" t="str">
        <f>IF(F75="","",MOD(RTD("cqg.rtd", ,"ContractData",A75, "DTLastTrade",, "T"),1))</f>
        <v/>
      </c>
      <c r="I75" s="277"/>
      <c r="J75" s="150" t="str">
        <f>IF(RTD("cqg.rtd", ,"ContractData",A75, "MT_LastBidVolume",, "T")=0,"",RTD("cqg.rtd", ,"ContractData",A75, "MT_LastBidVolume",, "T"))</f>
        <v/>
      </c>
      <c r="K75" s="145" t="str">
        <f>RTD("cqg.rtd", ,"ContractData",A75, "Bid",, "T")</f>
        <v/>
      </c>
      <c r="L75" s="145"/>
      <c r="M75" s="145" t="str">
        <f>RTD("cqg.rtd", ,"ContractData",A75, "Ask",, "T")</f>
        <v/>
      </c>
      <c r="N75" s="150" t="str">
        <f>IF(RTD("cqg.rtd", ,"ContractData",A75, "MT_LastAskVolume",, "T")=0,"",RTD("cqg.rtd", ,"ContractData",A75, "MT_LastAskVolume",, "T"))</f>
        <v/>
      </c>
      <c r="O75" s="149">
        <f t="shared" si="11"/>
        <v>0</v>
      </c>
      <c r="P75" s="148" t="str">
        <f>IF(B75="","",RTD("cqg.rtd",,"ContractData",A75,"Open",,"T"))</f>
        <v/>
      </c>
      <c r="Q75" s="148" t="str">
        <f>IF(B75="","",RTD("cqg.rtd",,"ContractData",A75,"High",,"T"))</f>
        <v/>
      </c>
      <c r="R75" s="148" t="str">
        <f>IF(B75="","",RTD("cqg.rtd",,"ContractData",A75,"Low",,"T"))</f>
        <v/>
      </c>
      <c r="S75" s="147" t="str">
        <f>IF(RTD("cqg.rtd", ,"ContractData",A75, "T_CVol",, "T")=0,"",RTD("cqg.rtd", ,"ContractData",A75, "T_CVol",, "T"))</f>
        <v/>
      </c>
      <c r="T75" s="147" t="str">
        <f>IF(RTD("cqg.rtd", ,"ContractData",A75, "Y_CVol",, "T")=0,"",RTD("cqg.rtd", ,"ContractData",A75, "Y_CVol",, "T"))</f>
        <v/>
      </c>
      <c r="U75" s="147" t="str">
        <f t="shared" si="12"/>
        <v/>
      </c>
      <c r="V75" s="147">
        <f>IF(RTD("cqg.rtd",,"StudyData",A75, "OI", "OIType=Contract", "OI","D","-1","ALL",,,"TRUE","T")=0,"",RTD("cqg.rtd",,"StudyData",A75, "OI", "OIType=Contract", "OI","D","-1","ALL",,,"TRUE","T"))</f>
        <v>12</v>
      </c>
      <c r="W75" s="147">
        <f>IF(RTD("cqg.rtd",,"StudyData",A75, "OI", "OIType=Contract", "OI","D","-2","ALL",,,"TRUE","T")=0,"",RTD("cqg.rtd",,"StudyData",A75, "OI", "OIType=Contract", "OI","D","-2","ALL",,,"TRUE","T"))</f>
        <v>12</v>
      </c>
      <c r="X75" s="146" t="str">
        <f t="shared" si="13"/>
        <v/>
      </c>
      <c r="Y75" s="145" t="str">
        <f>RTD("cqg.rtd", ,"ContractData",A75, "T_Settlement",, "T")</f>
        <v/>
      </c>
      <c r="Z75" s="145">
        <f>RTD("cqg.rtd", ,"ContractData",A75, "Y_Settlement",, "T")</f>
        <v>2.7480000000000002</v>
      </c>
      <c r="AA75" s="144">
        <f>RTD("cqg.rtd", ,"ContractData",A75, "ExpirationDate",, "T")</f>
        <v>45075</v>
      </c>
      <c r="AB75" s="143" t="str">
        <f>RIGHT(RTD("cqg.rtd", ,"ContractData",A75, "LongDescription",, "T"),6)</f>
        <v>Jun 23</v>
      </c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</row>
    <row r="76" spans="1:39" x14ac:dyDescent="0.3">
      <c r="A76" s="123" t="s">
        <v>122</v>
      </c>
      <c r="B76" s="154" t="str">
        <f>RIGHT(RTD("cqg.rtd", ,"ContractData",A76, "LongDescription",, "T"),6)</f>
        <v>Jul 23</v>
      </c>
      <c r="C76" s="153">
        <f t="shared" si="14"/>
        <v>7</v>
      </c>
      <c r="D76" s="153">
        <f t="shared" si="10"/>
        <v>0</v>
      </c>
      <c r="E76" s="152" t="str">
        <f>IF(B76="","",RTD("cqg.rtd",,"ContractData",A76,"NetLastTradeToday",,"T"))</f>
        <v/>
      </c>
      <c r="F76" s="148" t="str">
        <f>IF(B76="","",RTD("cqg.rtd",,"ContractData",A76,"LastTradeToday",,"T"))</f>
        <v/>
      </c>
      <c r="G76" s="148" t="str">
        <f>IF(B76="","",RTD("cqg.rtd",,"ContractData",A76,"NetLastTradeToday",,"T"))</f>
        <v/>
      </c>
      <c r="H76" s="151" t="str">
        <f>IF(F76="","",MOD(RTD("cqg.rtd", ,"ContractData",A76, "DTLastTrade",, "T"),1))</f>
        <v/>
      </c>
      <c r="I76" s="277"/>
      <c r="J76" s="150" t="str">
        <f>IF(RTD("cqg.rtd", ,"ContractData",A76, "MT_LastBidVolume",, "T")=0,"",RTD("cqg.rtd", ,"ContractData",A76, "MT_LastBidVolume",, "T"))</f>
        <v/>
      </c>
      <c r="K76" s="145" t="str">
        <f>RTD("cqg.rtd", ,"ContractData",A76, "Bid",, "T")</f>
        <v/>
      </c>
      <c r="L76" s="145"/>
      <c r="M76" s="145" t="str">
        <f>RTD("cqg.rtd", ,"ContractData",A76, "Ask",, "T")</f>
        <v/>
      </c>
      <c r="N76" s="150" t="str">
        <f>IF(RTD("cqg.rtd", ,"ContractData",A76, "MT_LastAskVolume",, "T")=0,"",RTD("cqg.rtd", ,"ContractData",A76, "MT_LastAskVolume",, "T"))</f>
        <v/>
      </c>
      <c r="O76" s="149">
        <f t="shared" si="11"/>
        <v>0</v>
      </c>
      <c r="P76" s="148" t="str">
        <f>IF(B76="","",RTD("cqg.rtd",,"ContractData",A76,"Open",,"T"))</f>
        <v/>
      </c>
      <c r="Q76" s="148" t="str">
        <f>IF(B76="","",RTD("cqg.rtd",,"ContractData",A76,"High",,"T"))</f>
        <v/>
      </c>
      <c r="R76" s="148" t="str">
        <f>IF(B76="","",RTD("cqg.rtd",,"ContractData",A76,"Low",,"T"))</f>
        <v/>
      </c>
      <c r="S76" s="147" t="str">
        <f>IF(RTD("cqg.rtd", ,"ContractData",A76, "T_CVol",, "T")=0,"",RTD("cqg.rtd", ,"ContractData",A76, "T_CVol",, "T"))</f>
        <v/>
      </c>
      <c r="T76" s="147" t="str">
        <f>IF(RTD("cqg.rtd", ,"ContractData",A76, "Y_CVol",, "T")=0,"",RTD("cqg.rtd", ,"ContractData",A76, "Y_CVol",, "T"))</f>
        <v/>
      </c>
      <c r="U76" s="147" t="str">
        <f t="shared" si="12"/>
        <v/>
      </c>
      <c r="V76" s="147">
        <f>IF(RTD("cqg.rtd",,"StudyData",A76, "OI", "OIType=Contract", "OI","D","-1","ALL",,,"TRUE","T")=0,"",RTD("cqg.rtd",,"StudyData",A76, "OI", "OIType=Contract", "OI","D","-1","ALL",,,"TRUE","T"))</f>
        <v>12</v>
      </c>
      <c r="W76" s="147">
        <f>IF(RTD("cqg.rtd",,"StudyData",A76, "OI", "OIType=Contract", "OI","D","-2","ALL",,,"TRUE","T")=0,"",RTD("cqg.rtd",,"StudyData",A76, "OI", "OIType=Contract", "OI","D","-2","ALL",,,"TRUE","T"))</f>
        <v>12</v>
      </c>
      <c r="X76" s="146" t="str">
        <f t="shared" si="13"/>
        <v/>
      </c>
      <c r="Y76" s="145" t="str">
        <f>RTD("cqg.rtd", ,"ContractData",A76, "T_Settlement",, "T")</f>
        <v/>
      </c>
      <c r="Z76" s="145">
        <f>RTD("cqg.rtd", ,"ContractData",A76, "Y_Settlement",, "T")</f>
        <v>2.7749999999999999</v>
      </c>
      <c r="AA76" s="144">
        <f>RTD("cqg.rtd", ,"ContractData",A76, "ExpirationDate",, "T")</f>
        <v>45105</v>
      </c>
      <c r="AB76" s="143" t="str">
        <f>RIGHT(RTD("cqg.rtd", ,"ContractData",A76, "LongDescription",, "T"),6)</f>
        <v>Jul 23</v>
      </c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</row>
    <row r="77" spans="1:39" x14ac:dyDescent="0.3">
      <c r="A77" s="123" t="s">
        <v>121</v>
      </c>
      <c r="B77" s="154" t="str">
        <f>RIGHT(RTD("cqg.rtd", ,"ContractData",A77, "LongDescription",, "T"),6)</f>
        <v>Aug 23</v>
      </c>
      <c r="C77" s="153">
        <f t="shared" si="14"/>
        <v>7</v>
      </c>
      <c r="D77" s="153">
        <f t="shared" si="10"/>
        <v>0</v>
      </c>
      <c r="E77" s="152" t="str">
        <f>IF(B77="","",RTD("cqg.rtd",,"ContractData",A77,"NetLastTradeToday",,"T"))</f>
        <v/>
      </c>
      <c r="F77" s="148" t="str">
        <f>IF(B77="","",RTD("cqg.rtd",,"ContractData",A77,"LastTradeToday",,"T"))</f>
        <v/>
      </c>
      <c r="G77" s="148" t="str">
        <f>IF(B77="","",RTD("cqg.rtd",,"ContractData",A77,"NetLastTradeToday",,"T"))</f>
        <v/>
      </c>
      <c r="H77" s="151" t="str">
        <f>IF(F77="","",MOD(RTD("cqg.rtd", ,"ContractData",A77, "DTLastTrade",, "T"),1))</f>
        <v/>
      </c>
      <c r="I77" s="277"/>
      <c r="J77" s="150" t="str">
        <f>IF(RTD("cqg.rtd", ,"ContractData",A77, "MT_LastBidVolume",, "T")=0,"",RTD("cqg.rtd", ,"ContractData",A77, "MT_LastBidVolume",, "T"))</f>
        <v/>
      </c>
      <c r="K77" s="145" t="str">
        <f>RTD("cqg.rtd", ,"ContractData",A77, "Bid",, "T")</f>
        <v/>
      </c>
      <c r="L77" s="145"/>
      <c r="M77" s="145" t="str">
        <f>RTD("cqg.rtd", ,"ContractData",A77, "Ask",, "T")</f>
        <v/>
      </c>
      <c r="N77" s="150" t="str">
        <f>IF(RTD("cqg.rtd", ,"ContractData",A77, "MT_LastAskVolume",, "T")=0,"",RTD("cqg.rtd", ,"ContractData",A77, "MT_LastAskVolume",, "T"))</f>
        <v/>
      </c>
      <c r="O77" s="149">
        <f t="shared" si="11"/>
        <v>0</v>
      </c>
      <c r="P77" s="148" t="str">
        <f>IF(B77="","",RTD("cqg.rtd",,"ContractData",A77,"Open",,"T"))</f>
        <v/>
      </c>
      <c r="Q77" s="148" t="str">
        <f>IF(B77="","",RTD("cqg.rtd",,"ContractData",A77,"High",,"T"))</f>
        <v/>
      </c>
      <c r="R77" s="148" t="str">
        <f>IF(B77="","",RTD("cqg.rtd",,"ContractData",A77,"Low",,"T"))</f>
        <v/>
      </c>
      <c r="S77" s="147" t="str">
        <f>IF(RTD("cqg.rtd", ,"ContractData",A77, "T_CVol",, "T")=0,"",RTD("cqg.rtd", ,"ContractData",A77, "T_CVol",, "T"))</f>
        <v/>
      </c>
      <c r="T77" s="147" t="str">
        <f>IF(RTD("cqg.rtd", ,"ContractData",A77, "Y_CVol",, "T")=0,"",RTD("cqg.rtd", ,"ContractData",A77, "Y_CVol",, "T"))</f>
        <v/>
      </c>
      <c r="U77" s="147" t="str">
        <f t="shared" si="12"/>
        <v/>
      </c>
      <c r="V77" s="147">
        <f>IF(RTD("cqg.rtd",,"StudyData",A77, "OI", "OIType=Contract", "OI","D","-1","ALL",,,"TRUE","T")=0,"",RTD("cqg.rtd",,"StudyData",A77, "OI", "OIType=Contract", "OI","D","-1","ALL",,,"TRUE","T"))</f>
        <v>23</v>
      </c>
      <c r="W77" s="147">
        <f>IF(RTD("cqg.rtd",,"StudyData",A77, "OI", "OIType=Contract", "OI","D","-2","ALL",,,"TRUE","T")=0,"",RTD("cqg.rtd",,"StudyData",A77, "OI", "OIType=Contract", "OI","D","-2","ALL",,,"TRUE","T"))</f>
        <v>23</v>
      </c>
      <c r="X77" s="146" t="str">
        <f t="shared" si="13"/>
        <v/>
      </c>
      <c r="Y77" s="145" t="str">
        <f>RTD("cqg.rtd", ,"ContractData",A77, "T_Settlement",, "T")</f>
        <v/>
      </c>
      <c r="Z77" s="145">
        <f>RTD("cqg.rtd", ,"ContractData",A77, "Y_Settlement",, "T")</f>
        <v>2.8010000000000002</v>
      </c>
      <c r="AA77" s="144">
        <f>RTD("cqg.rtd", ,"ContractData",A77, "ExpirationDate",, "T")</f>
        <v>45134</v>
      </c>
      <c r="AB77" s="143" t="str">
        <f>RIGHT(RTD("cqg.rtd", ,"ContractData",A77, "LongDescription",, "T"),6)</f>
        <v>Aug 23</v>
      </c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</row>
    <row r="78" spans="1:39" x14ac:dyDescent="0.3">
      <c r="A78" s="123" t="s">
        <v>120</v>
      </c>
      <c r="B78" s="154" t="str">
        <f>RIGHT(RTD("cqg.rtd", ,"ContractData",A78, "LongDescription",, "T"),6)</f>
        <v>Sep 23</v>
      </c>
      <c r="C78" s="153">
        <f t="shared" si="14"/>
        <v>7</v>
      </c>
      <c r="D78" s="153">
        <f t="shared" si="10"/>
        <v>0</v>
      </c>
      <c r="E78" s="152" t="str">
        <f>IF(B78="","",RTD("cqg.rtd",,"ContractData",A78,"NetLastTradeToday",,"T"))</f>
        <v/>
      </c>
      <c r="F78" s="148" t="str">
        <f>IF(B78="","",RTD("cqg.rtd",,"ContractData",A78,"LastTradeToday",,"T"))</f>
        <v/>
      </c>
      <c r="G78" s="148" t="str">
        <f>IF(B78="","",RTD("cqg.rtd",,"ContractData",A78,"NetLastTradeToday",,"T"))</f>
        <v/>
      </c>
      <c r="H78" s="151" t="str">
        <f>IF(F78="","",MOD(RTD("cqg.rtd", ,"ContractData",A78, "DTLastTrade",, "T"),1))</f>
        <v/>
      </c>
      <c r="I78" s="277"/>
      <c r="J78" s="150" t="str">
        <f>IF(RTD("cqg.rtd", ,"ContractData",A78, "MT_LastBidVolume",, "T")=0,"",RTD("cqg.rtd", ,"ContractData",A78, "MT_LastBidVolume",, "T"))</f>
        <v/>
      </c>
      <c r="K78" s="145" t="str">
        <f>RTD("cqg.rtd", ,"ContractData",A78, "Bid",, "T")</f>
        <v/>
      </c>
      <c r="L78" s="145"/>
      <c r="M78" s="145" t="str">
        <f>RTD("cqg.rtd", ,"ContractData",A78, "Ask",, "T")</f>
        <v/>
      </c>
      <c r="N78" s="150" t="str">
        <f>IF(RTD("cqg.rtd", ,"ContractData",A78, "MT_LastAskVolume",, "T")=0,"",RTD("cqg.rtd", ,"ContractData",A78, "MT_LastAskVolume",, "T"))</f>
        <v/>
      </c>
      <c r="O78" s="149">
        <f t="shared" si="11"/>
        <v>0</v>
      </c>
      <c r="P78" s="148" t="str">
        <f>IF(B78="","",RTD("cqg.rtd",,"ContractData",A78,"Open",,"T"))</f>
        <v/>
      </c>
      <c r="Q78" s="148" t="str">
        <f>IF(B78="","",RTD("cqg.rtd",,"ContractData",A78,"High",,"T"))</f>
        <v/>
      </c>
      <c r="R78" s="148" t="str">
        <f>IF(B78="","",RTD("cqg.rtd",,"ContractData",A78,"Low",,"T"))</f>
        <v/>
      </c>
      <c r="S78" s="147" t="str">
        <f>IF(RTD("cqg.rtd", ,"ContractData",A78, "T_CVol",, "T")=0,"",RTD("cqg.rtd", ,"ContractData",A78, "T_CVol",, "T"))</f>
        <v/>
      </c>
      <c r="T78" s="147" t="str">
        <f>IF(RTD("cqg.rtd", ,"ContractData",A78, "Y_CVol",, "T")=0,"",RTD("cqg.rtd", ,"ContractData",A78, "Y_CVol",, "T"))</f>
        <v/>
      </c>
      <c r="U78" s="147" t="str">
        <f t="shared" si="12"/>
        <v/>
      </c>
      <c r="V78" s="147">
        <f>IF(RTD("cqg.rtd",,"StudyData",A78, "OI", "OIType=Contract", "OI","D","-1","ALL",,,"TRUE","T")=0,"",RTD("cqg.rtd",,"StudyData",A78, "OI", "OIType=Contract", "OI","D","-1","ALL",,,"TRUE","T"))</f>
        <v>1</v>
      </c>
      <c r="W78" s="147">
        <f>IF(RTD("cqg.rtd",,"StudyData",A78, "OI", "OIType=Contract", "OI","D","-2","ALL",,,"TRUE","T")=0,"",RTD("cqg.rtd",,"StudyData",A78, "OI", "OIType=Contract", "OI","D","-2","ALL",,,"TRUE","T"))</f>
        <v>1</v>
      </c>
      <c r="X78" s="146" t="str">
        <f t="shared" si="13"/>
        <v/>
      </c>
      <c r="Y78" s="145" t="str">
        <f>RTD("cqg.rtd", ,"ContractData",A78, "T_Settlement",, "T")</f>
        <v/>
      </c>
      <c r="Z78" s="145">
        <f>RTD("cqg.rtd", ,"ContractData",A78, "Y_Settlement",, "T")</f>
        <v>2.8040000000000003</v>
      </c>
      <c r="AA78" s="144">
        <f>RTD("cqg.rtd", ,"ContractData",A78, "ExpirationDate",, "T")</f>
        <v>45167</v>
      </c>
      <c r="AB78" s="143" t="str">
        <f>RIGHT(RTD("cqg.rtd", ,"ContractData",A78, "LongDescription",, "T"),6)</f>
        <v>Sep 23</v>
      </c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</row>
    <row r="79" spans="1:39" x14ac:dyDescent="0.3">
      <c r="A79" s="123" t="s">
        <v>119</v>
      </c>
      <c r="B79" s="154" t="str">
        <f>RIGHT(RTD("cqg.rtd", ,"ContractData",A79, "LongDescription",, "T"),6)</f>
        <v>Oct 23</v>
      </c>
      <c r="C79" s="153">
        <f t="shared" si="14"/>
        <v>7</v>
      </c>
      <c r="D79" s="153">
        <f t="shared" si="10"/>
        <v>0</v>
      </c>
      <c r="E79" s="152" t="str">
        <f>IF(B79="","",RTD("cqg.rtd",,"ContractData",A79,"NetLastTradeToday",,"T"))</f>
        <v/>
      </c>
      <c r="F79" s="148" t="str">
        <f>IF(B79="","",RTD("cqg.rtd",,"ContractData",A79,"LastTradeToday",,"T"))</f>
        <v/>
      </c>
      <c r="G79" s="148" t="str">
        <f>IF(B79="","",RTD("cqg.rtd",,"ContractData",A79,"NetLastTradeToday",,"T"))</f>
        <v/>
      </c>
      <c r="H79" s="151" t="str">
        <f>IF(F79="","",MOD(RTD("cqg.rtd", ,"ContractData",A79, "DTLastTrade",, "T"),1))</f>
        <v/>
      </c>
      <c r="I79" s="277"/>
      <c r="J79" s="150" t="str">
        <f>IF(RTD("cqg.rtd", ,"ContractData",A79, "MT_LastBidVolume",, "T")=0,"",RTD("cqg.rtd", ,"ContractData",A79, "MT_LastBidVolume",, "T"))</f>
        <v/>
      </c>
      <c r="K79" s="145" t="str">
        <f>RTD("cqg.rtd", ,"ContractData",A79, "Bid",, "T")</f>
        <v/>
      </c>
      <c r="L79" s="145"/>
      <c r="M79" s="145" t="str">
        <f>RTD("cqg.rtd", ,"ContractData",A79, "Ask",, "T")</f>
        <v/>
      </c>
      <c r="N79" s="150" t="str">
        <f>IF(RTD("cqg.rtd", ,"ContractData",A79, "MT_LastAskVolume",, "T")=0,"",RTD("cqg.rtd", ,"ContractData",A79, "MT_LastAskVolume",, "T"))</f>
        <v/>
      </c>
      <c r="O79" s="149">
        <f t="shared" si="11"/>
        <v>0</v>
      </c>
      <c r="P79" s="148" t="str">
        <f>IF(B79="","",RTD("cqg.rtd",,"ContractData",A79,"Open",,"T"))</f>
        <v/>
      </c>
      <c r="Q79" s="148" t="str">
        <f>IF(B79="","",RTD("cqg.rtd",,"ContractData",A79,"High",,"T"))</f>
        <v/>
      </c>
      <c r="R79" s="148" t="str">
        <f>IF(B79="","",RTD("cqg.rtd",,"ContractData",A79,"Low",,"T"))</f>
        <v/>
      </c>
      <c r="S79" s="147" t="str">
        <f>IF(RTD("cqg.rtd", ,"ContractData",A79, "T_CVol",, "T")=0,"",RTD("cqg.rtd", ,"ContractData",A79, "T_CVol",, "T"))</f>
        <v/>
      </c>
      <c r="T79" s="147" t="str">
        <f>IF(RTD("cqg.rtd", ,"ContractData",A79, "Y_CVol",, "T")=0,"",RTD("cqg.rtd", ,"ContractData",A79, "Y_CVol",, "T"))</f>
        <v/>
      </c>
      <c r="U79" s="147" t="str">
        <f t="shared" si="12"/>
        <v/>
      </c>
      <c r="V79" s="147">
        <f>IF(RTD("cqg.rtd",,"StudyData",A79, "OI", "OIType=Contract", "OI","D","-1","ALL",,,"TRUE","T")=0,"",RTD("cqg.rtd",,"StudyData",A79, "OI", "OIType=Contract", "OI","D","-1","ALL",,,"TRUE","T"))</f>
        <v>16</v>
      </c>
      <c r="W79" s="147">
        <f>IF(RTD("cqg.rtd",,"StudyData",A79, "OI", "OIType=Contract", "OI","D","-2","ALL",,,"TRUE","T")=0,"",RTD("cqg.rtd",,"StudyData",A79, "OI", "OIType=Contract", "OI","D","-2","ALL",,,"TRUE","T"))</f>
        <v>16</v>
      </c>
      <c r="X79" s="146" t="str">
        <f t="shared" si="13"/>
        <v/>
      </c>
      <c r="Y79" s="145" t="str">
        <f>RTD("cqg.rtd", ,"ContractData",A79, "T_Settlement",, "T")</f>
        <v/>
      </c>
      <c r="Z79" s="145">
        <f>RTD("cqg.rtd", ,"ContractData",A79, "Y_Settlement",, "T")</f>
        <v>2.8380000000000001</v>
      </c>
      <c r="AA79" s="144">
        <f>RTD("cqg.rtd", ,"ContractData",A79, "ExpirationDate",, "T")</f>
        <v>45196</v>
      </c>
      <c r="AB79" s="143" t="str">
        <f>RIGHT(RTD("cqg.rtd", ,"ContractData",A79, "LongDescription",, "T"),6)</f>
        <v>Oct 23</v>
      </c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</row>
    <row r="80" spans="1:39" x14ac:dyDescent="0.3">
      <c r="A80" s="123" t="s">
        <v>118</v>
      </c>
      <c r="B80" s="154" t="str">
        <f>RIGHT(RTD("cqg.rtd", ,"ContractData",A80, "LongDescription",, "T"),6)</f>
        <v>Nov 23</v>
      </c>
      <c r="C80" s="153">
        <f t="shared" si="14"/>
        <v>7</v>
      </c>
      <c r="D80" s="153">
        <f t="shared" si="10"/>
        <v>0</v>
      </c>
      <c r="E80" s="152" t="str">
        <f>IF(B80="","",RTD("cqg.rtd",,"ContractData",A80,"NetLastTradeToday",,"T"))</f>
        <v/>
      </c>
      <c r="F80" s="148" t="str">
        <f>IF(B80="","",RTD("cqg.rtd",,"ContractData",A80,"LastTradeToday",,"T"))</f>
        <v/>
      </c>
      <c r="G80" s="148" t="str">
        <f>IF(B80="","",RTD("cqg.rtd",,"ContractData",A80,"NetLastTradeToday",,"T"))</f>
        <v/>
      </c>
      <c r="H80" s="151" t="str">
        <f>IF(F80="","",MOD(RTD("cqg.rtd", ,"ContractData",A80, "DTLastTrade",, "T"),1))</f>
        <v/>
      </c>
      <c r="I80" s="277"/>
      <c r="J80" s="150">
        <f>IF(RTD("cqg.rtd", ,"ContractData",A80, "MT_LastBidVolume",, "T")=0,"",RTD("cqg.rtd", ,"ContractData",A80, "MT_LastBidVolume",, "T"))</f>
        <v>11</v>
      </c>
      <c r="K80" s="145">
        <f>RTD("cqg.rtd", ,"ContractData",A80, "Bid",, "T")</f>
        <v>2.8959999999999999</v>
      </c>
      <c r="L80" s="145"/>
      <c r="M80" s="145" t="str">
        <f>RTD("cqg.rtd", ,"ContractData",A80, "Ask",, "T")</f>
        <v/>
      </c>
      <c r="N80" s="150" t="str">
        <f>IF(RTD("cqg.rtd", ,"ContractData",A80, "MT_LastAskVolume",, "T")=0,"",RTD("cqg.rtd", ,"ContractData",A80, "MT_LastAskVolume",, "T"))</f>
        <v/>
      </c>
      <c r="O80" s="149">
        <f t="shared" si="11"/>
        <v>0</v>
      </c>
      <c r="P80" s="148" t="str">
        <f>IF(B80="","",RTD("cqg.rtd",,"ContractData",A80,"Open",,"T"))</f>
        <v/>
      </c>
      <c r="Q80" s="148" t="str">
        <f>IF(B80="","",RTD("cqg.rtd",,"ContractData",A80,"High",,"T"))</f>
        <v/>
      </c>
      <c r="R80" s="148" t="str">
        <f>IF(B80="","",RTD("cqg.rtd",,"ContractData",A80,"Low",,"T"))</f>
        <v/>
      </c>
      <c r="S80" s="147" t="str">
        <f>IF(RTD("cqg.rtd", ,"ContractData",A80, "T_CVol",, "T")=0,"",RTD("cqg.rtd", ,"ContractData",A80, "T_CVol",, "T"))</f>
        <v/>
      </c>
      <c r="T80" s="147" t="str">
        <f>IF(RTD("cqg.rtd", ,"ContractData",A80, "Y_CVol",, "T")=0,"",RTD("cqg.rtd", ,"ContractData",A80, "Y_CVol",, "T"))</f>
        <v/>
      </c>
      <c r="U80" s="147" t="str">
        <f t="shared" si="12"/>
        <v/>
      </c>
      <c r="V80" s="147">
        <f>IF(RTD("cqg.rtd",,"StudyData",A80, "OI", "OIType=Contract", "OI","D","-1","ALL",,,"TRUE","T")=0,"",RTD("cqg.rtd",,"StudyData",A80, "OI", "OIType=Contract", "OI","D","-1","ALL",,,"TRUE","T"))</f>
        <v>1</v>
      </c>
      <c r="W80" s="147">
        <f>IF(RTD("cqg.rtd",,"StudyData",A80, "OI", "OIType=Contract", "OI","D","-2","ALL",,,"TRUE","T")=0,"",RTD("cqg.rtd",,"StudyData",A80, "OI", "OIType=Contract", "OI","D","-2","ALL",,,"TRUE","T"))</f>
        <v>1</v>
      </c>
      <c r="X80" s="146" t="str">
        <f t="shared" si="13"/>
        <v/>
      </c>
      <c r="Y80" s="145" t="str">
        <f>RTD("cqg.rtd", ,"ContractData",A80, "T_Settlement",, "T")</f>
        <v/>
      </c>
      <c r="Z80" s="145">
        <f>RTD("cqg.rtd", ,"ContractData",A80, "Y_Settlement",, "T")</f>
        <v>2.9130000000000003</v>
      </c>
      <c r="AA80" s="144">
        <f>RTD("cqg.rtd", ,"ContractData",A80, "ExpirationDate",, "T")</f>
        <v>45226</v>
      </c>
      <c r="AB80" s="143" t="str">
        <f>RIGHT(RTD("cqg.rtd", ,"ContractData",A80, "LongDescription",, "T"),6)</f>
        <v>Nov 23</v>
      </c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</row>
    <row r="81" spans="1:39" x14ac:dyDescent="0.3">
      <c r="A81" s="123" t="s">
        <v>117</v>
      </c>
      <c r="B81" s="154" t="str">
        <f>RIGHT(RTD("cqg.rtd", ,"ContractData",A81, "LongDescription",, "T"),6)</f>
        <v>Dec 23</v>
      </c>
      <c r="C81" s="153">
        <f t="shared" si="14"/>
        <v>7</v>
      </c>
      <c r="D81" s="153">
        <f t="shared" si="10"/>
        <v>0</v>
      </c>
      <c r="E81" s="152" t="str">
        <f>IF(B81="","",RTD("cqg.rtd",,"ContractData",A81,"NetLastTradeToday",,"T"))</f>
        <v/>
      </c>
      <c r="F81" s="148" t="str">
        <f>IF(B81="","",RTD("cqg.rtd",,"ContractData",A81,"LastTradeToday",,"T"))</f>
        <v/>
      </c>
      <c r="G81" s="148" t="str">
        <f>IF(B81="","",RTD("cqg.rtd",,"ContractData",A81,"NetLastTradeToday",,"T"))</f>
        <v/>
      </c>
      <c r="H81" s="151" t="str">
        <f>IF(F81="","",MOD(RTD("cqg.rtd", ,"ContractData",A81, "DTLastTrade",, "T"),1))</f>
        <v/>
      </c>
      <c r="I81" s="277"/>
      <c r="J81" s="150" t="str">
        <f>IF(RTD("cqg.rtd", ,"ContractData",A81, "MT_LastBidVolume",, "T")=0,"",RTD("cqg.rtd", ,"ContractData",A81, "MT_LastBidVolume",, "T"))</f>
        <v/>
      </c>
      <c r="K81" s="145" t="str">
        <f>RTD("cqg.rtd", ,"ContractData",A81, "Bid",, "T")</f>
        <v/>
      </c>
      <c r="L81" s="145"/>
      <c r="M81" s="145" t="str">
        <f>RTD("cqg.rtd", ,"ContractData",A81, "Ask",, "T")</f>
        <v/>
      </c>
      <c r="N81" s="150" t="str">
        <f>IF(RTD("cqg.rtd", ,"ContractData",A81, "MT_LastAskVolume",, "T")=0,"",RTD("cqg.rtd", ,"ContractData",A81, "MT_LastAskVolume",, "T"))</f>
        <v/>
      </c>
      <c r="O81" s="149">
        <f t="shared" si="11"/>
        <v>0</v>
      </c>
      <c r="P81" s="148" t="str">
        <f>IF(B81="","",RTD("cqg.rtd",,"ContractData",A81,"Open",,"T"))</f>
        <v/>
      </c>
      <c r="Q81" s="148" t="str">
        <f>IF(B81="","",RTD("cqg.rtd",,"ContractData",A81,"High",,"T"))</f>
        <v/>
      </c>
      <c r="R81" s="148" t="str">
        <f>IF(B81="","",RTD("cqg.rtd",,"ContractData",A81,"Low",,"T"))</f>
        <v/>
      </c>
      <c r="S81" s="147" t="str">
        <f>IF(RTD("cqg.rtd", ,"ContractData",A81, "T_CVol",, "T")=0,"",RTD("cqg.rtd", ,"ContractData",A81, "T_CVol",, "T"))</f>
        <v/>
      </c>
      <c r="T81" s="147" t="str">
        <f>IF(RTD("cqg.rtd", ,"ContractData",A81, "Y_CVol",, "T")=0,"",RTD("cqg.rtd", ,"ContractData",A81, "Y_CVol",, "T"))</f>
        <v/>
      </c>
      <c r="U81" s="147" t="str">
        <f t="shared" si="12"/>
        <v/>
      </c>
      <c r="V81" s="147">
        <f>IF(RTD("cqg.rtd",,"StudyData",A81, "OI", "OIType=Contract", "OI","D","-1","ALL",,,"TRUE","T")=0,"",RTD("cqg.rtd",,"StudyData",A81, "OI", "OIType=Contract", "OI","D","-1","ALL",,,"TRUE","T"))</f>
        <v>1</v>
      </c>
      <c r="W81" s="147">
        <f>IF(RTD("cqg.rtd",,"StudyData",A81, "OI", "OIType=Contract", "OI","D","-2","ALL",,,"TRUE","T")=0,"",RTD("cqg.rtd",,"StudyData",A81, "OI", "OIType=Contract", "OI","D","-2","ALL",,,"TRUE","T"))</f>
        <v>1</v>
      </c>
      <c r="X81" s="146" t="str">
        <f t="shared" si="13"/>
        <v/>
      </c>
      <c r="Y81" s="145" t="str">
        <f>RTD("cqg.rtd", ,"ContractData",A81, "T_Settlement",, "T")</f>
        <v/>
      </c>
      <c r="Z81" s="145">
        <f>RTD("cqg.rtd", ,"ContractData",A81, "Y_Settlement",, "T")</f>
        <v>3.0660000000000003</v>
      </c>
      <c r="AA81" s="144">
        <f>RTD("cqg.rtd", ,"ContractData",A81, "ExpirationDate",, "T")</f>
        <v>45258</v>
      </c>
      <c r="AB81" s="143" t="str">
        <f>RIGHT(RTD("cqg.rtd", ,"ContractData",A81, "LongDescription",, "T"),6)</f>
        <v>Dec 23</v>
      </c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</row>
    <row r="82" spans="1:39" x14ac:dyDescent="0.3">
      <c r="A82" s="123" t="s">
        <v>116</v>
      </c>
      <c r="B82" s="154" t="str">
        <f>RIGHT(RTD("cqg.rtd", ,"ContractData",A82, "LongDescription",, "T"),6)</f>
        <v>Jan 24</v>
      </c>
      <c r="C82" s="153">
        <f t="shared" si="14"/>
        <v>8</v>
      </c>
      <c r="D82" s="153">
        <f t="shared" si="10"/>
        <v>1</v>
      </c>
      <c r="E82" s="152" t="str">
        <f>IF(B82="","",RTD("cqg.rtd",,"ContractData",A82,"NetLastTradeToday",,"T"))</f>
        <v/>
      </c>
      <c r="F82" s="148" t="str">
        <f>IF(B82="","",RTD("cqg.rtd",,"ContractData",A82,"LastTradeToday",,"T"))</f>
        <v/>
      </c>
      <c r="G82" s="148" t="str">
        <f>IF(B82="","",RTD("cqg.rtd",,"ContractData",A82,"NetLastTradeToday",,"T"))</f>
        <v/>
      </c>
      <c r="H82" s="151" t="str">
        <f>IF(F82="","",MOD(RTD("cqg.rtd", ,"ContractData",A82, "DTLastTrade",, "T"),1))</f>
        <v/>
      </c>
      <c r="I82" s="277"/>
      <c r="J82" s="150" t="str">
        <f>IF(RTD("cqg.rtd", ,"ContractData",A82, "MT_LastBidVolume",, "T")=0,"",RTD("cqg.rtd", ,"ContractData",A82, "MT_LastBidVolume",, "T"))</f>
        <v/>
      </c>
      <c r="K82" s="145" t="str">
        <f>RTD("cqg.rtd", ,"ContractData",A82, "Bid",, "T")</f>
        <v/>
      </c>
      <c r="L82" s="145"/>
      <c r="M82" s="145" t="str">
        <f>RTD("cqg.rtd", ,"ContractData",A82, "Ask",, "T")</f>
        <v/>
      </c>
      <c r="N82" s="150" t="str">
        <f>IF(RTD("cqg.rtd", ,"ContractData",A82, "MT_LastAskVolume",, "T")=0,"",RTD("cqg.rtd", ,"ContractData",A82, "MT_LastAskVolume",, "T"))</f>
        <v/>
      </c>
      <c r="O82" s="149">
        <f t="shared" si="11"/>
        <v>0</v>
      </c>
      <c r="P82" s="148" t="str">
        <f>IF(B82="","",RTD("cqg.rtd",,"ContractData",A82,"Open",,"T"))</f>
        <v/>
      </c>
      <c r="Q82" s="148" t="str">
        <f>IF(B82="","",RTD("cqg.rtd",,"ContractData",A82,"High",,"T"))</f>
        <v/>
      </c>
      <c r="R82" s="148" t="str">
        <f>IF(B82="","",RTD("cqg.rtd",,"ContractData",A82,"Low",,"T"))</f>
        <v/>
      </c>
      <c r="S82" s="147" t="str">
        <f>IF(RTD("cqg.rtd", ,"ContractData",A82, "T_CVol",, "T")=0,"",RTD("cqg.rtd", ,"ContractData",A82, "T_CVol",, "T"))</f>
        <v/>
      </c>
      <c r="T82" s="147" t="str">
        <f>IF(RTD("cqg.rtd", ,"ContractData",A82, "Y_CVol",, "T")=0,"",RTD("cqg.rtd", ,"ContractData",A82, "Y_CVol",, "T"))</f>
        <v/>
      </c>
      <c r="U82" s="147" t="str">
        <f t="shared" si="12"/>
        <v/>
      </c>
      <c r="V82" s="147" t="str">
        <f>IF(RTD("cqg.rtd",,"StudyData",A82, "OI", "OIType=Contract", "OI","D","-1","ALL",,,"TRUE","T")=0,"",RTD("cqg.rtd",,"StudyData",A82, "OI", "OIType=Contract", "OI","D","-1","ALL",,,"TRUE","T"))</f>
        <v/>
      </c>
      <c r="W82" s="147" t="str">
        <f>IF(RTD("cqg.rtd",,"StudyData",A82, "OI", "OIType=Contract", "OI","D","-2","ALL",,,"TRUE","T")=0,"",RTD("cqg.rtd",,"StudyData",A82, "OI", "OIType=Contract", "OI","D","-2","ALL",,,"TRUE","T"))</f>
        <v/>
      </c>
      <c r="X82" s="146" t="str">
        <f t="shared" si="13"/>
        <v/>
      </c>
      <c r="Y82" s="145" t="str">
        <f>RTD("cqg.rtd", ,"ContractData",A82, "T_Settlement",, "T")</f>
        <v/>
      </c>
      <c r="Z82" s="145">
        <f>RTD("cqg.rtd", ,"ContractData",A82, "Y_Settlement",, "T")</f>
        <v>3.19</v>
      </c>
      <c r="AA82" s="144">
        <f>RTD("cqg.rtd", ,"ContractData",A82, "ExpirationDate",, "T")</f>
        <v>45287</v>
      </c>
      <c r="AB82" s="143" t="str">
        <f>RIGHT(RTD("cqg.rtd", ,"ContractData",A82, "LongDescription",, "T"),6)</f>
        <v>Jan 24</v>
      </c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</row>
    <row r="83" spans="1:39" x14ac:dyDescent="0.3">
      <c r="A83" s="123" t="s">
        <v>115</v>
      </c>
      <c r="B83" s="154" t="str">
        <f>RIGHT(RTD("cqg.rtd", ,"ContractData",A83, "LongDescription",, "T"),6)</f>
        <v>Feb 24</v>
      </c>
      <c r="C83" s="153">
        <f t="shared" si="14"/>
        <v>8</v>
      </c>
      <c r="D83" s="153">
        <f t="shared" si="10"/>
        <v>1</v>
      </c>
      <c r="E83" s="152" t="str">
        <f>IF(B83="","",RTD("cqg.rtd",,"ContractData",A83,"NetLastTradeToday",,"T"))</f>
        <v/>
      </c>
      <c r="F83" s="148" t="str">
        <f>IF(B83="","",RTD("cqg.rtd",,"ContractData",A83,"LastTradeToday",,"T"))</f>
        <v/>
      </c>
      <c r="G83" s="148" t="str">
        <f>IF(B83="","",RTD("cqg.rtd",,"ContractData",A83,"NetLastTradeToday",,"T"))</f>
        <v/>
      </c>
      <c r="H83" s="151" t="str">
        <f>IF(F83="","",MOD(RTD("cqg.rtd", ,"ContractData",A83, "DTLastTrade",, "T"),1))</f>
        <v/>
      </c>
      <c r="I83" s="277"/>
      <c r="J83" s="150" t="str">
        <f>IF(RTD("cqg.rtd", ,"ContractData",A83, "MT_LastBidVolume",, "T")=0,"",RTD("cqg.rtd", ,"ContractData",A83, "MT_LastBidVolume",, "T"))</f>
        <v/>
      </c>
      <c r="K83" s="145" t="str">
        <f>RTD("cqg.rtd", ,"ContractData",A83, "Bid",, "T")</f>
        <v/>
      </c>
      <c r="L83" s="145"/>
      <c r="M83" s="145" t="str">
        <f>RTD("cqg.rtd", ,"ContractData",A83, "Ask",, "T")</f>
        <v/>
      </c>
      <c r="N83" s="150" t="str">
        <f>IF(RTD("cqg.rtd", ,"ContractData",A83, "MT_LastAskVolume",, "T")=0,"",RTD("cqg.rtd", ,"ContractData",A83, "MT_LastAskVolume",, "T"))</f>
        <v/>
      </c>
      <c r="O83" s="149">
        <f t="shared" si="11"/>
        <v>0</v>
      </c>
      <c r="P83" s="148" t="str">
        <f>IF(B83="","",RTD("cqg.rtd",,"ContractData",A83,"Open",,"T"))</f>
        <v/>
      </c>
      <c r="Q83" s="148" t="str">
        <f>IF(B83="","",RTD("cqg.rtd",,"ContractData",A83,"High",,"T"))</f>
        <v/>
      </c>
      <c r="R83" s="148" t="str">
        <f>IF(B83="","",RTD("cqg.rtd",,"ContractData",A83,"Low",,"T"))</f>
        <v/>
      </c>
      <c r="S83" s="147" t="str">
        <f>IF(RTD("cqg.rtd", ,"ContractData",A83, "T_CVol",, "T")=0,"",RTD("cqg.rtd", ,"ContractData",A83, "T_CVol",, "T"))</f>
        <v/>
      </c>
      <c r="T83" s="147" t="str">
        <f>IF(RTD("cqg.rtd", ,"ContractData",A83, "Y_CVol",, "T")=0,"",RTD("cqg.rtd", ,"ContractData",A83, "Y_CVol",, "T"))</f>
        <v/>
      </c>
      <c r="U83" s="147" t="str">
        <f t="shared" si="12"/>
        <v/>
      </c>
      <c r="V83" s="147" t="str">
        <f>IF(RTD("cqg.rtd",,"StudyData",A83, "OI", "OIType=Contract", "OI","D","-1","ALL",,,"TRUE","T")=0,"",RTD("cqg.rtd",,"StudyData",A83, "OI", "OIType=Contract", "OI","D","-1","ALL",,,"TRUE","T"))</f>
        <v/>
      </c>
      <c r="W83" s="147" t="str">
        <f>IF(RTD("cqg.rtd",,"StudyData",A83, "OI", "OIType=Contract", "OI","D","-2","ALL",,,"TRUE","T")=0,"",RTD("cqg.rtd",,"StudyData",A83, "OI", "OIType=Contract", "OI","D","-2","ALL",,,"TRUE","T"))</f>
        <v/>
      </c>
      <c r="X83" s="146" t="str">
        <f t="shared" si="13"/>
        <v/>
      </c>
      <c r="Y83" s="145" t="str">
        <f>RTD("cqg.rtd", ,"ContractData",A83, "T_Settlement",, "T")</f>
        <v/>
      </c>
      <c r="Z83" s="145">
        <f>RTD("cqg.rtd", ,"ContractData",A83, "Y_Settlement",, "T")</f>
        <v>3.1619999999999999</v>
      </c>
      <c r="AA83" s="144">
        <f>RTD("cqg.rtd", ,"ContractData",A83, "ExpirationDate",, "T")</f>
        <v>45320</v>
      </c>
      <c r="AB83" s="143" t="str">
        <f>RIGHT(RTD("cqg.rtd", ,"ContractData",A83, "LongDescription",, "T"),6)</f>
        <v>Feb 24</v>
      </c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</row>
    <row r="84" spans="1:39" x14ac:dyDescent="0.3">
      <c r="A84" s="123" t="s">
        <v>114</v>
      </c>
      <c r="B84" s="154" t="str">
        <f>RIGHT(RTD("cqg.rtd", ,"ContractData",A84, "LongDescription",, "T"),6)</f>
        <v>Mar 24</v>
      </c>
      <c r="C84" s="153">
        <f t="shared" si="14"/>
        <v>8</v>
      </c>
      <c r="D84" s="153">
        <f t="shared" si="10"/>
        <v>1</v>
      </c>
      <c r="E84" s="152" t="str">
        <f>IF(B84="","",RTD("cqg.rtd",,"ContractData",A84,"NetLastTradeToday",,"T"))</f>
        <v/>
      </c>
      <c r="F84" s="148" t="str">
        <f>IF(B84="","",RTD("cqg.rtd",,"ContractData",A84,"LastTradeToday",,"T"))</f>
        <v/>
      </c>
      <c r="G84" s="148" t="str">
        <f>IF(B84="","",RTD("cqg.rtd",,"ContractData",A84,"NetLastTradeToday",,"T"))</f>
        <v/>
      </c>
      <c r="H84" s="151" t="str">
        <f>IF(F84="","",MOD(RTD("cqg.rtd", ,"ContractData",A84, "DTLastTrade",, "T"),1))</f>
        <v/>
      </c>
      <c r="I84" s="277"/>
      <c r="J84" s="150" t="str">
        <f>IF(RTD("cqg.rtd", ,"ContractData",A84, "MT_LastBidVolume",, "T")=0,"",RTD("cqg.rtd", ,"ContractData",A84, "MT_LastBidVolume",, "T"))</f>
        <v/>
      </c>
      <c r="K84" s="145" t="str">
        <f>RTD("cqg.rtd", ,"ContractData",A84, "Bid",, "T")</f>
        <v/>
      </c>
      <c r="L84" s="145"/>
      <c r="M84" s="145" t="str">
        <f>RTD("cqg.rtd", ,"ContractData",A84, "Ask",, "T")</f>
        <v/>
      </c>
      <c r="N84" s="150" t="str">
        <f>IF(RTD("cqg.rtd", ,"ContractData",A84, "MT_LastAskVolume",, "T")=0,"",RTD("cqg.rtd", ,"ContractData",A84, "MT_LastAskVolume",, "T"))</f>
        <v/>
      </c>
      <c r="O84" s="149">
        <f t="shared" si="11"/>
        <v>0</v>
      </c>
      <c r="P84" s="148" t="str">
        <f>IF(B84="","",RTD("cqg.rtd",,"ContractData",A84,"Open",,"T"))</f>
        <v/>
      </c>
      <c r="Q84" s="148" t="str">
        <f>IF(B84="","",RTD("cqg.rtd",,"ContractData",A84,"High",,"T"))</f>
        <v/>
      </c>
      <c r="R84" s="148" t="str">
        <f>IF(B84="","",RTD("cqg.rtd",,"ContractData",A84,"Low",,"T"))</f>
        <v/>
      </c>
      <c r="S84" s="147" t="str">
        <f>IF(RTD("cqg.rtd", ,"ContractData",A84, "T_CVol",, "T")=0,"",RTD("cqg.rtd", ,"ContractData",A84, "T_CVol",, "T"))</f>
        <v/>
      </c>
      <c r="T84" s="147" t="str">
        <f>IF(RTD("cqg.rtd", ,"ContractData",A84, "Y_CVol",, "T")=0,"",RTD("cqg.rtd", ,"ContractData",A84, "Y_CVol",, "T"))</f>
        <v/>
      </c>
      <c r="U84" s="147" t="str">
        <f t="shared" si="12"/>
        <v/>
      </c>
      <c r="V84" s="147" t="str">
        <f>IF(RTD("cqg.rtd",,"StudyData",A84, "OI", "OIType=Contract", "OI","D","-1","ALL",,,"TRUE","T")=0,"",RTD("cqg.rtd",,"StudyData",A84, "OI", "OIType=Contract", "OI","D","-1","ALL",,,"TRUE","T"))</f>
        <v/>
      </c>
      <c r="W84" s="147" t="str">
        <f>IF(RTD("cqg.rtd",,"StudyData",A84, "OI", "OIType=Contract", "OI","D","-2","ALL",,,"TRUE","T")=0,"",RTD("cqg.rtd",,"StudyData",A84, "OI", "OIType=Contract", "OI","D","-2","ALL",,,"TRUE","T"))</f>
        <v/>
      </c>
      <c r="X84" s="146" t="str">
        <f t="shared" si="13"/>
        <v/>
      </c>
      <c r="Y84" s="145" t="str">
        <f>RTD("cqg.rtd", ,"ContractData",A84, "T_Settlement",, "T")</f>
        <v/>
      </c>
      <c r="Z84" s="145">
        <f>RTD("cqg.rtd", ,"ContractData",A84, "Y_Settlement",, "T")</f>
        <v>3.097</v>
      </c>
      <c r="AA84" s="144">
        <f>RTD("cqg.rtd", ,"ContractData",A84, "ExpirationDate",, "T")</f>
        <v>45349</v>
      </c>
      <c r="AB84" s="143" t="str">
        <f>RIGHT(RTD("cqg.rtd", ,"ContractData",A84, "LongDescription",, "T"),6)</f>
        <v>Mar 24</v>
      </c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</row>
    <row r="85" spans="1:39" x14ac:dyDescent="0.3">
      <c r="A85" s="123" t="s">
        <v>113</v>
      </c>
      <c r="B85" s="154" t="str">
        <f>RIGHT(RTD("cqg.rtd", ,"ContractData",A85, "LongDescription",, "T"),6)</f>
        <v>Apr 24</v>
      </c>
      <c r="C85" s="153">
        <f t="shared" si="14"/>
        <v>8</v>
      </c>
      <c r="D85" s="153">
        <f t="shared" si="10"/>
        <v>1</v>
      </c>
      <c r="E85" s="152" t="str">
        <f>IF(B85="","",RTD("cqg.rtd",,"ContractData",A85,"NetLastTradeToday",,"T"))</f>
        <v/>
      </c>
      <c r="F85" s="148" t="str">
        <f>IF(B85="","",RTD("cqg.rtd",,"ContractData",A85,"LastTradeToday",,"T"))</f>
        <v/>
      </c>
      <c r="G85" s="148" t="str">
        <f>IF(B85="","",RTD("cqg.rtd",,"ContractData",A85,"NetLastTradeToday",,"T"))</f>
        <v/>
      </c>
      <c r="H85" s="151" t="str">
        <f>IF(F85="","",MOD(RTD("cqg.rtd", ,"ContractData",A85, "DTLastTrade",, "T"),1))</f>
        <v/>
      </c>
      <c r="I85" s="277"/>
      <c r="J85" s="150" t="str">
        <f>IF(RTD("cqg.rtd", ,"ContractData",A85, "MT_LastBidVolume",, "T")=0,"",RTD("cqg.rtd", ,"ContractData",A85, "MT_LastBidVolume",, "T"))</f>
        <v/>
      </c>
      <c r="K85" s="145" t="str">
        <f>RTD("cqg.rtd", ,"ContractData",A85, "Bid",, "T")</f>
        <v/>
      </c>
      <c r="L85" s="145"/>
      <c r="M85" s="145" t="str">
        <f>RTD("cqg.rtd", ,"ContractData",A85, "Ask",, "T")</f>
        <v/>
      </c>
      <c r="N85" s="150" t="str">
        <f>IF(RTD("cqg.rtd", ,"ContractData",A85, "MT_LastAskVolume",, "T")=0,"",RTD("cqg.rtd", ,"ContractData",A85, "MT_LastAskVolume",, "T"))</f>
        <v/>
      </c>
      <c r="O85" s="149">
        <f t="shared" si="11"/>
        <v>0</v>
      </c>
      <c r="P85" s="148" t="str">
        <f>IF(B85="","",RTD("cqg.rtd",,"ContractData",A85,"Open",,"T"))</f>
        <v/>
      </c>
      <c r="Q85" s="148" t="str">
        <f>IF(B85="","",RTD("cqg.rtd",,"ContractData",A85,"High",,"T"))</f>
        <v/>
      </c>
      <c r="R85" s="148" t="str">
        <f>IF(B85="","",RTD("cqg.rtd",,"ContractData",A85,"Low",,"T"))</f>
        <v/>
      </c>
      <c r="S85" s="147" t="str">
        <f>IF(RTD("cqg.rtd", ,"ContractData",A85, "T_CVol",, "T")=0,"",RTD("cqg.rtd", ,"ContractData",A85, "T_CVol",, "T"))</f>
        <v/>
      </c>
      <c r="T85" s="147" t="str">
        <f>IF(RTD("cqg.rtd", ,"ContractData",A85, "Y_CVol",, "T")=0,"",RTD("cqg.rtd", ,"ContractData",A85, "Y_CVol",, "T"))</f>
        <v/>
      </c>
      <c r="U85" s="147" t="str">
        <f t="shared" si="12"/>
        <v/>
      </c>
      <c r="V85" s="147" t="str">
        <f>IF(RTD("cqg.rtd",,"StudyData",A85, "OI", "OIType=Contract", "OI","D","-1","ALL",,,"TRUE","T")=0,"",RTD("cqg.rtd",,"StudyData",A85, "OI", "OIType=Contract", "OI","D","-1","ALL",,,"TRUE","T"))</f>
        <v/>
      </c>
      <c r="W85" s="147" t="str">
        <f>IF(RTD("cqg.rtd",,"StudyData",A85, "OI", "OIType=Contract", "OI","D","-2","ALL",,,"TRUE","T")=0,"",RTD("cqg.rtd",,"StudyData",A85, "OI", "OIType=Contract", "OI","D","-2","ALL",,,"TRUE","T"))</f>
        <v/>
      </c>
      <c r="X85" s="146" t="str">
        <f t="shared" si="13"/>
        <v/>
      </c>
      <c r="Y85" s="145" t="str">
        <f>RTD("cqg.rtd", ,"ContractData",A85, "T_Settlement",, "T")</f>
        <v/>
      </c>
      <c r="Z85" s="145">
        <f>RTD("cqg.rtd", ,"ContractData",A85, "Y_Settlement",, "T")</f>
        <v>2.7690000000000001</v>
      </c>
      <c r="AA85" s="144">
        <f>RTD("cqg.rtd", ,"ContractData",A85, "ExpirationDate",, "T")</f>
        <v>45378</v>
      </c>
      <c r="AB85" s="143" t="str">
        <f>RIGHT(RTD("cqg.rtd", ,"ContractData",A85, "LongDescription",, "T"),6)</f>
        <v>Apr 24</v>
      </c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</row>
    <row r="86" spans="1:39" x14ac:dyDescent="0.3">
      <c r="A86" s="123" t="s">
        <v>112</v>
      </c>
      <c r="B86" s="154" t="str">
        <f>RIGHT(RTD("cqg.rtd", ,"ContractData",A86, "LongDescription",, "T"),6)</f>
        <v>May 24</v>
      </c>
      <c r="C86" s="153">
        <f t="shared" si="14"/>
        <v>8</v>
      </c>
      <c r="D86" s="153">
        <f t="shared" si="10"/>
        <v>1</v>
      </c>
      <c r="E86" s="152" t="str">
        <f>IF(B86="","",RTD("cqg.rtd",,"ContractData",A86,"NetLastTradeToday",,"T"))</f>
        <v/>
      </c>
      <c r="F86" s="148" t="str">
        <f>IF(B86="","",RTD("cqg.rtd",,"ContractData",A86,"LastTradeToday",,"T"))</f>
        <v/>
      </c>
      <c r="G86" s="148" t="str">
        <f>IF(B86="","",RTD("cqg.rtd",,"ContractData",A86,"NetLastTradeToday",,"T"))</f>
        <v/>
      </c>
      <c r="H86" s="151" t="str">
        <f>IF(F86="","",MOD(RTD("cqg.rtd", ,"ContractData",A86, "DTLastTrade",, "T"),1))</f>
        <v/>
      </c>
      <c r="I86" s="277"/>
      <c r="J86" s="150" t="str">
        <f>IF(RTD("cqg.rtd", ,"ContractData",A86, "MT_LastBidVolume",, "T")=0,"",RTD("cqg.rtd", ,"ContractData",A86, "MT_LastBidVolume",, "T"))</f>
        <v/>
      </c>
      <c r="K86" s="145" t="str">
        <f>RTD("cqg.rtd", ,"ContractData",A86, "Bid",, "T")</f>
        <v/>
      </c>
      <c r="L86" s="145"/>
      <c r="M86" s="145" t="str">
        <f>RTD("cqg.rtd", ,"ContractData",A86, "Ask",, "T")</f>
        <v/>
      </c>
      <c r="N86" s="150" t="str">
        <f>IF(RTD("cqg.rtd", ,"ContractData",A86, "MT_LastAskVolume",, "T")=0,"",RTD("cqg.rtd", ,"ContractData",A86, "MT_LastAskVolume",, "T"))</f>
        <v/>
      </c>
      <c r="O86" s="149">
        <f t="shared" si="11"/>
        <v>0</v>
      </c>
      <c r="P86" s="148" t="str">
        <f>IF(B86="","",RTD("cqg.rtd",,"ContractData",A86,"Open",,"T"))</f>
        <v/>
      </c>
      <c r="Q86" s="148" t="str">
        <f>IF(B86="","",RTD("cqg.rtd",,"ContractData",A86,"High",,"T"))</f>
        <v/>
      </c>
      <c r="R86" s="148" t="str">
        <f>IF(B86="","",RTD("cqg.rtd",,"ContractData",A86,"Low",,"T"))</f>
        <v/>
      </c>
      <c r="S86" s="147" t="str">
        <f>IF(RTD("cqg.rtd", ,"ContractData",A86, "T_CVol",, "T")=0,"",RTD("cqg.rtd", ,"ContractData",A86, "T_CVol",, "T"))</f>
        <v/>
      </c>
      <c r="T86" s="147" t="str">
        <f>IF(RTD("cqg.rtd", ,"ContractData",A86, "Y_CVol",, "T")=0,"",RTD("cqg.rtd", ,"ContractData",A86, "Y_CVol",, "T"))</f>
        <v/>
      </c>
      <c r="U86" s="147" t="str">
        <f t="shared" si="12"/>
        <v/>
      </c>
      <c r="V86" s="147">
        <f>IF(RTD("cqg.rtd",,"StudyData",A86, "OI", "OIType=Contract", "OI","D","-1","ALL",,,"TRUE","T")=0,"",RTD("cqg.rtd",,"StudyData",A86, "OI", "OIType=Contract", "OI","D","-1","ALL",,,"TRUE","T"))</f>
        <v>2</v>
      </c>
      <c r="W86" s="147">
        <f>IF(RTD("cqg.rtd",,"StudyData",A86, "OI", "OIType=Contract", "OI","D","-2","ALL",,,"TRUE","T")=0,"",RTD("cqg.rtd",,"StudyData",A86, "OI", "OIType=Contract", "OI","D","-2","ALL",,,"TRUE","T"))</f>
        <v>2</v>
      </c>
      <c r="X86" s="146" t="str">
        <f t="shared" si="13"/>
        <v/>
      </c>
      <c r="Y86" s="145" t="str">
        <f>RTD("cqg.rtd", ,"ContractData",A86, "T_Settlement",, "T")</f>
        <v/>
      </c>
      <c r="Z86" s="145">
        <f>RTD("cqg.rtd", ,"ContractData",A86, "Y_Settlement",, "T")</f>
        <v>2.7509999999999999</v>
      </c>
      <c r="AA86" s="144">
        <f>RTD("cqg.rtd", ,"ContractData",A86, "ExpirationDate",, "T")</f>
        <v>45408</v>
      </c>
      <c r="AB86" s="143" t="str">
        <f>RIGHT(RTD("cqg.rtd", ,"ContractData",A86, "LongDescription",, "T"),6)</f>
        <v>May 24</v>
      </c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</row>
    <row r="87" spans="1:39" x14ac:dyDescent="0.3">
      <c r="A87" s="123" t="s">
        <v>111</v>
      </c>
      <c r="B87" s="154" t="str">
        <f>RIGHT(RTD("cqg.rtd", ,"ContractData",A87, "LongDescription",, "T"),6)</f>
        <v>Jun 24</v>
      </c>
      <c r="C87" s="153">
        <f t="shared" si="14"/>
        <v>8</v>
      </c>
      <c r="D87" s="153">
        <f t="shared" si="10"/>
        <v>1</v>
      </c>
      <c r="E87" s="152" t="str">
        <f>IF(B87="","",RTD("cqg.rtd",,"ContractData",A87,"NetLastTradeToday",,"T"))</f>
        <v/>
      </c>
      <c r="F87" s="148" t="str">
        <f>IF(B87="","",RTD("cqg.rtd",,"ContractData",A87,"LastTradeToday",,"T"))</f>
        <v/>
      </c>
      <c r="G87" s="148" t="str">
        <f>IF(B87="","",RTD("cqg.rtd",,"ContractData",A87,"NetLastTradeToday",,"T"))</f>
        <v/>
      </c>
      <c r="H87" s="151" t="str">
        <f>IF(F87="","",MOD(RTD("cqg.rtd", ,"ContractData",A87, "DTLastTrade",, "T"),1))</f>
        <v/>
      </c>
      <c r="I87" s="277"/>
      <c r="J87" s="150" t="str">
        <f>IF(RTD("cqg.rtd", ,"ContractData",A87, "MT_LastBidVolume",, "T")=0,"",RTD("cqg.rtd", ,"ContractData",A87, "MT_LastBidVolume",, "T"))</f>
        <v/>
      </c>
      <c r="K87" s="145" t="str">
        <f>RTD("cqg.rtd", ,"ContractData",A87, "Bid",, "T")</f>
        <v/>
      </c>
      <c r="L87" s="145"/>
      <c r="M87" s="145" t="str">
        <f>RTD("cqg.rtd", ,"ContractData",A87, "Ask",, "T")</f>
        <v/>
      </c>
      <c r="N87" s="150" t="str">
        <f>IF(RTD("cqg.rtd", ,"ContractData",A87, "MT_LastAskVolume",, "T")=0,"",RTD("cqg.rtd", ,"ContractData",A87, "MT_LastAskVolume",, "T"))</f>
        <v/>
      </c>
      <c r="O87" s="149">
        <f t="shared" si="11"/>
        <v>0</v>
      </c>
      <c r="P87" s="148" t="str">
        <f>IF(B87="","",RTD("cqg.rtd",,"ContractData",A87,"Open",,"T"))</f>
        <v/>
      </c>
      <c r="Q87" s="148" t="str">
        <f>IF(B87="","",RTD("cqg.rtd",,"ContractData",A87,"High",,"T"))</f>
        <v/>
      </c>
      <c r="R87" s="148" t="str">
        <f>IF(B87="","",RTD("cqg.rtd",,"ContractData",A87,"Low",,"T"))</f>
        <v/>
      </c>
      <c r="S87" s="147" t="str">
        <f>IF(RTD("cqg.rtd", ,"ContractData",A87, "T_CVol",, "T")=0,"",RTD("cqg.rtd", ,"ContractData",A87, "T_CVol",, "T"))</f>
        <v/>
      </c>
      <c r="T87" s="147" t="str">
        <f>IF(RTD("cqg.rtd", ,"ContractData",A87, "Y_CVol",, "T")=0,"",RTD("cqg.rtd", ,"ContractData",A87, "Y_CVol",, "T"))</f>
        <v/>
      </c>
      <c r="U87" s="147" t="str">
        <f t="shared" si="12"/>
        <v/>
      </c>
      <c r="V87" s="147" t="str">
        <f>IF(RTD("cqg.rtd",,"StudyData",A87, "OI", "OIType=Contract", "OI","D","-1","ALL",,,"TRUE","T")=0,"",RTD("cqg.rtd",,"StudyData",A87, "OI", "OIType=Contract", "OI","D","-1","ALL",,,"TRUE","T"))</f>
        <v/>
      </c>
      <c r="W87" s="147" t="str">
        <f>IF(RTD("cqg.rtd",,"StudyData",A87, "OI", "OIType=Contract", "OI","D","-2","ALL",,,"TRUE","T")=0,"",RTD("cqg.rtd",,"StudyData",A87, "OI", "OIType=Contract", "OI","D","-2","ALL",,,"TRUE","T"))</f>
        <v/>
      </c>
      <c r="X87" s="146" t="str">
        <f t="shared" si="13"/>
        <v/>
      </c>
      <c r="Y87" s="145" t="str">
        <f>RTD("cqg.rtd", ,"ContractData",A87, "T_Settlement",, "T")</f>
        <v/>
      </c>
      <c r="Z87" s="145">
        <f>RTD("cqg.rtd", ,"ContractData",A87, "Y_Settlement",, "T")</f>
        <v>2.7770000000000001</v>
      </c>
      <c r="AA87" s="144">
        <f>RTD("cqg.rtd", ,"ContractData",A87, "ExpirationDate",, "T")</f>
        <v>45441</v>
      </c>
      <c r="AB87" s="143" t="str">
        <f>RIGHT(RTD("cqg.rtd", ,"ContractData",A87, "LongDescription",, "T"),6)</f>
        <v>Jun 24</v>
      </c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</row>
    <row r="88" spans="1:39" x14ac:dyDescent="0.3">
      <c r="A88" s="123" t="s">
        <v>110</v>
      </c>
      <c r="B88" s="154" t="str">
        <f>RIGHT(RTD("cqg.rtd", ,"ContractData",A88, "LongDescription",, "T"),6)</f>
        <v>Jul 24</v>
      </c>
      <c r="C88" s="153">
        <f t="shared" si="14"/>
        <v>8</v>
      </c>
      <c r="D88" s="153">
        <f t="shared" si="10"/>
        <v>1</v>
      </c>
      <c r="E88" s="152" t="str">
        <f>IF(B88="","",RTD("cqg.rtd",,"ContractData",A88,"NetLastTradeToday",,"T"))</f>
        <v/>
      </c>
      <c r="F88" s="148" t="str">
        <f>IF(B88="","",RTD("cqg.rtd",,"ContractData",A88,"LastTradeToday",,"T"))</f>
        <v/>
      </c>
      <c r="G88" s="148" t="str">
        <f>IF(B88="","",RTD("cqg.rtd",,"ContractData",A88,"NetLastTradeToday",,"T"))</f>
        <v/>
      </c>
      <c r="H88" s="151" t="str">
        <f>IF(F88="","",MOD(RTD("cqg.rtd", ,"ContractData",A88, "DTLastTrade",, "T"),1))</f>
        <v/>
      </c>
      <c r="I88" s="277"/>
      <c r="J88" s="150" t="str">
        <f>IF(RTD("cqg.rtd", ,"ContractData",A88, "MT_LastBidVolume",, "T")=0,"",RTD("cqg.rtd", ,"ContractData",A88, "MT_LastBidVolume",, "T"))</f>
        <v/>
      </c>
      <c r="K88" s="145" t="str">
        <f>RTD("cqg.rtd", ,"ContractData",A88, "Bid",, "T")</f>
        <v/>
      </c>
      <c r="L88" s="145"/>
      <c r="M88" s="145" t="str">
        <f>RTD("cqg.rtd", ,"ContractData",A88, "Ask",, "T")</f>
        <v/>
      </c>
      <c r="N88" s="150" t="str">
        <f>IF(RTD("cqg.rtd", ,"ContractData",A88, "MT_LastAskVolume",, "T")=0,"",RTD("cqg.rtd", ,"ContractData",A88, "MT_LastAskVolume",, "T"))</f>
        <v/>
      </c>
      <c r="O88" s="149">
        <f t="shared" si="11"/>
        <v>0</v>
      </c>
      <c r="P88" s="148" t="str">
        <f>IF(B88="","",RTD("cqg.rtd",,"ContractData",A88,"Open",,"T"))</f>
        <v/>
      </c>
      <c r="Q88" s="148" t="str">
        <f>IF(B88="","",RTD("cqg.rtd",,"ContractData",A88,"High",,"T"))</f>
        <v/>
      </c>
      <c r="R88" s="148" t="str">
        <f>IF(B88="","",RTD("cqg.rtd",,"ContractData",A88,"Low",,"T"))</f>
        <v/>
      </c>
      <c r="S88" s="147" t="str">
        <f>IF(RTD("cqg.rtd", ,"ContractData",A88, "T_CVol",, "T")=0,"",RTD("cqg.rtd", ,"ContractData",A88, "T_CVol",, "T"))</f>
        <v/>
      </c>
      <c r="T88" s="147" t="str">
        <f>IF(RTD("cqg.rtd", ,"ContractData",A88, "Y_CVol",, "T")=0,"",RTD("cqg.rtd", ,"ContractData",A88, "Y_CVol",, "T"))</f>
        <v/>
      </c>
      <c r="U88" s="147" t="str">
        <f t="shared" si="12"/>
        <v/>
      </c>
      <c r="V88" s="147" t="str">
        <f>IF(RTD("cqg.rtd",,"StudyData",A88, "OI", "OIType=Contract", "OI","D","-1","ALL",,,"TRUE","T")=0,"",RTD("cqg.rtd",,"StudyData",A88, "OI", "OIType=Contract", "OI","D","-1","ALL",,,"TRUE","T"))</f>
        <v/>
      </c>
      <c r="W88" s="147" t="str">
        <f>IF(RTD("cqg.rtd",,"StudyData",A88, "OI", "OIType=Contract", "OI","D","-2","ALL",,,"TRUE","T")=0,"",RTD("cqg.rtd",,"StudyData",A88, "OI", "OIType=Contract", "OI","D","-2","ALL",,,"TRUE","T"))</f>
        <v/>
      </c>
      <c r="X88" s="146" t="str">
        <f t="shared" si="13"/>
        <v/>
      </c>
      <c r="Y88" s="145" t="str">
        <f>RTD("cqg.rtd", ,"ContractData",A88, "T_Settlement",, "T")</f>
        <v/>
      </c>
      <c r="Z88" s="145">
        <f>RTD("cqg.rtd", ,"ContractData",A88, "Y_Settlement",, "T")</f>
        <v>2.8050000000000002</v>
      </c>
      <c r="AA88" s="144">
        <f>RTD("cqg.rtd", ,"ContractData",A88, "ExpirationDate",, "T")</f>
        <v>45469</v>
      </c>
      <c r="AB88" s="143" t="str">
        <f>RIGHT(RTD("cqg.rtd", ,"ContractData",A88, "LongDescription",, "T"),6)</f>
        <v>Jul 24</v>
      </c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</row>
    <row r="89" spans="1:39" x14ac:dyDescent="0.3">
      <c r="A89" s="123" t="s">
        <v>109</v>
      </c>
      <c r="B89" s="154" t="str">
        <f>RIGHT(RTD("cqg.rtd", ,"ContractData",A89, "LongDescription",, "T"),6)</f>
        <v>Aug 24</v>
      </c>
      <c r="C89" s="153">
        <f t="shared" si="14"/>
        <v>8</v>
      </c>
      <c r="D89" s="153">
        <f t="shared" si="10"/>
        <v>1</v>
      </c>
      <c r="E89" s="152" t="str">
        <f>IF(B89="","",RTD("cqg.rtd",,"ContractData",A89,"NetLastTradeToday",,"T"))</f>
        <v/>
      </c>
      <c r="F89" s="148" t="str">
        <f>IF(B89="","",RTD("cqg.rtd",,"ContractData",A89,"LastTradeToday",,"T"))</f>
        <v/>
      </c>
      <c r="G89" s="148" t="str">
        <f>IF(B89="","",RTD("cqg.rtd",,"ContractData",A89,"NetLastTradeToday",,"T"))</f>
        <v/>
      </c>
      <c r="H89" s="151" t="str">
        <f>IF(F89="","",MOD(RTD("cqg.rtd", ,"ContractData",A89, "DTLastTrade",, "T"),1))</f>
        <v/>
      </c>
      <c r="I89" s="277"/>
      <c r="J89" s="150" t="str">
        <f>IF(RTD("cqg.rtd", ,"ContractData",A89, "MT_LastBidVolume",, "T")=0,"",RTD("cqg.rtd", ,"ContractData",A89, "MT_LastBidVolume",, "T"))</f>
        <v/>
      </c>
      <c r="K89" s="145" t="str">
        <f>RTD("cqg.rtd", ,"ContractData",A89, "Bid",, "T")</f>
        <v/>
      </c>
      <c r="L89" s="145"/>
      <c r="M89" s="145" t="str">
        <f>RTD("cqg.rtd", ,"ContractData",A89, "Ask",, "T")</f>
        <v/>
      </c>
      <c r="N89" s="150" t="str">
        <f>IF(RTD("cqg.rtd", ,"ContractData",A89, "MT_LastAskVolume",, "T")=0,"",RTD("cqg.rtd", ,"ContractData",A89, "MT_LastAskVolume",, "T"))</f>
        <v/>
      </c>
      <c r="O89" s="149">
        <f t="shared" si="11"/>
        <v>0</v>
      </c>
      <c r="P89" s="148" t="str">
        <f>IF(B89="","",RTD("cqg.rtd",,"ContractData",A89,"Open",,"T"))</f>
        <v/>
      </c>
      <c r="Q89" s="148" t="str">
        <f>IF(B89="","",RTD("cqg.rtd",,"ContractData",A89,"High",,"T"))</f>
        <v/>
      </c>
      <c r="R89" s="148" t="str">
        <f>IF(B89="","",RTD("cqg.rtd",,"ContractData",A89,"Low",,"T"))</f>
        <v/>
      </c>
      <c r="S89" s="147" t="str">
        <f>IF(RTD("cqg.rtd", ,"ContractData",A89, "T_CVol",, "T")=0,"",RTD("cqg.rtd", ,"ContractData",A89, "T_CVol",, "T"))</f>
        <v/>
      </c>
      <c r="T89" s="147" t="str">
        <f>IF(RTD("cqg.rtd", ,"ContractData",A89, "Y_CVol",, "T")=0,"",RTD("cqg.rtd", ,"ContractData",A89, "Y_CVol",, "T"))</f>
        <v/>
      </c>
      <c r="U89" s="147" t="str">
        <f t="shared" si="12"/>
        <v/>
      </c>
      <c r="V89" s="147" t="str">
        <f>IF(RTD("cqg.rtd",,"StudyData",A89, "OI", "OIType=Contract", "OI","D","-1","ALL",,,"TRUE","T")=0,"",RTD("cqg.rtd",,"StudyData",A89, "OI", "OIType=Contract", "OI","D","-1","ALL",,,"TRUE","T"))</f>
        <v/>
      </c>
      <c r="W89" s="147" t="str">
        <f>IF(RTD("cqg.rtd",,"StudyData",A89, "OI", "OIType=Contract", "OI","D","-2","ALL",,,"TRUE","T")=0,"",RTD("cqg.rtd",,"StudyData",A89, "OI", "OIType=Contract", "OI","D","-2","ALL",,,"TRUE","T"))</f>
        <v/>
      </c>
      <c r="X89" s="146" t="str">
        <f t="shared" si="13"/>
        <v/>
      </c>
      <c r="Y89" s="145" t="str">
        <f>RTD("cqg.rtd", ,"ContractData",A89, "T_Settlement",, "T")</f>
        <v/>
      </c>
      <c r="Z89" s="145">
        <f>RTD("cqg.rtd", ,"ContractData",A89, "Y_Settlement",, "T")</f>
        <v>2.831</v>
      </c>
      <c r="AA89" s="144">
        <f>RTD("cqg.rtd", ,"ContractData",A89, "ExpirationDate",, "T")</f>
        <v>45502</v>
      </c>
      <c r="AB89" s="143" t="str">
        <f>RIGHT(RTD("cqg.rtd", ,"ContractData",A89, "LongDescription",, "T"),6)</f>
        <v>Aug 24</v>
      </c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</row>
    <row r="90" spans="1:39" x14ac:dyDescent="0.3">
      <c r="A90" s="123" t="s">
        <v>108</v>
      </c>
      <c r="B90" s="154" t="str">
        <f>RIGHT(RTD("cqg.rtd", ,"ContractData",A90, "LongDescription",, "T"),6)</f>
        <v>Sep 24</v>
      </c>
      <c r="C90" s="153">
        <f t="shared" si="14"/>
        <v>8</v>
      </c>
      <c r="D90" s="153">
        <f t="shared" si="10"/>
        <v>1</v>
      </c>
      <c r="E90" s="152" t="str">
        <f>IF(B90="","",RTD("cqg.rtd",,"ContractData",A90,"NetLastTradeToday",,"T"))</f>
        <v/>
      </c>
      <c r="F90" s="148" t="str">
        <f>IF(B90="","",RTD("cqg.rtd",,"ContractData",A90,"LastTradeToday",,"T"))</f>
        <v/>
      </c>
      <c r="G90" s="148" t="str">
        <f>IF(B90="","",RTD("cqg.rtd",,"ContractData",A90,"NetLastTradeToday",,"T"))</f>
        <v/>
      </c>
      <c r="H90" s="151" t="str">
        <f>IF(F90="","",MOD(RTD("cqg.rtd", ,"ContractData",A90, "DTLastTrade",, "T"),1))</f>
        <v/>
      </c>
      <c r="I90" s="277"/>
      <c r="J90" s="150" t="str">
        <f>IF(RTD("cqg.rtd", ,"ContractData",A90, "MT_LastBidVolume",, "T")=0,"",RTD("cqg.rtd", ,"ContractData",A90, "MT_LastBidVolume",, "T"))</f>
        <v/>
      </c>
      <c r="K90" s="145" t="str">
        <f>RTD("cqg.rtd", ,"ContractData",A90, "Bid",, "T")</f>
        <v/>
      </c>
      <c r="L90" s="145"/>
      <c r="M90" s="145" t="str">
        <f>RTD("cqg.rtd", ,"ContractData",A90, "Ask",, "T")</f>
        <v/>
      </c>
      <c r="N90" s="150" t="str">
        <f>IF(RTD("cqg.rtd", ,"ContractData",A90, "MT_LastAskVolume",, "T")=0,"",RTD("cqg.rtd", ,"ContractData",A90, "MT_LastAskVolume",, "T"))</f>
        <v/>
      </c>
      <c r="O90" s="149">
        <f t="shared" si="11"/>
        <v>0</v>
      </c>
      <c r="P90" s="148" t="str">
        <f>IF(B90="","",RTD("cqg.rtd",,"ContractData",A90,"Open",,"T"))</f>
        <v/>
      </c>
      <c r="Q90" s="148" t="str">
        <f>IF(B90="","",RTD("cqg.rtd",,"ContractData",A90,"High",,"T"))</f>
        <v/>
      </c>
      <c r="R90" s="148" t="str">
        <f>IF(B90="","",RTD("cqg.rtd",,"ContractData",A90,"Low",,"T"))</f>
        <v/>
      </c>
      <c r="S90" s="147" t="str">
        <f>IF(RTD("cqg.rtd", ,"ContractData",A90, "T_CVol",, "T")=0,"",RTD("cqg.rtd", ,"ContractData",A90, "T_CVol",, "T"))</f>
        <v/>
      </c>
      <c r="T90" s="147" t="str">
        <f>IF(RTD("cqg.rtd", ,"ContractData",A90, "Y_CVol",, "T")=0,"",RTD("cqg.rtd", ,"ContractData",A90, "Y_CVol",, "T"))</f>
        <v/>
      </c>
      <c r="U90" s="147" t="str">
        <f t="shared" si="12"/>
        <v/>
      </c>
      <c r="V90" s="147" t="str">
        <f>IF(RTD("cqg.rtd",,"StudyData",A90, "OI", "OIType=Contract", "OI","D","-1","ALL",,,"TRUE","T")=0,"",RTD("cqg.rtd",,"StudyData",A90, "OI", "OIType=Contract", "OI","D","-1","ALL",,,"TRUE","T"))</f>
        <v/>
      </c>
      <c r="W90" s="147" t="str">
        <f>IF(RTD("cqg.rtd",,"StudyData",A90, "OI", "OIType=Contract", "OI","D","-2","ALL",,,"TRUE","T")=0,"",RTD("cqg.rtd",,"StudyData",A90, "OI", "OIType=Contract", "OI","D","-2","ALL",,,"TRUE","T"))</f>
        <v/>
      </c>
      <c r="X90" s="146" t="str">
        <f t="shared" si="13"/>
        <v/>
      </c>
      <c r="Y90" s="145" t="str">
        <f>RTD("cqg.rtd", ,"ContractData",A90, "T_Settlement",, "T")</f>
        <v/>
      </c>
      <c r="Z90" s="145">
        <f>RTD("cqg.rtd", ,"ContractData",A90, "Y_Settlement",, "T")</f>
        <v>2.835</v>
      </c>
      <c r="AA90" s="144">
        <f>RTD("cqg.rtd", ,"ContractData",A90, "ExpirationDate",, "T")</f>
        <v>45532</v>
      </c>
      <c r="AB90" s="143" t="str">
        <f>RIGHT(RTD("cqg.rtd", ,"ContractData",A90, "LongDescription",, "T"),6)</f>
        <v>Sep 24</v>
      </c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</row>
    <row r="91" spans="1:39" x14ac:dyDescent="0.3">
      <c r="A91" s="123" t="s">
        <v>107</v>
      </c>
      <c r="B91" s="154" t="str">
        <f>RIGHT(RTD("cqg.rtd", ,"ContractData",A91, "LongDescription",, "T"),6)</f>
        <v>Oct 24</v>
      </c>
      <c r="C91" s="153">
        <f t="shared" si="14"/>
        <v>8</v>
      </c>
      <c r="D91" s="153">
        <f t="shared" si="10"/>
        <v>1</v>
      </c>
      <c r="E91" s="152" t="str">
        <f>IF(B91="","",RTD("cqg.rtd",,"ContractData",A91,"NetLastTradeToday",,"T"))</f>
        <v/>
      </c>
      <c r="F91" s="148" t="str">
        <f>IF(B91="","",RTD("cqg.rtd",,"ContractData",A91,"LastTradeToday",,"T"))</f>
        <v/>
      </c>
      <c r="G91" s="148" t="str">
        <f>IF(B91="","",RTD("cqg.rtd",,"ContractData",A91,"NetLastTradeToday",,"T"))</f>
        <v/>
      </c>
      <c r="H91" s="151" t="str">
        <f>IF(F91="","",MOD(RTD("cqg.rtd", ,"ContractData",A91, "DTLastTrade",, "T"),1))</f>
        <v/>
      </c>
      <c r="I91" s="277"/>
      <c r="J91" s="150" t="str">
        <f>IF(RTD("cqg.rtd", ,"ContractData",A91, "MT_LastBidVolume",, "T")=0,"",RTD("cqg.rtd", ,"ContractData",A91, "MT_LastBidVolume",, "T"))</f>
        <v/>
      </c>
      <c r="K91" s="145" t="str">
        <f>RTD("cqg.rtd", ,"ContractData",A91, "Bid",, "T")</f>
        <v/>
      </c>
      <c r="L91" s="145"/>
      <c r="M91" s="145" t="str">
        <f>RTD("cqg.rtd", ,"ContractData",A91, "Ask",, "T")</f>
        <v/>
      </c>
      <c r="N91" s="150" t="str">
        <f>IF(RTD("cqg.rtd", ,"ContractData",A91, "MT_LastAskVolume",, "T")=0,"",RTD("cqg.rtd", ,"ContractData",A91, "MT_LastAskVolume",, "T"))</f>
        <v/>
      </c>
      <c r="O91" s="149">
        <f t="shared" si="11"/>
        <v>0</v>
      </c>
      <c r="P91" s="148" t="str">
        <f>IF(B91="","",RTD("cqg.rtd",,"ContractData",A91,"Open",,"T"))</f>
        <v/>
      </c>
      <c r="Q91" s="148" t="str">
        <f>IF(B91="","",RTD("cqg.rtd",,"ContractData",A91,"High",,"T"))</f>
        <v/>
      </c>
      <c r="R91" s="148" t="str">
        <f>IF(B91="","",RTD("cqg.rtd",,"ContractData",A91,"Low",,"T"))</f>
        <v/>
      </c>
      <c r="S91" s="147" t="str">
        <f>IF(RTD("cqg.rtd", ,"ContractData",A91, "T_CVol",, "T")=0,"",RTD("cqg.rtd", ,"ContractData",A91, "T_CVol",, "T"))</f>
        <v/>
      </c>
      <c r="T91" s="147" t="str">
        <f>IF(RTD("cqg.rtd", ,"ContractData",A91, "Y_CVol",, "T")=0,"",RTD("cqg.rtd", ,"ContractData",A91, "Y_CVol",, "T"))</f>
        <v/>
      </c>
      <c r="U91" s="147" t="str">
        <f t="shared" si="12"/>
        <v/>
      </c>
      <c r="V91" s="147" t="str">
        <f>IF(RTD("cqg.rtd",,"StudyData",A91, "OI", "OIType=Contract", "OI","D","-1","ALL",,,"TRUE","T")=0,"",RTD("cqg.rtd",,"StudyData",A91, "OI", "OIType=Contract", "OI","D","-1","ALL",,,"TRUE","T"))</f>
        <v/>
      </c>
      <c r="W91" s="147" t="str">
        <f>IF(RTD("cqg.rtd",,"StudyData",A91, "OI", "OIType=Contract", "OI","D","-2","ALL",,,"TRUE","T")=0,"",RTD("cqg.rtd",,"StudyData",A91, "OI", "OIType=Contract", "OI","D","-2","ALL",,,"TRUE","T"))</f>
        <v/>
      </c>
      <c r="X91" s="146" t="str">
        <f t="shared" si="13"/>
        <v/>
      </c>
      <c r="Y91" s="145" t="str">
        <f>RTD("cqg.rtd", ,"ContractData",A91, "T_Settlement",, "T")</f>
        <v/>
      </c>
      <c r="Z91" s="145">
        <f>RTD("cqg.rtd", ,"ContractData",A91, "Y_Settlement",, "T")</f>
        <v>2.87</v>
      </c>
      <c r="AA91" s="144">
        <f>RTD("cqg.rtd", ,"ContractData",A91, "ExpirationDate",, "T")</f>
        <v>45561</v>
      </c>
      <c r="AB91" s="143" t="str">
        <f>RIGHT(RTD("cqg.rtd", ,"ContractData",A91, "LongDescription",, "T"),6)</f>
        <v>Oct 24</v>
      </c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</row>
    <row r="92" spans="1:39" x14ac:dyDescent="0.3">
      <c r="A92" s="123" t="s">
        <v>106</v>
      </c>
      <c r="B92" s="154" t="str">
        <f>RIGHT(RTD("cqg.rtd", ,"ContractData",A92, "LongDescription",, "T"),6)</f>
        <v>Nov 24</v>
      </c>
      <c r="C92" s="153">
        <f t="shared" si="14"/>
        <v>8</v>
      </c>
      <c r="D92" s="153">
        <f t="shared" si="10"/>
        <v>1</v>
      </c>
      <c r="E92" s="152" t="str">
        <f>IF(B92="","",RTD("cqg.rtd",,"ContractData",A92,"NetLastTradeToday",,"T"))</f>
        <v/>
      </c>
      <c r="F92" s="148" t="str">
        <f>IF(B92="","",RTD("cqg.rtd",,"ContractData",A92,"LastTradeToday",,"T"))</f>
        <v/>
      </c>
      <c r="G92" s="148" t="str">
        <f>IF(B92="","",RTD("cqg.rtd",,"ContractData",A92,"NetLastTradeToday",,"T"))</f>
        <v/>
      </c>
      <c r="H92" s="151" t="str">
        <f>IF(F92="","",MOD(RTD("cqg.rtd", ,"ContractData",A92, "DTLastTrade",, "T"),1))</f>
        <v/>
      </c>
      <c r="I92" s="277"/>
      <c r="J92" s="150" t="str">
        <f>IF(RTD("cqg.rtd", ,"ContractData",A92, "MT_LastBidVolume",, "T")=0,"",RTD("cqg.rtd", ,"ContractData",A92, "MT_LastBidVolume",, "T"))</f>
        <v/>
      </c>
      <c r="K92" s="145" t="str">
        <f>RTD("cqg.rtd", ,"ContractData",A92, "Bid",, "T")</f>
        <v/>
      </c>
      <c r="L92" s="145"/>
      <c r="M92" s="145" t="str">
        <f>RTD("cqg.rtd", ,"ContractData",A92, "Ask",, "T")</f>
        <v/>
      </c>
      <c r="N92" s="150" t="str">
        <f>IF(RTD("cqg.rtd", ,"ContractData",A92, "MT_LastAskVolume",, "T")=0,"",RTD("cqg.rtd", ,"ContractData",A92, "MT_LastAskVolume",, "T"))</f>
        <v/>
      </c>
      <c r="O92" s="149">
        <f t="shared" si="11"/>
        <v>0</v>
      </c>
      <c r="P92" s="148" t="str">
        <f>IF(B92="","",RTD("cqg.rtd",,"ContractData",A92,"Open",,"T"))</f>
        <v/>
      </c>
      <c r="Q92" s="148" t="str">
        <f>IF(B92="","",RTD("cqg.rtd",,"ContractData",A92,"High",,"T"))</f>
        <v/>
      </c>
      <c r="R92" s="148" t="str">
        <f>IF(B92="","",RTD("cqg.rtd",,"ContractData",A92,"Low",,"T"))</f>
        <v/>
      </c>
      <c r="S92" s="147" t="str">
        <f>IF(RTD("cqg.rtd", ,"ContractData",A92, "T_CVol",, "T")=0,"",RTD("cqg.rtd", ,"ContractData",A92, "T_CVol",, "T"))</f>
        <v/>
      </c>
      <c r="T92" s="147" t="str">
        <f>IF(RTD("cqg.rtd", ,"ContractData",A92, "Y_CVol",, "T")=0,"",RTD("cqg.rtd", ,"ContractData",A92, "Y_CVol",, "T"))</f>
        <v/>
      </c>
      <c r="U92" s="147" t="str">
        <f t="shared" si="12"/>
        <v/>
      </c>
      <c r="V92" s="147" t="str">
        <f>IF(RTD("cqg.rtd",,"StudyData",A92, "OI", "OIType=Contract", "OI","D","-1","ALL",,,"TRUE","T")=0,"",RTD("cqg.rtd",,"StudyData",A92, "OI", "OIType=Contract", "OI","D","-1","ALL",,,"TRUE","T"))</f>
        <v/>
      </c>
      <c r="W92" s="147" t="str">
        <f>IF(RTD("cqg.rtd",,"StudyData",A92, "OI", "OIType=Contract", "OI","D","-2","ALL",,,"TRUE","T")=0,"",RTD("cqg.rtd",,"StudyData",A92, "OI", "OIType=Contract", "OI","D","-2","ALL",,,"TRUE","T"))</f>
        <v/>
      </c>
      <c r="X92" s="146" t="str">
        <f t="shared" si="13"/>
        <v/>
      </c>
      <c r="Y92" s="145" t="str">
        <f>RTD("cqg.rtd", ,"ContractData",A92, "T_Settlement",, "T")</f>
        <v/>
      </c>
      <c r="Z92" s="145">
        <f>RTD("cqg.rtd", ,"ContractData",A92, "Y_Settlement",, "T")</f>
        <v>2.9460000000000002</v>
      </c>
      <c r="AA92" s="144">
        <f>RTD("cqg.rtd", ,"ContractData",A92, "ExpirationDate",, "T")</f>
        <v>45594</v>
      </c>
      <c r="AB92" s="143" t="str">
        <f>RIGHT(RTD("cqg.rtd", ,"ContractData",A92, "LongDescription",, "T"),6)</f>
        <v>Nov 24</v>
      </c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</row>
    <row r="93" spans="1:39" x14ac:dyDescent="0.3">
      <c r="A93" s="123" t="s">
        <v>105</v>
      </c>
      <c r="B93" s="154" t="str">
        <f>RIGHT(RTD("cqg.rtd", ,"ContractData",A93, "LongDescription",, "T"),6)</f>
        <v>Dec 24</v>
      </c>
      <c r="C93" s="153">
        <f t="shared" si="14"/>
        <v>8</v>
      </c>
      <c r="D93" s="153">
        <f t="shared" si="10"/>
        <v>1</v>
      </c>
      <c r="E93" s="152" t="str">
        <f>IF(B93="","",RTD("cqg.rtd",,"ContractData",A93,"NetLastTradeToday",,"T"))</f>
        <v/>
      </c>
      <c r="F93" s="148" t="str">
        <f>IF(B93="","",RTD("cqg.rtd",,"ContractData",A93,"LastTradeToday",,"T"))</f>
        <v/>
      </c>
      <c r="G93" s="148" t="str">
        <f>IF(B93="","",RTD("cqg.rtd",,"ContractData",A93,"NetLastTradeToday",,"T"))</f>
        <v/>
      </c>
      <c r="H93" s="151" t="str">
        <f>IF(F93="","",MOD(RTD("cqg.rtd", ,"ContractData",A93, "DTLastTrade",, "T"),1))</f>
        <v/>
      </c>
      <c r="I93" s="277"/>
      <c r="J93" s="150" t="str">
        <f>IF(RTD("cqg.rtd", ,"ContractData",A93, "MT_LastBidVolume",, "T")=0,"",RTD("cqg.rtd", ,"ContractData",A93, "MT_LastBidVolume",, "T"))</f>
        <v/>
      </c>
      <c r="K93" s="145" t="str">
        <f>RTD("cqg.rtd", ,"ContractData",A93, "Bid",, "T")</f>
        <v/>
      </c>
      <c r="L93" s="145"/>
      <c r="M93" s="145" t="str">
        <f>RTD("cqg.rtd", ,"ContractData",A93, "Ask",, "T")</f>
        <v/>
      </c>
      <c r="N93" s="150" t="str">
        <f>IF(RTD("cqg.rtd", ,"ContractData",A93, "MT_LastAskVolume",, "T")=0,"",RTD("cqg.rtd", ,"ContractData",A93, "MT_LastAskVolume",, "T"))</f>
        <v/>
      </c>
      <c r="O93" s="149">
        <f t="shared" si="11"/>
        <v>0</v>
      </c>
      <c r="P93" s="148" t="str">
        <f>IF(B93="","",RTD("cqg.rtd",,"ContractData",A93,"Open",,"T"))</f>
        <v/>
      </c>
      <c r="Q93" s="148" t="str">
        <f>IF(B93="","",RTD("cqg.rtd",,"ContractData",A93,"High",,"T"))</f>
        <v/>
      </c>
      <c r="R93" s="148" t="str">
        <f>IF(B93="","",RTD("cqg.rtd",,"ContractData",A93,"Low",,"T"))</f>
        <v/>
      </c>
      <c r="S93" s="147" t="str">
        <f>IF(RTD("cqg.rtd", ,"ContractData",A93, "T_CVol",, "T")=0,"",RTD("cqg.rtd", ,"ContractData",A93, "T_CVol",, "T"))</f>
        <v/>
      </c>
      <c r="T93" s="147" t="str">
        <f>IF(RTD("cqg.rtd", ,"ContractData",A93, "Y_CVol",, "T")=0,"",RTD("cqg.rtd", ,"ContractData",A93, "Y_CVol",, "T"))</f>
        <v/>
      </c>
      <c r="U93" s="147" t="str">
        <f t="shared" si="12"/>
        <v/>
      </c>
      <c r="V93" s="147" t="str">
        <f>IF(RTD("cqg.rtd",,"StudyData",A93, "OI", "OIType=Contract", "OI","D","-1","ALL",,,"TRUE","T")=0,"",RTD("cqg.rtd",,"StudyData",A93, "OI", "OIType=Contract", "OI","D","-1","ALL",,,"TRUE","T"))</f>
        <v/>
      </c>
      <c r="W93" s="147" t="str">
        <f>IF(RTD("cqg.rtd",,"StudyData",A93, "OI", "OIType=Contract", "OI","D","-2","ALL",,,"TRUE","T")=0,"",RTD("cqg.rtd",,"StudyData",A93, "OI", "OIType=Contract", "OI","D","-2","ALL",,,"TRUE","T"))</f>
        <v/>
      </c>
      <c r="X93" s="146" t="str">
        <f t="shared" si="13"/>
        <v/>
      </c>
      <c r="Y93" s="145" t="str">
        <f>RTD("cqg.rtd", ,"ContractData",A93, "T_Settlement",, "T")</f>
        <v/>
      </c>
      <c r="Z93" s="145">
        <f>RTD("cqg.rtd", ,"ContractData",A93, "Y_Settlement",, "T")</f>
        <v>3.0990000000000002</v>
      </c>
      <c r="AA93" s="144">
        <f>RTD("cqg.rtd", ,"ContractData",A93, "ExpirationDate",, "T")</f>
        <v>45623</v>
      </c>
      <c r="AB93" s="143" t="str">
        <f>RIGHT(RTD("cqg.rtd", ,"ContractData",A93, "LongDescription",, "T"),6)</f>
        <v>Dec 24</v>
      </c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</row>
    <row r="94" spans="1:39" x14ac:dyDescent="0.3">
      <c r="A94" s="123" t="s">
        <v>104</v>
      </c>
      <c r="B94" s="154" t="str">
        <f>RIGHT(RTD("cqg.rtd", ,"ContractData",A94, "LongDescription",, "T"),6)</f>
        <v>Jan 25</v>
      </c>
      <c r="C94" s="153">
        <f t="shared" si="14"/>
        <v>9</v>
      </c>
      <c r="D94" s="153">
        <f t="shared" si="10"/>
        <v>0</v>
      </c>
      <c r="E94" s="152" t="str">
        <f>IF(B94="","",RTD("cqg.rtd",,"ContractData",A94,"NetLastTradeToday",,"T"))</f>
        <v/>
      </c>
      <c r="F94" s="148" t="str">
        <f>IF(B94="","",RTD("cqg.rtd",,"ContractData",A94,"LastTradeToday",,"T"))</f>
        <v/>
      </c>
      <c r="G94" s="148" t="str">
        <f>IF(B94="","",RTD("cqg.rtd",,"ContractData",A94,"NetLastTradeToday",,"T"))</f>
        <v/>
      </c>
      <c r="H94" s="151" t="str">
        <f>IF(F94="","",MOD(RTD("cqg.rtd", ,"ContractData",A94, "DTLastTrade",, "T"),1))</f>
        <v/>
      </c>
      <c r="I94" s="277"/>
      <c r="J94" s="150" t="str">
        <f>IF(RTD("cqg.rtd", ,"ContractData",A94, "MT_LastBidVolume",, "T")=0,"",RTD("cqg.rtd", ,"ContractData",A94, "MT_LastBidVolume",, "T"))</f>
        <v/>
      </c>
      <c r="K94" s="145" t="str">
        <f>RTD("cqg.rtd", ,"ContractData",A94, "Bid",, "T")</f>
        <v/>
      </c>
      <c r="L94" s="145"/>
      <c r="M94" s="145" t="str">
        <f>RTD("cqg.rtd", ,"ContractData",A94, "Ask",, "T")</f>
        <v/>
      </c>
      <c r="N94" s="150" t="str">
        <f>IF(RTD("cqg.rtd", ,"ContractData",A94, "MT_LastAskVolume",, "T")=0,"",RTD("cqg.rtd", ,"ContractData",A94, "MT_LastAskVolume",, "T"))</f>
        <v/>
      </c>
      <c r="O94" s="149">
        <f t="shared" si="11"/>
        <v>0</v>
      </c>
      <c r="P94" s="148" t="str">
        <f>IF(B94="","",RTD("cqg.rtd",,"ContractData",A94,"Open",,"T"))</f>
        <v/>
      </c>
      <c r="Q94" s="148" t="str">
        <f>IF(B94="","",RTD("cqg.rtd",,"ContractData",A94,"High",,"T"))</f>
        <v/>
      </c>
      <c r="R94" s="148" t="str">
        <f>IF(B94="","",RTD("cqg.rtd",,"ContractData",A94,"Low",,"T"))</f>
        <v/>
      </c>
      <c r="S94" s="147" t="str">
        <f>IF(RTD("cqg.rtd", ,"ContractData",A94, "T_CVol",, "T")=0,"",RTD("cqg.rtd", ,"ContractData",A94, "T_CVol",, "T"))</f>
        <v/>
      </c>
      <c r="T94" s="147" t="str">
        <f>IF(RTD("cqg.rtd", ,"ContractData",A94, "Y_CVol",, "T")=0,"",RTD("cqg.rtd", ,"ContractData",A94, "Y_CVol",, "T"))</f>
        <v/>
      </c>
      <c r="U94" s="147" t="str">
        <f t="shared" si="12"/>
        <v/>
      </c>
      <c r="V94" s="147" t="str">
        <f>IF(RTD("cqg.rtd",,"StudyData",A94, "OI", "OIType=Contract", "OI","D","-1","ALL",,,"TRUE","T")=0,"",RTD("cqg.rtd",,"StudyData",A94, "OI", "OIType=Contract", "OI","D","-1","ALL",,,"TRUE","T"))</f>
        <v/>
      </c>
      <c r="W94" s="147" t="str">
        <f>IF(RTD("cqg.rtd",,"StudyData",A94, "OI", "OIType=Contract", "OI","D","-2","ALL",,,"TRUE","T")=0,"",RTD("cqg.rtd",,"StudyData",A94, "OI", "OIType=Contract", "OI","D","-2","ALL",,,"TRUE","T"))</f>
        <v/>
      </c>
      <c r="X94" s="146" t="str">
        <f t="shared" si="13"/>
        <v/>
      </c>
      <c r="Y94" s="145" t="str">
        <f>RTD("cqg.rtd", ,"ContractData",A94, "T_Settlement",, "T")</f>
        <v/>
      </c>
      <c r="Z94" s="145">
        <f>RTD("cqg.rtd", ,"ContractData",A94, "Y_Settlement",, "T")</f>
        <v>3.2240000000000002</v>
      </c>
      <c r="AA94" s="144">
        <f>RTD("cqg.rtd", ,"ContractData",A94, "ExpirationDate",, "T")</f>
        <v>45653</v>
      </c>
      <c r="AB94" s="143" t="str">
        <f>RIGHT(RTD("cqg.rtd", ,"ContractData",A94, "LongDescription",, "T"),6)</f>
        <v>Jan 25</v>
      </c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</row>
    <row r="95" spans="1:39" x14ac:dyDescent="0.3">
      <c r="A95" s="123" t="s">
        <v>103</v>
      </c>
      <c r="B95" s="154" t="str">
        <f>RIGHT(RTD("cqg.rtd", ,"ContractData",A95, "LongDescription",, "T"),6)</f>
        <v>Feb 25</v>
      </c>
      <c r="C95" s="153">
        <f t="shared" si="14"/>
        <v>9</v>
      </c>
      <c r="D95" s="153">
        <f t="shared" si="10"/>
        <v>0</v>
      </c>
      <c r="E95" s="152" t="str">
        <f>IF(B95="","",RTD("cqg.rtd",,"ContractData",A95,"NetLastTradeToday",,"T"))</f>
        <v/>
      </c>
      <c r="F95" s="148" t="str">
        <f>IF(B95="","",RTD("cqg.rtd",,"ContractData",A95,"LastTradeToday",,"T"))</f>
        <v/>
      </c>
      <c r="G95" s="148" t="str">
        <f>IF(B95="","",RTD("cqg.rtd",,"ContractData",A95,"NetLastTradeToday",,"T"))</f>
        <v/>
      </c>
      <c r="H95" s="151" t="str">
        <f>IF(F95="","",MOD(RTD("cqg.rtd", ,"ContractData",A95, "DTLastTrade",, "T"),1))</f>
        <v/>
      </c>
      <c r="I95" s="277"/>
      <c r="J95" s="150" t="str">
        <f>IF(RTD("cqg.rtd", ,"ContractData",A95, "MT_LastBidVolume",, "T")=0,"",RTD("cqg.rtd", ,"ContractData",A95, "MT_LastBidVolume",, "T"))</f>
        <v/>
      </c>
      <c r="K95" s="145" t="str">
        <f>RTD("cqg.rtd", ,"ContractData",A95, "Bid",, "T")</f>
        <v/>
      </c>
      <c r="L95" s="145"/>
      <c r="M95" s="145" t="str">
        <f>RTD("cqg.rtd", ,"ContractData",A95, "Ask",, "T")</f>
        <v/>
      </c>
      <c r="N95" s="150" t="str">
        <f>IF(RTD("cqg.rtd", ,"ContractData",A95, "MT_LastAskVolume",, "T")=0,"",RTD("cqg.rtd", ,"ContractData",A95, "MT_LastAskVolume",, "T"))</f>
        <v/>
      </c>
      <c r="O95" s="149">
        <f t="shared" si="11"/>
        <v>0</v>
      </c>
      <c r="P95" s="148" t="str">
        <f>IF(B95="","",RTD("cqg.rtd",,"ContractData",A95,"Open",,"T"))</f>
        <v/>
      </c>
      <c r="Q95" s="148" t="str">
        <f>IF(B95="","",RTD("cqg.rtd",,"ContractData",A95,"High",,"T"))</f>
        <v/>
      </c>
      <c r="R95" s="148" t="str">
        <f>IF(B95="","",RTD("cqg.rtd",,"ContractData",A95,"Low",,"T"))</f>
        <v/>
      </c>
      <c r="S95" s="147" t="str">
        <f>IF(RTD("cqg.rtd", ,"ContractData",A95, "T_CVol",, "T")=0,"",RTD("cqg.rtd", ,"ContractData",A95, "T_CVol",, "T"))</f>
        <v/>
      </c>
      <c r="T95" s="147" t="str">
        <f>IF(RTD("cqg.rtd", ,"ContractData",A95, "Y_CVol",, "T")=0,"",RTD("cqg.rtd", ,"ContractData",A95, "Y_CVol",, "T"))</f>
        <v/>
      </c>
      <c r="U95" s="147" t="str">
        <f t="shared" si="12"/>
        <v/>
      </c>
      <c r="V95" s="147" t="str">
        <f>IF(RTD("cqg.rtd",,"StudyData",A95, "OI", "OIType=Contract", "OI","D","-1","ALL",,,"TRUE","T")=0,"",RTD("cqg.rtd",,"StudyData",A95, "OI", "OIType=Contract", "OI","D","-1","ALL",,,"TRUE","T"))</f>
        <v/>
      </c>
      <c r="W95" s="147" t="str">
        <f>IF(RTD("cqg.rtd",,"StudyData",A95, "OI", "OIType=Contract", "OI","D","-2","ALL",,,"TRUE","T")=0,"",RTD("cqg.rtd",,"StudyData",A95, "OI", "OIType=Contract", "OI","D","-2","ALL",,,"TRUE","T"))</f>
        <v/>
      </c>
      <c r="X95" s="146" t="str">
        <f t="shared" si="13"/>
        <v/>
      </c>
      <c r="Y95" s="145" t="str">
        <f>RTD("cqg.rtd", ,"ContractData",A95, "T_Settlement",, "T")</f>
        <v/>
      </c>
      <c r="Z95" s="145">
        <f>RTD("cqg.rtd", ,"ContractData",A95, "Y_Settlement",, "T")</f>
        <v>3.194</v>
      </c>
      <c r="AA95" s="144">
        <f>RTD("cqg.rtd", ,"ContractData",A95, "ExpirationDate",, "T")</f>
        <v>45686</v>
      </c>
      <c r="AB95" s="143" t="str">
        <f>RIGHT(RTD("cqg.rtd", ,"ContractData",A95, "LongDescription",, "T"),6)</f>
        <v>Feb 25</v>
      </c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</row>
    <row r="96" spans="1:39" x14ac:dyDescent="0.3">
      <c r="A96" s="123" t="s">
        <v>102</v>
      </c>
      <c r="B96" s="154" t="str">
        <f>RIGHT(RTD("cqg.rtd", ,"ContractData",A96, "LongDescription",, "T"),6)</f>
        <v>Mar 25</v>
      </c>
      <c r="C96" s="153">
        <f t="shared" si="14"/>
        <v>9</v>
      </c>
      <c r="D96" s="153">
        <f t="shared" si="10"/>
        <v>0</v>
      </c>
      <c r="E96" s="152" t="str">
        <f>IF(B96="","",RTD("cqg.rtd",,"ContractData",A96,"NetLastTradeToday",,"T"))</f>
        <v/>
      </c>
      <c r="F96" s="148" t="str">
        <f>IF(B96="","",RTD("cqg.rtd",,"ContractData",A96,"LastTradeToday",,"T"))</f>
        <v/>
      </c>
      <c r="G96" s="148" t="str">
        <f>IF(B96="","",RTD("cqg.rtd",,"ContractData",A96,"NetLastTradeToday",,"T"))</f>
        <v/>
      </c>
      <c r="H96" s="151" t="str">
        <f>IF(F96="","",MOD(RTD("cqg.rtd", ,"ContractData",A96, "DTLastTrade",, "T"),1))</f>
        <v/>
      </c>
      <c r="I96" s="277"/>
      <c r="J96" s="150" t="str">
        <f>IF(RTD("cqg.rtd", ,"ContractData",A96, "MT_LastBidVolume",, "T")=0,"",RTD("cqg.rtd", ,"ContractData",A96, "MT_LastBidVolume",, "T"))</f>
        <v/>
      </c>
      <c r="K96" s="145" t="str">
        <f>RTD("cqg.rtd", ,"ContractData",A96, "Bid",, "T")</f>
        <v/>
      </c>
      <c r="L96" s="145"/>
      <c r="M96" s="145" t="str">
        <f>RTD("cqg.rtd", ,"ContractData",A96, "Ask",, "T")</f>
        <v/>
      </c>
      <c r="N96" s="150" t="str">
        <f>IF(RTD("cqg.rtd", ,"ContractData",A96, "MT_LastAskVolume",, "T")=0,"",RTD("cqg.rtd", ,"ContractData",A96, "MT_LastAskVolume",, "T"))</f>
        <v/>
      </c>
      <c r="O96" s="149">
        <f t="shared" si="11"/>
        <v>0</v>
      </c>
      <c r="P96" s="148" t="str">
        <f>IF(B96="","",RTD("cqg.rtd",,"ContractData",A96,"Open",,"T"))</f>
        <v/>
      </c>
      <c r="Q96" s="148" t="str">
        <f>IF(B96="","",RTD("cqg.rtd",,"ContractData",A96,"High",,"T"))</f>
        <v/>
      </c>
      <c r="R96" s="148" t="str">
        <f>IF(B96="","",RTD("cqg.rtd",,"ContractData",A96,"Low",,"T"))</f>
        <v/>
      </c>
      <c r="S96" s="147" t="str">
        <f>IF(RTD("cqg.rtd", ,"ContractData",A96, "T_CVol",, "T")=0,"",RTD("cqg.rtd", ,"ContractData",A96, "T_CVol",, "T"))</f>
        <v/>
      </c>
      <c r="T96" s="147" t="str">
        <f>IF(RTD("cqg.rtd", ,"ContractData",A96, "Y_CVol",, "T")=0,"",RTD("cqg.rtd", ,"ContractData",A96, "Y_CVol",, "T"))</f>
        <v/>
      </c>
      <c r="U96" s="147" t="str">
        <f t="shared" si="12"/>
        <v/>
      </c>
      <c r="V96" s="147" t="str">
        <f>IF(RTD("cqg.rtd",,"StudyData",A96, "OI", "OIType=Contract", "OI","D","-1","ALL",,,"TRUE","T")=0,"",RTD("cqg.rtd",,"StudyData",A96, "OI", "OIType=Contract", "OI","D","-1","ALL",,,"TRUE","T"))</f>
        <v/>
      </c>
      <c r="W96" s="147" t="str">
        <f>IF(RTD("cqg.rtd",,"StudyData",A96, "OI", "OIType=Contract", "OI","D","-2","ALL",,,"TRUE","T")=0,"",RTD("cqg.rtd",,"StudyData",A96, "OI", "OIType=Contract", "OI","D","-2","ALL",,,"TRUE","T"))</f>
        <v/>
      </c>
      <c r="X96" s="146" t="str">
        <f t="shared" si="13"/>
        <v/>
      </c>
      <c r="Y96" s="145" t="str">
        <f>RTD("cqg.rtd", ,"ContractData",A96, "T_Settlement",, "T")</f>
        <v/>
      </c>
      <c r="Z96" s="145">
        <f>RTD("cqg.rtd", ,"ContractData",A96, "Y_Settlement",, "T")</f>
        <v>3.1259999999999999</v>
      </c>
      <c r="AA96" s="144">
        <f>RTD("cqg.rtd", ,"ContractData",A96, "ExpirationDate",, "T")</f>
        <v>45714</v>
      </c>
      <c r="AB96" s="143" t="str">
        <f>RIGHT(RTD("cqg.rtd", ,"ContractData",A96, "LongDescription",, "T"),6)</f>
        <v>Mar 25</v>
      </c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</row>
    <row r="97" spans="1:39" x14ac:dyDescent="0.3">
      <c r="A97" s="123" t="s">
        <v>101</v>
      </c>
      <c r="B97" s="154" t="str">
        <f>RIGHT(RTD("cqg.rtd", ,"ContractData",A97, "LongDescription",, "T"),6)</f>
        <v>Apr 25</v>
      </c>
      <c r="C97" s="153">
        <f t="shared" si="14"/>
        <v>9</v>
      </c>
      <c r="D97" s="153">
        <f t="shared" si="10"/>
        <v>0</v>
      </c>
      <c r="E97" s="152" t="str">
        <f>IF(B97="","",RTD("cqg.rtd",,"ContractData",A97,"NetLastTradeToday",,"T"))</f>
        <v/>
      </c>
      <c r="F97" s="148" t="str">
        <f>IF(B97="","",RTD("cqg.rtd",,"ContractData",A97,"LastTradeToday",,"T"))</f>
        <v/>
      </c>
      <c r="G97" s="148" t="str">
        <f>IF(B97="","",RTD("cqg.rtd",,"ContractData",A97,"NetLastTradeToday",,"T"))</f>
        <v/>
      </c>
      <c r="H97" s="151" t="str">
        <f>IF(F97="","",MOD(RTD("cqg.rtd", ,"ContractData",A97, "DTLastTrade",, "T"),1))</f>
        <v/>
      </c>
      <c r="I97" s="277"/>
      <c r="J97" s="150" t="str">
        <f>IF(RTD("cqg.rtd", ,"ContractData",A97, "MT_LastBidVolume",, "T")=0,"",RTD("cqg.rtd", ,"ContractData",A97, "MT_LastBidVolume",, "T"))</f>
        <v/>
      </c>
      <c r="K97" s="145" t="str">
        <f>RTD("cqg.rtd", ,"ContractData",A97, "Bid",, "T")</f>
        <v/>
      </c>
      <c r="L97" s="145"/>
      <c r="M97" s="145" t="str">
        <f>RTD("cqg.rtd", ,"ContractData",A97, "Ask",, "T")</f>
        <v/>
      </c>
      <c r="N97" s="150" t="str">
        <f>IF(RTD("cqg.rtd", ,"ContractData",A97, "MT_LastAskVolume",, "T")=0,"",RTD("cqg.rtd", ,"ContractData",A97, "MT_LastAskVolume",, "T"))</f>
        <v/>
      </c>
      <c r="O97" s="149">
        <f t="shared" si="11"/>
        <v>0</v>
      </c>
      <c r="P97" s="148" t="str">
        <f>IF(B97="","",RTD("cqg.rtd",,"ContractData",A97,"Open",,"T"))</f>
        <v/>
      </c>
      <c r="Q97" s="148" t="str">
        <f>IF(B97="","",RTD("cqg.rtd",,"ContractData",A97,"High",,"T"))</f>
        <v/>
      </c>
      <c r="R97" s="148" t="str">
        <f>IF(B97="","",RTD("cqg.rtd",,"ContractData",A97,"Low",,"T"))</f>
        <v/>
      </c>
      <c r="S97" s="147" t="str">
        <f>IF(RTD("cqg.rtd", ,"ContractData",A97, "T_CVol",, "T")=0,"",RTD("cqg.rtd", ,"ContractData",A97, "T_CVol",, "T"))</f>
        <v/>
      </c>
      <c r="T97" s="147" t="str">
        <f>IF(RTD("cqg.rtd", ,"ContractData",A97, "Y_CVol",, "T")=0,"",RTD("cqg.rtd", ,"ContractData",A97, "Y_CVol",, "T"))</f>
        <v/>
      </c>
      <c r="U97" s="147" t="str">
        <f t="shared" si="12"/>
        <v/>
      </c>
      <c r="V97" s="147" t="str">
        <f>IF(RTD("cqg.rtd",,"StudyData",A97, "OI", "OIType=Contract", "OI","D","-1","ALL",,,"TRUE","T")=0,"",RTD("cqg.rtd",,"StudyData",A97, "OI", "OIType=Contract", "OI","D","-1","ALL",,,"TRUE","T"))</f>
        <v/>
      </c>
      <c r="W97" s="147" t="str">
        <f>IF(RTD("cqg.rtd",,"StudyData",A97, "OI", "OIType=Contract", "OI","D","-2","ALL",,,"TRUE","T")=0,"",RTD("cqg.rtd",,"StudyData",A97, "OI", "OIType=Contract", "OI","D","-2","ALL",,,"TRUE","T"))</f>
        <v/>
      </c>
      <c r="X97" s="146" t="str">
        <f t="shared" si="13"/>
        <v/>
      </c>
      <c r="Y97" s="145" t="str">
        <f>RTD("cqg.rtd", ,"ContractData",A97, "T_Settlement",, "T")</f>
        <v/>
      </c>
      <c r="Z97" s="145">
        <f>RTD("cqg.rtd", ,"ContractData",A97, "Y_Settlement",, "T")</f>
        <v>2.798</v>
      </c>
      <c r="AA97" s="144">
        <f>RTD("cqg.rtd", ,"ContractData",A97, "ExpirationDate",, "T")</f>
        <v>45743</v>
      </c>
      <c r="AB97" s="143" t="str">
        <f>RIGHT(RTD("cqg.rtd", ,"ContractData",A97, "LongDescription",, "T"),6)</f>
        <v>Apr 25</v>
      </c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</row>
    <row r="98" spans="1:39" x14ac:dyDescent="0.3">
      <c r="A98" s="123" t="s">
        <v>100</v>
      </c>
      <c r="B98" s="154" t="str">
        <f>RIGHT(RTD("cqg.rtd", ,"ContractData",A98, "LongDescription",, "T"),6)</f>
        <v>May 25</v>
      </c>
      <c r="C98" s="153">
        <f t="shared" si="14"/>
        <v>9</v>
      </c>
      <c r="D98" s="153">
        <f t="shared" si="10"/>
        <v>0</v>
      </c>
      <c r="E98" s="152" t="str">
        <f>IF(B98="","",RTD("cqg.rtd",,"ContractData",A98,"NetLastTradeToday",,"T"))</f>
        <v/>
      </c>
      <c r="F98" s="148" t="str">
        <f>IF(B98="","",RTD("cqg.rtd",,"ContractData",A98,"LastTradeToday",,"T"))</f>
        <v/>
      </c>
      <c r="G98" s="148" t="str">
        <f>IF(B98="","",RTD("cqg.rtd",,"ContractData",A98,"NetLastTradeToday",,"T"))</f>
        <v/>
      </c>
      <c r="H98" s="151" t="str">
        <f>IF(F98="","",MOD(RTD("cqg.rtd", ,"ContractData",A98, "DTLastTrade",, "T"),1))</f>
        <v/>
      </c>
      <c r="I98" s="277"/>
      <c r="J98" s="150" t="str">
        <f>IF(RTD("cqg.rtd", ,"ContractData",A98, "MT_LastBidVolume",, "T")=0,"",RTD("cqg.rtd", ,"ContractData",A98, "MT_LastBidVolume",, "T"))</f>
        <v/>
      </c>
      <c r="K98" s="145" t="str">
        <f>RTD("cqg.rtd", ,"ContractData",A98, "Bid",, "T")</f>
        <v/>
      </c>
      <c r="L98" s="145"/>
      <c r="M98" s="145" t="str">
        <f>RTD("cqg.rtd", ,"ContractData",A98, "Ask",, "T")</f>
        <v/>
      </c>
      <c r="N98" s="150" t="str">
        <f>IF(RTD("cqg.rtd", ,"ContractData",A98, "MT_LastAskVolume",, "T")=0,"",RTD("cqg.rtd", ,"ContractData",A98, "MT_LastAskVolume",, "T"))</f>
        <v/>
      </c>
      <c r="O98" s="149">
        <f t="shared" si="11"/>
        <v>0</v>
      </c>
      <c r="P98" s="148" t="str">
        <f>IF(B98="","",RTD("cqg.rtd",,"ContractData",A98,"Open",,"T"))</f>
        <v/>
      </c>
      <c r="Q98" s="148" t="str">
        <f>IF(B98="","",RTD("cqg.rtd",,"ContractData",A98,"High",,"T"))</f>
        <v/>
      </c>
      <c r="R98" s="148" t="str">
        <f>IF(B98="","",RTD("cqg.rtd",,"ContractData",A98,"Low",,"T"))</f>
        <v/>
      </c>
      <c r="S98" s="147" t="str">
        <f>IF(RTD("cqg.rtd", ,"ContractData",A98, "T_CVol",, "T")=0,"",RTD("cqg.rtd", ,"ContractData",A98, "T_CVol",, "T"))</f>
        <v/>
      </c>
      <c r="T98" s="147" t="str">
        <f>IF(RTD("cqg.rtd", ,"ContractData",A98, "Y_CVol",, "T")=0,"",RTD("cqg.rtd", ,"ContractData",A98, "Y_CVol",, "T"))</f>
        <v/>
      </c>
      <c r="U98" s="147" t="str">
        <f t="shared" si="12"/>
        <v/>
      </c>
      <c r="V98" s="147">
        <f>IF(RTD("cqg.rtd",,"StudyData",A98, "OI", "OIType=Contract", "OI","D","-1","ALL",,,"TRUE","T")=0,"",RTD("cqg.rtd",,"StudyData",A98, "OI", "OIType=Contract", "OI","D","-1","ALL",,,"TRUE","T"))</f>
        <v>1</v>
      </c>
      <c r="W98" s="147">
        <f>IF(RTD("cqg.rtd",,"StudyData",A98, "OI", "OIType=Contract", "OI","D","-2","ALL",,,"TRUE","T")=0,"",RTD("cqg.rtd",,"StudyData",A98, "OI", "OIType=Contract", "OI","D","-2","ALL",,,"TRUE","T"))</f>
        <v>1</v>
      </c>
      <c r="X98" s="146" t="str">
        <f t="shared" si="13"/>
        <v/>
      </c>
      <c r="Y98" s="145" t="str">
        <f>RTD("cqg.rtd", ,"ContractData",A98, "T_Settlement",, "T")</f>
        <v/>
      </c>
      <c r="Z98" s="145">
        <f>RTD("cqg.rtd", ,"ContractData",A98, "Y_Settlement",, "T")</f>
        <v>2.7800000000000002</v>
      </c>
      <c r="AA98" s="144">
        <f>RTD("cqg.rtd", ,"ContractData",A98, "ExpirationDate",, "T")</f>
        <v>45775</v>
      </c>
      <c r="AB98" s="143" t="str">
        <f>RIGHT(RTD("cqg.rtd", ,"ContractData",A98, "LongDescription",, "T"),6)</f>
        <v>May 25</v>
      </c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</row>
    <row r="99" spans="1:39" x14ac:dyDescent="0.3">
      <c r="A99" s="123" t="s">
        <v>99</v>
      </c>
      <c r="B99" s="154" t="str">
        <f>RIGHT(RTD("cqg.rtd", ,"ContractData",A99, "LongDescription",, "T"),6)</f>
        <v>Jun 25</v>
      </c>
      <c r="C99" s="153">
        <f t="shared" si="14"/>
        <v>9</v>
      </c>
      <c r="D99" s="153">
        <f t="shared" si="10"/>
        <v>0</v>
      </c>
      <c r="E99" s="152" t="str">
        <f>IF(B99="","",RTD("cqg.rtd",,"ContractData",A99,"NetLastTradeToday",,"T"))</f>
        <v/>
      </c>
      <c r="F99" s="148" t="str">
        <f>IF(B99="","",RTD("cqg.rtd",,"ContractData",A99,"LastTradeToday",,"T"))</f>
        <v/>
      </c>
      <c r="G99" s="148" t="str">
        <f>IF(B99="","",RTD("cqg.rtd",,"ContractData",A99,"NetLastTradeToday",,"T"))</f>
        <v/>
      </c>
      <c r="H99" s="151" t="str">
        <f>IF(F99="","",MOD(RTD("cqg.rtd", ,"ContractData",A99, "DTLastTrade",, "T"),1))</f>
        <v/>
      </c>
      <c r="I99" s="277"/>
      <c r="J99" s="150" t="str">
        <f>IF(RTD("cqg.rtd", ,"ContractData",A99, "MT_LastBidVolume",, "T")=0,"",RTD("cqg.rtd", ,"ContractData",A99, "MT_LastBidVolume",, "T"))</f>
        <v/>
      </c>
      <c r="K99" s="145" t="str">
        <f>RTD("cqg.rtd", ,"ContractData",A99, "Bid",, "T")</f>
        <v/>
      </c>
      <c r="L99" s="145"/>
      <c r="M99" s="145" t="str">
        <f>RTD("cqg.rtd", ,"ContractData",A99, "Ask",, "T")</f>
        <v/>
      </c>
      <c r="N99" s="150" t="str">
        <f>IF(RTD("cqg.rtd", ,"ContractData",A99, "MT_LastAskVolume",, "T")=0,"",RTD("cqg.rtd", ,"ContractData",A99, "MT_LastAskVolume",, "T"))</f>
        <v/>
      </c>
      <c r="O99" s="149">
        <f t="shared" si="11"/>
        <v>0</v>
      </c>
      <c r="P99" s="148" t="str">
        <f>IF(B99="","",RTD("cqg.rtd",,"ContractData",A99,"Open",,"T"))</f>
        <v/>
      </c>
      <c r="Q99" s="148" t="str">
        <f>IF(B99="","",RTD("cqg.rtd",,"ContractData",A99,"High",,"T"))</f>
        <v/>
      </c>
      <c r="R99" s="148" t="str">
        <f>IF(B99="","",RTD("cqg.rtd",,"ContractData",A99,"Low",,"T"))</f>
        <v/>
      </c>
      <c r="S99" s="147" t="str">
        <f>IF(RTD("cqg.rtd", ,"ContractData",A99, "T_CVol",, "T")=0,"",RTD("cqg.rtd", ,"ContractData",A99, "T_CVol",, "T"))</f>
        <v/>
      </c>
      <c r="T99" s="147" t="str">
        <f>IF(RTD("cqg.rtd", ,"ContractData",A99, "Y_CVol",, "T")=0,"",RTD("cqg.rtd", ,"ContractData",A99, "Y_CVol",, "T"))</f>
        <v/>
      </c>
      <c r="U99" s="147" t="str">
        <f t="shared" si="12"/>
        <v/>
      </c>
      <c r="V99" s="147" t="str">
        <f>IF(RTD("cqg.rtd",,"StudyData",A99, "OI", "OIType=Contract", "OI","D","-1","ALL",,,"TRUE","T")=0,"",RTD("cqg.rtd",,"StudyData",A99, "OI", "OIType=Contract", "OI","D","-1","ALL",,,"TRUE","T"))</f>
        <v/>
      </c>
      <c r="W99" s="147" t="str">
        <f>IF(RTD("cqg.rtd",,"StudyData",A99, "OI", "OIType=Contract", "OI","D","-2","ALL",,,"TRUE","T")=0,"",RTD("cqg.rtd",,"StudyData",A99, "OI", "OIType=Contract", "OI","D","-2","ALL",,,"TRUE","T"))</f>
        <v/>
      </c>
      <c r="X99" s="146" t="str">
        <f t="shared" si="13"/>
        <v/>
      </c>
      <c r="Y99" s="145" t="str">
        <f>RTD("cqg.rtd", ,"ContractData",A99, "T_Settlement",, "T")</f>
        <v/>
      </c>
      <c r="Z99" s="145">
        <f>RTD("cqg.rtd", ,"ContractData",A99, "Y_Settlement",, "T")</f>
        <v>2.81</v>
      </c>
      <c r="AA99" s="144">
        <f>RTD("cqg.rtd", ,"ContractData",A99, "ExpirationDate",, "T")</f>
        <v>45805</v>
      </c>
      <c r="AB99" s="143" t="str">
        <f>RIGHT(RTD("cqg.rtd", ,"ContractData",A99, "LongDescription",, "T"),6)</f>
        <v>Jun 25</v>
      </c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</row>
    <row r="100" spans="1:39" x14ac:dyDescent="0.3">
      <c r="A100" s="123" t="s">
        <v>98</v>
      </c>
      <c r="B100" s="154" t="str">
        <f>RIGHT(RTD("cqg.rtd", ,"ContractData",A100, "LongDescription",, "T"),6)</f>
        <v>Jul 25</v>
      </c>
      <c r="C100" s="153">
        <f t="shared" si="14"/>
        <v>9</v>
      </c>
      <c r="D100" s="153">
        <f t="shared" si="10"/>
        <v>0</v>
      </c>
      <c r="E100" s="152" t="str">
        <f>IF(B100="","",RTD("cqg.rtd",,"ContractData",A100,"NetLastTradeToday",,"T"))</f>
        <v/>
      </c>
      <c r="F100" s="148" t="str">
        <f>IF(B100="","",RTD("cqg.rtd",,"ContractData",A100,"LastTradeToday",,"T"))</f>
        <v/>
      </c>
      <c r="G100" s="148" t="str">
        <f>IF(B100="","",RTD("cqg.rtd",,"ContractData",A100,"NetLastTradeToday",,"T"))</f>
        <v/>
      </c>
      <c r="H100" s="151" t="str">
        <f>IF(F100="","",MOD(RTD("cqg.rtd", ,"ContractData",A100, "DTLastTrade",, "T"),1))</f>
        <v/>
      </c>
      <c r="I100" s="277"/>
      <c r="J100" s="150" t="str">
        <f>IF(RTD("cqg.rtd", ,"ContractData",A100, "MT_LastBidVolume",, "T")=0,"",RTD("cqg.rtd", ,"ContractData",A100, "MT_LastBidVolume",, "T"))</f>
        <v/>
      </c>
      <c r="K100" s="145" t="str">
        <f>RTD("cqg.rtd", ,"ContractData",A100, "Bid",, "T")</f>
        <v/>
      </c>
      <c r="L100" s="145"/>
      <c r="M100" s="145" t="str">
        <f>RTD("cqg.rtd", ,"ContractData",A100, "Ask",, "T")</f>
        <v/>
      </c>
      <c r="N100" s="150" t="str">
        <f>IF(RTD("cqg.rtd", ,"ContractData",A100, "MT_LastAskVolume",, "T")=0,"",RTD("cqg.rtd", ,"ContractData",A100, "MT_LastAskVolume",, "T"))</f>
        <v/>
      </c>
      <c r="O100" s="149">
        <f t="shared" si="11"/>
        <v>0</v>
      </c>
      <c r="P100" s="148" t="str">
        <f>IF(B100="","",RTD("cqg.rtd",,"ContractData",A100,"Open",,"T"))</f>
        <v/>
      </c>
      <c r="Q100" s="148" t="str">
        <f>IF(B100="","",RTD("cqg.rtd",,"ContractData",A100,"High",,"T"))</f>
        <v/>
      </c>
      <c r="R100" s="148" t="str">
        <f>IF(B100="","",RTD("cqg.rtd",,"ContractData",A100,"Low",,"T"))</f>
        <v/>
      </c>
      <c r="S100" s="147" t="str">
        <f>IF(RTD("cqg.rtd", ,"ContractData",A100, "T_CVol",, "T")=0,"",RTD("cqg.rtd", ,"ContractData",A100, "T_CVol",, "T"))</f>
        <v/>
      </c>
      <c r="T100" s="147" t="str">
        <f>IF(RTD("cqg.rtd", ,"ContractData",A100, "Y_CVol",, "T")=0,"",RTD("cqg.rtd", ,"ContractData",A100, "Y_CVol",, "T"))</f>
        <v/>
      </c>
      <c r="U100" s="147" t="str">
        <f t="shared" si="12"/>
        <v/>
      </c>
      <c r="V100" s="147" t="str">
        <f>IF(RTD("cqg.rtd",,"StudyData",A100, "OI", "OIType=Contract", "OI","D","-1","ALL",,,"TRUE","T")=0,"",RTD("cqg.rtd",,"StudyData",A100, "OI", "OIType=Contract", "OI","D","-1","ALL",,,"TRUE","T"))</f>
        <v/>
      </c>
      <c r="W100" s="147" t="str">
        <f>IF(RTD("cqg.rtd",,"StudyData",A100, "OI", "OIType=Contract", "OI","D","-2","ALL",,,"TRUE","T")=0,"",RTD("cqg.rtd",,"StudyData",A100, "OI", "OIType=Contract", "OI","D","-2","ALL",,,"TRUE","T"))</f>
        <v/>
      </c>
      <c r="X100" s="146" t="str">
        <f t="shared" si="13"/>
        <v/>
      </c>
      <c r="Y100" s="145" t="str">
        <f>RTD("cqg.rtd", ,"ContractData",A100, "T_Settlement",, "T")</f>
        <v/>
      </c>
      <c r="Z100" s="145">
        <f>RTD("cqg.rtd", ,"ContractData",A100, "Y_Settlement",, "T")</f>
        <v>2.8439999999999999</v>
      </c>
      <c r="AA100" s="144">
        <f>RTD("cqg.rtd", ,"ContractData",A100, "ExpirationDate",, "T")</f>
        <v>45834</v>
      </c>
      <c r="AB100" s="143" t="str">
        <f>RIGHT(RTD("cqg.rtd", ,"ContractData",A100, "LongDescription",, "T"),6)</f>
        <v>Jul 25</v>
      </c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</row>
    <row r="101" spans="1:39" x14ac:dyDescent="0.3">
      <c r="A101" s="123" t="s">
        <v>97</v>
      </c>
      <c r="B101" s="154" t="str">
        <f>RIGHT(RTD("cqg.rtd", ,"ContractData",A101, "LongDescription",, "T"),6)</f>
        <v>Aug 25</v>
      </c>
      <c r="C101" s="153">
        <f t="shared" si="14"/>
        <v>9</v>
      </c>
      <c r="D101" s="153">
        <f t="shared" si="10"/>
        <v>0</v>
      </c>
      <c r="E101" s="152" t="str">
        <f>IF(B101="","",RTD("cqg.rtd",,"ContractData",A101,"NetLastTradeToday",,"T"))</f>
        <v/>
      </c>
      <c r="F101" s="148" t="str">
        <f>IF(B101="","",RTD("cqg.rtd",,"ContractData",A101,"LastTradeToday",,"T"))</f>
        <v/>
      </c>
      <c r="G101" s="148" t="str">
        <f>IF(B101="","",RTD("cqg.rtd",,"ContractData",A101,"NetLastTradeToday",,"T"))</f>
        <v/>
      </c>
      <c r="H101" s="151" t="str">
        <f>IF(F101="","",MOD(RTD("cqg.rtd", ,"ContractData",A101, "DTLastTrade",, "T"),1))</f>
        <v/>
      </c>
      <c r="I101" s="277"/>
      <c r="J101" s="150" t="str">
        <f>IF(RTD("cqg.rtd", ,"ContractData",A101, "MT_LastBidVolume",, "T")=0,"",RTD("cqg.rtd", ,"ContractData",A101, "MT_LastBidVolume",, "T"))</f>
        <v/>
      </c>
      <c r="K101" s="145" t="str">
        <f>RTD("cqg.rtd", ,"ContractData",A101, "Bid",, "T")</f>
        <v/>
      </c>
      <c r="L101" s="145"/>
      <c r="M101" s="145" t="str">
        <f>RTD("cqg.rtd", ,"ContractData",A101, "Ask",, "T")</f>
        <v/>
      </c>
      <c r="N101" s="150" t="str">
        <f>IF(RTD("cqg.rtd", ,"ContractData",A101, "MT_LastAskVolume",, "T")=0,"",RTD("cqg.rtd", ,"ContractData",A101, "MT_LastAskVolume",, "T"))</f>
        <v/>
      </c>
      <c r="O101" s="149">
        <f t="shared" si="11"/>
        <v>0</v>
      </c>
      <c r="P101" s="148" t="str">
        <f>IF(B101="","",RTD("cqg.rtd",,"ContractData",A101,"Open",,"T"))</f>
        <v/>
      </c>
      <c r="Q101" s="148" t="str">
        <f>IF(B101="","",RTD("cqg.rtd",,"ContractData",A101,"High",,"T"))</f>
        <v/>
      </c>
      <c r="R101" s="148" t="str">
        <f>IF(B101="","",RTD("cqg.rtd",,"ContractData",A101,"Low",,"T"))</f>
        <v/>
      </c>
      <c r="S101" s="147" t="str">
        <f>IF(RTD("cqg.rtd", ,"ContractData",A101, "T_CVol",, "T")=0,"",RTD("cqg.rtd", ,"ContractData",A101, "T_CVol",, "T"))</f>
        <v/>
      </c>
      <c r="T101" s="147" t="str">
        <f>IF(RTD("cqg.rtd", ,"ContractData",A101, "Y_CVol",, "T")=0,"",RTD("cqg.rtd", ,"ContractData",A101, "Y_CVol",, "T"))</f>
        <v/>
      </c>
      <c r="U101" s="147" t="str">
        <f t="shared" si="12"/>
        <v/>
      </c>
      <c r="V101" s="147" t="str">
        <f>IF(RTD("cqg.rtd",,"StudyData",A101, "OI", "OIType=Contract", "OI","D","-1","ALL",,,"TRUE","T")=0,"",RTD("cqg.rtd",,"StudyData",A101, "OI", "OIType=Contract", "OI","D","-1","ALL",,,"TRUE","T"))</f>
        <v/>
      </c>
      <c r="W101" s="147" t="str">
        <f>IF(RTD("cqg.rtd",,"StudyData",A101, "OI", "OIType=Contract", "OI","D","-2","ALL",,,"TRUE","T")=0,"",RTD("cqg.rtd",,"StudyData",A101, "OI", "OIType=Contract", "OI","D","-2","ALL",,,"TRUE","T"))</f>
        <v/>
      </c>
      <c r="X101" s="146" t="str">
        <f t="shared" si="13"/>
        <v/>
      </c>
      <c r="Y101" s="145" t="str">
        <f>RTD("cqg.rtd", ,"ContractData",A101, "T_Settlement",, "T")</f>
        <v/>
      </c>
      <c r="Z101" s="145">
        <f>RTD("cqg.rtd", ,"ContractData",A101, "Y_Settlement",, "T")</f>
        <v>2.8770000000000002</v>
      </c>
      <c r="AA101" s="144">
        <f>RTD("cqg.rtd", ,"ContractData",A101, "ExpirationDate",, "T")</f>
        <v>45867</v>
      </c>
      <c r="AB101" s="143" t="str">
        <f>RIGHT(RTD("cqg.rtd", ,"ContractData",A101, "LongDescription",, "T"),6)</f>
        <v>Aug 25</v>
      </c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</row>
    <row r="102" spans="1:39" x14ac:dyDescent="0.3">
      <c r="A102" s="123" t="s">
        <v>96</v>
      </c>
      <c r="B102" s="154" t="str">
        <f>RIGHT(RTD("cqg.rtd", ,"ContractData",A102, "LongDescription",, "T"),6)</f>
        <v>Sep 25</v>
      </c>
      <c r="C102" s="153">
        <f t="shared" si="14"/>
        <v>9</v>
      </c>
      <c r="D102" s="153">
        <f t="shared" si="10"/>
        <v>0</v>
      </c>
      <c r="E102" s="152" t="str">
        <f>IF(B102="","",RTD("cqg.rtd",,"ContractData",A102,"NetLastTradeToday",,"T"))</f>
        <v/>
      </c>
      <c r="F102" s="148" t="str">
        <f>IF(B102="","",RTD("cqg.rtd",,"ContractData",A102,"LastTradeToday",,"T"))</f>
        <v/>
      </c>
      <c r="G102" s="148" t="str">
        <f>IF(B102="","",RTD("cqg.rtd",,"ContractData",A102,"NetLastTradeToday",,"T"))</f>
        <v/>
      </c>
      <c r="H102" s="151" t="str">
        <f>IF(F102="","",MOD(RTD("cqg.rtd", ,"ContractData",A102, "DTLastTrade",, "T"),1))</f>
        <v/>
      </c>
      <c r="I102" s="277"/>
      <c r="J102" s="150" t="str">
        <f>IF(RTD("cqg.rtd", ,"ContractData",A102, "MT_LastBidVolume",, "T")=0,"",RTD("cqg.rtd", ,"ContractData",A102, "MT_LastBidVolume",, "T"))</f>
        <v/>
      </c>
      <c r="K102" s="145" t="str">
        <f>RTD("cqg.rtd", ,"ContractData",A102, "Bid",, "T")</f>
        <v/>
      </c>
      <c r="L102" s="145"/>
      <c r="M102" s="145" t="str">
        <f>RTD("cqg.rtd", ,"ContractData",A102, "Ask",, "T")</f>
        <v/>
      </c>
      <c r="N102" s="150" t="str">
        <f>IF(RTD("cqg.rtd", ,"ContractData",A102, "MT_LastAskVolume",, "T")=0,"",RTD("cqg.rtd", ,"ContractData",A102, "MT_LastAskVolume",, "T"))</f>
        <v/>
      </c>
      <c r="O102" s="149">
        <f t="shared" si="11"/>
        <v>0</v>
      </c>
      <c r="P102" s="148" t="str">
        <f>IF(B102="","",RTD("cqg.rtd",,"ContractData",A102,"Open",,"T"))</f>
        <v/>
      </c>
      <c r="Q102" s="148" t="str">
        <f>IF(B102="","",RTD("cqg.rtd",,"ContractData",A102,"High",,"T"))</f>
        <v/>
      </c>
      <c r="R102" s="148" t="str">
        <f>IF(B102="","",RTD("cqg.rtd",,"ContractData",A102,"Low",,"T"))</f>
        <v/>
      </c>
      <c r="S102" s="147" t="str">
        <f>IF(RTD("cqg.rtd", ,"ContractData",A102, "T_CVol",, "T")=0,"",RTD("cqg.rtd", ,"ContractData",A102, "T_CVol",, "T"))</f>
        <v/>
      </c>
      <c r="T102" s="147" t="str">
        <f>IF(RTD("cqg.rtd", ,"ContractData",A102, "Y_CVol",, "T")=0,"",RTD("cqg.rtd", ,"ContractData",A102, "Y_CVol",, "T"))</f>
        <v/>
      </c>
      <c r="U102" s="147" t="str">
        <f t="shared" si="12"/>
        <v/>
      </c>
      <c r="V102" s="147" t="str">
        <f>IF(RTD("cqg.rtd",,"StudyData",A102, "OI", "OIType=Contract", "OI","D","-1","ALL",,,"TRUE","T")=0,"",RTD("cqg.rtd",,"StudyData",A102, "OI", "OIType=Contract", "OI","D","-1","ALL",,,"TRUE","T"))</f>
        <v/>
      </c>
      <c r="W102" s="147" t="str">
        <f>IF(RTD("cqg.rtd",,"StudyData",A102, "OI", "OIType=Contract", "OI","D","-2","ALL",,,"TRUE","T")=0,"",RTD("cqg.rtd",,"StudyData",A102, "OI", "OIType=Contract", "OI","D","-2","ALL",,,"TRUE","T"))</f>
        <v/>
      </c>
      <c r="X102" s="146" t="str">
        <f t="shared" si="13"/>
        <v/>
      </c>
      <c r="Y102" s="145" t="str">
        <f>RTD("cqg.rtd", ,"ContractData",A102, "T_Settlement",, "T")</f>
        <v/>
      </c>
      <c r="Z102" s="145">
        <f>RTD("cqg.rtd", ,"ContractData",A102, "Y_Settlement",, "T")</f>
        <v>2.8820000000000001</v>
      </c>
      <c r="AA102" s="144">
        <f>RTD("cqg.rtd", ,"ContractData",A102, "ExpirationDate",, "T")</f>
        <v>45896</v>
      </c>
      <c r="AB102" s="143" t="str">
        <f>RIGHT(RTD("cqg.rtd", ,"ContractData",A102, "LongDescription",, "T"),6)</f>
        <v>Sep 25</v>
      </c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</row>
    <row r="103" spans="1:39" x14ac:dyDescent="0.3">
      <c r="A103" s="123" t="s">
        <v>95</v>
      </c>
      <c r="B103" s="154" t="str">
        <f>RIGHT(RTD("cqg.rtd", ,"ContractData",A103, "LongDescription",, "T"),6)</f>
        <v>Oct 25</v>
      </c>
      <c r="C103" s="153">
        <f t="shared" si="14"/>
        <v>9</v>
      </c>
      <c r="D103" s="153">
        <f t="shared" si="10"/>
        <v>0</v>
      </c>
      <c r="E103" s="152" t="str">
        <f>IF(B103="","",RTD("cqg.rtd",,"ContractData",A103,"NetLastTradeToday",,"T"))</f>
        <v/>
      </c>
      <c r="F103" s="148" t="str">
        <f>IF(B103="","",RTD("cqg.rtd",,"ContractData",A103,"LastTradeToday",,"T"))</f>
        <v/>
      </c>
      <c r="G103" s="148" t="str">
        <f>IF(B103="","",RTD("cqg.rtd",,"ContractData",A103,"NetLastTradeToday",,"T"))</f>
        <v/>
      </c>
      <c r="H103" s="151" t="str">
        <f>IF(F103="","",MOD(RTD("cqg.rtd", ,"ContractData",A103, "DTLastTrade",, "T"),1))</f>
        <v/>
      </c>
      <c r="I103" s="277"/>
      <c r="J103" s="150" t="str">
        <f>IF(RTD("cqg.rtd", ,"ContractData",A103, "MT_LastBidVolume",, "T")=0,"",RTD("cqg.rtd", ,"ContractData",A103, "MT_LastBidVolume",, "T"))</f>
        <v/>
      </c>
      <c r="K103" s="145" t="str">
        <f>RTD("cqg.rtd", ,"ContractData",A103, "Bid",, "T")</f>
        <v/>
      </c>
      <c r="L103" s="145"/>
      <c r="M103" s="145" t="str">
        <f>RTD("cqg.rtd", ,"ContractData",A103, "Ask",, "T")</f>
        <v/>
      </c>
      <c r="N103" s="150" t="str">
        <f>IF(RTD("cqg.rtd", ,"ContractData",A103, "MT_LastAskVolume",, "T")=0,"",RTD("cqg.rtd", ,"ContractData",A103, "MT_LastAskVolume",, "T"))</f>
        <v/>
      </c>
      <c r="O103" s="149">
        <f t="shared" si="11"/>
        <v>0</v>
      </c>
      <c r="P103" s="148" t="str">
        <f>IF(B103="","",RTD("cqg.rtd",,"ContractData",A103,"Open",,"T"))</f>
        <v/>
      </c>
      <c r="Q103" s="148" t="str">
        <f>IF(B103="","",RTD("cqg.rtd",,"ContractData",A103,"High",,"T"))</f>
        <v/>
      </c>
      <c r="R103" s="148" t="str">
        <f>IF(B103="","",RTD("cqg.rtd",,"ContractData",A103,"Low",,"T"))</f>
        <v/>
      </c>
      <c r="S103" s="147" t="str">
        <f>IF(RTD("cqg.rtd", ,"ContractData",A103, "T_CVol",, "T")=0,"",RTD("cqg.rtd", ,"ContractData",A103, "T_CVol",, "T"))</f>
        <v/>
      </c>
      <c r="T103" s="147" t="str">
        <f>IF(RTD("cqg.rtd", ,"ContractData",A103, "Y_CVol",, "T")=0,"",RTD("cqg.rtd", ,"ContractData",A103, "Y_CVol",, "T"))</f>
        <v/>
      </c>
      <c r="U103" s="147" t="str">
        <f t="shared" si="12"/>
        <v/>
      </c>
      <c r="V103" s="147" t="str">
        <f>IF(RTD("cqg.rtd",,"StudyData",A103, "OI", "OIType=Contract", "OI","D","-1","ALL",,,"TRUE","T")=0,"",RTD("cqg.rtd",,"StudyData",A103, "OI", "OIType=Contract", "OI","D","-1","ALL",,,"TRUE","T"))</f>
        <v/>
      </c>
      <c r="W103" s="147" t="str">
        <f>IF(RTD("cqg.rtd",,"StudyData",A103, "OI", "OIType=Contract", "OI","D","-2","ALL",,,"TRUE","T")=0,"",RTD("cqg.rtd",,"StudyData",A103, "OI", "OIType=Contract", "OI","D","-2","ALL",,,"TRUE","T"))</f>
        <v/>
      </c>
      <c r="X103" s="146" t="str">
        <f t="shared" si="13"/>
        <v/>
      </c>
      <c r="Y103" s="145" t="str">
        <f>RTD("cqg.rtd", ,"ContractData",A103, "T_Settlement",, "T")</f>
        <v/>
      </c>
      <c r="Z103" s="145">
        <f>RTD("cqg.rtd", ,"ContractData",A103, "Y_Settlement",, "T")</f>
        <v>2.92</v>
      </c>
      <c r="AA103" s="144">
        <f>RTD("cqg.rtd", ,"ContractData",A103, "ExpirationDate",, "T")</f>
        <v>45926</v>
      </c>
      <c r="AB103" s="143" t="str">
        <f>RIGHT(RTD("cqg.rtd", ,"ContractData",A103, "LongDescription",, "T"),6)</f>
        <v>Oct 25</v>
      </c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</row>
    <row r="104" spans="1:39" x14ac:dyDescent="0.3">
      <c r="A104" s="123" t="s">
        <v>94</v>
      </c>
      <c r="B104" s="154" t="str">
        <f>RIGHT(RTD("cqg.rtd", ,"ContractData",A104, "LongDescription",, "T"),6)</f>
        <v>Nov 25</v>
      </c>
      <c r="C104" s="153">
        <f t="shared" si="14"/>
        <v>9</v>
      </c>
      <c r="D104" s="153">
        <f t="shared" ref="D104:D135" si="15">IF(ISEVEN(C104),1,0)</f>
        <v>0</v>
      </c>
      <c r="E104" s="152" t="str">
        <f>IF(B104="","",RTD("cqg.rtd",,"ContractData",A104,"NetLastTradeToday",,"T"))</f>
        <v/>
      </c>
      <c r="F104" s="148" t="str">
        <f>IF(B104="","",RTD("cqg.rtd",,"ContractData",A104,"LastTradeToday",,"T"))</f>
        <v/>
      </c>
      <c r="G104" s="148" t="str">
        <f>IF(B104="","",RTD("cqg.rtd",,"ContractData",A104,"NetLastTradeToday",,"T"))</f>
        <v/>
      </c>
      <c r="H104" s="151" t="str">
        <f>IF(F104="","",MOD(RTD("cqg.rtd", ,"ContractData",A104, "DTLastTrade",, "T"),1))</f>
        <v/>
      </c>
      <c r="I104" s="277"/>
      <c r="J104" s="150" t="str">
        <f>IF(RTD("cqg.rtd", ,"ContractData",A104, "MT_LastBidVolume",, "T")=0,"",RTD("cqg.rtd", ,"ContractData",A104, "MT_LastBidVolume",, "T"))</f>
        <v/>
      </c>
      <c r="K104" s="145" t="str">
        <f>RTD("cqg.rtd", ,"ContractData",A104, "Bid",, "T")</f>
        <v/>
      </c>
      <c r="L104" s="145"/>
      <c r="M104" s="145" t="str">
        <f>RTD("cqg.rtd", ,"ContractData",A104, "Ask",, "T")</f>
        <v/>
      </c>
      <c r="N104" s="150" t="str">
        <f>IF(RTD("cqg.rtd", ,"ContractData",A104, "MT_LastAskVolume",, "T")=0,"",RTD("cqg.rtd", ,"ContractData",A104, "MT_LastAskVolume",, "T"))</f>
        <v/>
      </c>
      <c r="O104" s="149">
        <f t="shared" ref="O104:O135" si="16">IF(F104="",0,IF(F104=P104,1,IF(Q104-F104&lt;=0.001,2,IF(F104-R104&lt;=0.001,3))))</f>
        <v>0</v>
      </c>
      <c r="P104" s="148" t="str">
        <f>IF(B104="","",RTD("cqg.rtd",,"ContractData",A104,"Open",,"T"))</f>
        <v/>
      </c>
      <c r="Q104" s="148" t="str">
        <f>IF(B104="","",RTD("cqg.rtd",,"ContractData",A104,"High",,"T"))</f>
        <v/>
      </c>
      <c r="R104" s="148" t="str">
        <f>IF(B104="","",RTD("cqg.rtd",,"ContractData",A104,"Low",,"T"))</f>
        <v/>
      </c>
      <c r="S104" s="147" t="str">
        <f>IF(RTD("cqg.rtd", ,"ContractData",A104, "T_CVol",, "T")=0,"",RTD("cqg.rtd", ,"ContractData",A104, "T_CVol",, "T"))</f>
        <v/>
      </c>
      <c r="T104" s="147" t="str">
        <f>IF(RTD("cqg.rtd", ,"ContractData",A104, "Y_CVol",, "T")=0,"",RTD("cqg.rtd", ,"ContractData",A104, "Y_CVol",, "T"))</f>
        <v/>
      </c>
      <c r="U104" s="147" t="str">
        <f t="shared" ref="U104:U135" si="17">IFERROR(IF(S104-T104=0,"",S104-T104),"")</f>
        <v/>
      </c>
      <c r="V104" s="147" t="str">
        <f>IF(RTD("cqg.rtd",,"StudyData",A104, "OI", "OIType=Contract", "OI","D","-1","ALL",,,"TRUE","T")=0,"",RTD("cqg.rtd",,"StudyData",A104, "OI", "OIType=Contract", "OI","D","-1","ALL",,,"TRUE","T"))</f>
        <v/>
      </c>
      <c r="W104" s="147" t="str">
        <f>IF(RTD("cqg.rtd",,"StudyData",A104, "OI", "OIType=Contract", "OI","D","-2","ALL",,,"TRUE","T")=0,"",RTD("cqg.rtd",,"StudyData",A104, "OI", "OIType=Contract", "OI","D","-2","ALL",,,"TRUE","T"))</f>
        <v/>
      </c>
      <c r="X104" s="146" t="str">
        <f t="shared" ref="X104:X135" si="18">IFERROR(IF(V104-W104=0,"",V104-W104),"")</f>
        <v/>
      </c>
      <c r="Y104" s="145" t="str">
        <f>RTD("cqg.rtd", ,"ContractData",A104, "T_Settlement",, "T")</f>
        <v/>
      </c>
      <c r="Z104" s="145">
        <f>RTD("cqg.rtd", ,"ContractData",A104, "Y_Settlement",, "T")</f>
        <v>2.996</v>
      </c>
      <c r="AA104" s="144">
        <f>RTD("cqg.rtd", ,"ContractData",A104, "ExpirationDate",, "T")</f>
        <v>45959</v>
      </c>
      <c r="AB104" s="143" t="str">
        <f>RIGHT(RTD("cqg.rtd", ,"ContractData",A104, "LongDescription",, "T"),6)</f>
        <v>Nov 25</v>
      </c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</row>
    <row r="105" spans="1:39" x14ac:dyDescent="0.3">
      <c r="A105" s="123" t="s">
        <v>93</v>
      </c>
      <c r="B105" s="154" t="str">
        <f>RIGHT(RTD("cqg.rtd", ,"ContractData",A105, "LongDescription",, "T"),6)</f>
        <v>Dec 25</v>
      </c>
      <c r="C105" s="153">
        <f t="shared" ref="C105:C136" si="19">IF(RIGHT(B105,1)=RIGHT(B104,1),C104,C104+1)</f>
        <v>9</v>
      </c>
      <c r="D105" s="153">
        <f t="shared" si="15"/>
        <v>0</v>
      </c>
      <c r="E105" s="152" t="str">
        <f>IF(B105="","",RTD("cqg.rtd",,"ContractData",A105,"NetLastTradeToday",,"T"))</f>
        <v/>
      </c>
      <c r="F105" s="148" t="str">
        <f>IF(B105="","",RTD("cqg.rtd",,"ContractData",A105,"LastTradeToday",,"T"))</f>
        <v/>
      </c>
      <c r="G105" s="148" t="str">
        <f>IF(B105="","",RTD("cqg.rtd",,"ContractData",A105,"NetLastTradeToday",,"T"))</f>
        <v/>
      </c>
      <c r="H105" s="151" t="str">
        <f>IF(F105="","",MOD(RTD("cqg.rtd", ,"ContractData",A105, "DTLastTrade",, "T"),1))</f>
        <v/>
      </c>
      <c r="I105" s="277"/>
      <c r="J105" s="150" t="str">
        <f>IF(RTD("cqg.rtd", ,"ContractData",A105, "MT_LastBidVolume",, "T")=0,"",RTD("cqg.rtd", ,"ContractData",A105, "MT_LastBidVolume",, "T"))</f>
        <v/>
      </c>
      <c r="K105" s="145" t="str">
        <f>RTD("cqg.rtd", ,"ContractData",A105, "Bid",, "T")</f>
        <v/>
      </c>
      <c r="L105" s="145"/>
      <c r="M105" s="145" t="str">
        <f>RTD("cqg.rtd", ,"ContractData",A105, "Ask",, "T")</f>
        <v/>
      </c>
      <c r="N105" s="150" t="str">
        <f>IF(RTD("cqg.rtd", ,"ContractData",A105, "MT_LastAskVolume",, "T")=0,"",RTD("cqg.rtd", ,"ContractData",A105, "MT_LastAskVolume",, "T"))</f>
        <v/>
      </c>
      <c r="O105" s="149">
        <f t="shared" si="16"/>
        <v>0</v>
      </c>
      <c r="P105" s="148" t="str">
        <f>IF(B105="","",RTD("cqg.rtd",,"ContractData",A105,"Open",,"T"))</f>
        <v/>
      </c>
      <c r="Q105" s="148" t="str">
        <f>IF(B105="","",RTD("cqg.rtd",,"ContractData",A105,"High",,"T"))</f>
        <v/>
      </c>
      <c r="R105" s="148" t="str">
        <f>IF(B105="","",RTD("cqg.rtd",,"ContractData",A105,"Low",,"T"))</f>
        <v/>
      </c>
      <c r="S105" s="147" t="str">
        <f>IF(RTD("cqg.rtd", ,"ContractData",A105, "T_CVol",, "T")=0,"",RTD("cqg.rtd", ,"ContractData",A105, "T_CVol",, "T"))</f>
        <v/>
      </c>
      <c r="T105" s="147" t="str">
        <f>IF(RTD("cqg.rtd", ,"ContractData",A105, "Y_CVol",, "T")=0,"",RTD("cqg.rtd", ,"ContractData",A105, "Y_CVol",, "T"))</f>
        <v/>
      </c>
      <c r="U105" s="147" t="str">
        <f t="shared" si="17"/>
        <v/>
      </c>
      <c r="V105" s="147" t="str">
        <f>IF(RTD("cqg.rtd",,"StudyData",A105, "OI", "OIType=Contract", "OI","D","-1","ALL",,,"TRUE","T")=0,"",RTD("cqg.rtd",,"StudyData",A105, "OI", "OIType=Contract", "OI","D","-1","ALL",,,"TRUE","T"))</f>
        <v/>
      </c>
      <c r="W105" s="147" t="str">
        <f>IF(RTD("cqg.rtd",,"StudyData",A105, "OI", "OIType=Contract", "OI","D","-2","ALL",,,"TRUE","T")=0,"",RTD("cqg.rtd",,"StudyData",A105, "OI", "OIType=Contract", "OI","D","-2","ALL",,,"TRUE","T"))</f>
        <v/>
      </c>
      <c r="X105" s="146" t="str">
        <f t="shared" si="18"/>
        <v/>
      </c>
      <c r="Y105" s="145" t="str">
        <f>RTD("cqg.rtd", ,"ContractData",A105, "T_Settlement",, "T")</f>
        <v/>
      </c>
      <c r="Z105" s="145">
        <f>RTD("cqg.rtd", ,"ContractData",A105, "Y_Settlement",, "T")</f>
        <v>3.149</v>
      </c>
      <c r="AA105" s="144">
        <f>RTD("cqg.rtd", ,"ContractData",A105, "ExpirationDate",, "T")</f>
        <v>45987</v>
      </c>
      <c r="AB105" s="143" t="str">
        <f>RIGHT(RTD("cqg.rtd", ,"ContractData",A105, "LongDescription",, "T"),6)</f>
        <v>Dec 25</v>
      </c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</row>
    <row r="106" spans="1:39" x14ac:dyDescent="0.3">
      <c r="A106" s="123" t="s">
        <v>92</v>
      </c>
      <c r="B106" s="154" t="str">
        <f>RIGHT(RTD("cqg.rtd", ,"ContractData",A106, "LongDescription",, "T"),6)</f>
        <v>Jan 26</v>
      </c>
      <c r="C106" s="153">
        <f t="shared" si="19"/>
        <v>10</v>
      </c>
      <c r="D106" s="153">
        <f t="shared" si="15"/>
        <v>1</v>
      </c>
      <c r="E106" s="152" t="str">
        <f>IF(B106="","",RTD("cqg.rtd",,"ContractData",A106,"NetLastTradeToday",,"T"))</f>
        <v/>
      </c>
      <c r="F106" s="148" t="str">
        <f>IF(B106="","",RTD("cqg.rtd",,"ContractData",A106,"LastTradeToday",,"T"))</f>
        <v/>
      </c>
      <c r="G106" s="148" t="str">
        <f>IF(B106="","",RTD("cqg.rtd",,"ContractData",A106,"NetLastTradeToday",,"T"))</f>
        <v/>
      </c>
      <c r="H106" s="151" t="str">
        <f>IF(F106="","",MOD(RTD("cqg.rtd", ,"ContractData",A106, "DTLastTrade",, "T"),1))</f>
        <v/>
      </c>
      <c r="I106" s="277"/>
      <c r="J106" s="150" t="str">
        <f>IF(RTD("cqg.rtd", ,"ContractData",A106, "MT_LastBidVolume",, "T")=0,"",RTD("cqg.rtd", ,"ContractData",A106, "MT_LastBidVolume",, "T"))</f>
        <v/>
      </c>
      <c r="K106" s="145" t="str">
        <f>RTD("cqg.rtd", ,"ContractData",A106, "Bid",, "T")</f>
        <v/>
      </c>
      <c r="L106" s="145"/>
      <c r="M106" s="145" t="str">
        <f>RTD("cqg.rtd", ,"ContractData",A106, "Ask",, "T")</f>
        <v/>
      </c>
      <c r="N106" s="150" t="str">
        <f>IF(RTD("cqg.rtd", ,"ContractData",A106, "MT_LastAskVolume",, "T")=0,"",RTD("cqg.rtd", ,"ContractData",A106, "MT_LastAskVolume",, "T"))</f>
        <v/>
      </c>
      <c r="O106" s="149">
        <f t="shared" si="16"/>
        <v>0</v>
      </c>
      <c r="P106" s="148" t="str">
        <f>IF(B106="","",RTD("cqg.rtd",,"ContractData",A106,"Open",,"T"))</f>
        <v/>
      </c>
      <c r="Q106" s="148" t="str">
        <f>IF(B106="","",RTD("cqg.rtd",,"ContractData",A106,"High",,"T"))</f>
        <v/>
      </c>
      <c r="R106" s="148" t="str">
        <f>IF(B106="","",RTD("cqg.rtd",,"ContractData",A106,"Low",,"T"))</f>
        <v/>
      </c>
      <c r="S106" s="147" t="str">
        <f>IF(RTD("cqg.rtd", ,"ContractData",A106, "T_CVol",, "T")=0,"",RTD("cqg.rtd", ,"ContractData",A106, "T_CVol",, "T"))</f>
        <v/>
      </c>
      <c r="T106" s="147" t="str">
        <f>IF(RTD("cqg.rtd", ,"ContractData",A106, "Y_CVol",, "T")=0,"",RTD("cqg.rtd", ,"ContractData",A106, "Y_CVol",, "T"))</f>
        <v/>
      </c>
      <c r="U106" s="147" t="str">
        <f t="shared" si="17"/>
        <v/>
      </c>
      <c r="V106" s="147" t="str">
        <f>IF(RTD("cqg.rtd",,"StudyData",A106, "OI", "OIType=Contract", "OI","D","-1","ALL",,,"TRUE","T")=0,"",RTD("cqg.rtd",,"StudyData",A106, "OI", "OIType=Contract", "OI","D","-1","ALL",,,"TRUE","T"))</f>
        <v/>
      </c>
      <c r="W106" s="147" t="str">
        <f>IF(RTD("cqg.rtd",,"StudyData",A106, "OI", "OIType=Contract", "OI","D","-2","ALL",,,"TRUE","T")=0,"",RTD("cqg.rtd",,"StudyData",A106, "OI", "OIType=Contract", "OI","D","-2","ALL",,,"TRUE","T"))</f>
        <v/>
      </c>
      <c r="X106" s="146" t="str">
        <f t="shared" si="18"/>
        <v/>
      </c>
      <c r="Y106" s="145" t="str">
        <f>RTD("cqg.rtd", ,"ContractData",A106, "T_Settlement",, "T")</f>
        <v/>
      </c>
      <c r="Z106" s="145">
        <f>RTD("cqg.rtd", ,"ContractData",A106, "Y_Settlement",, "T")</f>
        <v>3.274</v>
      </c>
      <c r="AA106" s="144">
        <f>RTD("cqg.rtd", ,"ContractData",A106, "ExpirationDate",, "T")</f>
        <v>46020</v>
      </c>
      <c r="AB106" s="143" t="str">
        <f>RIGHT(RTD("cqg.rtd", ,"ContractData",A106, "LongDescription",, "T"),6)</f>
        <v>Jan 26</v>
      </c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</row>
    <row r="107" spans="1:39" x14ac:dyDescent="0.3">
      <c r="A107" s="123" t="s">
        <v>91</v>
      </c>
      <c r="B107" s="154" t="str">
        <f>RIGHT(RTD("cqg.rtd", ,"ContractData",A107, "LongDescription",, "T"),6)</f>
        <v>Feb 26</v>
      </c>
      <c r="C107" s="153">
        <f t="shared" si="19"/>
        <v>10</v>
      </c>
      <c r="D107" s="153">
        <f t="shared" si="15"/>
        <v>1</v>
      </c>
      <c r="E107" s="152" t="str">
        <f>IF(B107="","",RTD("cqg.rtd",,"ContractData",A107,"NetLastTradeToday",,"T"))</f>
        <v/>
      </c>
      <c r="F107" s="148" t="str">
        <f>IF(B107="","",RTD("cqg.rtd",,"ContractData",A107,"LastTradeToday",,"T"))</f>
        <v/>
      </c>
      <c r="G107" s="148" t="str">
        <f>IF(B107="","",RTD("cqg.rtd",,"ContractData",A107,"NetLastTradeToday",,"T"))</f>
        <v/>
      </c>
      <c r="H107" s="151" t="str">
        <f>IF(F107="","",MOD(RTD("cqg.rtd", ,"ContractData",A107, "DTLastTrade",, "T"),1))</f>
        <v/>
      </c>
      <c r="I107" s="277"/>
      <c r="J107" s="150" t="str">
        <f>IF(RTD("cqg.rtd", ,"ContractData",A107, "MT_LastBidVolume",, "T")=0,"",RTD("cqg.rtd", ,"ContractData",A107, "MT_LastBidVolume",, "T"))</f>
        <v/>
      </c>
      <c r="K107" s="145" t="str">
        <f>RTD("cqg.rtd", ,"ContractData",A107, "Bid",, "T")</f>
        <v/>
      </c>
      <c r="L107" s="145"/>
      <c r="M107" s="145" t="str">
        <f>RTD("cqg.rtd", ,"ContractData",A107, "Ask",, "T")</f>
        <v/>
      </c>
      <c r="N107" s="150" t="str">
        <f>IF(RTD("cqg.rtd", ,"ContractData",A107, "MT_LastAskVolume",, "T")=0,"",RTD("cqg.rtd", ,"ContractData",A107, "MT_LastAskVolume",, "T"))</f>
        <v/>
      </c>
      <c r="O107" s="149">
        <f t="shared" si="16"/>
        <v>0</v>
      </c>
      <c r="P107" s="148" t="str">
        <f>IF(B107="","",RTD("cqg.rtd",,"ContractData",A107,"Open",,"T"))</f>
        <v/>
      </c>
      <c r="Q107" s="148" t="str">
        <f>IF(B107="","",RTD("cqg.rtd",,"ContractData",A107,"High",,"T"))</f>
        <v/>
      </c>
      <c r="R107" s="148" t="str">
        <f>IF(B107="","",RTD("cqg.rtd",,"ContractData",A107,"Low",,"T"))</f>
        <v/>
      </c>
      <c r="S107" s="147" t="str">
        <f>IF(RTD("cqg.rtd", ,"ContractData",A107, "T_CVol",, "T")=0,"",RTD("cqg.rtd", ,"ContractData",A107, "T_CVol",, "T"))</f>
        <v/>
      </c>
      <c r="T107" s="147" t="str">
        <f>IF(RTD("cqg.rtd", ,"ContractData",A107, "Y_CVol",, "T")=0,"",RTD("cqg.rtd", ,"ContractData",A107, "Y_CVol",, "T"))</f>
        <v/>
      </c>
      <c r="U107" s="147" t="str">
        <f t="shared" si="17"/>
        <v/>
      </c>
      <c r="V107" s="147" t="str">
        <f>IF(RTD("cqg.rtd",,"StudyData",A107, "OI", "OIType=Contract", "OI","D","-1","ALL",,,"TRUE","T")=0,"",RTD("cqg.rtd",,"StudyData",A107, "OI", "OIType=Contract", "OI","D","-1","ALL",,,"TRUE","T"))</f>
        <v/>
      </c>
      <c r="W107" s="147" t="str">
        <f>IF(RTD("cqg.rtd",,"StudyData",A107, "OI", "OIType=Contract", "OI","D","-2","ALL",,,"TRUE","T")=0,"",RTD("cqg.rtd",,"StudyData",A107, "OI", "OIType=Contract", "OI","D","-2","ALL",,,"TRUE","T"))</f>
        <v/>
      </c>
      <c r="X107" s="146" t="str">
        <f t="shared" si="18"/>
        <v/>
      </c>
      <c r="Y107" s="145" t="str">
        <f>RTD("cqg.rtd", ,"ContractData",A107, "T_Settlement",, "T")</f>
        <v/>
      </c>
      <c r="Z107" s="145">
        <f>RTD("cqg.rtd", ,"ContractData",A107, "Y_Settlement",, "T")</f>
        <v>3.24</v>
      </c>
      <c r="AA107" s="144">
        <f>RTD("cqg.rtd", ,"ContractData",A107, "ExpirationDate",, "T")</f>
        <v>46050</v>
      </c>
      <c r="AB107" s="143" t="str">
        <f>RIGHT(RTD("cqg.rtd", ,"ContractData",A107, "LongDescription",, "T"),6)</f>
        <v>Feb 26</v>
      </c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</row>
    <row r="108" spans="1:39" x14ac:dyDescent="0.3">
      <c r="A108" s="123" t="s">
        <v>90</v>
      </c>
      <c r="B108" s="154" t="str">
        <f>RIGHT(RTD("cqg.rtd", ,"ContractData",A108, "LongDescription",, "T"),6)</f>
        <v>Mar 26</v>
      </c>
      <c r="C108" s="153">
        <f t="shared" si="19"/>
        <v>10</v>
      </c>
      <c r="D108" s="153">
        <f t="shared" si="15"/>
        <v>1</v>
      </c>
      <c r="E108" s="152" t="str">
        <f>IF(B108="","",RTD("cqg.rtd",,"ContractData",A108,"NetLastTradeToday",,"T"))</f>
        <v/>
      </c>
      <c r="F108" s="148" t="str">
        <f>IF(B108="","",RTD("cqg.rtd",,"ContractData",A108,"LastTradeToday",,"T"))</f>
        <v/>
      </c>
      <c r="G108" s="148" t="str">
        <f>IF(B108="","",RTD("cqg.rtd",,"ContractData",A108,"NetLastTradeToday",,"T"))</f>
        <v/>
      </c>
      <c r="H108" s="151" t="str">
        <f>IF(F108="","",MOD(RTD("cqg.rtd", ,"ContractData",A108, "DTLastTrade",, "T"),1))</f>
        <v/>
      </c>
      <c r="I108" s="277"/>
      <c r="J108" s="150" t="str">
        <f>IF(RTD("cqg.rtd", ,"ContractData",A108, "MT_LastBidVolume",, "T")=0,"",RTD("cqg.rtd", ,"ContractData",A108, "MT_LastBidVolume",, "T"))</f>
        <v/>
      </c>
      <c r="K108" s="145" t="str">
        <f>RTD("cqg.rtd", ,"ContractData",A108, "Bid",, "T")</f>
        <v/>
      </c>
      <c r="L108" s="145"/>
      <c r="M108" s="145" t="str">
        <f>RTD("cqg.rtd", ,"ContractData",A108, "Ask",, "T")</f>
        <v/>
      </c>
      <c r="N108" s="150" t="str">
        <f>IF(RTD("cqg.rtd", ,"ContractData",A108, "MT_LastAskVolume",, "T")=0,"",RTD("cqg.rtd", ,"ContractData",A108, "MT_LastAskVolume",, "T"))</f>
        <v/>
      </c>
      <c r="O108" s="149">
        <f t="shared" si="16"/>
        <v>0</v>
      </c>
      <c r="P108" s="148" t="str">
        <f>IF(B108="","",RTD("cqg.rtd",,"ContractData",A108,"Open",,"T"))</f>
        <v/>
      </c>
      <c r="Q108" s="148" t="str">
        <f>IF(B108="","",RTD("cqg.rtd",,"ContractData",A108,"High",,"T"))</f>
        <v/>
      </c>
      <c r="R108" s="148" t="str">
        <f>IF(B108="","",RTD("cqg.rtd",,"ContractData",A108,"Low",,"T"))</f>
        <v/>
      </c>
      <c r="S108" s="147" t="str">
        <f>IF(RTD("cqg.rtd", ,"ContractData",A108, "T_CVol",, "T")=0,"",RTD("cqg.rtd", ,"ContractData",A108, "T_CVol",, "T"))</f>
        <v/>
      </c>
      <c r="T108" s="147" t="str">
        <f>IF(RTD("cqg.rtd", ,"ContractData",A108, "Y_CVol",, "T")=0,"",RTD("cqg.rtd", ,"ContractData",A108, "Y_CVol",, "T"))</f>
        <v/>
      </c>
      <c r="U108" s="147" t="str">
        <f t="shared" si="17"/>
        <v/>
      </c>
      <c r="V108" s="147" t="str">
        <f>IF(RTD("cqg.rtd",,"StudyData",A108, "OI", "OIType=Contract", "OI","D","-1","ALL",,,"TRUE","T")=0,"",RTD("cqg.rtd",,"StudyData",A108, "OI", "OIType=Contract", "OI","D","-1","ALL",,,"TRUE","T"))</f>
        <v/>
      </c>
      <c r="W108" s="147" t="str">
        <f>IF(RTD("cqg.rtd",,"StudyData",A108, "OI", "OIType=Contract", "OI","D","-2","ALL",,,"TRUE","T")=0,"",RTD("cqg.rtd",,"StudyData",A108, "OI", "OIType=Contract", "OI","D","-2","ALL",,,"TRUE","T"))</f>
        <v/>
      </c>
      <c r="X108" s="146" t="str">
        <f t="shared" si="18"/>
        <v/>
      </c>
      <c r="Y108" s="145" t="str">
        <f>RTD("cqg.rtd", ,"ContractData",A108, "T_Settlement",, "T")</f>
        <v/>
      </c>
      <c r="Z108" s="145">
        <f>RTD("cqg.rtd", ,"ContractData",A108, "Y_Settlement",, "T")</f>
        <v>3.165</v>
      </c>
      <c r="AA108" s="144">
        <f>RTD("cqg.rtd", ,"ContractData",A108, "ExpirationDate",, "T")</f>
        <v>46078</v>
      </c>
      <c r="AB108" s="143" t="str">
        <f>RIGHT(RTD("cqg.rtd", ,"ContractData",A108, "LongDescription",, "T"),6)</f>
        <v>Mar 26</v>
      </c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</row>
    <row r="109" spans="1:39" x14ac:dyDescent="0.3">
      <c r="A109" s="123" t="s">
        <v>89</v>
      </c>
      <c r="B109" s="154" t="str">
        <f>RIGHT(RTD("cqg.rtd", ,"ContractData",A109, "LongDescription",, "T"),6)</f>
        <v>Apr 26</v>
      </c>
      <c r="C109" s="153">
        <f t="shared" si="19"/>
        <v>10</v>
      </c>
      <c r="D109" s="153">
        <f t="shared" si="15"/>
        <v>1</v>
      </c>
      <c r="E109" s="152" t="str">
        <f>IF(B109="","",RTD("cqg.rtd",,"ContractData",A109,"NetLastTradeToday",,"T"))</f>
        <v/>
      </c>
      <c r="F109" s="148" t="str">
        <f>IF(B109="","",RTD("cqg.rtd",,"ContractData",A109,"LastTradeToday",,"T"))</f>
        <v/>
      </c>
      <c r="G109" s="148" t="str">
        <f>IF(B109="","",RTD("cqg.rtd",,"ContractData",A109,"NetLastTradeToday",,"T"))</f>
        <v/>
      </c>
      <c r="H109" s="151" t="str">
        <f>IF(F109="","",MOD(RTD("cqg.rtd", ,"ContractData",A109, "DTLastTrade",, "T"),1))</f>
        <v/>
      </c>
      <c r="I109" s="277"/>
      <c r="J109" s="150" t="str">
        <f>IF(RTD("cqg.rtd", ,"ContractData",A109, "MT_LastBidVolume",, "T")=0,"",RTD("cqg.rtd", ,"ContractData",A109, "MT_LastBidVolume",, "T"))</f>
        <v/>
      </c>
      <c r="K109" s="145" t="str">
        <f>RTD("cqg.rtd", ,"ContractData",A109, "Bid",, "T")</f>
        <v/>
      </c>
      <c r="L109" s="145"/>
      <c r="M109" s="145" t="str">
        <f>RTD("cqg.rtd", ,"ContractData",A109, "Ask",, "T")</f>
        <v/>
      </c>
      <c r="N109" s="150" t="str">
        <f>IF(RTD("cqg.rtd", ,"ContractData",A109, "MT_LastAskVolume",, "T")=0,"",RTD("cqg.rtd", ,"ContractData",A109, "MT_LastAskVolume",, "T"))</f>
        <v/>
      </c>
      <c r="O109" s="149">
        <f t="shared" si="16"/>
        <v>0</v>
      </c>
      <c r="P109" s="148" t="str">
        <f>IF(B109="","",RTD("cqg.rtd",,"ContractData",A109,"Open",,"T"))</f>
        <v/>
      </c>
      <c r="Q109" s="148" t="str">
        <f>IF(B109="","",RTD("cqg.rtd",,"ContractData",A109,"High",,"T"))</f>
        <v/>
      </c>
      <c r="R109" s="148" t="str">
        <f>IF(B109="","",RTD("cqg.rtd",,"ContractData",A109,"Low",,"T"))</f>
        <v/>
      </c>
      <c r="S109" s="147" t="str">
        <f>IF(RTD("cqg.rtd", ,"ContractData",A109, "T_CVol",, "T")=0,"",RTD("cqg.rtd", ,"ContractData",A109, "T_CVol",, "T"))</f>
        <v/>
      </c>
      <c r="T109" s="147" t="str">
        <f>IF(RTD("cqg.rtd", ,"ContractData",A109, "Y_CVol",, "T")=0,"",RTD("cqg.rtd", ,"ContractData",A109, "Y_CVol",, "T"))</f>
        <v/>
      </c>
      <c r="U109" s="147" t="str">
        <f t="shared" si="17"/>
        <v/>
      </c>
      <c r="V109" s="147" t="str">
        <f>IF(RTD("cqg.rtd",,"StudyData",A109, "OI", "OIType=Contract", "OI","D","-1","ALL",,,"TRUE","T")=0,"",RTD("cqg.rtd",,"StudyData",A109, "OI", "OIType=Contract", "OI","D","-1","ALL",,,"TRUE","T"))</f>
        <v/>
      </c>
      <c r="W109" s="147" t="str">
        <f>IF(RTD("cqg.rtd",,"StudyData",A109, "OI", "OIType=Contract", "OI","D","-2","ALL",,,"TRUE","T")=0,"",RTD("cqg.rtd",,"StudyData",A109, "OI", "OIType=Contract", "OI","D","-2","ALL",,,"TRUE","T"))</f>
        <v/>
      </c>
      <c r="X109" s="146" t="str">
        <f t="shared" si="18"/>
        <v/>
      </c>
      <c r="Y109" s="145" t="str">
        <f>RTD("cqg.rtd", ,"ContractData",A109, "T_Settlement",, "T")</f>
        <v/>
      </c>
      <c r="Z109" s="145">
        <f>RTD("cqg.rtd", ,"ContractData",A109, "Y_Settlement",, "T")</f>
        <v>2.83</v>
      </c>
      <c r="AA109" s="144">
        <f>RTD("cqg.rtd", ,"ContractData",A109, "ExpirationDate",, "T")</f>
        <v>46108</v>
      </c>
      <c r="AB109" s="143" t="str">
        <f>RIGHT(RTD("cqg.rtd", ,"ContractData",A109, "LongDescription",, "T"),6)</f>
        <v>Apr 26</v>
      </c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</row>
    <row r="110" spans="1:39" x14ac:dyDescent="0.3">
      <c r="A110" s="123" t="s">
        <v>88</v>
      </c>
      <c r="B110" s="154" t="str">
        <f>RIGHT(RTD("cqg.rtd", ,"ContractData",A110, "LongDescription",, "T"),6)</f>
        <v>May 26</v>
      </c>
      <c r="C110" s="153">
        <f t="shared" si="19"/>
        <v>10</v>
      </c>
      <c r="D110" s="153">
        <f t="shared" si="15"/>
        <v>1</v>
      </c>
      <c r="E110" s="152" t="str">
        <f>IF(B110="","",RTD("cqg.rtd",,"ContractData",A110,"NetLastTradeToday",,"T"))</f>
        <v/>
      </c>
      <c r="F110" s="148" t="str">
        <f>IF(B110="","",RTD("cqg.rtd",,"ContractData",A110,"LastTradeToday",,"T"))</f>
        <v/>
      </c>
      <c r="G110" s="148" t="str">
        <f>IF(B110="","",RTD("cqg.rtd",,"ContractData",A110,"NetLastTradeToday",,"T"))</f>
        <v/>
      </c>
      <c r="H110" s="151" t="str">
        <f>IF(F110="","",MOD(RTD("cqg.rtd", ,"ContractData",A110, "DTLastTrade",, "T"),1))</f>
        <v/>
      </c>
      <c r="I110" s="277"/>
      <c r="J110" s="150" t="str">
        <f>IF(RTD("cqg.rtd", ,"ContractData",A110, "MT_LastBidVolume",, "T")=0,"",RTD("cqg.rtd", ,"ContractData",A110, "MT_LastBidVolume",, "T"))</f>
        <v/>
      </c>
      <c r="K110" s="145" t="str">
        <f>RTD("cqg.rtd", ,"ContractData",A110, "Bid",, "T")</f>
        <v/>
      </c>
      <c r="L110" s="145"/>
      <c r="M110" s="145" t="str">
        <f>RTD("cqg.rtd", ,"ContractData",A110, "Ask",, "T")</f>
        <v/>
      </c>
      <c r="N110" s="150" t="str">
        <f>IF(RTD("cqg.rtd", ,"ContractData",A110, "MT_LastAskVolume",, "T")=0,"",RTD("cqg.rtd", ,"ContractData",A110, "MT_LastAskVolume",, "T"))</f>
        <v/>
      </c>
      <c r="O110" s="149">
        <f t="shared" si="16"/>
        <v>0</v>
      </c>
      <c r="P110" s="148" t="str">
        <f>IF(B110="","",RTD("cqg.rtd",,"ContractData",A110,"Open",,"T"))</f>
        <v/>
      </c>
      <c r="Q110" s="148" t="str">
        <f>IF(B110="","",RTD("cqg.rtd",,"ContractData",A110,"High",,"T"))</f>
        <v/>
      </c>
      <c r="R110" s="148" t="str">
        <f>IF(B110="","",RTD("cqg.rtd",,"ContractData",A110,"Low",,"T"))</f>
        <v/>
      </c>
      <c r="S110" s="147" t="str">
        <f>IF(RTD("cqg.rtd", ,"ContractData",A110, "T_CVol",, "T")=0,"",RTD("cqg.rtd", ,"ContractData",A110, "T_CVol",, "T"))</f>
        <v/>
      </c>
      <c r="T110" s="147" t="str">
        <f>IF(RTD("cqg.rtd", ,"ContractData",A110, "Y_CVol",, "T")=0,"",RTD("cqg.rtd", ,"ContractData",A110, "Y_CVol",, "T"))</f>
        <v/>
      </c>
      <c r="U110" s="147" t="str">
        <f t="shared" si="17"/>
        <v/>
      </c>
      <c r="V110" s="147" t="str">
        <f>IF(RTD("cqg.rtd",,"StudyData",A110, "OI", "OIType=Contract", "OI","D","-1","ALL",,,"TRUE","T")=0,"",RTD("cqg.rtd",,"StudyData",A110, "OI", "OIType=Contract", "OI","D","-1","ALL",,,"TRUE","T"))</f>
        <v/>
      </c>
      <c r="W110" s="147" t="str">
        <f>IF(RTD("cqg.rtd",,"StudyData",A110, "OI", "OIType=Contract", "OI","D","-2","ALL",,,"TRUE","T")=0,"",RTD("cqg.rtd",,"StudyData",A110, "OI", "OIType=Contract", "OI","D","-2","ALL",,,"TRUE","T"))</f>
        <v/>
      </c>
      <c r="X110" s="146" t="str">
        <f t="shared" si="18"/>
        <v/>
      </c>
      <c r="Y110" s="145" t="str">
        <f>RTD("cqg.rtd", ,"ContractData",A110, "T_Settlement",, "T")</f>
        <v/>
      </c>
      <c r="Z110" s="145">
        <f>RTD("cqg.rtd", ,"ContractData",A110, "Y_Settlement",, "T")</f>
        <v>2.8120000000000003</v>
      </c>
      <c r="AA110" s="144">
        <f>RTD("cqg.rtd", ,"ContractData",A110, "ExpirationDate",, "T")</f>
        <v>46140</v>
      </c>
      <c r="AB110" s="143" t="str">
        <f>RIGHT(RTD("cqg.rtd", ,"ContractData",A110, "LongDescription",, "T"),6)</f>
        <v>May 26</v>
      </c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</row>
    <row r="111" spans="1:39" x14ac:dyDescent="0.3">
      <c r="A111" s="123" t="s">
        <v>87</v>
      </c>
      <c r="B111" s="154" t="str">
        <f>RIGHT(RTD("cqg.rtd", ,"ContractData",A111, "LongDescription",, "T"),6)</f>
        <v>Jun 26</v>
      </c>
      <c r="C111" s="153">
        <f t="shared" si="19"/>
        <v>10</v>
      </c>
      <c r="D111" s="153">
        <f t="shared" si="15"/>
        <v>1</v>
      </c>
      <c r="E111" s="152" t="str">
        <f>IF(B111="","",RTD("cqg.rtd",,"ContractData",A111,"NetLastTradeToday",,"T"))</f>
        <v/>
      </c>
      <c r="F111" s="148" t="str">
        <f>IF(B111="","",RTD("cqg.rtd",,"ContractData",A111,"LastTradeToday",,"T"))</f>
        <v/>
      </c>
      <c r="G111" s="148" t="str">
        <f>IF(B111="","",RTD("cqg.rtd",,"ContractData",A111,"NetLastTradeToday",,"T"))</f>
        <v/>
      </c>
      <c r="H111" s="151" t="str">
        <f>IF(F111="","",MOD(RTD("cqg.rtd", ,"ContractData",A111, "DTLastTrade",, "T"),1))</f>
        <v/>
      </c>
      <c r="I111" s="277"/>
      <c r="J111" s="150" t="str">
        <f>IF(RTD("cqg.rtd", ,"ContractData",A111, "MT_LastBidVolume",, "T")=0,"",RTD("cqg.rtd", ,"ContractData",A111, "MT_LastBidVolume",, "T"))</f>
        <v/>
      </c>
      <c r="K111" s="145" t="str">
        <f>RTD("cqg.rtd", ,"ContractData",A111, "Bid",, "T")</f>
        <v/>
      </c>
      <c r="L111" s="145"/>
      <c r="M111" s="145" t="str">
        <f>RTD("cqg.rtd", ,"ContractData",A111, "Ask",, "T")</f>
        <v/>
      </c>
      <c r="N111" s="150" t="str">
        <f>IF(RTD("cqg.rtd", ,"ContractData",A111, "MT_LastAskVolume",, "T")=0,"",RTD("cqg.rtd", ,"ContractData",A111, "MT_LastAskVolume",, "T"))</f>
        <v/>
      </c>
      <c r="O111" s="149">
        <f t="shared" si="16"/>
        <v>0</v>
      </c>
      <c r="P111" s="148" t="str">
        <f>IF(B111="","",RTD("cqg.rtd",,"ContractData",A111,"Open",,"T"))</f>
        <v/>
      </c>
      <c r="Q111" s="148" t="str">
        <f>IF(B111="","",RTD("cqg.rtd",,"ContractData",A111,"High",,"T"))</f>
        <v/>
      </c>
      <c r="R111" s="148" t="str">
        <f>IF(B111="","",RTD("cqg.rtd",,"ContractData",A111,"Low",,"T"))</f>
        <v/>
      </c>
      <c r="S111" s="147" t="str">
        <f>IF(RTD("cqg.rtd", ,"ContractData",A111, "T_CVol",, "T")=0,"",RTD("cqg.rtd", ,"ContractData",A111, "T_CVol",, "T"))</f>
        <v/>
      </c>
      <c r="T111" s="147" t="str">
        <f>IF(RTD("cqg.rtd", ,"ContractData",A111, "Y_CVol",, "T")=0,"",RTD("cqg.rtd", ,"ContractData",A111, "Y_CVol",, "T"))</f>
        <v/>
      </c>
      <c r="U111" s="147" t="str">
        <f t="shared" si="17"/>
        <v/>
      </c>
      <c r="V111" s="147" t="str">
        <f>IF(RTD("cqg.rtd",,"StudyData",A111, "OI", "OIType=Contract", "OI","D","-1","ALL",,,"TRUE","T")=0,"",RTD("cqg.rtd",,"StudyData",A111, "OI", "OIType=Contract", "OI","D","-1","ALL",,,"TRUE","T"))</f>
        <v/>
      </c>
      <c r="W111" s="147" t="str">
        <f>IF(RTD("cqg.rtd",,"StudyData",A111, "OI", "OIType=Contract", "OI","D","-2","ALL",,,"TRUE","T")=0,"",RTD("cqg.rtd",,"StudyData",A111, "OI", "OIType=Contract", "OI","D","-2","ALL",,,"TRUE","T"))</f>
        <v/>
      </c>
      <c r="X111" s="146" t="str">
        <f t="shared" si="18"/>
        <v/>
      </c>
      <c r="Y111" s="145" t="str">
        <f>RTD("cqg.rtd", ,"ContractData",A111, "T_Settlement",, "T")</f>
        <v/>
      </c>
      <c r="Z111" s="145">
        <f>RTD("cqg.rtd", ,"ContractData",A111, "Y_Settlement",, "T")</f>
        <v>2.8450000000000002</v>
      </c>
      <c r="AA111" s="144">
        <f>RTD("cqg.rtd", ,"ContractData",A111, "ExpirationDate",, "T")</f>
        <v>46169</v>
      </c>
      <c r="AB111" s="143" t="str">
        <f>RIGHT(RTD("cqg.rtd", ,"ContractData",A111, "LongDescription",, "T"),6)</f>
        <v>Jun 26</v>
      </c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</row>
    <row r="112" spans="1:39" x14ac:dyDescent="0.3">
      <c r="A112" s="123" t="s">
        <v>86</v>
      </c>
      <c r="B112" s="154" t="str">
        <f>RIGHT(RTD("cqg.rtd", ,"ContractData",A112, "LongDescription",, "T"),6)</f>
        <v>Jul 26</v>
      </c>
      <c r="C112" s="153">
        <f t="shared" si="19"/>
        <v>10</v>
      </c>
      <c r="D112" s="153">
        <f t="shared" si="15"/>
        <v>1</v>
      </c>
      <c r="E112" s="152" t="str">
        <f>IF(B112="","",RTD("cqg.rtd",,"ContractData",A112,"NetLastTradeToday",,"T"))</f>
        <v/>
      </c>
      <c r="F112" s="148" t="str">
        <f>IF(B112="","",RTD("cqg.rtd",,"ContractData",A112,"LastTradeToday",,"T"))</f>
        <v/>
      </c>
      <c r="G112" s="148" t="str">
        <f>IF(B112="","",RTD("cqg.rtd",,"ContractData",A112,"NetLastTradeToday",,"T"))</f>
        <v/>
      </c>
      <c r="H112" s="151" t="str">
        <f>IF(F112="","",MOD(RTD("cqg.rtd", ,"ContractData",A112, "DTLastTrade",, "T"),1))</f>
        <v/>
      </c>
      <c r="I112" s="277"/>
      <c r="J112" s="150" t="str">
        <f>IF(RTD("cqg.rtd", ,"ContractData",A112, "MT_LastBidVolume",, "T")=0,"",RTD("cqg.rtd", ,"ContractData",A112, "MT_LastBidVolume",, "T"))</f>
        <v/>
      </c>
      <c r="K112" s="145" t="str">
        <f>RTD("cqg.rtd", ,"ContractData",A112, "Bid",, "T")</f>
        <v/>
      </c>
      <c r="L112" s="145"/>
      <c r="M112" s="145" t="str">
        <f>RTD("cqg.rtd", ,"ContractData",A112, "Ask",, "T")</f>
        <v/>
      </c>
      <c r="N112" s="150" t="str">
        <f>IF(RTD("cqg.rtd", ,"ContractData",A112, "MT_LastAskVolume",, "T")=0,"",RTD("cqg.rtd", ,"ContractData",A112, "MT_LastAskVolume",, "T"))</f>
        <v/>
      </c>
      <c r="O112" s="149">
        <f t="shared" si="16"/>
        <v>0</v>
      </c>
      <c r="P112" s="148" t="str">
        <f>IF(B112="","",RTD("cqg.rtd",,"ContractData",A112,"Open",,"T"))</f>
        <v/>
      </c>
      <c r="Q112" s="148" t="str">
        <f>IF(B112="","",RTD("cqg.rtd",,"ContractData",A112,"High",,"T"))</f>
        <v/>
      </c>
      <c r="R112" s="148" t="str">
        <f>IF(B112="","",RTD("cqg.rtd",,"ContractData",A112,"Low",,"T"))</f>
        <v/>
      </c>
      <c r="S112" s="147" t="str">
        <f>IF(RTD("cqg.rtd", ,"ContractData",A112, "T_CVol",, "T")=0,"",RTD("cqg.rtd", ,"ContractData",A112, "T_CVol",, "T"))</f>
        <v/>
      </c>
      <c r="T112" s="147" t="str">
        <f>IF(RTD("cqg.rtd", ,"ContractData",A112, "Y_CVol",, "T")=0,"",RTD("cqg.rtd", ,"ContractData",A112, "Y_CVol",, "T"))</f>
        <v/>
      </c>
      <c r="U112" s="147" t="str">
        <f t="shared" si="17"/>
        <v/>
      </c>
      <c r="V112" s="147" t="str">
        <f>IF(RTD("cqg.rtd",,"StudyData",A112, "OI", "OIType=Contract", "OI","D","-1","ALL",,,"TRUE","T")=0,"",RTD("cqg.rtd",,"StudyData",A112, "OI", "OIType=Contract", "OI","D","-1","ALL",,,"TRUE","T"))</f>
        <v/>
      </c>
      <c r="W112" s="147" t="str">
        <f>IF(RTD("cqg.rtd",,"StudyData",A112, "OI", "OIType=Contract", "OI","D","-2","ALL",,,"TRUE","T")=0,"",RTD("cqg.rtd",,"StudyData",A112, "OI", "OIType=Contract", "OI","D","-2","ALL",,,"TRUE","T"))</f>
        <v/>
      </c>
      <c r="X112" s="146" t="str">
        <f t="shared" si="18"/>
        <v/>
      </c>
      <c r="Y112" s="145" t="str">
        <f>RTD("cqg.rtd", ,"ContractData",A112, "T_Settlement",, "T")</f>
        <v/>
      </c>
      <c r="Z112" s="145">
        <f>RTD("cqg.rtd", ,"ContractData",A112, "Y_Settlement",, "T")</f>
        <v>2.89</v>
      </c>
      <c r="AA112" s="144">
        <f>RTD("cqg.rtd", ,"ContractData",A112, "ExpirationDate",, "T")</f>
        <v>46199</v>
      </c>
      <c r="AB112" s="143" t="str">
        <f>RIGHT(RTD("cqg.rtd", ,"ContractData",A112, "LongDescription",, "T"),6)</f>
        <v>Jul 26</v>
      </c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</row>
    <row r="113" spans="1:39" x14ac:dyDescent="0.3">
      <c r="A113" s="123" t="s">
        <v>85</v>
      </c>
      <c r="B113" s="154" t="str">
        <f>RIGHT(RTD("cqg.rtd", ,"ContractData",A113, "LongDescription",, "T"),6)</f>
        <v>Aug 26</v>
      </c>
      <c r="C113" s="153">
        <f t="shared" si="19"/>
        <v>10</v>
      </c>
      <c r="D113" s="153">
        <f t="shared" si="15"/>
        <v>1</v>
      </c>
      <c r="E113" s="152" t="str">
        <f>IF(B113="","",RTD("cqg.rtd",,"ContractData",A113,"NetLastTradeToday",,"T"))</f>
        <v/>
      </c>
      <c r="F113" s="148" t="str">
        <f>IF(B113="","",RTD("cqg.rtd",,"ContractData",A113,"LastTradeToday",,"T"))</f>
        <v/>
      </c>
      <c r="G113" s="148" t="str">
        <f>IF(B113="","",RTD("cqg.rtd",,"ContractData",A113,"NetLastTradeToday",,"T"))</f>
        <v/>
      </c>
      <c r="H113" s="151" t="str">
        <f>IF(F113="","",MOD(RTD("cqg.rtd", ,"ContractData",A113, "DTLastTrade",, "T"),1))</f>
        <v/>
      </c>
      <c r="I113" s="277"/>
      <c r="J113" s="150" t="str">
        <f>IF(RTD("cqg.rtd", ,"ContractData",A113, "MT_LastBidVolume",, "T")=0,"",RTD("cqg.rtd", ,"ContractData",A113, "MT_LastBidVolume",, "T"))</f>
        <v/>
      </c>
      <c r="K113" s="145" t="str">
        <f>RTD("cqg.rtd", ,"ContractData",A113, "Bid",, "T")</f>
        <v/>
      </c>
      <c r="L113" s="145"/>
      <c r="M113" s="145" t="str">
        <f>RTD("cqg.rtd", ,"ContractData",A113, "Ask",, "T")</f>
        <v/>
      </c>
      <c r="N113" s="150" t="str">
        <f>IF(RTD("cqg.rtd", ,"ContractData",A113, "MT_LastAskVolume",, "T")=0,"",RTD("cqg.rtd", ,"ContractData",A113, "MT_LastAskVolume",, "T"))</f>
        <v/>
      </c>
      <c r="O113" s="149">
        <f t="shared" si="16"/>
        <v>0</v>
      </c>
      <c r="P113" s="148" t="str">
        <f>IF(B113="","",RTD("cqg.rtd",,"ContractData",A113,"Open",,"T"))</f>
        <v/>
      </c>
      <c r="Q113" s="148" t="str">
        <f>IF(B113="","",RTD("cqg.rtd",,"ContractData",A113,"High",,"T"))</f>
        <v/>
      </c>
      <c r="R113" s="148" t="str">
        <f>IF(B113="","",RTD("cqg.rtd",,"ContractData",A113,"Low",,"T"))</f>
        <v/>
      </c>
      <c r="S113" s="147" t="str">
        <f>IF(RTD("cqg.rtd", ,"ContractData",A113, "T_CVol",, "T")=0,"",RTD("cqg.rtd", ,"ContractData",A113, "T_CVol",, "T"))</f>
        <v/>
      </c>
      <c r="T113" s="147" t="str">
        <f>IF(RTD("cqg.rtd", ,"ContractData",A113, "Y_CVol",, "T")=0,"",RTD("cqg.rtd", ,"ContractData",A113, "Y_CVol",, "T"))</f>
        <v/>
      </c>
      <c r="U113" s="147" t="str">
        <f t="shared" si="17"/>
        <v/>
      </c>
      <c r="V113" s="147" t="str">
        <f>IF(RTD("cqg.rtd",,"StudyData",A113, "OI", "OIType=Contract", "OI","D","-1","ALL",,,"TRUE","T")=0,"",RTD("cqg.rtd",,"StudyData",A113, "OI", "OIType=Contract", "OI","D","-1","ALL",,,"TRUE","T"))</f>
        <v/>
      </c>
      <c r="W113" s="147" t="str">
        <f>IF(RTD("cqg.rtd",,"StudyData",A113, "OI", "OIType=Contract", "OI","D","-2","ALL",,,"TRUE","T")=0,"",RTD("cqg.rtd",,"StudyData",A113, "OI", "OIType=Contract", "OI","D","-2","ALL",,,"TRUE","T"))</f>
        <v/>
      </c>
      <c r="X113" s="146" t="str">
        <f t="shared" si="18"/>
        <v/>
      </c>
      <c r="Y113" s="145" t="str">
        <f>RTD("cqg.rtd", ,"ContractData",A113, "T_Settlement",, "T")</f>
        <v/>
      </c>
      <c r="Z113" s="145">
        <f>RTD("cqg.rtd", ,"ContractData",A113, "Y_Settlement",, "T")</f>
        <v>2.93</v>
      </c>
      <c r="AA113" s="144">
        <f>RTD("cqg.rtd", ,"ContractData",A113, "ExpirationDate",, "T")</f>
        <v>46232</v>
      </c>
      <c r="AB113" s="143" t="str">
        <f>RIGHT(RTD("cqg.rtd", ,"ContractData",A113, "LongDescription",, "T"),6)</f>
        <v>Aug 26</v>
      </c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</row>
    <row r="114" spans="1:39" x14ac:dyDescent="0.3">
      <c r="A114" s="123" t="s">
        <v>84</v>
      </c>
      <c r="B114" s="154" t="str">
        <f>RIGHT(RTD("cqg.rtd", ,"ContractData",A114, "LongDescription",, "T"),6)</f>
        <v>Sep 26</v>
      </c>
      <c r="C114" s="153">
        <f t="shared" si="19"/>
        <v>10</v>
      </c>
      <c r="D114" s="153">
        <f t="shared" si="15"/>
        <v>1</v>
      </c>
      <c r="E114" s="152" t="str">
        <f>IF(B114="","",RTD("cqg.rtd",,"ContractData",A114,"NetLastTradeToday",,"T"))</f>
        <v/>
      </c>
      <c r="F114" s="148" t="str">
        <f>IF(B114="","",RTD("cqg.rtd",,"ContractData",A114,"LastTradeToday",,"T"))</f>
        <v/>
      </c>
      <c r="G114" s="148" t="str">
        <f>IF(B114="","",RTD("cqg.rtd",,"ContractData",A114,"NetLastTradeToday",,"T"))</f>
        <v/>
      </c>
      <c r="H114" s="151" t="str">
        <f>IF(F114="","",MOD(RTD("cqg.rtd", ,"ContractData",A114, "DTLastTrade",, "T"),1))</f>
        <v/>
      </c>
      <c r="I114" s="277"/>
      <c r="J114" s="150" t="str">
        <f>IF(RTD("cqg.rtd", ,"ContractData",A114, "MT_LastBidVolume",, "T")=0,"",RTD("cqg.rtd", ,"ContractData",A114, "MT_LastBidVolume",, "T"))</f>
        <v/>
      </c>
      <c r="K114" s="145" t="str">
        <f>RTD("cqg.rtd", ,"ContractData",A114, "Bid",, "T")</f>
        <v/>
      </c>
      <c r="L114" s="145"/>
      <c r="M114" s="145" t="str">
        <f>RTD("cqg.rtd", ,"ContractData",A114, "Ask",, "T")</f>
        <v/>
      </c>
      <c r="N114" s="150" t="str">
        <f>IF(RTD("cqg.rtd", ,"ContractData",A114, "MT_LastAskVolume",, "T")=0,"",RTD("cqg.rtd", ,"ContractData",A114, "MT_LastAskVolume",, "T"))</f>
        <v/>
      </c>
      <c r="O114" s="149">
        <f t="shared" si="16"/>
        <v>0</v>
      </c>
      <c r="P114" s="148" t="str">
        <f>IF(B114="","",RTD("cqg.rtd",,"ContractData",A114,"Open",,"T"))</f>
        <v/>
      </c>
      <c r="Q114" s="148" t="str">
        <f>IF(B114="","",RTD("cqg.rtd",,"ContractData",A114,"High",,"T"))</f>
        <v/>
      </c>
      <c r="R114" s="148" t="str">
        <f>IF(B114="","",RTD("cqg.rtd",,"ContractData",A114,"Low",,"T"))</f>
        <v/>
      </c>
      <c r="S114" s="147" t="str">
        <f>IF(RTD("cqg.rtd", ,"ContractData",A114, "T_CVol",, "T")=0,"",RTD("cqg.rtd", ,"ContractData",A114, "T_CVol",, "T"))</f>
        <v/>
      </c>
      <c r="T114" s="147" t="str">
        <f>IF(RTD("cqg.rtd", ,"ContractData",A114, "Y_CVol",, "T")=0,"",RTD("cqg.rtd", ,"ContractData",A114, "Y_CVol",, "T"))</f>
        <v/>
      </c>
      <c r="U114" s="147" t="str">
        <f t="shared" si="17"/>
        <v/>
      </c>
      <c r="V114" s="147" t="str">
        <f>IF(RTD("cqg.rtd",,"StudyData",A114, "OI", "OIType=Contract", "OI","D","-1","ALL",,,"TRUE","T")=0,"",RTD("cqg.rtd",,"StudyData",A114, "OI", "OIType=Contract", "OI","D","-1","ALL",,,"TRUE","T"))</f>
        <v/>
      </c>
      <c r="W114" s="147" t="str">
        <f>IF(RTD("cqg.rtd",,"StudyData",A114, "OI", "OIType=Contract", "OI","D","-2","ALL",,,"TRUE","T")=0,"",RTD("cqg.rtd",,"StudyData",A114, "OI", "OIType=Contract", "OI","D","-2","ALL",,,"TRUE","T"))</f>
        <v/>
      </c>
      <c r="X114" s="146" t="str">
        <f t="shared" si="18"/>
        <v/>
      </c>
      <c r="Y114" s="145" t="str">
        <f>RTD("cqg.rtd", ,"ContractData",A114, "T_Settlement",, "T")</f>
        <v/>
      </c>
      <c r="Z114" s="145">
        <f>RTD("cqg.rtd", ,"ContractData",A114, "Y_Settlement",, "T")</f>
        <v>2.9449999999999998</v>
      </c>
      <c r="AA114" s="144">
        <f>RTD("cqg.rtd", ,"ContractData",A114, "ExpirationDate",, "T")</f>
        <v>46261</v>
      </c>
      <c r="AB114" s="143" t="str">
        <f>RIGHT(RTD("cqg.rtd", ,"ContractData",A114, "LongDescription",, "T"),6)</f>
        <v>Sep 26</v>
      </c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</row>
    <row r="115" spans="1:39" x14ac:dyDescent="0.3">
      <c r="A115" s="123" t="s">
        <v>83</v>
      </c>
      <c r="B115" s="154" t="str">
        <f>RIGHT(RTD("cqg.rtd", ,"ContractData",A115, "LongDescription",, "T"),6)</f>
        <v>Oct 26</v>
      </c>
      <c r="C115" s="153">
        <f t="shared" si="19"/>
        <v>10</v>
      </c>
      <c r="D115" s="153">
        <f t="shared" si="15"/>
        <v>1</v>
      </c>
      <c r="E115" s="152" t="str">
        <f>IF(B115="","",RTD("cqg.rtd",,"ContractData",A115,"NetLastTradeToday",,"T"))</f>
        <v/>
      </c>
      <c r="F115" s="148" t="str">
        <f>IF(B115="","",RTD("cqg.rtd",,"ContractData",A115,"LastTradeToday",,"T"))</f>
        <v/>
      </c>
      <c r="G115" s="148" t="str">
        <f>IF(B115="","",RTD("cqg.rtd",,"ContractData",A115,"NetLastTradeToday",,"T"))</f>
        <v/>
      </c>
      <c r="H115" s="151" t="str">
        <f>IF(F115="","",MOD(RTD("cqg.rtd", ,"ContractData",A115, "DTLastTrade",, "T"),1))</f>
        <v/>
      </c>
      <c r="I115" s="277"/>
      <c r="J115" s="150" t="str">
        <f>IF(RTD("cqg.rtd", ,"ContractData",A115, "MT_LastBidVolume",, "T")=0,"",RTD("cqg.rtd", ,"ContractData",A115, "MT_LastBidVolume",, "T"))</f>
        <v/>
      </c>
      <c r="K115" s="145" t="str">
        <f>RTD("cqg.rtd", ,"ContractData",A115, "Bid",, "T")</f>
        <v/>
      </c>
      <c r="L115" s="145"/>
      <c r="M115" s="145" t="str">
        <f>RTD("cqg.rtd", ,"ContractData",A115, "Ask",, "T")</f>
        <v/>
      </c>
      <c r="N115" s="150" t="str">
        <f>IF(RTD("cqg.rtd", ,"ContractData",A115, "MT_LastAskVolume",, "T")=0,"",RTD("cqg.rtd", ,"ContractData",A115, "MT_LastAskVolume",, "T"))</f>
        <v/>
      </c>
      <c r="O115" s="149">
        <f t="shared" si="16"/>
        <v>0</v>
      </c>
      <c r="P115" s="148" t="str">
        <f>IF(B115="","",RTD("cqg.rtd",,"ContractData",A115,"Open",,"T"))</f>
        <v/>
      </c>
      <c r="Q115" s="148" t="str">
        <f>IF(B115="","",RTD("cqg.rtd",,"ContractData",A115,"High",,"T"))</f>
        <v/>
      </c>
      <c r="R115" s="148" t="str">
        <f>IF(B115="","",RTD("cqg.rtd",,"ContractData",A115,"Low",,"T"))</f>
        <v/>
      </c>
      <c r="S115" s="147" t="str">
        <f>IF(RTD("cqg.rtd", ,"ContractData",A115, "T_CVol",, "T")=0,"",RTD("cqg.rtd", ,"ContractData",A115, "T_CVol",, "T"))</f>
        <v/>
      </c>
      <c r="T115" s="147" t="str">
        <f>IF(RTD("cqg.rtd", ,"ContractData",A115, "Y_CVol",, "T")=0,"",RTD("cqg.rtd", ,"ContractData",A115, "Y_CVol",, "T"))</f>
        <v/>
      </c>
      <c r="U115" s="147" t="str">
        <f t="shared" si="17"/>
        <v/>
      </c>
      <c r="V115" s="147" t="str">
        <f>IF(RTD("cqg.rtd",,"StudyData",A115, "OI", "OIType=Contract", "OI","D","-1","ALL",,,"TRUE","T")=0,"",RTD("cqg.rtd",,"StudyData",A115, "OI", "OIType=Contract", "OI","D","-1","ALL",,,"TRUE","T"))</f>
        <v/>
      </c>
      <c r="W115" s="147" t="str">
        <f>IF(RTD("cqg.rtd",,"StudyData",A115, "OI", "OIType=Contract", "OI","D","-2","ALL",,,"TRUE","T")=0,"",RTD("cqg.rtd",,"StudyData",A115, "OI", "OIType=Contract", "OI","D","-2","ALL",,,"TRUE","T"))</f>
        <v/>
      </c>
      <c r="X115" s="146" t="str">
        <f t="shared" si="18"/>
        <v/>
      </c>
      <c r="Y115" s="145" t="str">
        <f>RTD("cqg.rtd", ,"ContractData",A115, "T_Settlement",, "T")</f>
        <v/>
      </c>
      <c r="Z115" s="145">
        <f>RTD("cqg.rtd", ,"ContractData",A115, "Y_Settlement",, "T")</f>
        <v>3</v>
      </c>
      <c r="AA115" s="144">
        <f>RTD("cqg.rtd", ,"ContractData",A115, "ExpirationDate",, "T")</f>
        <v>46293</v>
      </c>
      <c r="AB115" s="143" t="str">
        <f>RIGHT(RTD("cqg.rtd", ,"ContractData",A115, "LongDescription",, "T"),6)</f>
        <v>Oct 26</v>
      </c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</row>
    <row r="116" spans="1:39" x14ac:dyDescent="0.3">
      <c r="A116" s="123" t="s">
        <v>82</v>
      </c>
      <c r="B116" s="154" t="str">
        <f>RIGHT(RTD("cqg.rtd", ,"ContractData",A116, "LongDescription",, "T"),6)</f>
        <v>Nov 26</v>
      </c>
      <c r="C116" s="153">
        <f t="shared" si="19"/>
        <v>10</v>
      </c>
      <c r="D116" s="153">
        <f t="shared" si="15"/>
        <v>1</v>
      </c>
      <c r="E116" s="152" t="str">
        <f>IF(B116="","",RTD("cqg.rtd",,"ContractData",A116,"NetLastTradeToday",,"T"))</f>
        <v/>
      </c>
      <c r="F116" s="148" t="str">
        <f>IF(B116="","",RTD("cqg.rtd",,"ContractData",A116,"LastTradeToday",,"T"))</f>
        <v/>
      </c>
      <c r="G116" s="148" t="str">
        <f>IF(B116="","",RTD("cqg.rtd",,"ContractData",A116,"NetLastTradeToday",,"T"))</f>
        <v/>
      </c>
      <c r="H116" s="151" t="str">
        <f>IF(F116="","",MOD(RTD("cqg.rtd", ,"ContractData",A116, "DTLastTrade",, "T"),1))</f>
        <v/>
      </c>
      <c r="I116" s="277"/>
      <c r="J116" s="150" t="str">
        <f>IF(RTD("cqg.rtd", ,"ContractData",A116, "MT_LastBidVolume",, "T")=0,"",RTD("cqg.rtd", ,"ContractData",A116, "MT_LastBidVolume",, "T"))</f>
        <v/>
      </c>
      <c r="K116" s="145" t="str">
        <f>RTD("cqg.rtd", ,"ContractData",A116, "Bid",, "T")</f>
        <v/>
      </c>
      <c r="L116" s="145"/>
      <c r="M116" s="145" t="str">
        <f>RTD("cqg.rtd", ,"ContractData",A116, "Ask",, "T")</f>
        <v/>
      </c>
      <c r="N116" s="150" t="str">
        <f>IF(RTD("cqg.rtd", ,"ContractData",A116, "MT_LastAskVolume",, "T")=0,"",RTD("cqg.rtd", ,"ContractData",A116, "MT_LastAskVolume",, "T"))</f>
        <v/>
      </c>
      <c r="O116" s="149">
        <f t="shared" si="16"/>
        <v>0</v>
      </c>
      <c r="P116" s="148" t="str">
        <f>IF(B116="","",RTD("cqg.rtd",,"ContractData",A116,"Open",,"T"))</f>
        <v/>
      </c>
      <c r="Q116" s="148" t="str">
        <f>IF(B116="","",RTD("cqg.rtd",,"ContractData",A116,"High",,"T"))</f>
        <v/>
      </c>
      <c r="R116" s="148" t="str">
        <f>IF(B116="","",RTD("cqg.rtd",,"ContractData",A116,"Low",,"T"))</f>
        <v/>
      </c>
      <c r="S116" s="147" t="str">
        <f>IF(RTD("cqg.rtd", ,"ContractData",A116, "T_CVol",, "T")=0,"",RTD("cqg.rtd", ,"ContractData",A116, "T_CVol",, "T"))</f>
        <v/>
      </c>
      <c r="T116" s="147" t="str">
        <f>IF(RTD("cqg.rtd", ,"ContractData",A116, "Y_CVol",, "T")=0,"",RTD("cqg.rtd", ,"ContractData",A116, "Y_CVol",, "T"))</f>
        <v/>
      </c>
      <c r="U116" s="147" t="str">
        <f t="shared" si="17"/>
        <v/>
      </c>
      <c r="V116" s="147" t="str">
        <f>IF(RTD("cqg.rtd",,"StudyData",A116, "OI", "OIType=Contract", "OI","D","-1","ALL",,,"TRUE","T")=0,"",RTD("cqg.rtd",,"StudyData",A116, "OI", "OIType=Contract", "OI","D","-1","ALL",,,"TRUE","T"))</f>
        <v/>
      </c>
      <c r="W116" s="147" t="str">
        <f>IF(RTD("cqg.rtd",,"StudyData",A116, "OI", "OIType=Contract", "OI","D","-2","ALL",,,"TRUE","T")=0,"",RTD("cqg.rtd",,"StudyData",A116, "OI", "OIType=Contract", "OI","D","-2","ALL",,,"TRUE","T"))</f>
        <v/>
      </c>
      <c r="X116" s="146" t="str">
        <f t="shared" si="18"/>
        <v/>
      </c>
      <c r="Y116" s="145" t="str">
        <f>RTD("cqg.rtd", ,"ContractData",A116, "T_Settlement",, "T")</f>
        <v/>
      </c>
      <c r="Z116" s="145">
        <f>RTD("cqg.rtd", ,"ContractData",A116, "Y_Settlement",, "T")</f>
        <v>3.0779999999999998</v>
      </c>
      <c r="AA116" s="144">
        <f>RTD("cqg.rtd", ,"ContractData",A116, "ExpirationDate",, "T")</f>
        <v>46323</v>
      </c>
      <c r="AB116" s="143" t="str">
        <f>RIGHT(RTD("cqg.rtd", ,"ContractData",A116, "LongDescription",, "T"),6)</f>
        <v>Nov 26</v>
      </c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</row>
    <row r="117" spans="1:39" x14ac:dyDescent="0.3">
      <c r="A117" s="123" t="s">
        <v>81</v>
      </c>
      <c r="B117" s="154" t="str">
        <f>RIGHT(RTD("cqg.rtd", ,"ContractData",A117, "LongDescription",, "T"),6)</f>
        <v>Dec 26</v>
      </c>
      <c r="C117" s="153">
        <f t="shared" si="19"/>
        <v>10</v>
      </c>
      <c r="D117" s="153">
        <f t="shared" si="15"/>
        <v>1</v>
      </c>
      <c r="E117" s="152" t="str">
        <f>IF(B117="","",RTD("cqg.rtd",,"ContractData",A117,"NetLastTradeToday",,"T"))</f>
        <v/>
      </c>
      <c r="F117" s="148" t="str">
        <f>IF(B117="","",RTD("cqg.rtd",,"ContractData",A117,"LastTradeToday",,"T"))</f>
        <v/>
      </c>
      <c r="G117" s="148" t="str">
        <f>IF(B117="","",RTD("cqg.rtd",,"ContractData",A117,"NetLastTradeToday",,"T"))</f>
        <v/>
      </c>
      <c r="H117" s="151" t="str">
        <f>IF(F117="","",MOD(RTD("cqg.rtd", ,"ContractData",A117, "DTLastTrade",, "T"),1))</f>
        <v/>
      </c>
      <c r="I117" s="277"/>
      <c r="J117" s="150" t="str">
        <f>IF(RTD("cqg.rtd", ,"ContractData",A117, "MT_LastBidVolume",, "T")=0,"",RTD("cqg.rtd", ,"ContractData",A117, "MT_LastBidVolume",, "T"))</f>
        <v/>
      </c>
      <c r="K117" s="145" t="str">
        <f>RTD("cqg.rtd", ,"ContractData",A117, "Bid",, "T")</f>
        <v/>
      </c>
      <c r="L117" s="145"/>
      <c r="M117" s="145" t="str">
        <f>RTD("cqg.rtd", ,"ContractData",A117, "Ask",, "T")</f>
        <v/>
      </c>
      <c r="N117" s="150" t="str">
        <f>IF(RTD("cqg.rtd", ,"ContractData",A117, "MT_LastAskVolume",, "T")=0,"",RTD("cqg.rtd", ,"ContractData",A117, "MT_LastAskVolume",, "T"))</f>
        <v/>
      </c>
      <c r="O117" s="149">
        <f t="shared" si="16"/>
        <v>0</v>
      </c>
      <c r="P117" s="148" t="str">
        <f>IF(B117="","",RTD("cqg.rtd",,"ContractData",A117,"Open",,"T"))</f>
        <v/>
      </c>
      <c r="Q117" s="148" t="str">
        <f>IF(B117="","",RTD("cqg.rtd",,"ContractData",A117,"High",,"T"))</f>
        <v/>
      </c>
      <c r="R117" s="148" t="str">
        <f>IF(B117="","",RTD("cqg.rtd",,"ContractData",A117,"Low",,"T"))</f>
        <v/>
      </c>
      <c r="S117" s="147" t="str">
        <f>IF(RTD("cqg.rtd", ,"ContractData",A117, "T_CVol",, "T")=0,"",RTD("cqg.rtd", ,"ContractData",A117, "T_CVol",, "T"))</f>
        <v/>
      </c>
      <c r="T117" s="147" t="str">
        <f>IF(RTD("cqg.rtd", ,"ContractData",A117, "Y_CVol",, "T")=0,"",RTD("cqg.rtd", ,"ContractData",A117, "Y_CVol",, "T"))</f>
        <v/>
      </c>
      <c r="U117" s="147" t="str">
        <f t="shared" si="17"/>
        <v/>
      </c>
      <c r="V117" s="147" t="str">
        <f>IF(RTD("cqg.rtd",,"StudyData",A117, "OI", "OIType=Contract", "OI","D","-1","ALL",,,"TRUE","T")=0,"",RTD("cqg.rtd",,"StudyData",A117, "OI", "OIType=Contract", "OI","D","-1","ALL",,,"TRUE","T"))</f>
        <v/>
      </c>
      <c r="W117" s="147" t="str">
        <f>IF(RTD("cqg.rtd",,"StudyData",A117, "OI", "OIType=Contract", "OI","D","-2","ALL",,,"TRUE","T")=0,"",RTD("cqg.rtd",,"StudyData",A117, "OI", "OIType=Contract", "OI","D","-2","ALL",,,"TRUE","T"))</f>
        <v/>
      </c>
      <c r="X117" s="146" t="str">
        <f t="shared" si="18"/>
        <v/>
      </c>
      <c r="Y117" s="145" t="str">
        <f>RTD("cqg.rtd", ,"ContractData",A117, "T_Settlement",, "T")</f>
        <v/>
      </c>
      <c r="Z117" s="145">
        <f>RTD("cqg.rtd", ,"ContractData",A117, "Y_Settlement",, "T")</f>
        <v>3.2330000000000001</v>
      </c>
      <c r="AA117" s="144">
        <f>RTD("cqg.rtd", ,"ContractData",A117, "ExpirationDate",, "T")</f>
        <v>46352</v>
      </c>
      <c r="AB117" s="143" t="str">
        <f>RIGHT(RTD("cqg.rtd", ,"ContractData",A117, "LongDescription",, "T"),6)</f>
        <v>Dec 26</v>
      </c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</row>
    <row r="118" spans="1:39" x14ac:dyDescent="0.3">
      <c r="A118" s="123" t="s">
        <v>80</v>
      </c>
      <c r="B118" s="154" t="str">
        <f>RIGHT(RTD("cqg.rtd", ,"ContractData",A118, "LongDescription",, "T"),6)</f>
        <v>Jan 27</v>
      </c>
      <c r="C118" s="153">
        <f t="shared" si="19"/>
        <v>11</v>
      </c>
      <c r="D118" s="153">
        <f t="shared" si="15"/>
        <v>0</v>
      </c>
      <c r="E118" s="152" t="str">
        <f>IF(B118="","",RTD("cqg.rtd",,"ContractData",A118,"NetLastTradeToday",,"T"))</f>
        <v/>
      </c>
      <c r="F118" s="148" t="str">
        <f>IF(B118="","",RTD("cqg.rtd",,"ContractData",A118,"LastTradeToday",,"T"))</f>
        <v/>
      </c>
      <c r="G118" s="148" t="str">
        <f>IF(B118="","",RTD("cqg.rtd",,"ContractData",A118,"NetLastTradeToday",,"T"))</f>
        <v/>
      </c>
      <c r="H118" s="151" t="str">
        <f>IF(F118="","",MOD(RTD("cqg.rtd", ,"ContractData",A118, "DTLastTrade",, "T"),1))</f>
        <v/>
      </c>
      <c r="I118" s="277"/>
      <c r="J118" s="150" t="str">
        <f>IF(RTD("cqg.rtd", ,"ContractData",A118, "MT_LastBidVolume",, "T")=0,"",RTD("cqg.rtd", ,"ContractData",A118, "MT_LastBidVolume",, "T"))</f>
        <v/>
      </c>
      <c r="K118" s="145" t="str">
        <f>RTD("cqg.rtd", ,"ContractData",A118, "Bid",, "T")</f>
        <v/>
      </c>
      <c r="L118" s="145"/>
      <c r="M118" s="145" t="str">
        <f>RTD("cqg.rtd", ,"ContractData",A118, "Ask",, "T")</f>
        <v/>
      </c>
      <c r="N118" s="150" t="str">
        <f>IF(RTD("cqg.rtd", ,"ContractData",A118, "MT_LastAskVolume",, "T")=0,"",RTD("cqg.rtd", ,"ContractData",A118, "MT_LastAskVolume",, "T"))</f>
        <v/>
      </c>
      <c r="O118" s="149">
        <f t="shared" si="16"/>
        <v>0</v>
      </c>
      <c r="P118" s="148" t="str">
        <f>IF(B118="","",RTD("cqg.rtd",,"ContractData",A118,"Open",,"T"))</f>
        <v/>
      </c>
      <c r="Q118" s="148" t="str">
        <f>IF(B118="","",RTD("cqg.rtd",,"ContractData",A118,"High",,"T"))</f>
        <v/>
      </c>
      <c r="R118" s="148" t="str">
        <f>IF(B118="","",RTD("cqg.rtd",,"ContractData",A118,"Low",,"T"))</f>
        <v/>
      </c>
      <c r="S118" s="147" t="str">
        <f>IF(RTD("cqg.rtd", ,"ContractData",A118, "T_CVol",, "T")=0,"",RTD("cqg.rtd", ,"ContractData",A118, "T_CVol",, "T"))</f>
        <v/>
      </c>
      <c r="T118" s="147" t="str">
        <f>IF(RTD("cqg.rtd", ,"ContractData",A118, "Y_CVol",, "T")=0,"",RTD("cqg.rtd", ,"ContractData",A118, "Y_CVol",, "T"))</f>
        <v/>
      </c>
      <c r="U118" s="147" t="str">
        <f t="shared" si="17"/>
        <v/>
      </c>
      <c r="V118" s="147" t="str">
        <f>IF(RTD("cqg.rtd",,"StudyData",A118, "OI", "OIType=Contract", "OI","D","-1","ALL",,,"TRUE","T")=0,"",RTD("cqg.rtd",,"StudyData",A118, "OI", "OIType=Contract", "OI","D","-1","ALL",,,"TRUE","T"))</f>
        <v/>
      </c>
      <c r="W118" s="147" t="str">
        <f>IF(RTD("cqg.rtd",,"StudyData",A118, "OI", "OIType=Contract", "OI","D","-2","ALL",,,"TRUE","T")=0,"",RTD("cqg.rtd",,"StudyData",A118, "OI", "OIType=Contract", "OI","D","-2","ALL",,,"TRUE","T"))</f>
        <v/>
      </c>
      <c r="X118" s="146" t="str">
        <f t="shared" si="18"/>
        <v/>
      </c>
      <c r="Y118" s="145" t="str">
        <f>RTD("cqg.rtd", ,"ContractData",A118, "T_Settlement",, "T")</f>
        <v/>
      </c>
      <c r="Z118" s="145">
        <f>RTD("cqg.rtd", ,"ContractData",A118, "Y_Settlement",, "T")</f>
        <v>3.3620000000000001</v>
      </c>
      <c r="AA118" s="144">
        <f>RTD("cqg.rtd", ,"ContractData",A118, "ExpirationDate",, "T")</f>
        <v>46385</v>
      </c>
      <c r="AB118" s="143" t="str">
        <f>RIGHT(RTD("cqg.rtd", ,"ContractData",A118, "LongDescription",, "T"),6)</f>
        <v>Jan 27</v>
      </c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</row>
    <row r="119" spans="1:39" x14ac:dyDescent="0.3">
      <c r="A119" s="123" t="s">
        <v>79</v>
      </c>
      <c r="B119" s="154" t="str">
        <f>RIGHT(RTD("cqg.rtd", ,"ContractData",A119, "LongDescription",, "T"),6)</f>
        <v>Feb 27</v>
      </c>
      <c r="C119" s="153">
        <f t="shared" si="19"/>
        <v>11</v>
      </c>
      <c r="D119" s="153">
        <f t="shared" si="15"/>
        <v>0</v>
      </c>
      <c r="E119" s="152" t="str">
        <f>IF(B119="","",RTD("cqg.rtd",,"ContractData",A119,"NetLastTradeToday",,"T"))</f>
        <v/>
      </c>
      <c r="F119" s="148" t="str">
        <f>IF(B119="","",RTD("cqg.rtd",,"ContractData",A119,"LastTradeToday",,"T"))</f>
        <v/>
      </c>
      <c r="G119" s="148" t="str">
        <f>IF(B119="","",RTD("cqg.rtd",,"ContractData",A119,"NetLastTradeToday",,"T"))</f>
        <v/>
      </c>
      <c r="H119" s="151" t="str">
        <f>IF(F119="","",MOD(RTD("cqg.rtd", ,"ContractData",A119, "DTLastTrade",, "T"),1))</f>
        <v/>
      </c>
      <c r="I119" s="277"/>
      <c r="J119" s="150" t="str">
        <f>IF(RTD("cqg.rtd", ,"ContractData",A119, "MT_LastBidVolume",, "T")=0,"",RTD("cqg.rtd", ,"ContractData",A119, "MT_LastBidVolume",, "T"))</f>
        <v/>
      </c>
      <c r="K119" s="145" t="str">
        <f>RTD("cqg.rtd", ,"ContractData",A119, "Bid",, "T")</f>
        <v/>
      </c>
      <c r="L119" s="145"/>
      <c r="M119" s="145" t="str">
        <f>RTD("cqg.rtd", ,"ContractData",A119, "Ask",, "T")</f>
        <v/>
      </c>
      <c r="N119" s="150" t="str">
        <f>IF(RTD("cqg.rtd", ,"ContractData",A119, "MT_LastAskVolume",, "T")=0,"",RTD("cqg.rtd", ,"ContractData",A119, "MT_LastAskVolume",, "T"))</f>
        <v/>
      </c>
      <c r="O119" s="149">
        <f t="shared" si="16"/>
        <v>0</v>
      </c>
      <c r="P119" s="148" t="str">
        <f>IF(B119="","",RTD("cqg.rtd",,"ContractData",A119,"Open",,"T"))</f>
        <v/>
      </c>
      <c r="Q119" s="148" t="str">
        <f>IF(B119="","",RTD("cqg.rtd",,"ContractData",A119,"High",,"T"))</f>
        <v/>
      </c>
      <c r="R119" s="148" t="str">
        <f>IF(B119="","",RTD("cqg.rtd",,"ContractData",A119,"Low",,"T"))</f>
        <v/>
      </c>
      <c r="S119" s="147" t="str">
        <f>IF(RTD("cqg.rtd", ,"ContractData",A119, "T_CVol",, "T")=0,"",RTD("cqg.rtd", ,"ContractData",A119, "T_CVol",, "T"))</f>
        <v/>
      </c>
      <c r="T119" s="147" t="str">
        <f>IF(RTD("cqg.rtd", ,"ContractData",A119, "Y_CVol",, "T")=0,"",RTD("cqg.rtd", ,"ContractData",A119, "Y_CVol",, "T"))</f>
        <v/>
      </c>
      <c r="U119" s="147" t="str">
        <f t="shared" si="17"/>
        <v/>
      </c>
      <c r="V119" s="147" t="str">
        <f>IF(RTD("cqg.rtd",,"StudyData",A119, "OI", "OIType=Contract", "OI","D","-1","ALL",,,"TRUE","T")=0,"",RTD("cqg.rtd",,"StudyData",A119, "OI", "OIType=Contract", "OI","D","-1","ALL",,,"TRUE","T"))</f>
        <v/>
      </c>
      <c r="W119" s="147" t="str">
        <f>IF(RTD("cqg.rtd",,"StudyData",A119, "OI", "OIType=Contract", "OI","D","-2","ALL",,,"TRUE","T")=0,"",RTD("cqg.rtd",,"StudyData",A119, "OI", "OIType=Contract", "OI","D","-2","ALL",,,"TRUE","T"))</f>
        <v/>
      </c>
      <c r="X119" s="146" t="str">
        <f t="shared" si="18"/>
        <v/>
      </c>
      <c r="Y119" s="145" t="str">
        <f>RTD("cqg.rtd", ,"ContractData",A119, "T_Settlement",, "T")</f>
        <v/>
      </c>
      <c r="Z119" s="145">
        <f>RTD("cqg.rtd", ,"ContractData",A119, "Y_Settlement",, "T")</f>
        <v>3.3260000000000001</v>
      </c>
      <c r="AA119" s="144">
        <f>RTD("cqg.rtd", ,"ContractData",A119, "ExpirationDate",, "T")</f>
        <v>46414</v>
      </c>
      <c r="AB119" s="143" t="str">
        <f>RIGHT(RTD("cqg.rtd", ,"ContractData",A119, "LongDescription",, "T"),6)</f>
        <v>Feb 27</v>
      </c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</row>
    <row r="120" spans="1:39" x14ac:dyDescent="0.3">
      <c r="A120" s="123" t="s">
        <v>78</v>
      </c>
      <c r="B120" s="154" t="str">
        <f>RIGHT(RTD("cqg.rtd", ,"ContractData",A120, "LongDescription",, "T"),6)</f>
        <v>Mar 27</v>
      </c>
      <c r="C120" s="153">
        <f t="shared" si="19"/>
        <v>11</v>
      </c>
      <c r="D120" s="153">
        <f t="shared" si="15"/>
        <v>0</v>
      </c>
      <c r="E120" s="152" t="str">
        <f>IF(B120="","",RTD("cqg.rtd",,"ContractData",A120,"NetLastTradeToday",,"T"))</f>
        <v/>
      </c>
      <c r="F120" s="148" t="str">
        <f>IF(B120="","",RTD("cqg.rtd",,"ContractData",A120,"LastTradeToday",,"T"))</f>
        <v/>
      </c>
      <c r="G120" s="148" t="str">
        <f>IF(B120="","",RTD("cqg.rtd",,"ContractData",A120,"NetLastTradeToday",,"T"))</f>
        <v/>
      </c>
      <c r="H120" s="151" t="str">
        <f>IF(F120="","",MOD(RTD("cqg.rtd", ,"ContractData",A120, "DTLastTrade",, "T"),1))</f>
        <v/>
      </c>
      <c r="I120" s="277"/>
      <c r="J120" s="150" t="str">
        <f>IF(RTD("cqg.rtd", ,"ContractData",A120, "MT_LastBidVolume",, "T")=0,"",RTD("cqg.rtd", ,"ContractData",A120, "MT_LastBidVolume",, "T"))</f>
        <v/>
      </c>
      <c r="K120" s="145" t="str">
        <f>RTD("cqg.rtd", ,"ContractData",A120, "Bid",, "T")</f>
        <v/>
      </c>
      <c r="L120" s="145"/>
      <c r="M120" s="145" t="str">
        <f>RTD("cqg.rtd", ,"ContractData",A120, "Ask",, "T")</f>
        <v/>
      </c>
      <c r="N120" s="150" t="str">
        <f>IF(RTD("cqg.rtd", ,"ContractData",A120, "MT_LastAskVolume",, "T")=0,"",RTD("cqg.rtd", ,"ContractData",A120, "MT_LastAskVolume",, "T"))</f>
        <v/>
      </c>
      <c r="O120" s="149">
        <f t="shared" si="16"/>
        <v>0</v>
      </c>
      <c r="P120" s="148" t="str">
        <f>IF(B120="","",RTD("cqg.rtd",,"ContractData",A120,"Open",,"T"))</f>
        <v/>
      </c>
      <c r="Q120" s="148" t="str">
        <f>IF(B120="","",RTD("cqg.rtd",,"ContractData",A120,"High",,"T"))</f>
        <v/>
      </c>
      <c r="R120" s="148" t="str">
        <f>IF(B120="","",RTD("cqg.rtd",,"ContractData",A120,"Low",,"T"))</f>
        <v/>
      </c>
      <c r="S120" s="147" t="str">
        <f>IF(RTD("cqg.rtd", ,"ContractData",A120, "T_CVol",, "T")=0,"",RTD("cqg.rtd", ,"ContractData",A120, "T_CVol",, "T"))</f>
        <v/>
      </c>
      <c r="T120" s="147" t="str">
        <f>IF(RTD("cqg.rtd", ,"ContractData",A120, "Y_CVol",, "T")=0,"",RTD("cqg.rtd", ,"ContractData",A120, "Y_CVol",, "T"))</f>
        <v/>
      </c>
      <c r="U120" s="147" t="str">
        <f t="shared" si="17"/>
        <v/>
      </c>
      <c r="V120" s="147" t="str">
        <f>IF(RTD("cqg.rtd",,"StudyData",A120, "OI", "OIType=Contract", "OI","D","-1","ALL",,,"TRUE","T")=0,"",RTD("cqg.rtd",,"StudyData",A120, "OI", "OIType=Contract", "OI","D","-1","ALL",,,"TRUE","T"))</f>
        <v/>
      </c>
      <c r="W120" s="147" t="str">
        <f>IF(RTD("cqg.rtd",,"StudyData",A120, "OI", "OIType=Contract", "OI","D","-2","ALL",,,"TRUE","T")=0,"",RTD("cqg.rtd",,"StudyData",A120, "OI", "OIType=Contract", "OI","D","-2","ALL",,,"TRUE","T"))</f>
        <v/>
      </c>
      <c r="X120" s="146" t="str">
        <f t="shared" si="18"/>
        <v/>
      </c>
      <c r="Y120" s="145" t="str">
        <f>RTD("cqg.rtd", ,"ContractData",A120, "T_Settlement",, "T")</f>
        <v/>
      </c>
      <c r="Z120" s="145">
        <f>RTD("cqg.rtd", ,"ContractData",A120, "Y_Settlement",, "T")</f>
        <v>3.2509999999999999</v>
      </c>
      <c r="AA120" s="144">
        <f>RTD("cqg.rtd", ,"ContractData",A120, "ExpirationDate",, "T")</f>
        <v>46442</v>
      </c>
      <c r="AB120" s="143" t="str">
        <f>RIGHT(RTD("cqg.rtd", ,"ContractData",A120, "LongDescription",, "T"),6)</f>
        <v>Mar 27</v>
      </c>
      <c r="AC120" s="124"/>
      <c r="AD120" s="124"/>
      <c r="AE120" s="124"/>
      <c r="AF120" s="124"/>
      <c r="AG120" s="124"/>
      <c r="AH120" s="124"/>
      <c r="AI120" s="124"/>
      <c r="AJ120" s="124"/>
      <c r="AK120" s="124"/>
      <c r="AL120" s="124"/>
      <c r="AM120" s="124"/>
    </row>
    <row r="121" spans="1:39" x14ac:dyDescent="0.3">
      <c r="A121" s="123" t="s">
        <v>77</v>
      </c>
      <c r="B121" s="154" t="str">
        <f>RIGHT(RTD("cqg.rtd", ,"ContractData",A121, "LongDescription",, "T"),6)</f>
        <v>Apr 27</v>
      </c>
      <c r="C121" s="153">
        <f t="shared" si="19"/>
        <v>11</v>
      </c>
      <c r="D121" s="153">
        <f t="shared" si="15"/>
        <v>0</v>
      </c>
      <c r="E121" s="152" t="str">
        <f>IF(B121="","",RTD("cqg.rtd",,"ContractData",A121,"NetLastTradeToday",,"T"))</f>
        <v/>
      </c>
      <c r="F121" s="148" t="str">
        <f>IF(B121="","",RTD("cqg.rtd",,"ContractData",A121,"LastTradeToday",,"T"))</f>
        <v/>
      </c>
      <c r="G121" s="148" t="str">
        <f>IF(B121="","",RTD("cqg.rtd",,"ContractData",A121,"NetLastTradeToday",,"T"))</f>
        <v/>
      </c>
      <c r="H121" s="151" t="str">
        <f>IF(F121="","",MOD(RTD("cqg.rtd", ,"ContractData",A121, "DTLastTrade",, "T"),1))</f>
        <v/>
      </c>
      <c r="I121" s="277"/>
      <c r="J121" s="150" t="str">
        <f>IF(RTD("cqg.rtd", ,"ContractData",A121, "MT_LastBidVolume",, "T")=0,"",RTD("cqg.rtd", ,"ContractData",A121, "MT_LastBidVolume",, "T"))</f>
        <v/>
      </c>
      <c r="K121" s="145" t="str">
        <f>RTD("cqg.rtd", ,"ContractData",A121, "Bid",, "T")</f>
        <v/>
      </c>
      <c r="L121" s="145"/>
      <c r="M121" s="145" t="str">
        <f>RTD("cqg.rtd", ,"ContractData",A121, "Ask",, "T")</f>
        <v/>
      </c>
      <c r="N121" s="150" t="str">
        <f>IF(RTD("cqg.rtd", ,"ContractData",A121, "MT_LastAskVolume",, "T")=0,"",RTD("cqg.rtd", ,"ContractData",A121, "MT_LastAskVolume",, "T"))</f>
        <v/>
      </c>
      <c r="O121" s="149">
        <f t="shared" si="16"/>
        <v>0</v>
      </c>
      <c r="P121" s="148" t="str">
        <f>IF(B121="","",RTD("cqg.rtd",,"ContractData",A121,"Open",,"T"))</f>
        <v/>
      </c>
      <c r="Q121" s="148" t="str">
        <f>IF(B121="","",RTD("cqg.rtd",,"ContractData",A121,"High",,"T"))</f>
        <v/>
      </c>
      <c r="R121" s="148" t="str">
        <f>IF(B121="","",RTD("cqg.rtd",,"ContractData",A121,"Low",,"T"))</f>
        <v/>
      </c>
      <c r="S121" s="147" t="str">
        <f>IF(RTD("cqg.rtd", ,"ContractData",A121, "T_CVol",, "T")=0,"",RTD("cqg.rtd", ,"ContractData",A121, "T_CVol",, "T"))</f>
        <v/>
      </c>
      <c r="T121" s="147" t="str">
        <f>IF(RTD("cqg.rtd", ,"ContractData",A121, "Y_CVol",, "T")=0,"",RTD("cqg.rtd", ,"ContractData",A121, "Y_CVol",, "T"))</f>
        <v/>
      </c>
      <c r="U121" s="147" t="str">
        <f t="shared" si="17"/>
        <v/>
      </c>
      <c r="V121" s="147" t="str">
        <f>IF(RTD("cqg.rtd",,"StudyData",A121, "OI", "OIType=Contract", "OI","D","-1","ALL",,,"TRUE","T")=0,"",RTD("cqg.rtd",,"StudyData",A121, "OI", "OIType=Contract", "OI","D","-1","ALL",,,"TRUE","T"))</f>
        <v/>
      </c>
      <c r="W121" s="147" t="str">
        <f>IF(RTD("cqg.rtd",,"StudyData",A121, "OI", "OIType=Contract", "OI","D","-2","ALL",,,"TRUE","T")=0,"",RTD("cqg.rtd",,"StudyData",A121, "OI", "OIType=Contract", "OI","D","-2","ALL",,,"TRUE","T"))</f>
        <v/>
      </c>
      <c r="X121" s="146" t="str">
        <f t="shared" si="18"/>
        <v/>
      </c>
      <c r="Y121" s="145" t="str">
        <f>RTD("cqg.rtd", ,"ContractData",A121, "T_Settlement",, "T")</f>
        <v/>
      </c>
      <c r="Z121" s="145">
        <f>RTD("cqg.rtd", ,"ContractData",A121, "Y_Settlement",, "T")</f>
        <v>2.9159999999999999</v>
      </c>
      <c r="AA121" s="144">
        <f>RTD("cqg.rtd", ,"ContractData",A121, "ExpirationDate",, "T")</f>
        <v>46475</v>
      </c>
      <c r="AB121" s="143" t="str">
        <f>RIGHT(RTD("cqg.rtd", ,"ContractData",A121, "LongDescription",, "T"),6)</f>
        <v>Apr 27</v>
      </c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</row>
    <row r="122" spans="1:39" x14ac:dyDescent="0.3">
      <c r="A122" s="123" t="s">
        <v>76</v>
      </c>
      <c r="B122" s="154" t="str">
        <f>RIGHT(RTD("cqg.rtd", ,"ContractData",A122, "LongDescription",, "T"),6)</f>
        <v>May 27</v>
      </c>
      <c r="C122" s="153">
        <f t="shared" si="19"/>
        <v>11</v>
      </c>
      <c r="D122" s="153">
        <f t="shared" si="15"/>
        <v>0</v>
      </c>
      <c r="E122" s="152" t="str">
        <f>IF(B122="","",RTD("cqg.rtd",,"ContractData",A122,"NetLastTradeToday",,"T"))</f>
        <v/>
      </c>
      <c r="F122" s="148" t="str">
        <f>IF(B122="","",RTD("cqg.rtd",,"ContractData",A122,"LastTradeToday",,"T"))</f>
        <v/>
      </c>
      <c r="G122" s="148" t="str">
        <f>IF(B122="","",RTD("cqg.rtd",,"ContractData",A122,"NetLastTradeToday",,"T"))</f>
        <v/>
      </c>
      <c r="H122" s="151" t="str">
        <f>IF(F122="","",MOD(RTD("cqg.rtd", ,"ContractData",A122, "DTLastTrade",, "T"),1))</f>
        <v/>
      </c>
      <c r="I122" s="277"/>
      <c r="J122" s="150" t="str">
        <f>IF(RTD("cqg.rtd", ,"ContractData",A122, "MT_LastBidVolume",, "T")=0,"",RTD("cqg.rtd", ,"ContractData",A122, "MT_LastBidVolume",, "T"))</f>
        <v/>
      </c>
      <c r="K122" s="145" t="str">
        <f>RTD("cqg.rtd", ,"ContractData",A122, "Bid",, "T")</f>
        <v/>
      </c>
      <c r="L122" s="145"/>
      <c r="M122" s="145" t="str">
        <f>RTD("cqg.rtd", ,"ContractData",A122, "Ask",, "T")</f>
        <v/>
      </c>
      <c r="N122" s="150" t="str">
        <f>IF(RTD("cqg.rtd", ,"ContractData",A122, "MT_LastAskVolume",, "T")=0,"",RTD("cqg.rtd", ,"ContractData",A122, "MT_LastAskVolume",, "T"))</f>
        <v/>
      </c>
      <c r="O122" s="149">
        <f t="shared" si="16"/>
        <v>0</v>
      </c>
      <c r="P122" s="148" t="str">
        <f>IF(B122="","",RTD("cqg.rtd",,"ContractData",A122,"Open",,"T"))</f>
        <v/>
      </c>
      <c r="Q122" s="148" t="str">
        <f>IF(B122="","",RTD("cqg.rtd",,"ContractData",A122,"High",,"T"))</f>
        <v/>
      </c>
      <c r="R122" s="148" t="str">
        <f>IF(B122="","",RTD("cqg.rtd",,"ContractData",A122,"Low",,"T"))</f>
        <v/>
      </c>
      <c r="S122" s="147" t="str">
        <f>IF(RTD("cqg.rtd", ,"ContractData",A122, "T_CVol",, "T")=0,"",RTD("cqg.rtd", ,"ContractData",A122, "T_CVol",, "T"))</f>
        <v/>
      </c>
      <c r="T122" s="147" t="str">
        <f>IF(RTD("cqg.rtd", ,"ContractData",A122, "Y_CVol",, "T")=0,"",RTD("cqg.rtd", ,"ContractData",A122, "Y_CVol",, "T"))</f>
        <v/>
      </c>
      <c r="U122" s="147" t="str">
        <f t="shared" si="17"/>
        <v/>
      </c>
      <c r="V122" s="147" t="str">
        <f>IF(RTD("cqg.rtd",,"StudyData",A122, "OI", "OIType=Contract", "OI","D","-1","ALL",,,"TRUE","T")=0,"",RTD("cqg.rtd",,"StudyData",A122, "OI", "OIType=Contract", "OI","D","-1","ALL",,,"TRUE","T"))</f>
        <v/>
      </c>
      <c r="W122" s="147" t="str">
        <f>IF(RTD("cqg.rtd",,"StudyData",A122, "OI", "OIType=Contract", "OI","D","-2","ALL",,,"TRUE","T")=0,"",RTD("cqg.rtd",,"StudyData",A122, "OI", "OIType=Contract", "OI","D","-2","ALL",,,"TRUE","T"))</f>
        <v/>
      </c>
      <c r="X122" s="146" t="str">
        <f t="shared" si="18"/>
        <v/>
      </c>
      <c r="Y122" s="145" t="str">
        <f>RTD("cqg.rtd", ,"ContractData",A122, "T_Settlement",, "T")</f>
        <v/>
      </c>
      <c r="Z122" s="145">
        <f>RTD("cqg.rtd", ,"ContractData",A122, "Y_Settlement",, "T")</f>
        <v>2.891</v>
      </c>
      <c r="AA122" s="144">
        <f>RTD("cqg.rtd", ,"ContractData",A122, "ExpirationDate",, "T")</f>
        <v>46505</v>
      </c>
      <c r="AB122" s="143" t="str">
        <f>RIGHT(RTD("cqg.rtd", ,"ContractData",A122, "LongDescription",, "T"),6)</f>
        <v>May 27</v>
      </c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</row>
    <row r="123" spans="1:39" x14ac:dyDescent="0.3">
      <c r="A123" s="123" t="s">
        <v>75</v>
      </c>
      <c r="B123" s="154" t="str">
        <f>RIGHT(RTD("cqg.rtd", ,"ContractData",A123, "LongDescription",, "T"),6)</f>
        <v>Jun 27</v>
      </c>
      <c r="C123" s="153">
        <f t="shared" si="19"/>
        <v>11</v>
      </c>
      <c r="D123" s="153">
        <f t="shared" si="15"/>
        <v>0</v>
      </c>
      <c r="E123" s="152" t="str">
        <f>IF(B123="","",RTD("cqg.rtd",,"ContractData",A123,"NetLastTradeToday",,"T"))</f>
        <v/>
      </c>
      <c r="F123" s="148" t="str">
        <f>IF(B123="","",RTD("cqg.rtd",,"ContractData",A123,"LastTradeToday",,"T"))</f>
        <v/>
      </c>
      <c r="G123" s="148" t="str">
        <f>IF(B123="","",RTD("cqg.rtd",,"ContractData",A123,"NetLastTradeToday",,"T"))</f>
        <v/>
      </c>
      <c r="H123" s="151" t="str">
        <f>IF(F123="","",MOD(RTD("cqg.rtd", ,"ContractData",A123, "DTLastTrade",, "T"),1))</f>
        <v/>
      </c>
      <c r="I123" s="277"/>
      <c r="J123" s="150" t="str">
        <f>IF(RTD("cqg.rtd", ,"ContractData",A123, "MT_LastBidVolume",, "T")=0,"",RTD("cqg.rtd", ,"ContractData",A123, "MT_LastBidVolume",, "T"))</f>
        <v/>
      </c>
      <c r="K123" s="145" t="str">
        <f>RTD("cqg.rtd", ,"ContractData",A123, "Bid",, "T")</f>
        <v/>
      </c>
      <c r="L123" s="145"/>
      <c r="M123" s="145" t="str">
        <f>RTD("cqg.rtd", ,"ContractData",A123, "Ask",, "T")</f>
        <v/>
      </c>
      <c r="N123" s="150" t="str">
        <f>IF(RTD("cqg.rtd", ,"ContractData",A123, "MT_LastAskVolume",, "T")=0,"",RTD("cqg.rtd", ,"ContractData",A123, "MT_LastAskVolume",, "T"))</f>
        <v/>
      </c>
      <c r="O123" s="149">
        <f t="shared" si="16"/>
        <v>0</v>
      </c>
      <c r="P123" s="148" t="str">
        <f>IF(B123="","",RTD("cqg.rtd",,"ContractData",A123,"Open",,"T"))</f>
        <v/>
      </c>
      <c r="Q123" s="148" t="str">
        <f>IF(B123="","",RTD("cqg.rtd",,"ContractData",A123,"High",,"T"))</f>
        <v/>
      </c>
      <c r="R123" s="148" t="str">
        <f>IF(B123="","",RTD("cqg.rtd",,"ContractData",A123,"Low",,"T"))</f>
        <v/>
      </c>
      <c r="S123" s="147" t="str">
        <f>IF(RTD("cqg.rtd", ,"ContractData",A123, "T_CVol",, "T")=0,"",RTD("cqg.rtd", ,"ContractData",A123, "T_CVol",, "T"))</f>
        <v/>
      </c>
      <c r="T123" s="147" t="str">
        <f>IF(RTD("cqg.rtd", ,"ContractData",A123, "Y_CVol",, "T")=0,"",RTD("cqg.rtd", ,"ContractData",A123, "Y_CVol",, "T"))</f>
        <v/>
      </c>
      <c r="U123" s="147" t="str">
        <f t="shared" si="17"/>
        <v/>
      </c>
      <c r="V123" s="147" t="str">
        <f>IF(RTD("cqg.rtd",,"StudyData",A123, "OI", "OIType=Contract", "OI","D","-1","ALL",,,"TRUE","T")=0,"",RTD("cqg.rtd",,"StudyData",A123, "OI", "OIType=Contract", "OI","D","-1","ALL",,,"TRUE","T"))</f>
        <v/>
      </c>
      <c r="W123" s="147" t="str">
        <f>IF(RTD("cqg.rtd",,"StudyData",A123, "OI", "OIType=Contract", "OI","D","-2","ALL",,,"TRUE","T")=0,"",RTD("cqg.rtd",,"StudyData",A123, "OI", "OIType=Contract", "OI","D","-2","ALL",,,"TRUE","T"))</f>
        <v/>
      </c>
      <c r="X123" s="146" t="str">
        <f t="shared" si="18"/>
        <v/>
      </c>
      <c r="Y123" s="145" t="str">
        <f>RTD("cqg.rtd", ,"ContractData",A123, "T_Settlement",, "T")</f>
        <v/>
      </c>
      <c r="Z123" s="145">
        <f>RTD("cqg.rtd", ,"ContractData",A123, "Y_Settlement",, "T")</f>
        <v>2.9170000000000003</v>
      </c>
      <c r="AA123" s="144">
        <f>RTD("cqg.rtd", ,"ContractData",A123, "ExpirationDate",, "T")</f>
        <v>46534</v>
      </c>
      <c r="AB123" s="143" t="str">
        <f>RIGHT(RTD("cqg.rtd", ,"ContractData",A123, "LongDescription",, "T"),6)</f>
        <v>Jun 27</v>
      </c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</row>
    <row r="124" spans="1:39" x14ac:dyDescent="0.3">
      <c r="A124" s="123" t="s">
        <v>74</v>
      </c>
      <c r="B124" s="154" t="str">
        <f>RIGHT(RTD("cqg.rtd", ,"ContractData",A124, "LongDescription",, "T"),6)</f>
        <v>Jul 27</v>
      </c>
      <c r="C124" s="153">
        <f t="shared" si="19"/>
        <v>11</v>
      </c>
      <c r="D124" s="153">
        <f t="shared" si="15"/>
        <v>0</v>
      </c>
      <c r="E124" s="152" t="str">
        <f>IF(B124="","",RTD("cqg.rtd",,"ContractData",A124,"NetLastTradeToday",,"T"))</f>
        <v/>
      </c>
      <c r="F124" s="148" t="str">
        <f>IF(B124="","",RTD("cqg.rtd",,"ContractData",A124,"LastTradeToday",,"T"))</f>
        <v/>
      </c>
      <c r="G124" s="148" t="str">
        <f>IF(B124="","",RTD("cqg.rtd",,"ContractData",A124,"NetLastTradeToday",,"T"))</f>
        <v/>
      </c>
      <c r="H124" s="151" t="str">
        <f>IF(F124="","",MOD(RTD("cqg.rtd", ,"ContractData",A124, "DTLastTrade",, "T"),1))</f>
        <v/>
      </c>
      <c r="I124" s="277"/>
      <c r="J124" s="150" t="str">
        <f>IF(RTD("cqg.rtd", ,"ContractData",A124, "MT_LastBidVolume",, "T")=0,"",RTD("cqg.rtd", ,"ContractData",A124, "MT_LastBidVolume",, "T"))</f>
        <v/>
      </c>
      <c r="K124" s="145" t="str">
        <f>RTD("cqg.rtd", ,"ContractData",A124, "Bid",, "T")</f>
        <v/>
      </c>
      <c r="L124" s="145"/>
      <c r="M124" s="145" t="str">
        <f>RTD("cqg.rtd", ,"ContractData",A124, "Ask",, "T")</f>
        <v/>
      </c>
      <c r="N124" s="150" t="str">
        <f>IF(RTD("cqg.rtd", ,"ContractData",A124, "MT_LastAskVolume",, "T")=0,"",RTD("cqg.rtd", ,"ContractData",A124, "MT_LastAskVolume",, "T"))</f>
        <v/>
      </c>
      <c r="O124" s="149">
        <f t="shared" si="16"/>
        <v>0</v>
      </c>
      <c r="P124" s="148" t="str">
        <f>IF(B124="","",RTD("cqg.rtd",,"ContractData",A124,"Open",,"T"))</f>
        <v/>
      </c>
      <c r="Q124" s="148" t="str">
        <f>IF(B124="","",RTD("cqg.rtd",,"ContractData",A124,"High",,"T"))</f>
        <v/>
      </c>
      <c r="R124" s="148" t="str">
        <f>IF(B124="","",RTD("cqg.rtd",,"ContractData",A124,"Low",,"T"))</f>
        <v/>
      </c>
      <c r="S124" s="147" t="str">
        <f>IF(RTD("cqg.rtd", ,"ContractData",A124, "T_CVol",, "T")=0,"",RTD("cqg.rtd", ,"ContractData",A124, "T_CVol",, "T"))</f>
        <v/>
      </c>
      <c r="T124" s="147" t="str">
        <f>IF(RTD("cqg.rtd", ,"ContractData",A124, "Y_CVol",, "T")=0,"",RTD("cqg.rtd", ,"ContractData",A124, "Y_CVol",, "T"))</f>
        <v/>
      </c>
      <c r="U124" s="147" t="str">
        <f t="shared" si="17"/>
        <v/>
      </c>
      <c r="V124" s="147" t="str">
        <f>IF(RTD("cqg.rtd",,"StudyData",A124, "OI", "OIType=Contract", "OI","D","-1","ALL",,,"TRUE","T")=0,"",RTD("cqg.rtd",,"StudyData",A124, "OI", "OIType=Contract", "OI","D","-1","ALL",,,"TRUE","T"))</f>
        <v/>
      </c>
      <c r="W124" s="147" t="str">
        <f>IF(RTD("cqg.rtd",,"StudyData",A124, "OI", "OIType=Contract", "OI","D","-2","ALL",,,"TRUE","T")=0,"",RTD("cqg.rtd",,"StudyData",A124, "OI", "OIType=Contract", "OI","D","-2","ALL",,,"TRUE","T"))</f>
        <v/>
      </c>
      <c r="X124" s="146" t="str">
        <f t="shared" si="18"/>
        <v/>
      </c>
      <c r="Y124" s="145" t="str">
        <f>RTD("cqg.rtd", ,"ContractData",A124, "T_Settlement",, "T")</f>
        <v/>
      </c>
      <c r="Z124" s="145">
        <f>RTD("cqg.rtd", ,"ContractData",A124, "Y_Settlement",, "T")</f>
        <v>2.9489999999999998</v>
      </c>
      <c r="AA124" s="144">
        <f>RTD("cqg.rtd", ,"ContractData",A124, "ExpirationDate",, "T")</f>
        <v>46566</v>
      </c>
      <c r="AB124" s="143" t="str">
        <f>RIGHT(RTD("cqg.rtd", ,"ContractData",A124, "LongDescription",, "T"),6)</f>
        <v>Jul 27</v>
      </c>
      <c r="AC124" s="124"/>
      <c r="AD124" s="124"/>
      <c r="AE124" s="124"/>
      <c r="AF124" s="124"/>
      <c r="AG124" s="124"/>
      <c r="AH124" s="124"/>
      <c r="AI124" s="124"/>
      <c r="AJ124" s="124"/>
      <c r="AK124" s="124"/>
      <c r="AL124" s="124"/>
      <c r="AM124" s="124"/>
    </row>
    <row r="125" spans="1:39" x14ac:dyDescent="0.3">
      <c r="A125" s="123" t="s">
        <v>73</v>
      </c>
      <c r="B125" s="154" t="str">
        <f>RIGHT(RTD("cqg.rtd", ,"ContractData",A125, "LongDescription",, "T"),6)</f>
        <v>Aug 27</v>
      </c>
      <c r="C125" s="153">
        <f t="shared" si="19"/>
        <v>11</v>
      </c>
      <c r="D125" s="153">
        <f t="shared" si="15"/>
        <v>0</v>
      </c>
      <c r="E125" s="152" t="str">
        <f>IF(B125="","",RTD("cqg.rtd",,"ContractData",A125,"NetLastTradeToday",,"T"))</f>
        <v/>
      </c>
      <c r="F125" s="148" t="str">
        <f>IF(B125="","",RTD("cqg.rtd",,"ContractData",A125,"LastTradeToday",,"T"))</f>
        <v/>
      </c>
      <c r="G125" s="148" t="str">
        <f>IF(B125="","",RTD("cqg.rtd",,"ContractData",A125,"NetLastTradeToday",,"T"))</f>
        <v/>
      </c>
      <c r="H125" s="151" t="str">
        <f>IF(F125="","",MOD(RTD("cqg.rtd", ,"ContractData",A125, "DTLastTrade",, "T"),1))</f>
        <v/>
      </c>
      <c r="I125" s="277"/>
      <c r="J125" s="150" t="str">
        <f>IF(RTD("cqg.rtd", ,"ContractData",A125, "MT_LastBidVolume",, "T")=0,"",RTD("cqg.rtd", ,"ContractData",A125, "MT_LastBidVolume",, "T"))</f>
        <v/>
      </c>
      <c r="K125" s="145" t="str">
        <f>RTD("cqg.rtd", ,"ContractData",A125, "Bid",, "T")</f>
        <v/>
      </c>
      <c r="L125" s="145"/>
      <c r="M125" s="145" t="str">
        <f>RTD("cqg.rtd", ,"ContractData",A125, "Ask",, "T")</f>
        <v/>
      </c>
      <c r="N125" s="150" t="str">
        <f>IF(RTD("cqg.rtd", ,"ContractData",A125, "MT_LastAskVolume",, "T")=0,"",RTD("cqg.rtd", ,"ContractData",A125, "MT_LastAskVolume",, "T"))</f>
        <v/>
      </c>
      <c r="O125" s="149">
        <f t="shared" si="16"/>
        <v>0</v>
      </c>
      <c r="P125" s="148" t="str">
        <f>IF(B125="","",RTD("cqg.rtd",,"ContractData",A125,"Open",,"T"))</f>
        <v/>
      </c>
      <c r="Q125" s="148" t="str">
        <f>IF(B125="","",RTD("cqg.rtd",,"ContractData",A125,"High",,"T"))</f>
        <v/>
      </c>
      <c r="R125" s="148" t="str">
        <f>IF(B125="","",RTD("cqg.rtd",,"ContractData",A125,"Low",,"T"))</f>
        <v/>
      </c>
      <c r="S125" s="147" t="str">
        <f>IF(RTD("cqg.rtd", ,"ContractData",A125, "T_CVol",, "T")=0,"",RTD("cqg.rtd", ,"ContractData",A125, "T_CVol",, "T"))</f>
        <v/>
      </c>
      <c r="T125" s="147" t="str">
        <f>IF(RTD("cqg.rtd", ,"ContractData",A125, "Y_CVol",, "T")=0,"",RTD("cqg.rtd", ,"ContractData",A125, "Y_CVol",, "T"))</f>
        <v/>
      </c>
      <c r="U125" s="147" t="str">
        <f t="shared" si="17"/>
        <v/>
      </c>
      <c r="V125" s="147" t="str">
        <f>IF(RTD("cqg.rtd",,"StudyData",A125, "OI", "OIType=Contract", "OI","D","-1","ALL",,,"TRUE","T")=0,"",RTD("cqg.rtd",,"StudyData",A125, "OI", "OIType=Contract", "OI","D","-1","ALL",,,"TRUE","T"))</f>
        <v/>
      </c>
      <c r="W125" s="147" t="str">
        <f>IF(RTD("cqg.rtd",,"StudyData",A125, "OI", "OIType=Contract", "OI","D","-2","ALL",,,"TRUE","T")=0,"",RTD("cqg.rtd",,"StudyData",A125, "OI", "OIType=Contract", "OI","D","-2","ALL",,,"TRUE","T"))</f>
        <v/>
      </c>
      <c r="X125" s="146" t="str">
        <f t="shared" si="18"/>
        <v/>
      </c>
      <c r="Y125" s="145" t="str">
        <f>RTD("cqg.rtd", ,"ContractData",A125, "T_Settlement",, "T")</f>
        <v/>
      </c>
      <c r="Z125" s="145">
        <f>RTD("cqg.rtd", ,"ContractData",A125, "Y_Settlement",, "T")</f>
        <v>2.9790000000000001</v>
      </c>
      <c r="AA125" s="144">
        <f>RTD("cqg.rtd", ,"ContractData",A125, "ExpirationDate",, "T")</f>
        <v>46596</v>
      </c>
      <c r="AB125" s="143" t="str">
        <f>RIGHT(RTD("cqg.rtd", ,"ContractData",A125, "LongDescription",, "T"),6)</f>
        <v>Aug 27</v>
      </c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</row>
    <row r="126" spans="1:39" x14ac:dyDescent="0.3">
      <c r="A126" s="123" t="s">
        <v>72</v>
      </c>
      <c r="B126" s="154" t="str">
        <f>RIGHT(RTD("cqg.rtd", ,"ContractData",A126, "LongDescription",, "T"),6)</f>
        <v>Sep 27</v>
      </c>
      <c r="C126" s="153">
        <f t="shared" si="19"/>
        <v>11</v>
      </c>
      <c r="D126" s="153">
        <f t="shared" si="15"/>
        <v>0</v>
      </c>
      <c r="E126" s="152" t="str">
        <f>IF(B126="","",RTD("cqg.rtd",,"ContractData",A126,"NetLastTradeToday",,"T"))</f>
        <v/>
      </c>
      <c r="F126" s="148" t="str">
        <f>IF(B126="","",RTD("cqg.rtd",,"ContractData",A126,"LastTradeToday",,"T"))</f>
        <v/>
      </c>
      <c r="G126" s="148" t="str">
        <f>IF(B126="","",RTD("cqg.rtd",,"ContractData",A126,"NetLastTradeToday",,"T"))</f>
        <v/>
      </c>
      <c r="H126" s="151" t="str">
        <f>IF(F126="","",MOD(RTD("cqg.rtd", ,"ContractData",A126, "DTLastTrade",, "T"),1))</f>
        <v/>
      </c>
      <c r="I126" s="277"/>
      <c r="J126" s="150" t="str">
        <f>IF(RTD("cqg.rtd", ,"ContractData",A126, "MT_LastBidVolume",, "T")=0,"",RTD("cqg.rtd", ,"ContractData",A126, "MT_LastBidVolume",, "T"))</f>
        <v/>
      </c>
      <c r="K126" s="145" t="str">
        <f>RTD("cqg.rtd", ,"ContractData",A126, "Bid",, "T")</f>
        <v/>
      </c>
      <c r="L126" s="145"/>
      <c r="M126" s="145" t="str">
        <f>RTD("cqg.rtd", ,"ContractData",A126, "Ask",, "T")</f>
        <v/>
      </c>
      <c r="N126" s="150" t="str">
        <f>IF(RTD("cqg.rtd", ,"ContractData",A126, "MT_LastAskVolume",, "T")=0,"",RTD("cqg.rtd", ,"ContractData",A126, "MT_LastAskVolume",, "T"))</f>
        <v/>
      </c>
      <c r="O126" s="149">
        <f t="shared" si="16"/>
        <v>0</v>
      </c>
      <c r="P126" s="148" t="str">
        <f>IF(B126="","",RTD("cqg.rtd",,"ContractData",A126,"Open",,"T"))</f>
        <v/>
      </c>
      <c r="Q126" s="148" t="str">
        <f>IF(B126="","",RTD("cqg.rtd",,"ContractData",A126,"High",,"T"))</f>
        <v/>
      </c>
      <c r="R126" s="148" t="str">
        <f>IF(B126="","",RTD("cqg.rtd",,"ContractData",A126,"Low",,"T"))</f>
        <v/>
      </c>
      <c r="S126" s="147" t="str">
        <f>IF(RTD("cqg.rtd", ,"ContractData",A126, "T_CVol",, "T")=0,"",RTD("cqg.rtd", ,"ContractData",A126, "T_CVol",, "T"))</f>
        <v/>
      </c>
      <c r="T126" s="147" t="str">
        <f>IF(RTD("cqg.rtd", ,"ContractData",A126, "Y_CVol",, "T")=0,"",RTD("cqg.rtd", ,"ContractData",A126, "Y_CVol",, "T"))</f>
        <v/>
      </c>
      <c r="U126" s="147" t="str">
        <f t="shared" si="17"/>
        <v/>
      </c>
      <c r="V126" s="147" t="str">
        <f>IF(RTD("cqg.rtd",,"StudyData",A126, "OI", "OIType=Contract", "OI","D","-1","ALL",,,"TRUE","T")=0,"",RTD("cqg.rtd",,"StudyData",A126, "OI", "OIType=Contract", "OI","D","-1","ALL",,,"TRUE","T"))</f>
        <v/>
      </c>
      <c r="W126" s="147" t="str">
        <f>IF(RTD("cqg.rtd",,"StudyData",A126, "OI", "OIType=Contract", "OI","D","-2","ALL",,,"TRUE","T")=0,"",RTD("cqg.rtd",,"StudyData",A126, "OI", "OIType=Contract", "OI","D","-2","ALL",,,"TRUE","T"))</f>
        <v/>
      </c>
      <c r="X126" s="146" t="str">
        <f t="shared" si="18"/>
        <v/>
      </c>
      <c r="Y126" s="145" t="str">
        <f>RTD("cqg.rtd", ,"ContractData",A126, "T_Settlement",, "T")</f>
        <v/>
      </c>
      <c r="Z126" s="145">
        <f>RTD("cqg.rtd", ,"ContractData",A126, "Y_Settlement",, "T")</f>
        <v>2.9889999999999999</v>
      </c>
      <c r="AA126" s="144">
        <f>RTD("cqg.rtd", ,"ContractData",A126, "ExpirationDate",, "T")</f>
        <v>46626</v>
      </c>
      <c r="AB126" s="143" t="str">
        <f>RIGHT(RTD("cqg.rtd", ,"ContractData",A126, "LongDescription",, "T"),6)</f>
        <v>Sep 27</v>
      </c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</row>
    <row r="127" spans="1:39" x14ac:dyDescent="0.3">
      <c r="A127" s="123" t="s">
        <v>71</v>
      </c>
      <c r="B127" s="154" t="str">
        <f>RIGHT(RTD("cqg.rtd", ,"ContractData",A127, "LongDescription",, "T"),6)</f>
        <v>Oct 27</v>
      </c>
      <c r="C127" s="153">
        <f t="shared" si="19"/>
        <v>11</v>
      </c>
      <c r="D127" s="153">
        <f t="shared" si="15"/>
        <v>0</v>
      </c>
      <c r="E127" s="152" t="str">
        <f>IF(B127="","",RTD("cqg.rtd",,"ContractData",A127,"NetLastTradeToday",,"T"))</f>
        <v/>
      </c>
      <c r="F127" s="148" t="str">
        <f>IF(B127="","",RTD("cqg.rtd",,"ContractData",A127,"LastTradeToday",,"T"))</f>
        <v/>
      </c>
      <c r="G127" s="148" t="str">
        <f>IF(B127="","",RTD("cqg.rtd",,"ContractData",A127,"NetLastTradeToday",,"T"))</f>
        <v/>
      </c>
      <c r="H127" s="151" t="str">
        <f>IF(F127="","",MOD(RTD("cqg.rtd", ,"ContractData",A127, "DTLastTrade",, "T"),1))</f>
        <v/>
      </c>
      <c r="I127" s="277"/>
      <c r="J127" s="150" t="str">
        <f>IF(RTD("cqg.rtd", ,"ContractData",A127, "MT_LastBidVolume",, "T")=0,"",RTD("cqg.rtd", ,"ContractData",A127, "MT_LastBidVolume",, "T"))</f>
        <v/>
      </c>
      <c r="K127" s="145" t="str">
        <f>RTD("cqg.rtd", ,"ContractData",A127, "Bid",, "T")</f>
        <v/>
      </c>
      <c r="L127" s="145"/>
      <c r="M127" s="145" t="str">
        <f>RTD("cqg.rtd", ,"ContractData",A127, "Ask",, "T")</f>
        <v/>
      </c>
      <c r="N127" s="150" t="str">
        <f>IF(RTD("cqg.rtd", ,"ContractData",A127, "MT_LastAskVolume",, "T")=0,"",RTD("cqg.rtd", ,"ContractData",A127, "MT_LastAskVolume",, "T"))</f>
        <v/>
      </c>
      <c r="O127" s="149">
        <f t="shared" si="16"/>
        <v>0</v>
      </c>
      <c r="P127" s="148" t="str">
        <f>IF(B127="","",RTD("cqg.rtd",,"ContractData",A127,"Open",,"T"))</f>
        <v/>
      </c>
      <c r="Q127" s="148" t="str">
        <f>IF(B127="","",RTD("cqg.rtd",,"ContractData",A127,"High",,"T"))</f>
        <v/>
      </c>
      <c r="R127" s="148" t="str">
        <f>IF(B127="","",RTD("cqg.rtd",,"ContractData",A127,"Low",,"T"))</f>
        <v/>
      </c>
      <c r="S127" s="147" t="str">
        <f>IF(RTD("cqg.rtd", ,"ContractData",A127, "T_CVol",, "T")=0,"",RTD("cqg.rtd", ,"ContractData",A127, "T_CVol",, "T"))</f>
        <v/>
      </c>
      <c r="T127" s="147" t="str">
        <f>IF(RTD("cqg.rtd", ,"ContractData",A127, "Y_CVol",, "T")=0,"",RTD("cqg.rtd", ,"ContractData",A127, "Y_CVol",, "T"))</f>
        <v/>
      </c>
      <c r="U127" s="147" t="str">
        <f t="shared" si="17"/>
        <v/>
      </c>
      <c r="V127" s="147" t="str">
        <f>IF(RTD("cqg.rtd",,"StudyData",A127, "OI", "OIType=Contract", "OI","D","-1","ALL",,,"TRUE","T")=0,"",RTD("cqg.rtd",,"StudyData",A127, "OI", "OIType=Contract", "OI","D","-1","ALL",,,"TRUE","T"))</f>
        <v/>
      </c>
      <c r="W127" s="147" t="str">
        <f>IF(RTD("cqg.rtd",,"StudyData",A127, "OI", "OIType=Contract", "OI","D","-2","ALL",,,"TRUE","T")=0,"",RTD("cqg.rtd",,"StudyData",A127, "OI", "OIType=Contract", "OI","D","-2","ALL",,,"TRUE","T"))</f>
        <v/>
      </c>
      <c r="X127" s="146" t="str">
        <f t="shared" si="18"/>
        <v/>
      </c>
      <c r="Y127" s="145" t="str">
        <f>RTD("cqg.rtd", ,"ContractData",A127, "T_Settlement",, "T")</f>
        <v/>
      </c>
      <c r="Z127" s="145">
        <f>RTD("cqg.rtd", ,"ContractData",A127, "Y_Settlement",, "T")</f>
        <v>3.0310000000000001</v>
      </c>
      <c r="AA127" s="144">
        <f>RTD("cqg.rtd", ,"ContractData",A127, "ExpirationDate",, "T")</f>
        <v>46658</v>
      </c>
      <c r="AB127" s="143" t="str">
        <f>RIGHT(RTD("cqg.rtd", ,"ContractData",A127, "LongDescription",, "T"),6)</f>
        <v>Oct 27</v>
      </c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</row>
    <row r="128" spans="1:39" x14ac:dyDescent="0.3">
      <c r="A128" s="123" t="s">
        <v>70</v>
      </c>
      <c r="B128" s="154" t="str">
        <f>RIGHT(RTD("cqg.rtd", ,"ContractData",A128, "LongDescription",, "T"),6)</f>
        <v>Nov 27</v>
      </c>
      <c r="C128" s="153">
        <f t="shared" si="19"/>
        <v>11</v>
      </c>
      <c r="D128" s="153">
        <f t="shared" si="15"/>
        <v>0</v>
      </c>
      <c r="E128" s="152" t="str">
        <f>IF(B128="","",RTD("cqg.rtd",,"ContractData",A128,"NetLastTradeToday",,"T"))</f>
        <v/>
      </c>
      <c r="F128" s="148" t="str">
        <f>IF(B128="","",RTD("cqg.rtd",,"ContractData",A128,"LastTradeToday",,"T"))</f>
        <v/>
      </c>
      <c r="G128" s="148" t="str">
        <f>IF(B128="","",RTD("cqg.rtd",,"ContractData",A128,"NetLastTradeToday",,"T"))</f>
        <v/>
      </c>
      <c r="H128" s="151" t="str">
        <f>IF(F128="","",MOD(RTD("cqg.rtd", ,"ContractData",A128, "DTLastTrade",, "T"),1))</f>
        <v/>
      </c>
      <c r="I128" s="277"/>
      <c r="J128" s="150" t="str">
        <f>IF(RTD("cqg.rtd", ,"ContractData",A128, "MT_LastBidVolume",, "T")=0,"",RTD("cqg.rtd", ,"ContractData",A128, "MT_LastBidVolume",, "T"))</f>
        <v/>
      </c>
      <c r="K128" s="145" t="str">
        <f>RTD("cqg.rtd", ,"ContractData",A128, "Bid",, "T")</f>
        <v/>
      </c>
      <c r="L128" s="145"/>
      <c r="M128" s="145" t="str">
        <f>RTD("cqg.rtd", ,"ContractData",A128, "Ask",, "T")</f>
        <v/>
      </c>
      <c r="N128" s="150" t="str">
        <f>IF(RTD("cqg.rtd", ,"ContractData",A128, "MT_LastAskVolume",, "T")=0,"",RTD("cqg.rtd", ,"ContractData",A128, "MT_LastAskVolume",, "T"))</f>
        <v/>
      </c>
      <c r="O128" s="149">
        <f t="shared" si="16"/>
        <v>0</v>
      </c>
      <c r="P128" s="148" t="str">
        <f>IF(B128="","",RTD("cqg.rtd",,"ContractData",A128,"Open",,"T"))</f>
        <v/>
      </c>
      <c r="Q128" s="148" t="str">
        <f>IF(B128="","",RTD("cqg.rtd",,"ContractData",A128,"High",,"T"))</f>
        <v/>
      </c>
      <c r="R128" s="148" t="str">
        <f>IF(B128="","",RTD("cqg.rtd",,"ContractData",A128,"Low",,"T"))</f>
        <v/>
      </c>
      <c r="S128" s="147" t="str">
        <f>IF(RTD("cqg.rtd", ,"ContractData",A128, "T_CVol",, "T")=0,"",RTD("cqg.rtd", ,"ContractData",A128, "T_CVol",, "T"))</f>
        <v/>
      </c>
      <c r="T128" s="147" t="str">
        <f>IF(RTD("cqg.rtd", ,"ContractData",A128, "Y_CVol",, "T")=0,"",RTD("cqg.rtd", ,"ContractData",A128, "Y_CVol",, "T"))</f>
        <v/>
      </c>
      <c r="U128" s="147" t="str">
        <f t="shared" si="17"/>
        <v/>
      </c>
      <c r="V128" s="147" t="str">
        <f>IF(RTD("cqg.rtd",,"StudyData",A128, "OI", "OIType=Contract", "OI","D","-1","ALL",,,"TRUE","T")=0,"",RTD("cqg.rtd",,"StudyData",A128, "OI", "OIType=Contract", "OI","D","-1","ALL",,,"TRUE","T"))</f>
        <v/>
      </c>
      <c r="W128" s="147" t="str">
        <f>IF(RTD("cqg.rtd",,"StudyData",A128, "OI", "OIType=Contract", "OI","D","-2","ALL",,,"TRUE","T")=0,"",RTD("cqg.rtd",,"StudyData",A128, "OI", "OIType=Contract", "OI","D","-2","ALL",,,"TRUE","T"))</f>
        <v/>
      </c>
      <c r="X128" s="146" t="str">
        <f t="shared" si="18"/>
        <v/>
      </c>
      <c r="Y128" s="145" t="str">
        <f>RTD("cqg.rtd", ,"ContractData",A128, "T_Settlement",, "T")</f>
        <v/>
      </c>
      <c r="Z128" s="145">
        <f>RTD("cqg.rtd", ,"ContractData",A128, "Y_Settlement",, "T")</f>
        <v>3.109</v>
      </c>
      <c r="AA128" s="144">
        <f>RTD("cqg.rtd", ,"ContractData",A128, "ExpirationDate",, "T")</f>
        <v>46687</v>
      </c>
      <c r="AB128" s="143" t="str">
        <f>RIGHT(RTD("cqg.rtd", ,"ContractData",A128, "LongDescription",, "T"),6)</f>
        <v>Nov 27</v>
      </c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</row>
    <row r="129" spans="1:39" x14ac:dyDescent="0.3">
      <c r="A129" s="123" t="s">
        <v>69</v>
      </c>
      <c r="B129" s="154" t="str">
        <f>RIGHT(RTD("cqg.rtd", ,"ContractData",A129, "LongDescription",, "T"),6)</f>
        <v>Dec 27</v>
      </c>
      <c r="C129" s="153">
        <f t="shared" si="19"/>
        <v>11</v>
      </c>
      <c r="D129" s="153">
        <f t="shared" si="15"/>
        <v>0</v>
      </c>
      <c r="E129" s="152" t="str">
        <f>IF(B129="","",RTD("cqg.rtd",,"ContractData",A129,"NetLastTradeToday",,"T"))</f>
        <v/>
      </c>
      <c r="F129" s="148" t="str">
        <f>IF(B129="","",RTD("cqg.rtd",,"ContractData",A129,"LastTradeToday",,"T"))</f>
        <v/>
      </c>
      <c r="G129" s="148" t="str">
        <f>IF(B129="","",RTD("cqg.rtd",,"ContractData",A129,"NetLastTradeToday",,"T"))</f>
        <v/>
      </c>
      <c r="H129" s="151" t="str">
        <f>IF(F129="","",MOD(RTD("cqg.rtd", ,"ContractData",A129, "DTLastTrade",, "T"),1))</f>
        <v/>
      </c>
      <c r="I129" s="277"/>
      <c r="J129" s="150" t="str">
        <f>IF(RTD("cqg.rtd", ,"ContractData",A129, "MT_LastBidVolume",, "T")=0,"",RTD("cqg.rtd", ,"ContractData",A129, "MT_LastBidVolume",, "T"))</f>
        <v/>
      </c>
      <c r="K129" s="145" t="str">
        <f>RTD("cqg.rtd", ,"ContractData",A129, "Bid",, "T")</f>
        <v/>
      </c>
      <c r="L129" s="145"/>
      <c r="M129" s="145" t="str">
        <f>RTD("cqg.rtd", ,"ContractData",A129, "Ask",, "T")</f>
        <v/>
      </c>
      <c r="N129" s="150" t="str">
        <f>IF(RTD("cqg.rtd", ,"ContractData",A129, "MT_LastAskVolume",, "T")=0,"",RTD("cqg.rtd", ,"ContractData",A129, "MT_LastAskVolume",, "T"))</f>
        <v/>
      </c>
      <c r="O129" s="149">
        <f t="shared" si="16"/>
        <v>0</v>
      </c>
      <c r="P129" s="148" t="str">
        <f>IF(B129="","",RTD("cqg.rtd",,"ContractData",A129,"Open",,"T"))</f>
        <v/>
      </c>
      <c r="Q129" s="148" t="str">
        <f>IF(B129="","",RTD("cqg.rtd",,"ContractData",A129,"High",,"T"))</f>
        <v/>
      </c>
      <c r="R129" s="148" t="str">
        <f>IF(B129="","",RTD("cqg.rtd",,"ContractData",A129,"Low",,"T"))</f>
        <v/>
      </c>
      <c r="S129" s="147" t="str">
        <f>IF(RTD("cqg.rtd", ,"ContractData",A129, "T_CVol",, "T")=0,"",RTD("cqg.rtd", ,"ContractData",A129, "T_CVol",, "T"))</f>
        <v/>
      </c>
      <c r="T129" s="147" t="str">
        <f>IF(RTD("cqg.rtd", ,"ContractData",A129, "Y_CVol",, "T")=0,"",RTD("cqg.rtd", ,"ContractData",A129, "Y_CVol",, "T"))</f>
        <v/>
      </c>
      <c r="U129" s="147" t="str">
        <f t="shared" si="17"/>
        <v/>
      </c>
      <c r="V129" s="147" t="str">
        <f>IF(RTD("cqg.rtd",,"StudyData",A129, "OI", "OIType=Contract", "OI","D","-1","ALL",,,"TRUE","T")=0,"",RTD("cqg.rtd",,"StudyData",A129, "OI", "OIType=Contract", "OI","D","-1","ALL",,,"TRUE","T"))</f>
        <v/>
      </c>
      <c r="W129" s="147" t="str">
        <f>IF(RTD("cqg.rtd",,"StudyData",A129, "OI", "OIType=Contract", "OI","D","-2","ALL",,,"TRUE","T")=0,"",RTD("cqg.rtd",,"StudyData",A129, "OI", "OIType=Contract", "OI","D","-2","ALL",,,"TRUE","T"))</f>
        <v/>
      </c>
      <c r="X129" s="146" t="str">
        <f t="shared" si="18"/>
        <v/>
      </c>
      <c r="Y129" s="145" t="str">
        <f>RTD("cqg.rtd", ,"ContractData",A129, "T_Settlement",, "T")</f>
        <v/>
      </c>
      <c r="Z129" s="145">
        <f>RTD("cqg.rtd", ,"ContractData",A129, "Y_Settlement",, "T")</f>
        <v>3.2640000000000002</v>
      </c>
      <c r="AA129" s="144">
        <f>RTD("cqg.rtd", ,"ContractData",A129, "ExpirationDate",, "T")</f>
        <v>46717</v>
      </c>
      <c r="AB129" s="143" t="str">
        <f>RIGHT(RTD("cqg.rtd", ,"ContractData",A129, "LongDescription",, "T"),6)</f>
        <v>Dec 27</v>
      </c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  <c r="AM129" s="124"/>
    </row>
    <row r="130" spans="1:39" x14ac:dyDescent="0.3">
      <c r="A130" s="123" t="s">
        <v>68</v>
      </c>
      <c r="B130" s="154" t="str">
        <f>RIGHT(RTD("cqg.rtd", ,"ContractData",A130, "LongDescription",, "T"),6)</f>
        <v>Jan 28</v>
      </c>
      <c r="C130" s="153">
        <f t="shared" si="19"/>
        <v>12</v>
      </c>
      <c r="D130" s="153">
        <f t="shared" si="15"/>
        <v>1</v>
      </c>
      <c r="E130" s="152" t="str">
        <f>IF(B130="","",RTD("cqg.rtd",,"ContractData",A130,"NetLastTradeToday",,"T"))</f>
        <v/>
      </c>
      <c r="F130" s="148" t="str">
        <f>IF(B130="","",RTD("cqg.rtd",,"ContractData",A130,"LastTradeToday",,"T"))</f>
        <v/>
      </c>
      <c r="G130" s="148" t="str">
        <f>IF(B130="","",RTD("cqg.rtd",,"ContractData",A130,"NetLastTradeToday",,"T"))</f>
        <v/>
      </c>
      <c r="H130" s="151" t="str">
        <f>IF(F130="","",MOD(RTD("cqg.rtd", ,"ContractData",A130, "DTLastTrade",, "T"),1))</f>
        <v/>
      </c>
      <c r="I130" s="277"/>
      <c r="J130" s="150" t="str">
        <f>IF(RTD("cqg.rtd", ,"ContractData",A130, "MT_LastBidVolume",, "T")=0,"",RTD("cqg.rtd", ,"ContractData",A130, "MT_LastBidVolume",, "T"))</f>
        <v/>
      </c>
      <c r="K130" s="145" t="str">
        <f>RTD("cqg.rtd", ,"ContractData",A130, "Bid",, "T")</f>
        <v/>
      </c>
      <c r="L130" s="145"/>
      <c r="M130" s="145" t="str">
        <f>RTD("cqg.rtd", ,"ContractData",A130, "Ask",, "T")</f>
        <v/>
      </c>
      <c r="N130" s="150" t="str">
        <f>IF(RTD("cqg.rtd", ,"ContractData",A130, "MT_LastAskVolume",, "T")=0,"",RTD("cqg.rtd", ,"ContractData",A130, "MT_LastAskVolume",, "T"))</f>
        <v/>
      </c>
      <c r="O130" s="149">
        <f t="shared" si="16"/>
        <v>0</v>
      </c>
      <c r="P130" s="148" t="str">
        <f>IF(B130="","",RTD("cqg.rtd",,"ContractData",A130,"Open",,"T"))</f>
        <v/>
      </c>
      <c r="Q130" s="148" t="str">
        <f>IF(B130="","",RTD("cqg.rtd",,"ContractData",A130,"High",,"T"))</f>
        <v/>
      </c>
      <c r="R130" s="148" t="str">
        <f>IF(B130="","",RTD("cqg.rtd",,"ContractData",A130,"Low",,"T"))</f>
        <v/>
      </c>
      <c r="S130" s="147" t="str">
        <f>IF(RTD("cqg.rtd", ,"ContractData",A130, "T_CVol",, "T")=0,"",RTD("cqg.rtd", ,"ContractData",A130, "T_CVol",, "T"))</f>
        <v/>
      </c>
      <c r="T130" s="147" t="str">
        <f>IF(RTD("cqg.rtd", ,"ContractData",A130, "Y_CVol",, "T")=0,"",RTD("cqg.rtd", ,"ContractData",A130, "Y_CVol",, "T"))</f>
        <v/>
      </c>
      <c r="U130" s="147" t="str">
        <f t="shared" si="17"/>
        <v/>
      </c>
      <c r="V130" s="147" t="str">
        <f>IF(RTD("cqg.rtd",,"StudyData",A130, "OI", "OIType=Contract", "OI","D","-1","ALL",,,"TRUE","T")=0,"",RTD("cqg.rtd",,"StudyData",A130, "OI", "OIType=Contract", "OI","D","-1","ALL",,,"TRUE","T"))</f>
        <v/>
      </c>
      <c r="W130" s="147" t="str">
        <f>IF(RTD("cqg.rtd",,"StudyData",A130, "OI", "OIType=Contract", "OI","D","-2","ALL",,,"TRUE","T")=0,"",RTD("cqg.rtd",,"StudyData",A130, "OI", "OIType=Contract", "OI","D","-2","ALL",,,"TRUE","T"))</f>
        <v/>
      </c>
      <c r="X130" s="146" t="str">
        <f t="shared" si="18"/>
        <v/>
      </c>
      <c r="Y130" s="145" t="str">
        <f>RTD("cqg.rtd", ,"ContractData",A130, "T_Settlement",, "T")</f>
        <v/>
      </c>
      <c r="Z130" s="145">
        <f>RTD("cqg.rtd", ,"ContractData",A130, "Y_Settlement",, "T")</f>
        <v>3.4039999999999999</v>
      </c>
      <c r="AA130" s="144">
        <f>RTD("cqg.rtd", ,"ContractData",A130, "ExpirationDate",, "T")</f>
        <v>46750</v>
      </c>
      <c r="AB130" s="143" t="str">
        <f>RIGHT(RTD("cqg.rtd", ,"ContractData",A130, "LongDescription",, "T"),6)</f>
        <v>Jan 28</v>
      </c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</row>
    <row r="131" spans="1:39" x14ac:dyDescent="0.3">
      <c r="A131" s="123" t="s">
        <v>67</v>
      </c>
      <c r="B131" s="154" t="str">
        <f>RIGHT(RTD("cqg.rtd", ,"ContractData",A131, "LongDescription",, "T"),6)</f>
        <v>Feb 28</v>
      </c>
      <c r="C131" s="153">
        <f t="shared" si="19"/>
        <v>12</v>
      </c>
      <c r="D131" s="153">
        <f t="shared" si="15"/>
        <v>1</v>
      </c>
      <c r="E131" s="152" t="str">
        <f>IF(B131="","",RTD("cqg.rtd",,"ContractData",A131,"NetLastTradeToday",,"T"))</f>
        <v/>
      </c>
      <c r="F131" s="148" t="str">
        <f>IF(B131="","",RTD("cqg.rtd",,"ContractData",A131,"LastTradeToday",,"T"))</f>
        <v/>
      </c>
      <c r="G131" s="148" t="str">
        <f>IF(B131="","",RTD("cqg.rtd",,"ContractData",A131,"NetLastTradeToday",,"T"))</f>
        <v/>
      </c>
      <c r="H131" s="151" t="str">
        <f>IF(F131="","",MOD(RTD("cqg.rtd", ,"ContractData",A131, "DTLastTrade",, "T"),1))</f>
        <v/>
      </c>
      <c r="I131" s="277"/>
      <c r="J131" s="150" t="str">
        <f>IF(RTD("cqg.rtd", ,"ContractData",A131, "MT_LastBidVolume",, "T")=0,"",RTD("cqg.rtd", ,"ContractData",A131, "MT_LastBidVolume",, "T"))</f>
        <v/>
      </c>
      <c r="K131" s="145" t="str">
        <f>RTD("cqg.rtd", ,"ContractData",A131, "Bid",, "T")</f>
        <v/>
      </c>
      <c r="L131" s="145"/>
      <c r="M131" s="145" t="str">
        <f>RTD("cqg.rtd", ,"ContractData",A131, "Ask",, "T")</f>
        <v/>
      </c>
      <c r="N131" s="150" t="str">
        <f>IF(RTD("cqg.rtd", ,"ContractData",A131, "MT_LastAskVolume",, "T")=0,"",RTD("cqg.rtd", ,"ContractData",A131, "MT_LastAskVolume",, "T"))</f>
        <v/>
      </c>
      <c r="O131" s="149">
        <f t="shared" si="16"/>
        <v>0</v>
      </c>
      <c r="P131" s="148" t="str">
        <f>IF(B131="","",RTD("cqg.rtd",,"ContractData",A131,"Open",,"T"))</f>
        <v/>
      </c>
      <c r="Q131" s="148" t="str">
        <f>IF(B131="","",RTD("cqg.rtd",,"ContractData",A131,"High",,"T"))</f>
        <v/>
      </c>
      <c r="R131" s="148" t="str">
        <f>IF(B131="","",RTD("cqg.rtd",,"ContractData",A131,"Low",,"T"))</f>
        <v/>
      </c>
      <c r="S131" s="147" t="str">
        <f>IF(RTD("cqg.rtd", ,"ContractData",A131, "T_CVol",, "T")=0,"",RTD("cqg.rtd", ,"ContractData",A131, "T_CVol",, "T"))</f>
        <v/>
      </c>
      <c r="T131" s="147" t="str">
        <f>IF(RTD("cqg.rtd", ,"ContractData",A131, "Y_CVol",, "T")=0,"",RTD("cqg.rtd", ,"ContractData",A131, "Y_CVol",, "T"))</f>
        <v/>
      </c>
      <c r="U131" s="147" t="str">
        <f t="shared" si="17"/>
        <v/>
      </c>
      <c r="V131" s="147" t="str">
        <f>IF(RTD("cqg.rtd",,"StudyData",A131, "OI", "OIType=Contract", "OI","D","-1","ALL",,,"TRUE","T")=0,"",RTD("cqg.rtd",,"StudyData",A131, "OI", "OIType=Contract", "OI","D","-1","ALL",,,"TRUE","T"))</f>
        <v/>
      </c>
      <c r="W131" s="147" t="str">
        <f>IF(RTD("cqg.rtd",,"StudyData",A131, "OI", "OIType=Contract", "OI","D","-2","ALL",,,"TRUE","T")=0,"",RTD("cqg.rtd",,"StudyData",A131, "OI", "OIType=Contract", "OI","D","-2","ALL",,,"TRUE","T"))</f>
        <v/>
      </c>
      <c r="X131" s="146" t="str">
        <f t="shared" si="18"/>
        <v/>
      </c>
      <c r="Y131" s="145" t="str">
        <f>RTD("cqg.rtd", ,"ContractData",A131, "T_Settlement",, "T")</f>
        <v/>
      </c>
      <c r="Z131" s="145">
        <f>RTD("cqg.rtd", ,"ContractData",A131, "Y_Settlement",, "T")</f>
        <v>3.3679999999999999</v>
      </c>
      <c r="AA131" s="144">
        <f>RTD("cqg.rtd", ,"ContractData",A131, "ExpirationDate",, "T")</f>
        <v>46779</v>
      </c>
      <c r="AB131" s="143" t="str">
        <f>RIGHT(RTD("cqg.rtd", ,"ContractData",A131, "LongDescription",, "T"),6)</f>
        <v>Feb 28</v>
      </c>
      <c r="AC131" s="124"/>
      <c r="AD131" s="124"/>
      <c r="AE131" s="124"/>
      <c r="AF131" s="124"/>
      <c r="AG131" s="124"/>
      <c r="AH131" s="124"/>
      <c r="AI131" s="124"/>
      <c r="AJ131" s="124"/>
      <c r="AK131" s="124"/>
      <c r="AL131" s="124"/>
      <c r="AM131" s="124"/>
    </row>
    <row r="132" spans="1:39" x14ac:dyDescent="0.3">
      <c r="A132" s="123" t="s">
        <v>66</v>
      </c>
      <c r="B132" s="154" t="str">
        <f>RIGHT(RTD("cqg.rtd", ,"ContractData",A132, "LongDescription",, "T"),6)</f>
        <v>Mar 28</v>
      </c>
      <c r="C132" s="153">
        <f t="shared" si="19"/>
        <v>12</v>
      </c>
      <c r="D132" s="153">
        <f t="shared" si="15"/>
        <v>1</v>
      </c>
      <c r="E132" s="152" t="str">
        <f>IF(B132="","",RTD("cqg.rtd",,"ContractData",A132,"NetLastTradeToday",,"T"))</f>
        <v/>
      </c>
      <c r="F132" s="148" t="str">
        <f>IF(B132="","",RTD("cqg.rtd",,"ContractData",A132,"LastTradeToday",,"T"))</f>
        <v/>
      </c>
      <c r="G132" s="148" t="str">
        <f>IF(B132="","",RTD("cqg.rtd",,"ContractData",A132,"NetLastTradeToday",,"T"))</f>
        <v/>
      </c>
      <c r="H132" s="151" t="str">
        <f>IF(F132="","",MOD(RTD("cqg.rtd", ,"ContractData",A132, "DTLastTrade",, "T"),1))</f>
        <v/>
      </c>
      <c r="I132" s="277"/>
      <c r="J132" s="150" t="str">
        <f>IF(RTD("cqg.rtd", ,"ContractData",A132, "MT_LastBidVolume",, "T")=0,"",RTD("cqg.rtd", ,"ContractData",A132, "MT_LastBidVolume",, "T"))</f>
        <v/>
      </c>
      <c r="K132" s="145" t="str">
        <f>RTD("cqg.rtd", ,"ContractData",A132, "Bid",, "T")</f>
        <v/>
      </c>
      <c r="L132" s="145"/>
      <c r="M132" s="145" t="str">
        <f>RTD("cqg.rtd", ,"ContractData",A132, "Ask",, "T")</f>
        <v/>
      </c>
      <c r="N132" s="150" t="str">
        <f>IF(RTD("cqg.rtd", ,"ContractData",A132, "MT_LastAskVolume",, "T")=0,"",RTD("cqg.rtd", ,"ContractData",A132, "MT_LastAskVolume",, "T"))</f>
        <v/>
      </c>
      <c r="O132" s="149">
        <f t="shared" si="16"/>
        <v>0</v>
      </c>
      <c r="P132" s="148" t="str">
        <f>IF(B132="","",RTD("cqg.rtd",,"ContractData",A132,"Open",,"T"))</f>
        <v/>
      </c>
      <c r="Q132" s="148" t="str">
        <f>IF(B132="","",RTD("cqg.rtd",,"ContractData",A132,"High",,"T"))</f>
        <v/>
      </c>
      <c r="R132" s="148" t="str">
        <f>IF(B132="","",RTD("cqg.rtd",,"ContractData",A132,"Low",,"T"))</f>
        <v/>
      </c>
      <c r="S132" s="147" t="str">
        <f>IF(RTD("cqg.rtd", ,"ContractData",A132, "T_CVol",, "T")=0,"",RTD("cqg.rtd", ,"ContractData",A132, "T_CVol",, "T"))</f>
        <v/>
      </c>
      <c r="T132" s="147" t="str">
        <f>IF(RTD("cqg.rtd", ,"ContractData",A132, "Y_CVol",, "T")=0,"",RTD("cqg.rtd", ,"ContractData",A132, "Y_CVol",, "T"))</f>
        <v/>
      </c>
      <c r="U132" s="147" t="str">
        <f t="shared" si="17"/>
        <v/>
      </c>
      <c r="V132" s="147" t="str">
        <f>IF(RTD("cqg.rtd",,"StudyData",A132, "OI", "OIType=Contract", "OI","D","-1","ALL",,,"TRUE","T")=0,"",RTD("cqg.rtd",,"StudyData",A132, "OI", "OIType=Contract", "OI","D","-1","ALL",,,"TRUE","T"))</f>
        <v/>
      </c>
      <c r="W132" s="147" t="str">
        <f>IF(RTD("cqg.rtd",,"StudyData",A132, "OI", "OIType=Contract", "OI","D","-2","ALL",,,"TRUE","T")=0,"",RTD("cqg.rtd",,"StudyData",A132, "OI", "OIType=Contract", "OI","D","-2","ALL",,,"TRUE","T"))</f>
        <v/>
      </c>
      <c r="X132" s="146" t="str">
        <f t="shared" si="18"/>
        <v/>
      </c>
      <c r="Y132" s="145" t="str">
        <f>RTD("cqg.rtd", ,"ContractData",A132, "T_Settlement",, "T")</f>
        <v/>
      </c>
      <c r="Z132" s="145">
        <f>RTD("cqg.rtd", ,"ContractData",A132, "Y_Settlement",, "T")</f>
        <v>3.2930000000000001</v>
      </c>
      <c r="AA132" s="144">
        <f>RTD("cqg.rtd", ,"ContractData",A132, "ExpirationDate",, "T")</f>
        <v>46808</v>
      </c>
      <c r="AB132" s="143" t="str">
        <f>RIGHT(RTD("cqg.rtd", ,"ContractData",A132, "LongDescription",, "T"),6)</f>
        <v>Mar 28</v>
      </c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  <c r="AM132" s="124"/>
    </row>
    <row r="133" spans="1:39" x14ac:dyDescent="0.3">
      <c r="A133" s="123" t="s">
        <v>65</v>
      </c>
      <c r="B133" s="154" t="str">
        <f>RIGHT(RTD("cqg.rtd", ,"ContractData",A133, "LongDescription",, "T"),6)</f>
        <v>Apr 28</v>
      </c>
      <c r="C133" s="153">
        <f t="shared" si="19"/>
        <v>12</v>
      </c>
      <c r="D133" s="153">
        <f t="shared" si="15"/>
        <v>1</v>
      </c>
      <c r="E133" s="152" t="str">
        <f>IF(B133="","",RTD("cqg.rtd",,"ContractData",A133,"NetLastTradeToday",,"T"))</f>
        <v/>
      </c>
      <c r="F133" s="148" t="str">
        <f>IF(B133="","",RTD("cqg.rtd",,"ContractData",A133,"LastTradeToday",,"T"))</f>
        <v/>
      </c>
      <c r="G133" s="148" t="str">
        <f>IF(B133="","",RTD("cqg.rtd",,"ContractData",A133,"NetLastTradeToday",,"T"))</f>
        <v/>
      </c>
      <c r="H133" s="151" t="str">
        <f>IF(F133="","",MOD(RTD("cqg.rtd", ,"ContractData",A133, "DTLastTrade",, "T"),1))</f>
        <v/>
      </c>
      <c r="I133" s="277"/>
      <c r="J133" s="150" t="str">
        <f>IF(RTD("cqg.rtd", ,"ContractData",A133, "MT_LastBidVolume",, "T")=0,"",RTD("cqg.rtd", ,"ContractData",A133, "MT_LastBidVolume",, "T"))</f>
        <v/>
      </c>
      <c r="K133" s="145" t="str">
        <f>RTD("cqg.rtd", ,"ContractData",A133, "Bid",, "T")</f>
        <v/>
      </c>
      <c r="L133" s="145"/>
      <c r="M133" s="145" t="str">
        <f>RTD("cqg.rtd", ,"ContractData",A133, "Ask",, "T")</f>
        <v/>
      </c>
      <c r="N133" s="150" t="str">
        <f>IF(RTD("cqg.rtd", ,"ContractData",A133, "MT_LastAskVolume",, "T")=0,"",RTD("cqg.rtd", ,"ContractData",A133, "MT_LastAskVolume",, "T"))</f>
        <v/>
      </c>
      <c r="O133" s="149">
        <f t="shared" si="16"/>
        <v>0</v>
      </c>
      <c r="P133" s="148" t="str">
        <f>IF(B133="","",RTD("cqg.rtd",,"ContractData",A133,"Open",,"T"))</f>
        <v/>
      </c>
      <c r="Q133" s="148" t="str">
        <f>IF(B133="","",RTD("cqg.rtd",,"ContractData",A133,"High",,"T"))</f>
        <v/>
      </c>
      <c r="R133" s="148" t="str">
        <f>IF(B133="","",RTD("cqg.rtd",,"ContractData",A133,"Low",,"T"))</f>
        <v/>
      </c>
      <c r="S133" s="147" t="str">
        <f>IF(RTD("cqg.rtd", ,"ContractData",A133, "T_CVol",, "T")=0,"",RTD("cqg.rtd", ,"ContractData",A133, "T_CVol",, "T"))</f>
        <v/>
      </c>
      <c r="T133" s="147" t="str">
        <f>IF(RTD("cqg.rtd", ,"ContractData",A133, "Y_CVol",, "T")=0,"",RTD("cqg.rtd", ,"ContractData",A133, "Y_CVol",, "T"))</f>
        <v/>
      </c>
      <c r="U133" s="147" t="str">
        <f t="shared" si="17"/>
        <v/>
      </c>
      <c r="V133" s="147" t="str">
        <f>IF(RTD("cqg.rtd",,"StudyData",A133, "OI", "OIType=Contract", "OI","D","-1","ALL",,,"TRUE","T")=0,"",RTD("cqg.rtd",,"StudyData",A133, "OI", "OIType=Contract", "OI","D","-1","ALL",,,"TRUE","T"))</f>
        <v/>
      </c>
      <c r="W133" s="147" t="str">
        <f>IF(RTD("cqg.rtd",,"StudyData",A133, "OI", "OIType=Contract", "OI","D","-2","ALL",,,"TRUE","T")=0,"",RTD("cqg.rtd",,"StudyData",A133, "OI", "OIType=Contract", "OI","D","-2","ALL",,,"TRUE","T"))</f>
        <v/>
      </c>
      <c r="X133" s="146" t="str">
        <f t="shared" si="18"/>
        <v/>
      </c>
      <c r="Y133" s="145" t="str">
        <f>RTD("cqg.rtd", ,"ContractData",A133, "T_Settlement",, "T")</f>
        <v/>
      </c>
      <c r="Z133" s="145">
        <f>RTD("cqg.rtd", ,"ContractData",A133, "Y_Settlement",, "T")</f>
        <v>2.9580000000000002</v>
      </c>
      <c r="AA133" s="144">
        <f>RTD("cqg.rtd", ,"ContractData",A133, "ExpirationDate",, "T")</f>
        <v>46841</v>
      </c>
      <c r="AB133" s="143" t="str">
        <f>RIGHT(RTD("cqg.rtd", ,"ContractData",A133, "LongDescription",, "T"),6)</f>
        <v>Apr 28</v>
      </c>
      <c r="AC133" s="124"/>
      <c r="AD133" s="124"/>
      <c r="AE133" s="124"/>
      <c r="AF133" s="124"/>
      <c r="AG133" s="124"/>
      <c r="AH133" s="124"/>
      <c r="AI133" s="124"/>
      <c r="AJ133" s="124"/>
      <c r="AK133" s="124"/>
      <c r="AL133" s="124"/>
      <c r="AM133" s="124"/>
    </row>
    <row r="134" spans="1:39" x14ac:dyDescent="0.3">
      <c r="A134" s="123" t="s">
        <v>64</v>
      </c>
      <c r="B134" s="154" t="str">
        <f>RIGHT(RTD("cqg.rtd", ,"ContractData",A134, "LongDescription",, "T"),6)</f>
        <v>May 28</v>
      </c>
      <c r="C134" s="153">
        <f t="shared" si="19"/>
        <v>12</v>
      </c>
      <c r="D134" s="153">
        <f t="shared" si="15"/>
        <v>1</v>
      </c>
      <c r="E134" s="152" t="str">
        <f>IF(B134="","",RTD("cqg.rtd",,"ContractData",A134,"NetLastTradeToday",,"T"))</f>
        <v/>
      </c>
      <c r="F134" s="148" t="str">
        <f>IF(B134="","",RTD("cqg.rtd",,"ContractData",A134,"LastTradeToday",,"T"))</f>
        <v/>
      </c>
      <c r="G134" s="148" t="str">
        <f>IF(B134="","",RTD("cqg.rtd",,"ContractData",A134,"NetLastTradeToday",,"T"))</f>
        <v/>
      </c>
      <c r="H134" s="151" t="str">
        <f>IF(F134="","",MOD(RTD("cqg.rtd", ,"ContractData",A134, "DTLastTrade",, "T"),1))</f>
        <v/>
      </c>
      <c r="I134" s="277"/>
      <c r="J134" s="150" t="str">
        <f>IF(RTD("cqg.rtd", ,"ContractData",A134, "MT_LastBidVolume",, "T")=0,"",RTD("cqg.rtd", ,"ContractData",A134, "MT_LastBidVolume",, "T"))</f>
        <v/>
      </c>
      <c r="K134" s="145" t="str">
        <f>RTD("cqg.rtd", ,"ContractData",A134, "Bid",, "T")</f>
        <v/>
      </c>
      <c r="L134" s="145"/>
      <c r="M134" s="145" t="str">
        <f>RTD("cqg.rtd", ,"ContractData",A134, "Ask",, "T")</f>
        <v/>
      </c>
      <c r="N134" s="150" t="str">
        <f>IF(RTD("cqg.rtd", ,"ContractData",A134, "MT_LastAskVolume",, "T")=0,"",RTD("cqg.rtd", ,"ContractData",A134, "MT_LastAskVolume",, "T"))</f>
        <v/>
      </c>
      <c r="O134" s="149">
        <f t="shared" si="16"/>
        <v>0</v>
      </c>
      <c r="P134" s="148" t="str">
        <f>IF(B134="","",RTD("cqg.rtd",,"ContractData",A134,"Open",,"T"))</f>
        <v/>
      </c>
      <c r="Q134" s="148" t="str">
        <f>IF(B134="","",RTD("cqg.rtd",,"ContractData",A134,"High",,"T"))</f>
        <v/>
      </c>
      <c r="R134" s="148" t="str">
        <f>IF(B134="","",RTD("cqg.rtd",,"ContractData",A134,"Low",,"T"))</f>
        <v/>
      </c>
      <c r="S134" s="147" t="str">
        <f>IF(RTD("cqg.rtd", ,"ContractData",A134, "T_CVol",, "T")=0,"",RTD("cqg.rtd", ,"ContractData",A134, "T_CVol",, "T"))</f>
        <v/>
      </c>
      <c r="T134" s="147" t="str">
        <f>IF(RTD("cqg.rtd", ,"ContractData",A134, "Y_CVol",, "T")=0,"",RTD("cqg.rtd", ,"ContractData",A134, "Y_CVol",, "T"))</f>
        <v/>
      </c>
      <c r="U134" s="147" t="str">
        <f t="shared" si="17"/>
        <v/>
      </c>
      <c r="V134" s="147" t="str">
        <f>IF(RTD("cqg.rtd",,"StudyData",A134, "OI", "OIType=Contract", "OI","D","-1","ALL",,,"TRUE","T")=0,"",RTD("cqg.rtd",,"StudyData",A134, "OI", "OIType=Contract", "OI","D","-1","ALL",,,"TRUE","T"))</f>
        <v/>
      </c>
      <c r="W134" s="147" t="str">
        <f>IF(RTD("cqg.rtd",,"StudyData",A134, "OI", "OIType=Contract", "OI","D","-2","ALL",,,"TRUE","T")=0,"",RTD("cqg.rtd",,"StudyData",A134, "OI", "OIType=Contract", "OI","D","-2","ALL",,,"TRUE","T"))</f>
        <v/>
      </c>
      <c r="X134" s="146" t="str">
        <f t="shared" si="18"/>
        <v/>
      </c>
      <c r="Y134" s="145" t="str">
        <f>RTD("cqg.rtd", ,"ContractData",A134, "T_Settlement",, "T")</f>
        <v/>
      </c>
      <c r="Z134" s="145">
        <f>RTD("cqg.rtd", ,"ContractData",A134, "Y_Settlement",, "T")</f>
        <v>2.9430000000000001</v>
      </c>
      <c r="AA134" s="144">
        <f>RTD("cqg.rtd", ,"ContractData",A134, "ExpirationDate",, "T")</f>
        <v>46869</v>
      </c>
      <c r="AB134" s="143" t="str">
        <f>RIGHT(RTD("cqg.rtd", ,"ContractData",A134, "LongDescription",, "T"),6)</f>
        <v>May 28</v>
      </c>
      <c r="AC134" s="124"/>
      <c r="AD134" s="124"/>
      <c r="AE134" s="124"/>
      <c r="AF134" s="124"/>
      <c r="AG134" s="124"/>
      <c r="AH134" s="124"/>
      <c r="AI134" s="124"/>
      <c r="AJ134" s="124"/>
      <c r="AK134" s="124"/>
      <c r="AL134" s="124"/>
      <c r="AM134" s="124"/>
    </row>
    <row r="135" spans="1:39" x14ac:dyDescent="0.3">
      <c r="A135" s="123" t="s">
        <v>63</v>
      </c>
      <c r="B135" s="154" t="str">
        <f>RIGHT(RTD("cqg.rtd", ,"ContractData",A135, "LongDescription",, "T"),6)</f>
        <v>Jun 28</v>
      </c>
      <c r="C135" s="153">
        <f t="shared" si="19"/>
        <v>12</v>
      </c>
      <c r="D135" s="153">
        <f t="shared" si="15"/>
        <v>1</v>
      </c>
      <c r="E135" s="152" t="str">
        <f>IF(B135="","",RTD("cqg.rtd",,"ContractData",A135,"NetLastTradeToday",,"T"))</f>
        <v/>
      </c>
      <c r="F135" s="148" t="str">
        <f>IF(B135="","",RTD("cqg.rtd",,"ContractData",A135,"LastTradeToday",,"T"))</f>
        <v/>
      </c>
      <c r="G135" s="148" t="str">
        <f>IF(B135="","",RTD("cqg.rtd",,"ContractData",A135,"NetLastTradeToday",,"T"))</f>
        <v/>
      </c>
      <c r="H135" s="151" t="str">
        <f>IF(F135="","",MOD(RTD("cqg.rtd", ,"ContractData",A135, "DTLastTrade",, "T"),1))</f>
        <v/>
      </c>
      <c r="I135" s="277"/>
      <c r="J135" s="150" t="str">
        <f>IF(RTD("cqg.rtd", ,"ContractData",A135, "MT_LastBidVolume",, "T")=0,"",RTD("cqg.rtd", ,"ContractData",A135, "MT_LastBidVolume",, "T"))</f>
        <v/>
      </c>
      <c r="K135" s="145" t="str">
        <f>RTD("cqg.rtd", ,"ContractData",A135, "Bid",, "T")</f>
        <v/>
      </c>
      <c r="L135" s="145"/>
      <c r="M135" s="145" t="str">
        <f>RTD("cqg.rtd", ,"ContractData",A135, "Ask",, "T")</f>
        <v/>
      </c>
      <c r="N135" s="150" t="str">
        <f>IF(RTD("cqg.rtd", ,"ContractData",A135, "MT_LastAskVolume",, "T")=0,"",RTD("cqg.rtd", ,"ContractData",A135, "MT_LastAskVolume",, "T"))</f>
        <v/>
      </c>
      <c r="O135" s="149">
        <f t="shared" si="16"/>
        <v>0</v>
      </c>
      <c r="P135" s="148" t="str">
        <f>IF(B135="","",RTD("cqg.rtd",,"ContractData",A135,"Open",,"T"))</f>
        <v/>
      </c>
      <c r="Q135" s="148" t="str">
        <f>IF(B135="","",RTD("cqg.rtd",,"ContractData",A135,"High",,"T"))</f>
        <v/>
      </c>
      <c r="R135" s="148" t="str">
        <f>IF(B135="","",RTD("cqg.rtd",,"ContractData",A135,"Low",,"T"))</f>
        <v/>
      </c>
      <c r="S135" s="147" t="str">
        <f>IF(RTD("cqg.rtd", ,"ContractData",A135, "T_CVol",, "T")=0,"",RTD("cqg.rtd", ,"ContractData",A135, "T_CVol",, "T"))</f>
        <v/>
      </c>
      <c r="T135" s="147" t="str">
        <f>IF(RTD("cqg.rtd", ,"ContractData",A135, "Y_CVol",, "T")=0,"",RTD("cqg.rtd", ,"ContractData",A135, "Y_CVol",, "T"))</f>
        <v/>
      </c>
      <c r="U135" s="147" t="str">
        <f t="shared" si="17"/>
        <v/>
      </c>
      <c r="V135" s="147" t="str">
        <f>IF(RTD("cqg.rtd",,"StudyData",A135, "OI", "OIType=Contract", "OI","D","-1","ALL",,,"TRUE","T")=0,"",RTD("cqg.rtd",,"StudyData",A135, "OI", "OIType=Contract", "OI","D","-1","ALL",,,"TRUE","T"))</f>
        <v/>
      </c>
      <c r="W135" s="147" t="str">
        <f>IF(RTD("cqg.rtd",,"StudyData",A135, "OI", "OIType=Contract", "OI","D","-2","ALL",,,"TRUE","T")=0,"",RTD("cqg.rtd",,"StudyData",A135, "OI", "OIType=Contract", "OI","D","-2","ALL",,,"TRUE","T"))</f>
        <v/>
      </c>
      <c r="X135" s="146" t="str">
        <f t="shared" si="18"/>
        <v/>
      </c>
      <c r="Y135" s="145" t="str">
        <f>RTD("cqg.rtd", ,"ContractData",A135, "T_Settlement",, "T")</f>
        <v/>
      </c>
      <c r="Z135" s="145">
        <f>RTD("cqg.rtd", ,"ContractData",A135, "Y_Settlement",, "T")</f>
        <v>2.9780000000000002</v>
      </c>
      <c r="AA135" s="144">
        <f>RTD("cqg.rtd", ,"ContractData",A135, "ExpirationDate",, "T")</f>
        <v>46902</v>
      </c>
      <c r="AB135" s="143" t="str">
        <f>RIGHT(RTD("cqg.rtd", ,"ContractData",A135, "LongDescription",, "T"),6)</f>
        <v>Jun 28</v>
      </c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</row>
    <row r="136" spans="1:39" x14ac:dyDescent="0.3">
      <c r="A136" s="123" t="s">
        <v>62</v>
      </c>
      <c r="B136" s="154" t="str">
        <f>RIGHT(RTD("cqg.rtd", ,"ContractData",A136, "LongDescription",, "T"),6)</f>
        <v>Jul 28</v>
      </c>
      <c r="C136" s="153">
        <f t="shared" si="19"/>
        <v>12</v>
      </c>
      <c r="D136" s="153">
        <f t="shared" ref="D136:D154" si="20">IF(ISEVEN(C136),1,0)</f>
        <v>1</v>
      </c>
      <c r="E136" s="152" t="str">
        <f>IF(B136="","",RTD("cqg.rtd",,"ContractData",A136,"NetLastTradeToday",,"T"))</f>
        <v/>
      </c>
      <c r="F136" s="148" t="str">
        <f>IF(B136="","",RTD("cqg.rtd",,"ContractData",A136,"LastTradeToday",,"T"))</f>
        <v/>
      </c>
      <c r="G136" s="148" t="str">
        <f>IF(B136="","",RTD("cqg.rtd",,"ContractData",A136,"NetLastTradeToday",,"T"))</f>
        <v/>
      </c>
      <c r="H136" s="151" t="str">
        <f>IF(F136="","",MOD(RTD("cqg.rtd", ,"ContractData",A136, "DTLastTrade",, "T"),1))</f>
        <v/>
      </c>
      <c r="I136" s="277"/>
      <c r="J136" s="150" t="str">
        <f>IF(RTD("cqg.rtd", ,"ContractData",A136, "MT_LastBidVolume",, "T")=0,"",RTD("cqg.rtd", ,"ContractData",A136, "MT_LastBidVolume",, "T"))</f>
        <v/>
      </c>
      <c r="K136" s="145" t="str">
        <f>RTD("cqg.rtd", ,"ContractData",A136, "Bid",, "T")</f>
        <v/>
      </c>
      <c r="L136" s="145"/>
      <c r="M136" s="145" t="str">
        <f>RTD("cqg.rtd", ,"ContractData",A136, "Ask",, "T")</f>
        <v/>
      </c>
      <c r="N136" s="150" t="str">
        <f>IF(RTD("cqg.rtd", ,"ContractData",A136, "MT_LastAskVolume",, "T")=0,"",RTD("cqg.rtd", ,"ContractData",A136, "MT_LastAskVolume",, "T"))</f>
        <v/>
      </c>
      <c r="O136" s="149">
        <f t="shared" ref="O136:O154" si="21">IF(F136="",0,IF(F136=P136,1,IF(Q136-F136&lt;=0.001,2,IF(F136-R136&lt;=0.001,3))))</f>
        <v>0</v>
      </c>
      <c r="P136" s="148" t="str">
        <f>IF(B136="","",RTD("cqg.rtd",,"ContractData",A136,"Open",,"T"))</f>
        <v/>
      </c>
      <c r="Q136" s="148" t="str">
        <f>IF(B136="","",RTD("cqg.rtd",,"ContractData",A136,"High",,"T"))</f>
        <v/>
      </c>
      <c r="R136" s="148" t="str">
        <f>IF(B136="","",RTD("cqg.rtd",,"ContractData",A136,"Low",,"T"))</f>
        <v/>
      </c>
      <c r="S136" s="147" t="str">
        <f>IF(RTD("cqg.rtd", ,"ContractData",A136, "T_CVol",, "T")=0,"",RTD("cqg.rtd", ,"ContractData",A136, "T_CVol",, "T"))</f>
        <v/>
      </c>
      <c r="T136" s="147" t="str">
        <f>IF(RTD("cqg.rtd", ,"ContractData",A136, "Y_CVol",, "T")=0,"",RTD("cqg.rtd", ,"ContractData",A136, "Y_CVol",, "T"))</f>
        <v/>
      </c>
      <c r="U136" s="147" t="str">
        <f t="shared" ref="U136:U154" si="22">IFERROR(IF(S136-T136=0,"",S136-T136),"")</f>
        <v/>
      </c>
      <c r="V136" s="147" t="str">
        <f>IF(RTD("cqg.rtd",,"StudyData",A136, "OI", "OIType=Contract", "OI","D","-1","ALL",,,"TRUE","T")=0,"",RTD("cqg.rtd",,"StudyData",A136, "OI", "OIType=Contract", "OI","D","-1","ALL",,,"TRUE","T"))</f>
        <v/>
      </c>
      <c r="W136" s="147" t="str">
        <f>IF(RTD("cqg.rtd",,"StudyData",A136, "OI", "OIType=Contract", "OI","D","-2","ALL",,,"TRUE","T")=0,"",RTD("cqg.rtd",,"StudyData",A136, "OI", "OIType=Contract", "OI","D","-2","ALL",,,"TRUE","T"))</f>
        <v/>
      </c>
      <c r="X136" s="146" t="str">
        <f t="shared" ref="X136:X154" si="23">IFERROR(IF(V136-W136=0,"",V136-W136),"")</f>
        <v/>
      </c>
      <c r="Y136" s="145" t="str">
        <f>RTD("cqg.rtd", ,"ContractData",A136, "T_Settlement",, "T")</f>
        <v/>
      </c>
      <c r="Z136" s="145">
        <f>RTD("cqg.rtd", ,"ContractData",A136, "Y_Settlement",, "T")</f>
        <v>3.0230000000000001</v>
      </c>
      <c r="AA136" s="144">
        <f>RTD("cqg.rtd", ,"ContractData",A136, "ExpirationDate",, "T")</f>
        <v>46932</v>
      </c>
      <c r="AB136" s="143" t="str">
        <f>RIGHT(RTD("cqg.rtd", ,"ContractData",A136, "LongDescription",, "T"),6)</f>
        <v>Jul 28</v>
      </c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</row>
    <row r="137" spans="1:39" x14ac:dyDescent="0.3">
      <c r="A137" s="123" t="s">
        <v>61</v>
      </c>
      <c r="B137" s="154" t="str">
        <f>RIGHT(RTD("cqg.rtd", ,"ContractData",A137, "LongDescription",, "T"),6)</f>
        <v>Aug 28</v>
      </c>
      <c r="C137" s="153">
        <f t="shared" ref="C137:C154" si="24">IF(RIGHT(B137,1)=RIGHT(B136,1),C136,C136+1)</f>
        <v>12</v>
      </c>
      <c r="D137" s="153">
        <f t="shared" si="20"/>
        <v>1</v>
      </c>
      <c r="E137" s="152" t="str">
        <f>IF(B137="","",RTD("cqg.rtd",,"ContractData",A137,"NetLastTradeToday",,"T"))</f>
        <v/>
      </c>
      <c r="F137" s="148" t="str">
        <f>IF(B137="","",RTD("cqg.rtd",,"ContractData",A137,"LastTradeToday",,"T"))</f>
        <v/>
      </c>
      <c r="G137" s="148" t="str">
        <f>IF(B137="","",RTD("cqg.rtd",,"ContractData",A137,"NetLastTradeToday",,"T"))</f>
        <v/>
      </c>
      <c r="H137" s="151" t="str">
        <f>IF(F137="","",MOD(RTD("cqg.rtd", ,"ContractData",A137, "DTLastTrade",, "T"),1))</f>
        <v/>
      </c>
      <c r="I137" s="277"/>
      <c r="J137" s="150" t="str">
        <f>IF(RTD("cqg.rtd", ,"ContractData",A137, "MT_LastBidVolume",, "T")=0,"",RTD("cqg.rtd", ,"ContractData",A137, "MT_LastBidVolume",, "T"))</f>
        <v/>
      </c>
      <c r="K137" s="145" t="str">
        <f>RTD("cqg.rtd", ,"ContractData",A137, "Bid",, "T")</f>
        <v/>
      </c>
      <c r="L137" s="145"/>
      <c r="M137" s="145" t="str">
        <f>RTD("cqg.rtd", ,"ContractData",A137, "Ask",, "T")</f>
        <v/>
      </c>
      <c r="N137" s="150" t="str">
        <f>IF(RTD("cqg.rtd", ,"ContractData",A137, "MT_LastAskVolume",, "T")=0,"",RTD("cqg.rtd", ,"ContractData",A137, "MT_LastAskVolume",, "T"))</f>
        <v/>
      </c>
      <c r="O137" s="149">
        <f t="shared" si="21"/>
        <v>0</v>
      </c>
      <c r="P137" s="148" t="str">
        <f>IF(B137="","",RTD("cqg.rtd",,"ContractData",A137,"Open",,"T"))</f>
        <v/>
      </c>
      <c r="Q137" s="148" t="str">
        <f>IF(B137="","",RTD("cqg.rtd",,"ContractData",A137,"High",,"T"))</f>
        <v/>
      </c>
      <c r="R137" s="148" t="str">
        <f>IF(B137="","",RTD("cqg.rtd",,"ContractData",A137,"Low",,"T"))</f>
        <v/>
      </c>
      <c r="S137" s="147" t="str">
        <f>IF(RTD("cqg.rtd", ,"ContractData",A137, "T_CVol",, "T")=0,"",RTD("cqg.rtd", ,"ContractData",A137, "T_CVol",, "T"))</f>
        <v/>
      </c>
      <c r="T137" s="147" t="str">
        <f>IF(RTD("cqg.rtd", ,"ContractData",A137, "Y_CVol",, "T")=0,"",RTD("cqg.rtd", ,"ContractData",A137, "Y_CVol",, "T"))</f>
        <v/>
      </c>
      <c r="U137" s="147" t="str">
        <f t="shared" si="22"/>
        <v/>
      </c>
      <c r="V137" s="147" t="str">
        <f>IF(RTD("cqg.rtd",,"StudyData",A137, "OI", "OIType=Contract", "OI","D","-1","ALL",,,"TRUE","T")=0,"",RTD("cqg.rtd",,"StudyData",A137, "OI", "OIType=Contract", "OI","D","-1","ALL",,,"TRUE","T"))</f>
        <v/>
      </c>
      <c r="W137" s="147" t="str">
        <f>IF(RTD("cqg.rtd",,"StudyData",A137, "OI", "OIType=Contract", "OI","D","-2","ALL",,,"TRUE","T")=0,"",RTD("cqg.rtd",,"StudyData",A137, "OI", "OIType=Contract", "OI","D","-2","ALL",,,"TRUE","T"))</f>
        <v/>
      </c>
      <c r="X137" s="146" t="str">
        <f t="shared" si="23"/>
        <v/>
      </c>
      <c r="Y137" s="145" t="str">
        <f>RTD("cqg.rtd", ,"ContractData",A137, "T_Settlement",, "T")</f>
        <v/>
      </c>
      <c r="Z137" s="145">
        <f>RTD("cqg.rtd", ,"ContractData",A137, "Y_Settlement",, "T")</f>
        <v>3.0630000000000002</v>
      </c>
      <c r="AA137" s="144">
        <f>RTD("cqg.rtd", ,"ContractData",A137, "ExpirationDate",, "T")</f>
        <v>46961</v>
      </c>
      <c r="AB137" s="143" t="str">
        <f>RIGHT(RTD("cqg.rtd", ,"ContractData",A137, "LongDescription",, "T"),6)</f>
        <v>Aug 28</v>
      </c>
      <c r="AC137" s="124"/>
      <c r="AD137" s="124"/>
      <c r="AE137" s="124"/>
      <c r="AF137" s="124"/>
      <c r="AG137" s="124"/>
      <c r="AH137" s="124"/>
      <c r="AI137" s="124"/>
      <c r="AJ137" s="124"/>
      <c r="AK137" s="124"/>
      <c r="AL137" s="124"/>
      <c r="AM137" s="124"/>
    </row>
    <row r="138" spans="1:39" x14ac:dyDescent="0.3">
      <c r="A138" s="123" t="s">
        <v>60</v>
      </c>
      <c r="B138" s="154" t="str">
        <f>RIGHT(RTD("cqg.rtd", ,"ContractData",A138, "LongDescription",, "T"),6)</f>
        <v>Sep 28</v>
      </c>
      <c r="C138" s="153">
        <f t="shared" si="24"/>
        <v>12</v>
      </c>
      <c r="D138" s="153">
        <f t="shared" si="20"/>
        <v>1</v>
      </c>
      <c r="E138" s="152" t="str">
        <f>IF(B138="","",RTD("cqg.rtd",,"ContractData",A138,"NetLastTradeToday",,"T"))</f>
        <v/>
      </c>
      <c r="F138" s="148" t="str">
        <f>IF(B138="","",RTD("cqg.rtd",,"ContractData",A138,"LastTradeToday",,"T"))</f>
        <v/>
      </c>
      <c r="G138" s="148" t="str">
        <f>IF(B138="","",RTD("cqg.rtd",,"ContractData",A138,"NetLastTradeToday",,"T"))</f>
        <v/>
      </c>
      <c r="H138" s="151" t="str">
        <f>IF(F138="","",MOD(RTD("cqg.rtd", ,"ContractData",A138, "DTLastTrade",, "T"),1))</f>
        <v/>
      </c>
      <c r="I138" s="277"/>
      <c r="J138" s="150" t="str">
        <f>IF(RTD("cqg.rtd", ,"ContractData",A138, "MT_LastBidVolume",, "T")=0,"",RTD("cqg.rtd", ,"ContractData",A138, "MT_LastBidVolume",, "T"))</f>
        <v/>
      </c>
      <c r="K138" s="145" t="str">
        <f>RTD("cqg.rtd", ,"ContractData",A138, "Bid",, "T")</f>
        <v/>
      </c>
      <c r="L138" s="145"/>
      <c r="M138" s="145" t="str">
        <f>RTD("cqg.rtd", ,"ContractData",A138, "Ask",, "T")</f>
        <v/>
      </c>
      <c r="N138" s="150" t="str">
        <f>IF(RTD("cqg.rtd", ,"ContractData",A138, "MT_LastAskVolume",, "T")=0,"",RTD("cqg.rtd", ,"ContractData",A138, "MT_LastAskVolume",, "T"))</f>
        <v/>
      </c>
      <c r="O138" s="149">
        <f t="shared" si="21"/>
        <v>0</v>
      </c>
      <c r="P138" s="148" t="str">
        <f>IF(B138="","",RTD("cqg.rtd",,"ContractData",A138,"Open",,"T"))</f>
        <v/>
      </c>
      <c r="Q138" s="148" t="str">
        <f>IF(B138="","",RTD("cqg.rtd",,"ContractData",A138,"High",,"T"))</f>
        <v/>
      </c>
      <c r="R138" s="148" t="str">
        <f>IF(B138="","",RTD("cqg.rtd",,"ContractData",A138,"Low",,"T"))</f>
        <v/>
      </c>
      <c r="S138" s="147" t="str">
        <f>IF(RTD("cqg.rtd", ,"ContractData",A138, "T_CVol",, "T")=0,"",RTD("cqg.rtd", ,"ContractData",A138, "T_CVol",, "T"))</f>
        <v/>
      </c>
      <c r="T138" s="147" t="str">
        <f>IF(RTD("cqg.rtd", ,"ContractData",A138, "Y_CVol",, "T")=0,"",RTD("cqg.rtd", ,"ContractData",A138, "Y_CVol",, "T"))</f>
        <v/>
      </c>
      <c r="U138" s="147" t="str">
        <f t="shared" si="22"/>
        <v/>
      </c>
      <c r="V138" s="147" t="str">
        <f>IF(RTD("cqg.rtd",,"StudyData",A138, "OI", "OIType=Contract", "OI","D","-1","ALL",,,"TRUE","T")=0,"",RTD("cqg.rtd",,"StudyData",A138, "OI", "OIType=Contract", "OI","D","-1","ALL",,,"TRUE","T"))</f>
        <v/>
      </c>
      <c r="W138" s="147" t="str">
        <f>IF(RTD("cqg.rtd",,"StudyData",A138, "OI", "OIType=Contract", "OI","D","-2","ALL",,,"TRUE","T")=0,"",RTD("cqg.rtd",,"StudyData",A138, "OI", "OIType=Contract", "OI","D","-2","ALL",,,"TRUE","T"))</f>
        <v/>
      </c>
      <c r="X138" s="146" t="str">
        <f t="shared" si="23"/>
        <v/>
      </c>
      <c r="Y138" s="145" t="str">
        <f>RTD("cqg.rtd", ,"ContractData",A138, "T_Settlement",, "T")</f>
        <v/>
      </c>
      <c r="Z138" s="145">
        <f>RTD("cqg.rtd", ,"ContractData",A138, "Y_Settlement",, "T")</f>
        <v>3.0779999999999998</v>
      </c>
      <c r="AA138" s="144">
        <f>RTD("cqg.rtd", ,"ContractData",A138, "ExpirationDate",, "T")</f>
        <v>46994</v>
      </c>
      <c r="AB138" s="143" t="str">
        <f>RIGHT(RTD("cqg.rtd", ,"ContractData",A138, "LongDescription",, "T"),6)</f>
        <v>Sep 28</v>
      </c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  <c r="AM138" s="124"/>
    </row>
    <row r="139" spans="1:39" x14ac:dyDescent="0.3">
      <c r="A139" s="123" t="s">
        <v>59</v>
      </c>
      <c r="B139" s="154" t="str">
        <f>RIGHT(RTD("cqg.rtd", ,"ContractData",A139, "LongDescription",, "T"),6)</f>
        <v>Oct 28</v>
      </c>
      <c r="C139" s="153">
        <f t="shared" si="24"/>
        <v>12</v>
      </c>
      <c r="D139" s="153">
        <f t="shared" si="20"/>
        <v>1</v>
      </c>
      <c r="E139" s="152" t="str">
        <f>IF(B139="","",RTD("cqg.rtd",,"ContractData",A139,"NetLastTradeToday",,"T"))</f>
        <v/>
      </c>
      <c r="F139" s="148" t="str">
        <f>IF(B139="","",RTD("cqg.rtd",,"ContractData",A139,"LastTradeToday",,"T"))</f>
        <v/>
      </c>
      <c r="G139" s="148" t="str">
        <f>IF(B139="","",RTD("cqg.rtd",,"ContractData",A139,"NetLastTradeToday",,"T"))</f>
        <v/>
      </c>
      <c r="H139" s="151" t="str">
        <f>IF(F139="","",MOD(RTD("cqg.rtd", ,"ContractData",A139, "DTLastTrade",, "T"),1))</f>
        <v/>
      </c>
      <c r="I139" s="277"/>
      <c r="J139" s="150" t="str">
        <f>IF(RTD("cqg.rtd", ,"ContractData",A139, "MT_LastBidVolume",, "T")=0,"",RTD("cqg.rtd", ,"ContractData",A139, "MT_LastBidVolume",, "T"))</f>
        <v/>
      </c>
      <c r="K139" s="145" t="str">
        <f>RTD("cqg.rtd", ,"ContractData",A139, "Bid",, "T")</f>
        <v/>
      </c>
      <c r="L139" s="145"/>
      <c r="M139" s="145" t="str">
        <f>RTD("cqg.rtd", ,"ContractData",A139, "Ask",, "T")</f>
        <v/>
      </c>
      <c r="N139" s="150" t="str">
        <f>IF(RTD("cqg.rtd", ,"ContractData",A139, "MT_LastAskVolume",, "T")=0,"",RTD("cqg.rtd", ,"ContractData",A139, "MT_LastAskVolume",, "T"))</f>
        <v/>
      </c>
      <c r="O139" s="149">
        <f t="shared" si="21"/>
        <v>0</v>
      </c>
      <c r="P139" s="148" t="str">
        <f>IF(B139="","",RTD("cqg.rtd",,"ContractData",A139,"Open",,"T"))</f>
        <v/>
      </c>
      <c r="Q139" s="148" t="str">
        <f>IF(B139="","",RTD("cqg.rtd",,"ContractData",A139,"High",,"T"))</f>
        <v/>
      </c>
      <c r="R139" s="148" t="str">
        <f>IF(B139="","",RTD("cqg.rtd",,"ContractData",A139,"Low",,"T"))</f>
        <v/>
      </c>
      <c r="S139" s="147" t="str">
        <f>IF(RTD("cqg.rtd", ,"ContractData",A139, "T_CVol",, "T")=0,"",RTD("cqg.rtd", ,"ContractData",A139, "T_CVol",, "T"))</f>
        <v/>
      </c>
      <c r="T139" s="147" t="str">
        <f>IF(RTD("cqg.rtd", ,"ContractData",A139, "Y_CVol",, "T")=0,"",RTD("cqg.rtd", ,"ContractData",A139, "Y_CVol",, "T"))</f>
        <v/>
      </c>
      <c r="U139" s="147" t="str">
        <f t="shared" si="22"/>
        <v/>
      </c>
      <c r="V139" s="147" t="str">
        <f>IF(RTD("cqg.rtd",,"StudyData",A139, "OI", "OIType=Contract", "OI","D","-1","ALL",,,"TRUE","T")=0,"",RTD("cqg.rtd",,"StudyData",A139, "OI", "OIType=Contract", "OI","D","-1","ALL",,,"TRUE","T"))</f>
        <v/>
      </c>
      <c r="W139" s="147" t="str">
        <f>IF(RTD("cqg.rtd",,"StudyData",A139, "OI", "OIType=Contract", "OI","D","-2","ALL",,,"TRUE","T")=0,"",RTD("cqg.rtd",,"StudyData",A139, "OI", "OIType=Contract", "OI","D","-2","ALL",,,"TRUE","T"))</f>
        <v/>
      </c>
      <c r="X139" s="146" t="str">
        <f t="shared" si="23"/>
        <v/>
      </c>
      <c r="Y139" s="145" t="str">
        <f>RTD("cqg.rtd", ,"ContractData",A139, "T_Settlement",, "T")</f>
        <v/>
      </c>
      <c r="Z139" s="145">
        <f>RTD("cqg.rtd", ,"ContractData",A139, "Y_Settlement",, "T")</f>
        <v>3.133</v>
      </c>
      <c r="AA139" s="144">
        <f>RTD("cqg.rtd", ,"ContractData",A139, "ExpirationDate",, "T")</f>
        <v>47023</v>
      </c>
      <c r="AB139" s="143" t="str">
        <f>RIGHT(RTD("cqg.rtd", ,"ContractData",A139, "LongDescription",, "T"),6)</f>
        <v>Oct 28</v>
      </c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</row>
    <row r="140" spans="1:39" x14ac:dyDescent="0.3">
      <c r="A140" s="123" t="s">
        <v>58</v>
      </c>
      <c r="B140" s="154" t="str">
        <f>RIGHT(RTD("cqg.rtd", ,"ContractData",A140, "LongDescription",, "T"),6)</f>
        <v>Nov 28</v>
      </c>
      <c r="C140" s="153">
        <f t="shared" si="24"/>
        <v>12</v>
      </c>
      <c r="D140" s="153">
        <f t="shared" si="20"/>
        <v>1</v>
      </c>
      <c r="E140" s="152" t="str">
        <f>IF(B140="","",RTD("cqg.rtd",,"ContractData",A140,"NetLastTradeToday",,"T"))</f>
        <v/>
      </c>
      <c r="F140" s="148" t="str">
        <f>IF(B140="","",RTD("cqg.rtd",,"ContractData",A140,"LastTradeToday",,"T"))</f>
        <v/>
      </c>
      <c r="G140" s="148" t="str">
        <f>IF(B140="","",RTD("cqg.rtd",,"ContractData",A140,"NetLastTradeToday",,"T"))</f>
        <v/>
      </c>
      <c r="H140" s="151" t="str">
        <f>IF(F140="","",MOD(RTD("cqg.rtd", ,"ContractData",A140, "DTLastTrade",, "T"),1))</f>
        <v/>
      </c>
      <c r="I140" s="277"/>
      <c r="J140" s="150" t="str">
        <f>IF(RTD("cqg.rtd", ,"ContractData",A140, "MT_LastBidVolume",, "T")=0,"",RTD("cqg.rtd", ,"ContractData",A140, "MT_LastBidVolume",, "T"))</f>
        <v/>
      </c>
      <c r="K140" s="145" t="str">
        <f>RTD("cqg.rtd", ,"ContractData",A140, "Bid",, "T")</f>
        <v/>
      </c>
      <c r="L140" s="145"/>
      <c r="M140" s="145" t="str">
        <f>RTD("cqg.rtd", ,"ContractData",A140, "Ask",, "T")</f>
        <v/>
      </c>
      <c r="N140" s="150" t="str">
        <f>IF(RTD("cqg.rtd", ,"ContractData",A140, "MT_LastAskVolume",, "T")=0,"",RTD("cqg.rtd", ,"ContractData",A140, "MT_LastAskVolume",, "T"))</f>
        <v/>
      </c>
      <c r="O140" s="149">
        <f t="shared" si="21"/>
        <v>0</v>
      </c>
      <c r="P140" s="148" t="str">
        <f>IF(B140="","",RTD("cqg.rtd",,"ContractData",A140,"Open",,"T"))</f>
        <v/>
      </c>
      <c r="Q140" s="148" t="str">
        <f>IF(B140="","",RTD("cqg.rtd",,"ContractData",A140,"High",,"T"))</f>
        <v/>
      </c>
      <c r="R140" s="148" t="str">
        <f>IF(B140="","",RTD("cqg.rtd",,"ContractData",A140,"Low",,"T"))</f>
        <v/>
      </c>
      <c r="S140" s="147" t="str">
        <f>IF(RTD("cqg.rtd", ,"ContractData",A140, "T_CVol",, "T")=0,"",RTD("cqg.rtd", ,"ContractData",A140, "T_CVol",, "T"))</f>
        <v/>
      </c>
      <c r="T140" s="147" t="str">
        <f>IF(RTD("cqg.rtd", ,"ContractData",A140, "Y_CVol",, "T")=0,"",RTD("cqg.rtd", ,"ContractData",A140, "Y_CVol",, "T"))</f>
        <v/>
      </c>
      <c r="U140" s="147" t="str">
        <f t="shared" si="22"/>
        <v/>
      </c>
      <c r="V140" s="147" t="str">
        <f>IF(RTD("cqg.rtd",,"StudyData",A140, "OI", "OIType=Contract", "OI","D","-1","ALL",,,"TRUE","T")=0,"",RTD("cqg.rtd",,"StudyData",A140, "OI", "OIType=Contract", "OI","D","-1","ALL",,,"TRUE","T"))</f>
        <v/>
      </c>
      <c r="W140" s="147" t="str">
        <f>IF(RTD("cqg.rtd",,"StudyData",A140, "OI", "OIType=Contract", "OI","D","-2","ALL",,,"TRUE","T")=0,"",RTD("cqg.rtd",,"StudyData",A140, "OI", "OIType=Contract", "OI","D","-2","ALL",,,"TRUE","T"))</f>
        <v/>
      </c>
      <c r="X140" s="146" t="str">
        <f t="shared" si="23"/>
        <v/>
      </c>
      <c r="Y140" s="145" t="str">
        <f>RTD("cqg.rtd", ,"ContractData",A140, "T_Settlement",, "T")</f>
        <v/>
      </c>
      <c r="Z140" s="145">
        <f>RTD("cqg.rtd", ,"ContractData",A140, "Y_Settlement",, "T")</f>
        <v>3.2130000000000001</v>
      </c>
      <c r="AA140" s="144">
        <f>RTD("cqg.rtd", ,"ContractData",A140, "ExpirationDate",, "T")</f>
        <v>47053</v>
      </c>
      <c r="AB140" s="143" t="str">
        <f>RIGHT(RTD("cqg.rtd", ,"ContractData",A140, "LongDescription",, "T"),6)</f>
        <v>Nov 28</v>
      </c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</row>
    <row r="141" spans="1:39" x14ac:dyDescent="0.3">
      <c r="A141" s="123" t="s">
        <v>57</v>
      </c>
      <c r="B141" s="154" t="str">
        <f>RIGHT(RTD("cqg.rtd", ,"ContractData",A141, "LongDescription",, "T"),6)</f>
        <v>Dec 28</v>
      </c>
      <c r="C141" s="153">
        <f t="shared" si="24"/>
        <v>12</v>
      </c>
      <c r="D141" s="153">
        <f t="shared" si="20"/>
        <v>1</v>
      </c>
      <c r="E141" s="152" t="str">
        <f>IF(B141="","",RTD("cqg.rtd",,"ContractData",A141,"NetLastTradeToday",,"T"))</f>
        <v/>
      </c>
      <c r="F141" s="148" t="str">
        <f>IF(B141="","",RTD("cqg.rtd",,"ContractData",A141,"LastTradeToday",,"T"))</f>
        <v/>
      </c>
      <c r="G141" s="148" t="str">
        <f>IF(B141="","",RTD("cqg.rtd",,"ContractData",A141,"NetLastTradeToday",,"T"))</f>
        <v/>
      </c>
      <c r="H141" s="151" t="str">
        <f>IF(F141="","",MOD(RTD("cqg.rtd", ,"ContractData",A141, "DTLastTrade",, "T"),1))</f>
        <v/>
      </c>
      <c r="I141" s="277"/>
      <c r="J141" s="150" t="str">
        <f>IF(RTD("cqg.rtd", ,"ContractData",A141, "MT_LastBidVolume",, "T")=0,"",RTD("cqg.rtd", ,"ContractData",A141, "MT_LastBidVolume",, "T"))</f>
        <v/>
      </c>
      <c r="K141" s="145" t="str">
        <f>RTD("cqg.rtd", ,"ContractData",A141, "Bid",, "T")</f>
        <v/>
      </c>
      <c r="L141" s="145"/>
      <c r="M141" s="145" t="str">
        <f>RTD("cqg.rtd", ,"ContractData",A141, "Ask",, "T")</f>
        <v/>
      </c>
      <c r="N141" s="150" t="str">
        <f>IF(RTD("cqg.rtd", ,"ContractData",A141, "MT_LastAskVolume",, "T")=0,"",RTD("cqg.rtd", ,"ContractData",A141, "MT_LastAskVolume",, "T"))</f>
        <v/>
      </c>
      <c r="O141" s="149">
        <f t="shared" si="21"/>
        <v>0</v>
      </c>
      <c r="P141" s="148" t="str">
        <f>IF(B141="","",RTD("cqg.rtd",,"ContractData",A141,"Open",,"T"))</f>
        <v/>
      </c>
      <c r="Q141" s="148" t="str">
        <f>IF(B141="","",RTD("cqg.rtd",,"ContractData",A141,"High",,"T"))</f>
        <v/>
      </c>
      <c r="R141" s="148" t="str">
        <f>IF(B141="","",RTD("cqg.rtd",,"ContractData",A141,"Low",,"T"))</f>
        <v/>
      </c>
      <c r="S141" s="147" t="str">
        <f>IF(RTD("cqg.rtd", ,"ContractData",A141, "T_CVol",, "T")=0,"",RTD("cqg.rtd", ,"ContractData",A141, "T_CVol",, "T"))</f>
        <v/>
      </c>
      <c r="T141" s="147" t="str">
        <f>IF(RTD("cqg.rtd", ,"ContractData",A141, "Y_CVol",, "T")=0,"",RTD("cqg.rtd", ,"ContractData",A141, "Y_CVol",, "T"))</f>
        <v/>
      </c>
      <c r="U141" s="147" t="str">
        <f t="shared" si="22"/>
        <v/>
      </c>
      <c r="V141" s="147" t="str">
        <f>IF(RTD("cqg.rtd",,"StudyData",A141, "OI", "OIType=Contract", "OI","D","-1","ALL",,,"TRUE","T")=0,"",RTD("cqg.rtd",,"StudyData",A141, "OI", "OIType=Contract", "OI","D","-1","ALL",,,"TRUE","T"))</f>
        <v/>
      </c>
      <c r="W141" s="147" t="str">
        <f>IF(RTD("cqg.rtd",,"StudyData",A141, "OI", "OIType=Contract", "OI","D","-2","ALL",,,"TRUE","T")=0,"",RTD("cqg.rtd",,"StudyData",A141, "OI", "OIType=Contract", "OI","D","-2","ALL",,,"TRUE","T"))</f>
        <v/>
      </c>
      <c r="X141" s="146" t="str">
        <f t="shared" si="23"/>
        <v/>
      </c>
      <c r="Y141" s="145" t="str">
        <f>RTD("cqg.rtd", ,"ContractData",A141, "T_Settlement",, "T")</f>
        <v/>
      </c>
      <c r="Z141" s="145">
        <f>RTD("cqg.rtd", ,"ContractData",A141, "Y_Settlement",, "T")</f>
        <v>3.3780000000000001</v>
      </c>
      <c r="AA141" s="144">
        <f>RTD("cqg.rtd", ,"ContractData",A141, "ExpirationDate",, "T")</f>
        <v>47085</v>
      </c>
      <c r="AB141" s="143" t="str">
        <f>RIGHT(RTD("cqg.rtd", ,"ContractData",A141, "LongDescription",, "T"),6)</f>
        <v>Dec 28</v>
      </c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  <c r="AM141" s="124"/>
    </row>
    <row r="142" spans="1:39" x14ac:dyDescent="0.3">
      <c r="A142" s="123" t="s">
        <v>56</v>
      </c>
      <c r="B142" s="154" t="str">
        <f>RIGHT(RTD("cqg.rtd", ,"ContractData",A142, "LongDescription",, "T"),6)</f>
        <v>Jan 29</v>
      </c>
      <c r="C142" s="153">
        <f t="shared" si="24"/>
        <v>13</v>
      </c>
      <c r="D142" s="153">
        <f t="shared" si="20"/>
        <v>0</v>
      </c>
      <c r="E142" s="152" t="str">
        <f>IF(B142="","",RTD("cqg.rtd",,"ContractData",A142,"NetLastTradeToday",,"T"))</f>
        <v/>
      </c>
      <c r="F142" s="148" t="str">
        <f>IF(B142="","",RTD("cqg.rtd",,"ContractData",A142,"LastTradeToday",,"T"))</f>
        <v/>
      </c>
      <c r="G142" s="148" t="str">
        <f>IF(B142="","",RTD("cqg.rtd",,"ContractData",A142,"NetLastTradeToday",,"T"))</f>
        <v/>
      </c>
      <c r="H142" s="151" t="str">
        <f>IF(F142="","",MOD(RTD("cqg.rtd", ,"ContractData",A142, "DTLastTrade",, "T"),1))</f>
        <v/>
      </c>
      <c r="I142" s="277"/>
      <c r="J142" s="150" t="str">
        <f>IF(RTD("cqg.rtd", ,"ContractData",A142, "MT_LastBidVolume",, "T")=0,"",RTD("cqg.rtd", ,"ContractData",A142, "MT_LastBidVolume",, "T"))</f>
        <v/>
      </c>
      <c r="K142" s="145" t="str">
        <f>RTD("cqg.rtd", ,"ContractData",A142, "Bid",, "T")</f>
        <v/>
      </c>
      <c r="L142" s="145"/>
      <c r="M142" s="145" t="str">
        <f>RTD("cqg.rtd", ,"ContractData",A142, "Ask",, "T")</f>
        <v/>
      </c>
      <c r="N142" s="150" t="str">
        <f>IF(RTD("cqg.rtd", ,"ContractData",A142, "MT_LastAskVolume",, "T")=0,"",RTD("cqg.rtd", ,"ContractData",A142, "MT_LastAskVolume",, "T"))</f>
        <v/>
      </c>
      <c r="O142" s="149">
        <f t="shared" si="21"/>
        <v>0</v>
      </c>
      <c r="P142" s="148" t="str">
        <f>IF(B142="","",RTD("cqg.rtd",,"ContractData",A142,"Open",,"T"))</f>
        <v/>
      </c>
      <c r="Q142" s="148" t="str">
        <f>IF(B142="","",RTD("cqg.rtd",,"ContractData",A142,"High",,"T"))</f>
        <v/>
      </c>
      <c r="R142" s="148" t="str">
        <f>IF(B142="","",RTD("cqg.rtd",,"ContractData",A142,"Low",,"T"))</f>
        <v/>
      </c>
      <c r="S142" s="147" t="str">
        <f>IF(RTD("cqg.rtd", ,"ContractData",A142, "T_CVol",, "T")=0,"",RTD("cqg.rtd", ,"ContractData",A142, "T_CVol",, "T"))</f>
        <v/>
      </c>
      <c r="T142" s="147" t="str">
        <f>IF(RTD("cqg.rtd", ,"ContractData",A142, "Y_CVol",, "T")=0,"",RTD("cqg.rtd", ,"ContractData",A142, "Y_CVol",, "T"))</f>
        <v/>
      </c>
      <c r="U142" s="147" t="str">
        <f t="shared" si="22"/>
        <v/>
      </c>
      <c r="V142" s="147" t="str">
        <f>IF(RTD("cqg.rtd",,"StudyData",A142, "OI", "OIType=Contract", "OI","D","-1","ALL",,,"TRUE","T")=0,"",RTD("cqg.rtd",,"StudyData",A142, "OI", "OIType=Contract", "OI","D","-1","ALL",,,"TRUE","T"))</f>
        <v/>
      </c>
      <c r="W142" s="147" t="str">
        <f>IF(RTD("cqg.rtd",,"StudyData",A142, "OI", "OIType=Contract", "OI","D","-2","ALL",,,"TRUE","T")=0,"",RTD("cqg.rtd",,"StudyData",A142, "OI", "OIType=Contract", "OI","D","-2","ALL",,,"TRUE","T"))</f>
        <v/>
      </c>
      <c r="X142" s="146" t="str">
        <f t="shared" si="23"/>
        <v/>
      </c>
      <c r="Y142" s="145" t="str">
        <f>RTD("cqg.rtd", ,"ContractData",A142, "T_Settlement",, "T")</f>
        <v/>
      </c>
      <c r="Z142" s="145">
        <f>RTD("cqg.rtd", ,"ContractData",A142, "Y_Settlement",, "T")</f>
        <v>3.5260000000000002</v>
      </c>
      <c r="AA142" s="144">
        <f>RTD("cqg.rtd", ,"ContractData",A142, "ExpirationDate",, "T")</f>
        <v>47114</v>
      </c>
      <c r="AB142" s="143" t="str">
        <f>RIGHT(RTD("cqg.rtd", ,"ContractData",A142, "LongDescription",, "T"),6)</f>
        <v>Jan 29</v>
      </c>
      <c r="AC142" s="124"/>
      <c r="AD142" s="124"/>
      <c r="AE142" s="124"/>
      <c r="AF142" s="124"/>
      <c r="AG142" s="124"/>
      <c r="AH142" s="124"/>
      <c r="AI142" s="124"/>
      <c r="AJ142" s="124"/>
      <c r="AK142" s="124"/>
      <c r="AL142" s="124"/>
      <c r="AM142" s="124"/>
    </row>
    <row r="143" spans="1:39" x14ac:dyDescent="0.3">
      <c r="A143" s="123" t="s">
        <v>55</v>
      </c>
      <c r="B143" s="154" t="str">
        <f>RIGHT(RTD("cqg.rtd", ,"ContractData",A143, "LongDescription",, "T"),6)</f>
        <v>Feb 29</v>
      </c>
      <c r="C143" s="153">
        <f t="shared" si="24"/>
        <v>13</v>
      </c>
      <c r="D143" s="153">
        <f t="shared" si="20"/>
        <v>0</v>
      </c>
      <c r="E143" s="152" t="str">
        <f>IF(B143="","",RTD("cqg.rtd",,"ContractData",A143,"NetLastTradeToday",,"T"))</f>
        <v/>
      </c>
      <c r="F143" s="148" t="str">
        <f>IF(B143="","",RTD("cqg.rtd",,"ContractData",A143,"LastTradeToday",,"T"))</f>
        <v/>
      </c>
      <c r="G143" s="148" t="str">
        <f>IF(B143="","",RTD("cqg.rtd",,"ContractData",A143,"NetLastTradeToday",,"T"))</f>
        <v/>
      </c>
      <c r="H143" s="151" t="str">
        <f>IF(F143="","",MOD(RTD("cqg.rtd", ,"ContractData",A143, "DTLastTrade",, "T"),1))</f>
        <v/>
      </c>
      <c r="I143" s="277"/>
      <c r="J143" s="150" t="str">
        <f>IF(RTD("cqg.rtd", ,"ContractData",A143, "MT_LastBidVolume",, "T")=0,"",RTD("cqg.rtd", ,"ContractData",A143, "MT_LastBidVolume",, "T"))</f>
        <v/>
      </c>
      <c r="K143" s="145" t="str">
        <f>RTD("cqg.rtd", ,"ContractData",A143, "Bid",, "T")</f>
        <v/>
      </c>
      <c r="L143" s="145"/>
      <c r="M143" s="145" t="str">
        <f>RTD("cqg.rtd", ,"ContractData",A143, "Ask",, "T")</f>
        <v/>
      </c>
      <c r="N143" s="150" t="str">
        <f>IF(RTD("cqg.rtd", ,"ContractData",A143, "MT_LastAskVolume",, "T")=0,"",RTD("cqg.rtd", ,"ContractData",A143, "MT_LastAskVolume",, "T"))</f>
        <v/>
      </c>
      <c r="O143" s="149">
        <f t="shared" si="21"/>
        <v>0</v>
      </c>
      <c r="P143" s="148" t="str">
        <f>IF(B143="","",RTD("cqg.rtd",,"ContractData",A143,"Open",,"T"))</f>
        <v/>
      </c>
      <c r="Q143" s="148" t="str">
        <f>IF(B143="","",RTD("cqg.rtd",,"ContractData",A143,"High",,"T"))</f>
        <v/>
      </c>
      <c r="R143" s="148" t="str">
        <f>IF(B143="","",RTD("cqg.rtd",,"ContractData",A143,"Low",,"T"))</f>
        <v/>
      </c>
      <c r="S143" s="147" t="str">
        <f>IF(RTD("cqg.rtd", ,"ContractData",A143, "T_CVol",, "T")=0,"",RTD("cqg.rtd", ,"ContractData",A143, "T_CVol",, "T"))</f>
        <v/>
      </c>
      <c r="T143" s="147" t="str">
        <f>IF(RTD("cqg.rtd", ,"ContractData",A143, "Y_CVol",, "T")=0,"",RTD("cqg.rtd", ,"ContractData",A143, "Y_CVol",, "T"))</f>
        <v/>
      </c>
      <c r="U143" s="147" t="str">
        <f t="shared" si="22"/>
        <v/>
      </c>
      <c r="V143" s="147" t="str">
        <f>IF(RTD("cqg.rtd",,"StudyData",A143, "OI", "OIType=Contract", "OI","D","-1","ALL",,,"TRUE","T")=0,"",RTD("cqg.rtd",,"StudyData",A143, "OI", "OIType=Contract", "OI","D","-1","ALL",,,"TRUE","T"))</f>
        <v/>
      </c>
      <c r="W143" s="147" t="str">
        <f>IF(RTD("cqg.rtd",,"StudyData",A143, "OI", "OIType=Contract", "OI","D","-2","ALL",,,"TRUE","T")=0,"",RTD("cqg.rtd",,"StudyData",A143, "OI", "OIType=Contract", "OI","D","-2","ALL",,,"TRUE","T"))</f>
        <v/>
      </c>
      <c r="X143" s="146" t="str">
        <f t="shared" si="23"/>
        <v/>
      </c>
      <c r="Y143" s="145" t="str">
        <f>RTD("cqg.rtd", ,"ContractData",A143, "T_Settlement",, "T")</f>
        <v/>
      </c>
      <c r="Z143" s="145">
        <f>RTD("cqg.rtd", ,"ContractData",A143, "Y_Settlement",, "T")</f>
        <v>3.49</v>
      </c>
      <c r="AA143" s="144">
        <f>RTD("cqg.rtd", ,"ContractData",A143, "ExpirationDate",, "T")</f>
        <v>47147</v>
      </c>
      <c r="AB143" s="143" t="str">
        <f>RIGHT(RTD("cqg.rtd", ,"ContractData",A143, "LongDescription",, "T"),6)</f>
        <v>Feb 29</v>
      </c>
      <c r="AC143" s="124"/>
      <c r="AD143" s="124"/>
      <c r="AE143" s="124"/>
      <c r="AF143" s="124"/>
      <c r="AG143" s="124"/>
      <c r="AH143" s="124"/>
      <c r="AI143" s="124"/>
      <c r="AJ143" s="124"/>
      <c r="AK143" s="124"/>
      <c r="AL143" s="124"/>
      <c r="AM143" s="124"/>
    </row>
    <row r="144" spans="1:39" x14ac:dyDescent="0.3">
      <c r="A144" s="123" t="s">
        <v>54</v>
      </c>
      <c r="B144" s="154" t="str">
        <f>RIGHT(RTD("cqg.rtd", ,"ContractData",A144, "LongDescription",, "T"),6)</f>
        <v>Mar 29</v>
      </c>
      <c r="C144" s="153">
        <f t="shared" si="24"/>
        <v>13</v>
      </c>
      <c r="D144" s="153">
        <f t="shared" si="20"/>
        <v>0</v>
      </c>
      <c r="E144" s="152" t="str">
        <f>IF(B144="","",RTD("cqg.rtd",,"ContractData",A144,"NetLastTradeToday",,"T"))</f>
        <v/>
      </c>
      <c r="F144" s="148" t="str">
        <f>IF(B144="","",RTD("cqg.rtd",,"ContractData",A144,"LastTradeToday",,"T"))</f>
        <v/>
      </c>
      <c r="G144" s="148" t="str">
        <f>IF(B144="","",RTD("cqg.rtd",,"ContractData",A144,"NetLastTradeToday",,"T"))</f>
        <v/>
      </c>
      <c r="H144" s="151" t="str">
        <f>IF(F144="","",MOD(RTD("cqg.rtd", ,"ContractData",A144, "DTLastTrade",, "T"),1))</f>
        <v/>
      </c>
      <c r="I144" s="277"/>
      <c r="J144" s="150" t="str">
        <f>IF(RTD("cqg.rtd", ,"ContractData",A144, "MT_LastBidVolume",, "T")=0,"",RTD("cqg.rtd", ,"ContractData",A144, "MT_LastBidVolume",, "T"))</f>
        <v/>
      </c>
      <c r="K144" s="145" t="str">
        <f>RTD("cqg.rtd", ,"ContractData",A144, "Bid",, "T")</f>
        <v/>
      </c>
      <c r="L144" s="145"/>
      <c r="M144" s="145" t="str">
        <f>RTD("cqg.rtd", ,"ContractData",A144, "Ask",, "T")</f>
        <v/>
      </c>
      <c r="N144" s="150" t="str">
        <f>IF(RTD("cqg.rtd", ,"ContractData",A144, "MT_LastAskVolume",, "T")=0,"",RTD("cqg.rtd", ,"ContractData",A144, "MT_LastAskVolume",, "T"))</f>
        <v/>
      </c>
      <c r="O144" s="149">
        <f t="shared" si="21"/>
        <v>0</v>
      </c>
      <c r="P144" s="148" t="str">
        <f>IF(B144="","",RTD("cqg.rtd",,"ContractData",A144,"Open",,"T"))</f>
        <v/>
      </c>
      <c r="Q144" s="148" t="str">
        <f>IF(B144="","",RTD("cqg.rtd",,"ContractData",A144,"High",,"T"))</f>
        <v/>
      </c>
      <c r="R144" s="148" t="str">
        <f>IF(B144="","",RTD("cqg.rtd",,"ContractData",A144,"Low",,"T"))</f>
        <v/>
      </c>
      <c r="S144" s="147" t="str">
        <f>IF(RTD("cqg.rtd", ,"ContractData",A144, "T_CVol",, "T")=0,"",RTD("cqg.rtd", ,"ContractData",A144, "T_CVol",, "T"))</f>
        <v/>
      </c>
      <c r="T144" s="147" t="str">
        <f>IF(RTD("cqg.rtd", ,"ContractData",A144, "Y_CVol",, "T")=0,"",RTD("cqg.rtd", ,"ContractData",A144, "Y_CVol",, "T"))</f>
        <v/>
      </c>
      <c r="U144" s="147" t="str">
        <f t="shared" si="22"/>
        <v/>
      </c>
      <c r="V144" s="147" t="str">
        <f>IF(RTD("cqg.rtd",,"StudyData",A144, "OI", "OIType=Contract", "OI","D","-1","ALL",,,"TRUE","T")=0,"",RTD("cqg.rtd",,"StudyData",A144, "OI", "OIType=Contract", "OI","D","-1","ALL",,,"TRUE","T"))</f>
        <v/>
      </c>
      <c r="W144" s="147" t="str">
        <f>IF(RTD("cqg.rtd",,"StudyData",A144, "OI", "OIType=Contract", "OI","D","-2","ALL",,,"TRUE","T")=0,"",RTD("cqg.rtd",,"StudyData",A144, "OI", "OIType=Contract", "OI","D","-2","ALL",,,"TRUE","T"))</f>
        <v/>
      </c>
      <c r="X144" s="146" t="str">
        <f t="shared" si="23"/>
        <v/>
      </c>
      <c r="Y144" s="145" t="str">
        <f>RTD("cqg.rtd", ,"ContractData",A144, "T_Settlement",, "T")</f>
        <v/>
      </c>
      <c r="Z144" s="145">
        <f>RTD("cqg.rtd", ,"ContractData",A144, "Y_Settlement",, "T")</f>
        <v>3.415</v>
      </c>
      <c r="AA144" s="144">
        <f>RTD("cqg.rtd", ,"ContractData",A144, "ExpirationDate",, "T")</f>
        <v>47175</v>
      </c>
      <c r="AB144" s="143" t="str">
        <f>RIGHT(RTD("cqg.rtd", ,"ContractData",A144, "LongDescription",, "T"),6)</f>
        <v>Mar 29</v>
      </c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</row>
    <row r="145" spans="1:39" x14ac:dyDescent="0.3">
      <c r="A145" s="123" t="s">
        <v>53</v>
      </c>
      <c r="B145" s="154" t="str">
        <f>RIGHT(RTD("cqg.rtd", ,"ContractData",A145, "LongDescription",, "T"),6)</f>
        <v>Apr 29</v>
      </c>
      <c r="C145" s="153">
        <f t="shared" si="24"/>
        <v>13</v>
      </c>
      <c r="D145" s="153">
        <f t="shared" si="20"/>
        <v>0</v>
      </c>
      <c r="E145" s="152" t="str">
        <f>IF(B145="","",RTD("cqg.rtd",,"ContractData",A145,"NetLastTradeToday",,"T"))</f>
        <v/>
      </c>
      <c r="F145" s="148" t="str">
        <f>IF(B145="","",RTD("cqg.rtd",,"ContractData",A145,"LastTradeToday",,"T"))</f>
        <v/>
      </c>
      <c r="G145" s="148" t="str">
        <f>IF(B145="","",RTD("cqg.rtd",,"ContractData",A145,"NetLastTradeToday",,"T"))</f>
        <v/>
      </c>
      <c r="H145" s="151" t="str">
        <f>IF(F145="","",MOD(RTD("cqg.rtd", ,"ContractData",A145, "DTLastTrade",, "T"),1))</f>
        <v/>
      </c>
      <c r="I145" s="277"/>
      <c r="J145" s="150" t="str">
        <f>IF(RTD("cqg.rtd", ,"ContractData",A145, "MT_LastBidVolume",, "T")=0,"",RTD("cqg.rtd", ,"ContractData",A145, "MT_LastBidVolume",, "T"))</f>
        <v/>
      </c>
      <c r="K145" s="145" t="str">
        <f>RTD("cqg.rtd", ,"ContractData",A145, "Bid",, "T")</f>
        <v/>
      </c>
      <c r="L145" s="145"/>
      <c r="M145" s="145" t="str">
        <f>RTD("cqg.rtd", ,"ContractData",A145, "Ask",, "T")</f>
        <v/>
      </c>
      <c r="N145" s="150" t="str">
        <f>IF(RTD("cqg.rtd", ,"ContractData",A145, "MT_LastAskVolume",, "T")=0,"",RTD("cqg.rtd", ,"ContractData",A145, "MT_LastAskVolume",, "T"))</f>
        <v/>
      </c>
      <c r="O145" s="149">
        <f t="shared" si="21"/>
        <v>0</v>
      </c>
      <c r="P145" s="148" t="str">
        <f>IF(B145="","",RTD("cqg.rtd",,"ContractData",A145,"Open",,"T"))</f>
        <v/>
      </c>
      <c r="Q145" s="148" t="str">
        <f>IF(B145="","",RTD("cqg.rtd",,"ContractData",A145,"High",,"T"))</f>
        <v/>
      </c>
      <c r="R145" s="148" t="str">
        <f>IF(B145="","",RTD("cqg.rtd",,"ContractData",A145,"Low",,"T"))</f>
        <v/>
      </c>
      <c r="S145" s="147" t="str">
        <f>IF(RTD("cqg.rtd", ,"ContractData",A145, "T_CVol",, "T")=0,"",RTD("cqg.rtd", ,"ContractData",A145, "T_CVol",, "T"))</f>
        <v/>
      </c>
      <c r="T145" s="147" t="str">
        <f>IF(RTD("cqg.rtd", ,"ContractData",A145, "Y_CVol",, "T")=0,"",RTD("cqg.rtd", ,"ContractData",A145, "Y_CVol",, "T"))</f>
        <v/>
      </c>
      <c r="U145" s="147" t="str">
        <f t="shared" si="22"/>
        <v/>
      </c>
      <c r="V145" s="147" t="str">
        <f>IF(RTD("cqg.rtd",,"StudyData",A145, "OI", "OIType=Contract", "OI","D","-1","ALL",,,"TRUE","T")=0,"",RTD("cqg.rtd",,"StudyData",A145, "OI", "OIType=Contract", "OI","D","-1","ALL",,,"TRUE","T"))</f>
        <v/>
      </c>
      <c r="W145" s="147" t="str">
        <f>IF(RTD("cqg.rtd",,"StudyData",A145, "OI", "OIType=Contract", "OI","D","-2","ALL",,,"TRUE","T")=0,"",RTD("cqg.rtd",,"StudyData",A145, "OI", "OIType=Contract", "OI","D","-2","ALL",,,"TRUE","T"))</f>
        <v/>
      </c>
      <c r="X145" s="146" t="str">
        <f t="shared" si="23"/>
        <v/>
      </c>
      <c r="Y145" s="145" t="str">
        <f>RTD("cqg.rtd", ,"ContractData",A145, "T_Settlement",, "T")</f>
        <v/>
      </c>
      <c r="Z145" s="145">
        <f>RTD("cqg.rtd", ,"ContractData",A145, "Y_Settlement",, "T")</f>
        <v>3.06</v>
      </c>
      <c r="AA145" s="144">
        <f>RTD("cqg.rtd", ,"ContractData",A145, "ExpirationDate",, "T")</f>
        <v>47205</v>
      </c>
      <c r="AB145" s="143" t="str">
        <f>RIGHT(RTD("cqg.rtd", ,"ContractData",A145, "LongDescription",, "T"),6)</f>
        <v>Apr 29</v>
      </c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</row>
    <row r="146" spans="1:39" x14ac:dyDescent="0.3">
      <c r="A146" s="123" t="s">
        <v>52</v>
      </c>
      <c r="B146" s="154" t="str">
        <f>RIGHT(RTD("cqg.rtd", ,"ContractData",A146, "LongDescription",, "T"),6)</f>
        <v>May 29</v>
      </c>
      <c r="C146" s="153">
        <f t="shared" si="24"/>
        <v>13</v>
      </c>
      <c r="D146" s="153">
        <f t="shared" si="20"/>
        <v>0</v>
      </c>
      <c r="E146" s="152" t="str">
        <f>IF(B146="","",RTD("cqg.rtd",,"ContractData",A146,"NetLastTradeToday",,"T"))</f>
        <v/>
      </c>
      <c r="F146" s="148" t="str">
        <f>IF(B146="","",RTD("cqg.rtd",,"ContractData",A146,"LastTradeToday",,"T"))</f>
        <v/>
      </c>
      <c r="G146" s="148" t="str">
        <f>IF(B146="","",RTD("cqg.rtd",,"ContractData",A146,"NetLastTradeToday",,"T"))</f>
        <v/>
      </c>
      <c r="H146" s="151" t="str">
        <f>IF(F146="","",MOD(RTD("cqg.rtd", ,"ContractData",A146, "DTLastTrade",, "T"),1))</f>
        <v/>
      </c>
      <c r="I146" s="277"/>
      <c r="J146" s="150" t="str">
        <f>IF(RTD("cqg.rtd", ,"ContractData",A146, "MT_LastBidVolume",, "T")=0,"",RTD("cqg.rtd", ,"ContractData",A146, "MT_LastBidVolume",, "T"))</f>
        <v/>
      </c>
      <c r="K146" s="145" t="str">
        <f>RTD("cqg.rtd", ,"ContractData",A146, "Bid",, "T")</f>
        <v/>
      </c>
      <c r="L146" s="145"/>
      <c r="M146" s="145" t="str">
        <f>RTD("cqg.rtd", ,"ContractData",A146, "Ask",, "T")</f>
        <v/>
      </c>
      <c r="N146" s="150" t="str">
        <f>IF(RTD("cqg.rtd", ,"ContractData",A146, "MT_LastAskVolume",, "T")=0,"",RTD("cqg.rtd", ,"ContractData",A146, "MT_LastAskVolume",, "T"))</f>
        <v/>
      </c>
      <c r="O146" s="149">
        <f t="shared" si="21"/>
        <v>0</v>
      </c>
      <c r="P146" s="148" t="str">
        <f>IF(B146="","",RTD("cqg.rtd",,"ContractData",A146,"Open",,"T"))</f>
        <v/>
      </c>
      <c r="Q146" s="148" t="str">
        <f>IF(B146="","",RTD("cqg.rtd",,"ContractData",A146,"High",,"T"))</f>
        <v/>
      </c>
      <c r="R146" s="148" t="str">
        <f>IF(B146="","",RTD("cqg.rtd",,"ContractData",A146,"Low",,"T"))</f>
        <v/>
      </c>
      <c r="S146" s="147" t="str">
        <f>IF(RTD("cqg.rtd", ,"ContractData",A146, "T_CVol",, "T")=0,"",RTD("cqg.rtd", ,"ContractData",A146, "T_CVol",, "T"))</f>
        <v/>
      </c>
      <c r="T146" s="147" t="str">
        <f>IF(RTD("cqg.rtd", ,"ContractData",A146, "Y_CVol",, "T")=0,"",RTD("cqg.rtd", ,"ContractData",A146, "Y_CVol",, "T"))</f>
        <v/>
      </c>
      <c r="U146" s="147" t="str">
        <f t="shared" si="22"/>
        <v/>
      </c>
      <c r="V146" s="147" t="str">
        <f>IF(RTD("cqg.rtd",,"StudyData",A146, "OI", "OIType=Contract", "OI","D","-1","ALL",,,"TRUE","T")=0,"",RTD("cqg.rtd",,"StudyData",A146, "OI", "OIType=Contract", "OI","D","-1","ALL",,,"TRUE","T"))</f>
        <v/>
      </c>
      <c r="W146" s="147" t="str">
        <f>IF(RTD("cqg.rtd",,"StudyData",A146, "OI", "OIType=Contract", "OI","D","-2","ALL",,,"TRUE","T")=0,"",RTD("cqg.rtd",,"StudyData",A146, "OI", "OIType=Contract", "OI","D","-2","ALL",,,"TRUE","T"))</f>
        <v/>
      </c>
      <c r="X146" s="146" t="str">
        <f t="shared" si="23"/>
        <v/>
      </c>
      <c r="Y146" s="145" t="str">
        <f>RTD("cqg.rtd", ,"ContractData",A146, "T_Settlement",, "T")</f>
        <v/>
      </c>
      <c r="Z146" s="145">
        <f>RTD("cqg.rtd", ,"ContractData",A146, "Y_Settlement",, "T")</f>
        <v>3.0449999999999999</v>
      </c>
      <c r="AA146" s="144">
        <f>RTD("cqg.rtd", ,"ContractData",A146, "ExpirationDate",, "T")</f>
        <v>47234</v>
      </c>
      <c r="AB146" s="143" t="str">
        <f>RIGHT(RTD("cqg.rtd", ,"ContractData",A146, "LongDescription",, "T"),6)</f>
        <v>May 29</v>
      </c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</row>
    <row r="147" spans="1:39" x14ac:dyDescent="0.3">
      <c r="A147" s="123" t="s">
        <v>51</v>
      </c>
      <c r="B147" s="154" t="str">
        <f>RIGHT(RTD("cqg.rtd", ,"ContractData",A147, "LongDescription",, "T"),6)</f>
        <v>Jun 29</v>
      </c>
      <c r="C147" s="153">
        <f t="shared" si="24"/>
        <v>13</v>
      </c>
      <c r="D147" s="153">
        <f t="shared" si="20"/>
        <v>0</v>
      </c>
      <c r="E147" s="152" t="str">
        <f>IF(B147="","",RTD("cqg.rtd",,"ContractData",A147,"NetLastTradeToday",,"T"))</f>
        <v/>
      </c>
      <c r="F147" s="148" t="str">
        <f>IF(B147="","",RTD("cqg.rtd",,"ContractData",A147,"LastTradeToday",,"T"))</f>
        <v/>
      </c>
      <c r="G147" s="148" t="str">
        <f>IF(B147="","",RTD("cqg.rtd",,"ContractData",A147,"NetLastTradeToday",,"T"))</f>
        <v/>
      </c>
      <c r="H147" s="151" t="str">
        <f>IF(F147="","",MOD(RTD("cqg.rtd", ,"ContractData",A147, "DTLastTrade",, "T"),1))</f>
        <v/>
      </c>
      <c r="I147" s="277"/>
      <c r="J147" s="150" t="str">
        <f>IF(RTD("cqg.rtd", ,"ContractData",A147, "MT_LastBidVolume",, "T")=0,"",RTD("cqg.rtd", ,"ContractData",A147, "MT_LastBidVolume",, "T"))</f>
        <v/>
      </c>
      <c r="K147" s="145" t="str">
        <f>RTD("cqg.rtd", ,"ContractData",A147, "Bid",, "T")</f>
        <v/>
      </c>
      <c r="L147" s="145"/>
      <c r="M147" s="145" t="str">
        <f>RTD("cqg.rtd", ,"ContractData",A147, "Ask",, "T")</f>
        <v/>
      </c>
      <c r="N147" s="150" t="str">
        <f>IF(RTD("cqg.rtd", ,"ContractData",A147, "MT_LastAskVolume",, "T")=0,"",RTD("cqg.rtd", ,"ContractData",A147, "MT_LastAskVolume",, "T"))</f>
        <v/>
      </c>
      <c r="O147" s="149">
        <f t="shared" si="21"/>
        <v>0</v>
      </c>
      <c r="P147" s="148" t="str">
        <f>IF(B147="","",RTD("cqg.rtd",,"ContractData",A147,"Open",,"T"))</f>
        <v/>
      </c>
      <c r="Q147" s="148" t="str">
        <f>IF(B147="","",RTD("cqg.rtd",,"ContractData",A147,"High",,"T"))</f>
        <v/>
      </c>
      <c r="R147" s="148" t="str">
        <f>IF(B147="","",RTD("cqg.rtd",,"ContractData",A147,"Low",,"T"))</f>
        <v/>
      </c>
      <c r="S147" s="147" t="str">
        <f>IF(RTD("cqg.rtd", ,"ContractData",A147, "T_CVol",, "T")=0,"",RTD("cqg.rtd", ,"ContractData",A147, "T_CVol",, "T"))</f>
        <v/>
      </c>
      <c r="T147" s="147" t="str">
        <f>IF(RTD("cqg.rtd", ,"ContractData",A147, "Y_CVol",, "T")=0,"",RTD("cqg.rtd", ,"ContractData",A147, "Y_CVol",, "T"))</f>
        <v/>
      </c>
      <c r="U147" s="147" t="str">
        <f t="shared" si="22"/>
        <v/>
      </c>
      <c r="V147" s="147" t="str">
        <f>IF(RTD("cqg.rtd",,"StudyData",A147, "OI", "OIType=Contract", "OI","D","-1","ALL",,,"TRUE","T")=0,"",RTD("cqg.rtd",,"StudyData",A147, "OI", "OIType=Contract", "OI","D","-1","ALL",,,"TRUE","T"))</f>
        <v/>
      </c>
      <c r="W147" s="147" t="str">
        <f>IF(RTD("cqg.rtd",,"StudyData",A147, "OI", "OIType=Contract", "OI","D","-2","ALL",,,"TRUE","T")=0,"",RTD("cqg.rtd",,"StudyData",A147, "OI", "OIType=Contract", "OI","D","-2","ALL",,,"TRUE","T"))</f>
        <v/>
      </c>
      <c r="X147" s="146" t="str">
        <f t="shared" si="23"/>
        <v/>
      </c>
      <c r="Y147" s="145" t="str">
        <f>RTD("cqg.rtd", ,"ContractData",A147, "T_Settlement",, "T")</f>
        <v/>
      </c>
      <c r="Z147" s="145">
        <f>RTD("cqg.rtd", ,"ContractData",A147, "Y_Settlement",, "T")</f>
        <v>3.08</v>
      </c>
      <c r="AA147" s="144">
        <f>RTD("cqg.rtd", ,"ContractData",A147, "ExpirationDate",, "T")</f>
        <v>47267</v>
      </c>
      <c r="AB147" s="143" t="str">
        <f>RIGHT(RTD("cqg.rtd", ,"ContractData",A147, "LongDescription",, "T"),6)</f>
        <v>Jun 29</v>
      </c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</row>
    <row r="148" spans="1:39" x14ac:dyDescent="0.3">
      <c r="A148" s="123" t="s">
        <v>50</v>
      </c>
      <c r="B148" s="154" t="str">
        <f>RIGHT(RTD("cqg.rtd", ,"ContractData",A148, "LongDescription",, "T"),6)</f>
        <v>Jul 29</v>
      </c>
      <c r="C148" s="153">
        <f t="shared" si="24"/>
        <v>13</v>
      </c>
      <c r="D148" s="153">
        <f t="shared" si="20"/>
        <v>0</v>
      </c>
      <c r="E148" s="152" t="str">
        <f>IF(B148="","",RTD("cqg.rtd",,"ContractData",A148,"NetLastTradeToday",,"T"))</f>
        <v/>
      </c>
      <c r="F148" s="148" t="str">
        <f>IF(B148="","",RTD("cqg.rtd",,"ContractData",A148,"LastTradeToday",,"T"))</f>
        <v/>
      </c>
      <c r="G148" s="148" t="str">
        <f>IF(B148="","",RTD("cqg.rtd",,"ContractData",A148,"NetLastTradeToday",,"T"))</f>
        <v/>
      </c>
      <c r="H148" s="151" t="str">
        <f>IF(F148="","",MOD(RTD("cqg.rtd", ,"ContractData",A148, "DTLastTrade",, "T"),1))</f>
        <v/>
      </c>
      <c r="I148" s="277"/>
      <c r="J148" s="150" t="str">
        <f>IF(RTD("cqg.rtd", ,"ContractData",A148, "MT_LastBidVolume",, "T")=0,"",RTD("cqg.rtd", ,"ContractData",A148, "MT_LastBidVolume",, "T"))</f>
        <v/>
      </c>
      <c r="K148" s="145" t="str">
        <f>RTD("cqg.rtd", ,"ContractData",A148, "Bid",, "T")</f>
        <v/>
      </c>
      <c r="L148" s="145"/>
      <c r="M148" s="145" t="str">
        <f>RTD("cqg.rtd", ,"ContractData",A148, "Ask",, "T")</f>
        <v/>
      </c>
      <c r="N148" s="150" t="str">
        <f>IF(RTD("cqg.rtd", ,"ContractData",A148, "MT_LastAskVolume",, "T")=0,"",RTD("cqg.rtd", ,"ContractData",A148, "MT_LastAskVolume",, "T"))</f>
        <v/>
      </c>
      <c r="O148" s="149">
        <f t="shared" si="21"/>
        <v>0</v>
      </c>
      <c r="P148" s="148" t="str">
        <f>IF(B148="","",RTD("cqg.rtd",,"ContractData",A148,"Open",,"T"))</f>
        <v/>
      </c>
      <c r="Q148" s="148" t="str">
        <f>IF(B148="","",RTD("cqg.rtd",,"ContractData",A148,"High",,"T"))</f>
        <v/>
      </c>
      <c r="R148" s="148" t="str">
        <f>IF(B148="","",RTD("cqg.rtd",,"ContractData",A148,"Low",,"T"))</f>
        <v/>
      </c>
      <c r="S148" s="147" t="str">
        <f>IF(RTD("cqg.rtd", ,"ContractData",A148, "T_CVol",, "T")=0,"",RTD("cqg.rtd", ,"ContractData",A148, "T_CVol",, "T"))</f>
        <v/>
      </c>
      <c r="T148" s="147" t="str">
        <f>IF(RTD("cqg.rtd", ,"ContractData",A148, "Y_CVol",, "T")=0,"",RTD("cqg.rtd", ,"ContractData",A148, "Y_CVol",, "T"))</f>
        <v/>
      </c>
      <c r="U148" s="147" t="str">
        <f t="shared" si="22"/>
        <v/>
      </c>
      <c r="V148" s="147" t="str">
        <f>IF(RTD("cqg.rtd",,"StudyData",A148, "OI", "OIType=Contract", "OI","D","-1","ALL",,,"TRUE","T")=0,"",RTD("cqg.rtd",,"StudyData",A148, "OI", "OIType=Contract", "OI","D","-1","ALL",,,"TRUE","T"))</f>
        <v/>
      </c>
      <c r="W148" s="147" t="str">
        <f>IF(RTD("cqg.rtd",,"StudyData",A148, "OI", "OIType=Contract", "OI","D","-2","ALL",,,"TRUE","T")=0,"",RTD("cqg.rtd",,"StudyData",A148, "OI", "OIType=Contract", "OI","D","-2","ALL",,,"TRUE","T"))</f>
        <v/>
      </c>
      <c r="X148" s="146" t="str">
        <f t="shared" si="23"/>
        <v/>
      </c>
      <c r="Y148" s="145" t="str">
        <f>RTD("cqg.rtd", ,"ContractData",A148, "T_Settlement",, "T")</f>
        <v/>
      </c>
      <c r="Z148" s="145">
        <f>RTD("cqg.rtd", ,"ContractData",A148, "Y_Settlement",, "T")</f>
        <v>3.125</v>
      </c>
      <c r="AA148" s="144">
        <f>RTD("cqg.rtd", ,"ContractData",A148, "ExpirationDate",, "T")</f>
        <v>47296</v>
      </c>
      <c r="AB148" s="143" t="str">
        <f>RIGHT(RTD("cqg.rtd", ,"ContractData",A148, "LongDescription",, "T"),6)</f>
        <v>Jul 29</v>
      </c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</row>
    <row r="149" spans="1:39" x14ac:dyDescent="0.3">
      <c r="A149" s="123" t="s">
        <v>49</v>
      </c>
      <c r="B149" s="154" t="str">
        <f>RIGHT(RTD("cqg.rtd", ,"ContractData",A149, "LongDescription",, "T"),6)</f>
        <v>Aug 29</v>
      </c>
      <c r="C149" s="153">
        <f t="shared" si="24"/>
        <v>13</v>
      </c>
      <c r="D149" s="153">
        <f t="shared" si="20"/>
        <v>0</v>
      </c>
      <c r="E149" s="152" t="str">
        <f>IF(B149="","",RTD("cqg.rtd",,"ContractData",A149,"NetLastTradeToday",,"T"))</f>
        <v/>
      </c>
      <c r="F149" s="148" t="str">
        <f>IF(B149="","",RTD("cqg.rtd",,"ContractData",A149,"LastTradeToday",,"T"))</f>
        <v/>
      </c>
      <c r="G149" s="148" t="str">
        <f>IF(B149="","",RTD("cqg.rtd",,"ContractData",A149,"NetLastTradeToday",,"T"))</f>
        <v/>
      </c>
      <c r="H149" s="151" t="str">
        <f>IF(F149="","",MOD(RTD("cqg.rtd", ,"ContractData",A149, "DTLastTrade",, "T"),1))</f>
        <v/>
      </c>
      <c r="I149" s="277"/>
      <c r="J149" s="150" t="str">
        <f>IF(RTD("cqg.rtd", ,"ContractData",A149, "MT_LastBidVolume",, "T")=0,"",RTD("cqg.rtd", ,"ContractData",A149, "MT_LastBidVolume",, "T"))</f>
        <v/>
      </c>
      <c r="K149" s="145" t="str">
        <f>RTD("cqg.rtd", ,"ContractData",A149, "Bid",, "T")</f>
        <v/>
      </c>
      <c r="L149" s="145"/>
      <c r="M149" s="145" t="str">
        <f>RTD("cqg.rtd", ,"ContractData",A149, "Ask",, "T")</f>
        <v/>
      </c>
      <c r="N149" s="150" t="str">
        <f>IF(RTD("cqg.rtd", ,"ContractData",A149, "MT_LastAskVolume",, "T")=0,"",RTD("cqg.rtd", ,"ContractData",A149, "MT_LastAskVolume",, "T"))</f>
        <v/>
      </c>
      <c r="O149" s="149">
        <f t="shared" si="21"/>
        <v>0</v>
      </c>
      <c r="P149" s="148" t="str">
        <f>IF(B149="","",RTD("cqg.rtd",,"ContractData",A149,"Open",,"T"))</f>
        <v/>
      </c>
      <c r="Q149" s="148" t="str">
        <f>IF(B149="","",RTD("cqg.rtd",,"ContractData",A149,"High",,"T"))</f>
        <v/>
      </c>
      <c r="R149" s="148" t="str">
        <f>IF(B149="","",RTD("cqg.rtd",,"ContractData",A149,"Low",,"T"))</f>
        <v/>
      </c>
      <c r="S149" s="147" t="str">
        <f>IF(RTD("cqg.rtd", ,"ContractData",A149, "T_CVol",, "T")=0,"",RTD("cqg.rtd", ,"ContractData",A149, "T_CVol",, "T"))</f>
        <v/>
      </c>
      <c r="T149" s="147" t="str">
        <f>IF(RTD("cqg.rtd", ,"ContractData",A149, "Y_CVol",, "T")=0,"",RTD("cqg.rtd", ,"ContractData",A149, "Y_CVol",, "T"))</f>
        <v/>
      </c>
      <c r="U149" s="147" t="str">
        <f t="shared" si="22"/>
        <v/>
      </c>
      <c r="V149" s="147" t="str">
        <f>IF(RTD("cqg.rtd",,"StudyData",A149, "OI", "OIType=Contract", "OI","D","-1","ALL",,,"TRUE","T")=0,"",RTD("cqg.rtd",,"StudyData",A149, "OI", "OIType=Contract", "OI","D","-1","ALL",,,"TRUE","T"))</f>
        <v/>
      </c>
      <c r="W149" s="147" t="str">
        <f>IF(RTD("cqg.rtd",,"StudyData",A149, "OI", "OIType=Contract", "OI","D","-2","ALL",,,"TRUE","T")=0,"",RTD("cqg.rtd",,"StudyData",A149, "OI", "OIType=Contract", "OI","D","-2","ALL",,,"TRUE","T"))</f>
        <v/>
      </c>
      <c r="X149" s="146" t="str">
        <f t="shared" si="23"/>
        <v/>
      </c>
      <c r="Y149" s="145" t="str">
        <f>RTD("cqg.rtd", ,"ContractData",A149, "T_Settlement",, "T")</f>
        <v/>
      </c>
      <c r="Z149" s="145">
        <f>RTD("cqg.rtd", ,"ContractData",A149, "Y_Settlement",, "T")</f>
        <v>3.165</v>
      </c>
      <c r="AA149" s="144">
        <f>RTD("cqg.rtd", ,"ContractData",A149, "ExpirationDate",, "T")</f>
        <v>47326</v>
      </c>
      <c r="AB149" s="143" t="str">
        <f>RIGHT(RTD("cqg.rtd", ,"ContractData",A149, "LongDescription",, "T"),6)</f>
        <v>Aug 29</v>
      </c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</row>
    <row r="150" spans="1:39" x14ac:dyDescent="0.3">
      <c r="A150" s="123" t="s">
        <v>48</v>
      </c>
      <c r="B150" s="154" t="str">
        <f>RIGHT(RTD("cqg.rtd", ,"ContractData",A150, "LongDescription",, "T"),6)</f>
        <v>Sep 29</v>
      </c>
      <c r="C150" s="153">
        <f t="shared" si="24"/>
        <v>13</v>
      </c>
      <c r="D150" s="153">
        <f t="shared" si="20"/>
        <v>0</v>
      </c>
      <c r="E150" s="152" t="str">
        <f>IF(B150="","",RTD("cqg.rtd",,"ContractData",A150,"NetLastTradeToday",,"T"))</f>
        <v/>
      </c>
      <c r="F150" s="148" t="str">
        <f>IF(B150="","",RTD("cqg.rtd",,"ContractData",A150,"LastTradeToday",,"T"))</f>
        <v/>
      </c>
      <c r="G150" s="148" t="str">
        <f>IF(B150="","",RTD("cqg.rtd",,"ContractData",A150,"NetLastTradeToday",,"T"))</f>
        <v/>
      </c>
      <c r="H150" s="151" t="str">
        <f>IF(F150="","",MOD(RTD("cqg.rtd", ,"ContractData",A150, "DTLastTrade",, "T"),1))</f>
        <v/>
      </c>
      <c r="I150" s="277"/>
      <c r="J150" s="150" t="str">
        <f>IF(RTD("cqg.rtd", ,"ContractData",A150, "MT_LastBidVolume",, "T")=0,"",RTD("cqg.rtd", ,"ContractData",A150, "MT_LastBidVolume",, "T"))</f>
        <v/>
      </c>
      <c r="K150" s="145" t="str">
        <f>RTD("cqg.rtd", ,"ContractData",A150, "Bid",, "T")</f>
        <v/>
      </c>
      <c r="L150" s="145"/>
      <c r="M150" s="145" t="str">
        <f>RTD("cqg.rtd", ,"ContractData",A150, "Ask",, "T")</f>
        <v/>
      </c>
      <c r="N150" s="150" t="str">
        <f>IF(RTD("cqg.rtd", ,"ContractData",A150, "MT_LastAskVolume",, "T")=0,"",RTD("cqg.rtd", ,"ContractData",A150, "MT_LastAskVolume",, "T"))</f>
        <v/>
      </c>
      <c r="O150" s="149">
        <f t="shared" si="21"/>
        <v>0</v>
      </c>
      <c r="P150" s="148" t="str">
        <f>IF(B150="","",RTD("cqg.rtd",,"ContractData",A150,"Open",,"T"))</f>
        <v/>
      </c>
      <c r="Q150" s="148" t="str">
        <f>IF(B150="","",RTD("cqg.rtd",,"ContractData",A150,"High",,"T"))</f>
        <v/>
      </c>
      <c r="R150" s="148" t="str">
        <f>IF(B150="","",RTD("cqg.rtd",,"ContractData",A150,"Low",,"T"))</f>
        <v/>
      </c>
      <c r="S150" s="147" t="str">
        <f>IF(RTD("cqg.rtd", ,"ContractData",A150, "T_CVol",, "T")=0,"",RTD("cqg.rtd", ,"ContractData",A150, "T_CVol",, "T"))</f>
        <v/>
      </c>
      <c r="T150" s="147" t="str">
        <f>IF(RTD("cqg.rtd", ,"ContractData",A150, "Y_CVol",, "T")=0,"",RTD("cqg.rtd", ,"ContractData",A150, "Y_CVol",, "T"))</f>
        <v/>
      </c>
      <c r="U150" s="147" t="str">
        <f t="shared" si="22"/>
        <v/>
      </c>
      <c r="V150" s="147" t="str">
        <f>IF(RTD("cqg.rtd",,"StudyData",A150, "OI", "OIType=Contract", "OI","D","-1","ALL",,,"TRUE","T")=0,"",RTD("cqg.rtd",,"StudyData",A150, "OI", "OIType=Contract", "OI","D","-1","ALL",,,"TRUE","T"))</f>
        <v/>
      </c>
      <c r="W150" s="147" t="str">
        <f>IF(RTD("cqg.rtd",,"StudyData",A150, "OI", "OIType=Contract", "OI","D","-2","ALL",,,"TRUE","T")=0,"",RTD("cqg.rtd",,"StudyData",A150, "OI", "OIType=Contract", "OI","D","-2","ALL",,,"TRUE","T"))</f>
        <v/>
      </c>
      <c r="X150" s="146" t="str">
        <f t="shared" si="23"/>
        <v/>
      </c>
      <c r="Y150" s="145" t="str">
        <f>RTD("cqg.rtd", ,"ContractData",A150, "T_Settlement",, "T")</f>
        <v/>
      </c>
      <c r="Z150" s="145">
        <f>RTD("cqg.rtd", ,"ContractData",A150, "Y_Settlement",, "T")</f>
        <v>3.18</v>
      </c>
      <c r="AA150" s="144">
        <f>RTD("cqg.rtd", ,"ContractData",A150, "ExpirationDate",, "T")</f>
        <v>47359</v>
      </c>
      <c r="AB150" s="143" t="str">
        <f>RIGHT(RTD("cqg.rtd", ,"ContractData",A150, "LongDescription",, "T"),6)</f>
        <v>Sep 29</v>
      </c>
      <c r="AC150" s="124"/>
      <c r="AD150" s="124"/>
      <c r="AE150" s="124"/>
      <c r="AF150" s="124"/>
      <c r="AG150" s="124"/>
      <c r="AH150" s="124"/>
      <c r="AI150" s="124"/>
      <c r="AJ150" s="124"/>
      <c r="AK150" s="124"/>
      <c r="AL150" s="124"/>
      <c r="AM150" s="124"/>
    </row>
    <row r="151" spans="1:39" x14ac:dyDescent="0.3">
      <c r="A151" s="123" t="s">
        <v>47</v>
      </c>
      <c r="B151" s="154" t="str">
        <f>RIGHT(RTD("cqg.rtd", ,"ContractData",A151, "LongDescription",, "T"),6)</f>
        <v>Oct 29</v>
      </c>
      <c r="C151" s="153">
        <f t="shared" si="24"/>
        <v>13</v>
      </c>
      <c r="D151" s="153">
        <f t="shared" si="20"/>
        <v>0</v>
      </c>
      <c r="E151" s="152" t="str">
        <f>IF(B151="","",RTD("cqg.rtd",,"ContractData",A151,"NetLastTradeToday",,"T"))</f>
        <v/>
      </c>
      <c r="F151" s="148" t="str">
        <f>IF(B151="","",RTD("cqg.rtd",,"ContractData",A151,"LastTradeToday",,"T"))</f>
        <v/>
      </c>
      <c r="G151" s="148" t="str">
        <f>IF(B151="","",RTD("cqg.rtd",,"ContractData",A151,"NetLastTradeToday",,"T"))</f>
        <v/>
      </c>
      <c r="H151" s="151" t="str">
        <f>IF(F151="","",MOD(RTD("cqg.rtd", ,"ContractData",A151, "DTLastTrade",, "T"),1))</f>
        <v/>
      </c>
      <c r="I151" s="277"/>
      <c r="J151" s="150" t="str">
        <f>IF(RTD("cqg.rtd", ,"ContractData",A151, "MT_LastBidVolume",, "T")=0,"",RTD("cqg.rtd", ,"ContractData",A151, "MT_LastBidVolume",, "T"))</f>
        <v/>
      </c>
      <c r="K151" s="145" t="str">
        <f>RTD("cqg.rtd", ,"ContractData",A151, "Bid",, "T")</f>
        <v/>
      </c>
      <c r="L151" s="145"/>
      <c r="M151" s="145" t="str">
        <f>RTD("cqg.rtd", ,"ContractData",A151, "Ask",, "T")</f>
        <v/>
      </c>
      <c r="N151" s="150" t="str">
        <f>IF(RTD("cqg.rtd", ,"ContractData",A151, "MT_LastAskVolume",, "T")=0,"",RTD("cqg.rtd", ,"ContractData",A151, "MT_LastAskVolume",, "T"))</f>
        <v/>
      </c>
      <c r="O151" s="149">
        <f t="shared" si="21"/>
        <v>0</v>
      </c>
      <c r="P151" s="148" t="str">
        <f>IF(B151="","",RTD("cqg.rtd",,"ContractData",A151,"Open",,"T"))</f>
        <v/>
      </c>
      <c r="Q151" s="148" t="str">
        <f>IF(B151="","",RTD("cqg.rtd",,"ContractData",A151,"High",,"T"))</f>
        <v/>
      </c>
      <c r="R151" s="148" t="str">
        <f>IF(B151="","",RTD("cqg.rtd",,"ContractData",A151,"Low",,"T"))</f>
        <v/>
      </c>
      <c r="S151" s="147" t="str">
        <f>IF(RTD("cqg.rtd", ,"ContractData",A151, "T_CVol",, "T")=0,"",RTD("cqg.rtd", ,"ContractData",A151, "T_CVol",, "T"))</f>
        <v/>
      </c>
      <c r="T151" s="147" t="str">
        <f>IF(RTD("cqg.rtd", ,"ContractData",A151, "Y_CVol",, "T")=0,"",RTD("cqg.rtd", ,"ContractData",A151, "Y_CVol",, "T"))</f>
        <v/>
      </c>
      <c r="U151" s="147" t="str">
        <f t="shared" si="22"/>
        <v/>
      </c>
      <c r="V151" s="147" t="str">
        <f>IF(RTD("cqg.rtd",,"StudyData",A151, "OI", "OIType=Contract", "OI","D","-1","ALL",,,"TRUE","T")=0,"",RTD("cqg.rtd",,"StudyData",A151, "OI", "OIType=Contract", "OI","D","-1","ALL",,,"TRUE","T"))</f>
        <v/>
      </c>
      <c r="W151" s="147" t="str">
        <f>IF(RTD("cqg.rtd",,"StudyData",A151, "OI", "OIType=Contract", "OI","D","-2","ALL",,,"TRUE","T")=0,"",RTD("cqg.rtd",,"StudyData",A151, "OI", "OIType=Contract", "OI","D","-2","ALL",,,"TRUE","T"))</f>
        <v/>
      </c>
      <c r="X151" s="146" t="str">
        <f t="shared" si="23"/>
        <v/>
      </c>
      <c r="Y151" s="145" t="str">
        <f>RTD("cqg.rtd", ,"ContractData",A151, "T_Settlement",, "T")</f>
        <v/>
      </c>
      <c r="Z151" s="145">
        <f>RTD("cqg.rtd", ,"ContractData",A151, "Y_Settlement",, "T")</f>
        <v>3.2349999999999999</v>
      </c>
      <c r="AA151" s="144">
        <f>RTD("cqg.rtd", ,"ContractData",A151, "ExpirationDate",, "T")</f>
        <v>47387</v>
      </c>
      <c r="AB151" s="143" t="str">
        <f>RIGHT(RTD("cqg.rtd", ,"ContractData",A151, "LongDescription",, "T"),6)</f>
        <v>Oct 29</v>
      </c>
      <c r="AC151" s="124"/>
      <c r="AD151" s="124"/>
      <c r="AE151" s="124"/>
      <c r="AF151" s="124"/>
      <c r="AG151" s="124"/>
      <c r="AH151" s="124"/>
      <c r="AI151" s="124"/>
      <c r="AJ151" s="124"/>
      <c r="AK151" s="124"/>
      <c r="AL151" s="124"/>
      <c r="AM151" s="124"/>
    </row>
    <row r="152" spans="1:39" x14ac:dyDescent="0.3">
      <c r="A152" s="123" t="s">
        <v>46</v>
      </c>
      <c r="B152" s="154" t="str">
        <f>RIGHT(RTD("cqg.rtd", ,"ContractData",A152, "LongDescription",, "T"),6)</f>
        <v>Nov 29</v>
      </c>
      <c r="C152" s="153">
        <f t="shared" si="24"/>
        <v>13</v>
      </c>
      <c r="D152" s="153">
        <f t="shared" si="20"/>
        <v>0</v>
      </c>
      <c r="E152" s="152" t="str">
        <f>IF(B152="","",RTD("cqg.rtd",,"ContractData",A152,"NetLastTradeToday",,"T"))</f>
        <v/>
      </c>
      <c r="F152" s="148" t="str">
        <f>IF(B152="","",RTD("cqg.rtd",,"ContractData",A152,"LastTradeToday",,"T"))</f>
        <v/>
      </c>
      <c r="G152" s="148" t="str">
        <f>IF(B152="","",RTD("cqg.rtd",,"ContractData",A152,"NetLastTradeToday",,"T"))</f>
        <v/>
      </c>
      <c r="H152" s="151" t="str">
        <f>IF(F152="","",MOD(RTD("cqg.rtd", ,"ContractData",A152, "DTLastTrade",, "T"),1))</f>
        <v/>
      </c>
      <c r="I152" s="277"/>
      <c r="J152" s="150" t="str">
        <f>IF(RTD("cqg.rtd", ,"ContractData",A152, "MT_LastBidVolume",, "T")=0,"",RTD("cqg.rtd", ,"ContractData",A152, "MT_LastBidVolume",, "T"))</f>
        <v/>
      </c>
      <c r="K152" s="145" t="str">
        <f>RTD("cqg.rtd", ,"ContractData",A152, "Bid",, "T")</f>
        <v/>
      </c>
      <c r="L152" s="145"/>
      <c r="M152" s="145" t="str">
        <f>RTD("cqg.rtd", ,"ContractData",A152, "Ask",, "T")</f>
        <v/>
      </c>
      <c r="N152" s="150" t="str">
        <f>IF(RTD("cqg.rtd", ,"ContractData",A152, "MT_LastAskVolume",, "T")=0,"",RTD("cqg.rtd", ,"ContractData",A152, "MT_LastAskVolume",, "T"))</f>
        <v/>
      </c>
      <c r="O152" s="149">
        <f t="shared" si="21"/>
        <v>0</v>
      </c>
      <c r="P152" s="148" t="str">
        <f>IF(B152="","",RTD("cqg.rtd",,"ContractData",A152,"Open",,"T"))</f>
        <v/>
      </c>
      <c r="Q152" s="148" t="str">
        <f>IF(B152="","",RTD("cqg.rtd",,"ContractData",A152,"High",,"T"))</f>
        <v/>
      </c>
      <c r="R152" s="148" t="str">
        <f>IF(B152="","",RTD("cqg.rtd",,"ContractData",A152,"Low",,"T"))</f>
        <v/>
      </c>
      <c r="S152" s="147" t="str">
        <f>IF(RTD("cqg.rtd", ,"ContractData",A152, "T_CVol",, "T")=0,"",RTD("cqg.rtd", ,"ContractData",A152, "T_CVol",, "T"))</f>
        <v/>
      </c>
      <c r="T152" s="147" t="str">
        <f>IF(RTD("cqg.rtd", ,"ContractData",A152, "Y_CVol",, "T")=0,"",RTD("cqg.rtd", ,"ContractData",A152, "Y_CVol",, "T"))</f>
        <v/>
      </c>
      <c r="U152" s="147" t="str">
        <f t="shared" si="22"/>
        <v/>
      </c>
      <c r="V152" s="147" t="str">
        <f>IF(RTD("cqg.rtd",,"StudyData",A152, "OI", "OIType=Contract", "OI","D","-1","ALL",,,"TRUE","T")=0,"",RTD("cqg.rtd",,"StudyData",A152, "OI", "OIType=Contract", "OI","D","-1","ALL",,,"TRUE","T"))</f>
        <v/>
      </c>
      <c r="W152" s="147" t="str">
        <f>IF(RTD("cqg.rtd",,"StudyData",A152, "OI", "OIType=Contract", "OI","D","-2","ALL",,,"TRUE","T")=0,"",RTD("cqg.rtd",,"StudyData",A152, "OI", "OIType=Contract", "OI","D","-2","ALL",,,"TRUE","T"))</f>
        <v/>
      </c>
      <c r="X152" s="146" t="str">
        <f t="shared" si="23"/>
        <v/>
      </c>
      <c r="Y152" s="145" t="str">
        <f>RTD("cqg.rtd", ,"ContractData",A152, "T_Settlement",, "T")</f>
        <v/>
      </c>
      <c r="Z152" s="145">
        <f>RTD("cqg.rtd", ,"ContractData",A152, "Y_Settlement",, "T")</f>
        <v>3.3149999999999999</v>
      </c>
      <c r="AA152" s="144">
        <f>RTD("cqg.rtd", ,"ContractData",A152, "ExpirationDate",, "T")</f>
        <v>47420</v>
      </c>
      <c r="AB152" s="143" t="str">
        <f>RIGHT(RTD("cqg.rtd", ,"ContractData",A152, "LongDescription",, "T"),6)</f>
        <v>Nov 29</v>
      </c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4"/>
      <c r="AM152" s="124"/>
    </row>
    <row r="153" spans="1:39" x14ac:dyDescent="0.3">
      <c r="A153" s="123" t="s">
        <v>45</v>
      </c>
      <c r="B153" s="154" t="str">
        <f>RIGHT(RTD("cqg.rtd", ,"ContractData",A153, "LongDescription",, "T"),6)</f>
        <v>Dec 29</v>
      </c>
      <c r="C153" s="153">
        <f t="shared" si="24"/>
        <v>13</v>
      </c>
      <c r="D153" s="153">
        <f t="shared" si="20"/>
        <v>0</v>
      </c>
      <c r="E153" s="152" t="str">
        <f>IF(B153="","",RTD("cqg.rtd",,"ContractData",A153,"NetLastTradeToday",,"T"))</f>
        <v/>
      </c>
      <c r="F153" s="148" t="str">
        <f>IF(B153="","",RTD("cqg.rtd",,"ContractData",A153,"LastTradeToday",,"T"))</f>
        <v/>
      </c>
      <c r="G153" s="148" t="str">
        <f>IF(B153="","",RTD("cqg.rtd",,"ContractData",A153,"NetLastTradeToday",,"T"))</f>
        <v/>
      </c>
      <c r="H153" s="151" t="str">
        <f>IF(F153="","",MOD(RTD("cqg.rtd", ,"ContractData",A153, "DTLastTrade",, "T"),1))</f>
        <v/>
      </c>
      <c r="I153" s="277"/>
      <c r="J153" s="150" t="str">
        <f>IF(RTD("cqg.rtd", ,"ContractData",A153, "MT_LastBidVolume",, "T")=0,"",RTD("cqg.rtd", ,"ContractData",A153, "MT_LastBidVolume",, "T"))</f>
        <v/>
      </c>
      <c r="K153" s="145" t="str">
        <f>RTD("cqg.rtd", ,"ContractData",A153, "Bid",, "T")</f>
        <v/>
      </c>
      <c r="L153" s="145"/>
      <c r="M153" s="145" t="str">
        <f>RTD("cqg.rtd", ,"ContractData",A153, "Ask",, "T")</f>
        <v/>
      </c>
      <c r="N153" s="150" t="str">
        <f>IF(RTD("cqg.rtd", ,"ContractData",A153, "MT_LastAskVolume",, "T")=0,"",RTD("cqg.rtd", ,"ContractData",A153, "MT_LastAskVolume",, "T"))</f>
        <v/>
      </c>
      <c r="O153" s="149">
        <f t="shared" si="21"/>
        <v>0</v>
      </c>
      <c r="P153" s="148" t="str">
        <f>IF(B153="","",RTD("cqg.rtd",,"ContractData",A153,"Open",,"T"))</f>
        <v/>
      </c>
      <c r="Q153" s="148" t="str">
        <f>IF(B153="","",RTD("cqg.rtd",,"ContractData",A153,"High",,"T"))</f>
        <v/>
      </c>
      <c r="R153" s="148" t="str">
        <f>IF(B153="","",RTD("cqg.rtd",,"ContractData",A153,"Low",,"T"))</f>
        <v/>
      </c>
      <c r="S153" s="147" t="str">
        <f>IF(RTD("cqg.rtd", ,"ContractData",A153, "T_CVol",, "T")=0,"",RTD("cqg.rtd", ,"ContractData",A153, "T_CVol",, "T"))</f>
        <v/>
      </c>
      <c r="T153" s="147" t="str">
        <f>IF(RTD("cqg.rtd", ,"ContractData",A153, "Y_CVol",, "T")=0,"",RTD("cqg.rtd", ,"ContractData",A153, "Y_CVol",, "T"))</f>
        <v/>
      </c>
      <c r="U153" s="147" t="str">
        <f t="shared" si="22"/>
        <v/>
      </c>
      <c r="V153" s="147" t="str">
        <f>IF(RTD("cqg.rtd",,"StudyData",A153, "OI", "OIType=Contract", "OI","D","-1","ALL",,,"TRUE","T")=0,"",RTD("cqg.rtd",,"StudyData",A153, "OI", "OIType=Contract", "OI","D","-1","ALL",,,"TRUE","T"))</f>
        <v/>
      </c>
      <c r="W153" s="147" t="str">
        <f>IF(RTD("cqg.rtd",,"StudyData",A153, "OI", "OIType=Contract", "OI","D","-2","ALL",,,"TRUE","T")=0,"",RTD("cqg.rtd",,"StudyData",A153, "OI", "OIType=Contract", "OI","D","-2","ALL",,,"TRUE","T"))</f>
        <v/>
      </c>
      <c r="X153" s="146" t="str">
        <f t="shared" si="23"/>
        <v/>
      </c>
      <c r="Y153" s="145" t="str">
        <f>RTD("cqg.rtd", ,"ContractData",A153, "T_Settlement",, "T")</f>
        <v/>
      </c>
      <c r="Z153" s="145">
        <f>RTD("cqg.rtd", ,"ContractData",A153, "Y_Settlement",, "T")</f>
        <v>3.4830000000000001</v>
      </c>
      <c r="AA153" s="144">
        <f>RTD("cqg.rtd", ,"ContractData",A153, "ExpirationDate",, "T")</f>
        <v>47450</v>
      </c>
      <c r="AB153" s="143" t="str">
        <f>RIGHT(RTD("cqg.rtd", ,"ContractData",A153, "LongDescription",, "T"),6)</f>
        <v>Dec 29</v>
      </c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  <c r="AM153" s="124"/>
    </row>
    <row r="154" spans="1:39" x14ac:dyDescent="0.3">
      <c r="A154" s="123" t="s">
        <v>44</v>
      </c>
      <c r="B154" s="142" t="str">
        <f>IF(LEN(RTD("cqg.rtd", ,"ContractData",A154, "LongDescription",, "T"))&lt;&gt;28,"",RIGHT(RTD("cqg.rtd", ,"ContractData",A154, "LongDescription",, "T"),6))</f>
        <v/>
      </c>
      <c r="C154" s="141">
        <f t="shared" si="24"/>
        <v>14</v>
      </c>
      <c r="D154" s="141">
        <f t="shared" si="20"/>
        <v>1</v>
      </c>
      <c r="E154" s="140" t="str">
        <f>IF(B154="","",RTD("cqg.rtd",,"ContractData",A154,"NetLastTradeToday",,"T"))</f>
        <v/>
      </c>
      <c r="F154" s="136" t="str">
        <f>IF(B154="","",RTD("cqg.rtd",,"ContractData",A154,"LastTradeToday",,"T"))</f>
        <v/>
      </c>
      <c r="G154" s="136" t="str">
        <f>IF(B154="","",RTD("cqg.rtd",,"ContractData",A154,"NetLastTradeToday",,"T"))</f>
        <v/>
      </c>
      <c r="H154" s="139" t="str">
        <f>IF(B154="","",MOD(RTD("cqg.rtd", ,"ContractData",A154, "DTLastTrade",, "T"),1))</f>
        <v/>
      </c>
      <c r="I154" s="278"/>
      <c r="J154" s="138" t="str">
        <f>IF(B154="","",IF(RTD("cqg.rtd", ,"ContractData",A154, "MT_LastBidVolume",, "T")=0,"",RTD("cqg.rtd", ,"ContractData",A154, "MT_LastBidVolume",, "T")))</f>
        <v/>
      </c>
      <c r="K154" s="133" t="str">
        <f>IF(B154="","",RTD("cqg.rtd", ,"ContractData",A154, "Bid",, "T"))</f>
        <v/>
      </c>
      <c r="L154" s="133"/>
      <c r="M154" s="133" t="str">
        <f>IF(B154="","",RTD("cqg.rtd", ,"ContractData",A154, "Ask",, "T"))</f>
        <v/>
      </c>
      <c r="N154" s="138" t="str">
        <f>IF(B154="","",IF(RTD("cqg.rtd", ,"ContractData",A154, "MT_LastAskVolume",, "T")=0,"",RTD("cqg.rtd", ,"ContractData",A154, "MT_LastAskVolume",, "T")))</f>
        <v/>
      </c>
      <c r="O154" s="137">
        <f t="shared" si="21"/>
        <v>0</v>
      </c>
      <c r="P154" s="136" t="str">
        <f>IF(B154="","",RTD("cqg.rtd",,"ContractData",A154,"Open",,"T"))</f>
        <v/>
      </c>
      <c r="Q154" s="136" t="str">
        <f>IF(B154="","",RTD("cqg.rtd",,"ContractData",A154,"High",,"T"))</f>
        <v/>
      </c>
      <c r="R154" s="136" t="str">
        <f>IF(B154="","",RTD("cqg.rtd",,"ContractData",A154,"Low",,"T"))</f>
        <v/>
      </c>
      <c r="S154" s="135" t="str">
        <f>IF(B154="","",IF(RTD("cqg.rtd", ,"ContractData",A154, "T_CVol",, "T")=0,"",RTD("cqg.rtd", ,"ContractData",A154, "T_CVol",, "T")))</f>
        <v/>
      </c>
      <c r="T154" s="135" t="str">
        <f>IF(B154="","",IF(RTD("cqg.rtd", ,"ContractData",A154, "Y_CVol",, "T")=0,"",RTD("cqg.rtd", ,"ContractData",A154, "Y_CVol",, "T")))</f>
        <v/>
      </c>
      <c r="U154" s="135" t="str">
        <f t="shared" si="22"/>
        <v/>
      </c>
      <c r="V154" s="135" t="str">
        <f>IF(RTD("cqg.rtd",,"StudyData",A154, "OI", "OIType=Contract", "OI","D","-1","ALL",,,"TRUE","T")=0,"",RTD("cqg.rtd",,"StudyData",A154, "OI", "OIType=Contract", "OI","D","-1","ALL",,,"TRUE","T"))</f>
        <v/>
      </c>
      <c r="W154" s="135" t="str">
        <f>IF(RTD("cqg.rtd",,"StudyData",A154, "OI", "OIType=Contract", "OI","D","-2","ALL",,,"TRUE","T")=0,"",RTD("cqg.rtd",,"StudyData",A154, "OI", "OIType=Contract", "OI","D","-2","ALL",,,"TRUE","T"))</f>
        <v/>
      </c>
      <c r="X154" s="134" t="str">
        <f t="shared" si="23"/>
        <v/>
      </c>
      <c r="Y154" s="133" t="str">
        <f>IF(B154="","",RTD("cqg.rtd", ,"ContractData",A154, "T_Settlement",, "T"))</f>
        <v/>
      </c>
      <c r="Z154" s="133" t="str">
        <f>IF(B154="","",RTD("cqg.rtd", ,"ContractData",A154, "Y_Settlement",, "T"))</f>
        <v/>
      </c>
      <c r="AA154" s="132" t="str">
        <f>IF(B154="","",RTD("cqg.rtd", ,"ContractData",A154, "ExpirationDate",, "T"))</f>
        <v/>
      </c>
      <c r="AB154" s="131" t="str">
        <f>IF(B154="","",RIGHT(RTD("cqg.rtd",,"ContractData",A154,"LongDescription",,"T"),6))</f>
        <v/>
      </c>
      <c r="AC154" s="124"/>
      <c r="AD154" s="124"/>
      <c r="AE154" s="124"/>
      <c r="AF154" s="124"/>
      <c r="AG154" s="124"/>
      <c r="AH154" s="124"/>
      <c r="AI154" s="124"/>
      <c r="AJ154" s="124"/>
      <c r="AK154" s="124"/>
      <c r="AL154" s="124"/>
      <c r="AM154" s="124"/>
    </row>
    <row r="155" spans="1:39" x14ac:dyDescent="0.3">
      <c r="B155" s="130" t="s">
        <v>43</v>
      </c>
      <c r="C155" s="129" t="s">
        <v>42</v>
      </c>
      <c r="D155" s="129"/>
      <c r="E155" s="129"/>
      <c r="F155" s="129"/>
      <c r="G155" s="129"/>
      <c r="H155" s="129" t="s">
        <v>19</v>
      </c>
      <c r="I155" s="129"/>
      <c r="J155" s="129"/>
      <c r="K155" s="127"/>
      <c r="L155" s="127"/>
      <c r="M155" s="127"/>
      <c r="N155" s="127"/>
      <c r="O155" s="127"/>
      <c r="P155" s="127"/>
      <c r="Q155" s="127"/>
      <c r="R155" s="128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6"/>
    </row>
    <row r="159" spans="1:39" x14ac:dyDescent="0.3">
      <c r="M159" s="125"/>
    </row>
  </sheetData>
  <sheetProtection algorithmName="SHA-512" hashValue="8uFe2i48qyVRSv8cqpIVBwx5NsRQVrU2vKUeY8QiBGlcIS500Zg1B7G2radpbYcesl3xVJKjaHQa9aRuMNc+Xg==" saltValue="9AuAuD4pdZrxHUX8uhX+eg==" spinCount="100000" sheet="1" objects="1" scenarios="1" selectLockedCells="1" selectUnlockedCells="1"/>
  <mergeCells count="17">
    <mergeCell ref="Y2:AB3"/>
    <mergeCell ref="B2:G3"/>
    <mergeCell ref="AB6:AB7"/>
    <mergeCell ref="Y5:AA5"/>
    <mergeCell ref="H2:X3"/>
    <mergeCell ref="P6:P7"/>
    <mergeCell ref="Q6:Q7"/>
    <mergeCell ref="R6:R7"/>
    <mergeCell ref="U6:U7"/>
    <mergeCell ref="X6:X7"/>
    <mergeCell ref="I8:I154"/>
    <mergeCell ref="P5:X5"/>
    <mergeCell ref="B6:B7"/>
    <mergeCell ref="K6:K7"/>
    <mergeCell ref="M6:M7"/>
    <mergeCell ref="B5:H5"/>
    <mergeCell ref="J5:N5"/>
  </mergeCells>
  <conditionalFormatting sqref="B8">
    <cfRule type="expression" dxfId="158" priority="162">
      <formula>D8=1</formula>
    </cfRule>
  </conditionalFormatting>
  <conditionalFormatting sqref="E8:E154">
    <cfRule type="dataBar" priority="16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{8F128101-747D-4EB7-8AB9-97680F233AE6}</x14:id>
        </ext>
      </extLst>
    </cfRule>
  </conditionalFormatting>
  <conditionalFormatting sqref="P8">
    <cfRule type="expression" dxfId="157" priority="160">
      <formula>O8=1</formula>
    </cfRule>
  </conditionalFormatting>
  <conditionalFormatting sqref="Q8">
    <cfRule type="expression" dxfId="156" priority="159">
      <formula>O8=2</formula>
    </cfRule>
  </conditionalFormatting>
  <conditionalFormatting sqref="R8">
    <cfRule type="expression" dxfId="155" priority="158">
      <formula>O8=3</formula>
    </cfRule>
  </conditionalFormatting>
  <conditionalFormatting sqref="P9:P154">
    <cfRule type="expression" dxfId="154" priority="157">
      <formula>O9=1</formula>
    </cfRule>
  </conditionalFormatting>
  <conditionalFormatting sqref="Q9:Q154">
    <cfRule type="expression" dxfId="153" priority="156">
      <formula>O9=2</formula>
    </cfRule>
  </conditionalFormatting>
  <conditionalFormatting sqref="R9:R154">
    <cfRule type="expression" dxfId="152" priority="155">
      <formula>O9=3</formula>
    </cfRule>
  </conditionalFormatting>
  <conditionalFormatting sqref="K8">
    <cfRule type="expression" dxfId="151" priority="154">
      <formula>K8&lt;&gt;""</formula>
    </cfRule>
  </conditionalFormatting>
  <conditionalFormatting sqref="K9:K154">
    <cfRule type="expression" dxfId="150" priority="153">
      <formula>K9&lt;&gt;""</formula>
    </cfRule>
  </conditionalFormatting>
  <conditionalFormatting sqref="M8">
    <cfRule type="expression" dxfId="149" priority="152">
      <formula>M8&lt;&gt;""</formula>
    </cfRule>
  </conditionalFormatting>
  <conditionalFormatting sqref="M9:M154">
    <cfRule type="expression" dxfId="148" priority="151">
      <formula>M9&lt;&gt;""</formula>
    </cfRule>
  </conditionalFormatting>
  <conditionalFormatting sqref="U8:U154">
    <cfRule type="colorScale" priority="150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X8:X154">
    <cfRule type="colorScale" priority="149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AB8">
    <cfRule type="expression" dxfId="147" priority="148">
      <formula>D8=1</formula>
    </cfRule>
  </conditionalFormatting>
  <conditionalFormatting sqref="AB9:AB154">
    <cfRule type="expression" dxfId="146" priority="147">
      <formula>D9=1</formula>
    </cfRule>
  </conditionalFormatting>
  <conditionalFormatting sqref="B9">
    <cfRule type="expression" dxfId="145" priority="146">
      <formula>D9=1</formula>
    </cfRule>
  </conditionalFormatting>
  <conditionalFormatting sqref="B10">
    <cfRule type="expression" dxfId="144" priority="145">
      <formula>D10=1</formula>
    </cfRule>
  </conditionalFormatting>
  <conditionalFormatting sqref="B11">
    <cfRule type="expression" dxfId="143" priority="144">
      <formula>D11=1</formula>
    </cfRule>
  </conditionalFormatting>
  <conditionalFormatting sqref="B12">
    <cfRule type="expression" dxfId="142" priority="143">
      <formula>D12=1</formula>
    </cfRule>
  </conditionalFormatting>
  <conditionalFormatting sqref="B13">
    <cfRule type="expression" dxfId="141" priority="142">
      <formula>D13=1</formula>
    </cfRule>
  </conditionalFormatting>
  <conditionalFormatting sqref="B14">
    <cfRule type="expression" dxfId="140" priority="141">
      <formula>D14=1</formula>
    </cfRule>
  </conditionalFormatting>
  <conditionalFormatting sqref="B15">
    <cfRule type="expression" dxfId="139" priority="140">
      <formula>D15=1</formula>
    </cfRule>
  </conditionalFormatting>
  <conditionalFormatting sqref="B16">
    <cfRule type="expression" dxfId="138" priority="139">
      <formula>D16=1</formula>
    </cfRule>
  </conditionalFormatting>
  <conditionalFormatting sqref="B17">
    <cfRule type="expression" dxfId="137" priority="138">
      <formula>D17=1</formula>
    </cfRule>
  </conditionalFormatting>
  <conditionalFormatting sqref="B18">
    <cfRule type="expression" dxfId="136" priority="137">
      <formula>D18=1</formula>
    </cfRule>
  </conditionalFormatting>
  <conditionalFormatting sqref="B19">
    <cfRule type="expression" dxfId="135" priority="136">
      <formula>D19=1</formula>
    </cfRule>
  </conditionalFormatting>
  <conditionalFormatting sqref="B20">
    <cfRule type="expression" dxfId="134" priority="135">
      <formula>D20=1</formula>
    </cfRule>
  </conditionalFormatting>
  <conditionalFormatting sqref="B21">
    <cfRule type="expression" dxfId="133" priority="134">
      <formula>D21=1</formula>
    </cfRule>
  </conditionalFormatting>
  <conditionalFormatting sqref="B22">
    <cfRule type="expression" dxfId="132" priority="133">
      <formula>D22=1</formula>
    </cfRule>
  </conditionalFormatting>
  <conditionalFormatting sqref="B23">
    <cfRule type="expression" dxfId="131" priority="132">
      <formula>D23=1</formula>
    </cfRule>
  </conditionalFormatting>
  <conditionalFormatting sqref="B24">
    <cfRule type="expression" dxfId="130" priority="131">
      <formula>D24=1</formula>
    </cfRule>
  </conditionalFormatting>
  <conditionalFormatting sqref="B25">
    <cfRule type="expression" dxfId="129" priority="130">
      <formula>D25=1</formula>
    </cfRule>
  </conditionalFormatting>
  <conditionalFormatting sqref="B26">
    <cfRule type="expression" dxfId="128" priority="129">
      <formula>D26=1</formula>
    </cfRule>
  </conditionalFormatting>
  <conditionalFormatting sqref="B27">
    <cfRule type="expression" dxfId="127" priority="128">
      <formula>D27=1</formula>
    </cfRule>
  </conditionalFormatting>
  <conditionalFormatting sqref="B28">
    <cfRule type="expression" dxfId="126" priority="127">
      <formula>D28=1</formula>
    </cfRule>
  </conditionalFormatting>
  <conditionalFormatting sqref="B29">
    <cfRule type="expression" dxfId="125" priority="126">
      <formula>D29=1</formula>
    </cfRule>
  </conditionalFormatting>
  <conditionalFormatting sqref="B30">
    <cfRule type="expression" dxfId="124" priority="125">
      <formula>D30=1</formula>
    </cfRule>
  </conditionalFormatting>
  <conditionalFormatting sqref="B31">
    <cfRule type="expression" dxfId="123" priority="124">
      <formula>D31=1</formula>
    </cfRule>
  </conditionalFormatting>
  <conditionalFormatting sqref="B32">
    <cfRule type="expression" dxfId="122" priority="123">
      <formula>D32=1</formula>
    </cfRule>
  </conditionalFormatting>
  <conditionalFormatting sqref="B33">
    <cfRule type="expression" dxfId="121" priority="122">
      <formula>D33=1</formula>
    </cfRule>
  </conditionalFormatting>
  <conditionalFormatting sqref="B34">
    <cfRule type="expression" dxfId="120" priority="121">
      <formula>D34=1</formula>
    </cfRule>
  </conditionalFormatting>
  <conditionalFormatting sqref="B35">
    <cfRule type="expression" dxfId="119" priority="120">
      <formula>D35=1</formula>
    </cfRule>
  </conditionalFormatting>
  <conditionalFormatting sqref="B36">
    <cfRule type="expression" dxfId="118" priority="119">
      <formula>D36=1</formula>
    </cfRule>
  </conditionalFormatting>
  <conditionalFormatting sqref="B37">
    <cfRule type="expression" dxfId="117" priority="118">
      <formula>D37=1</formula>
    </cfRule>
  </conditionalFormatting>
  <conditionalFormatting sqref="B38">
    <cfRule type="expression" dxfId="116" priority="117">
      <formula>D38=1</formula>
    </cfRule>
  </conditionalFormatting>
  <conditionalFormatting sqref="B39">
    <cfRule type="expression" dxfId="115" priority="116">
      <formula>D39=1</formula>
    </cfRule>
  </conditionalFormatting>
  <conditionalFormatting sqref="B40">
    <cfRule type="expression" dxfId="114" priority="115">
      <formula>D40=1</formula>
    </cfRule>
  </conditionalFormatting>
  <conditionalFormatting sqref="B41">
    <cfRule type="expression" dxfId="113" priority="114">
      <formula>D41=1</formula>
    </cfRule>
  </conditionalFormatting>
  <conditionalFormatting sqref="B42">
    <cfRule type="expression" dxfId="112" priority="113">
      <formula>D42=1</formula>
    </cfRule>
  </conditionalFormatting>
  <conditionalFormatting sqref="B43">
    <cfRule type="expression" dxfId="111" priority="112">
      <formula>D43=1</formula>
    </cfRule>
  </conditionalFormatting>
  <conditionalFormatting sqref="B44">
    <cfRule type="expression" dxfId="110" priority="111">
      <formula>D44=1</formula>
    </cfRule>
  </conditionalFormatting>
  <conditionalFormatting sqref="B45">
    <cfRule type="expression" dxfId="109" priority="110">
      <formula>D45=1</formula>
    </cfRule>
  </conditionalFormatting>
  <conditionalFormatting sqref="B46">
    <cfRule type="expression" dxfId="108" priority="109">
      <formula>D46=1</formula>
    </cfRule>
  </conditionalFormatting>
  <conditionalFormatting sqref="B47">
    <cfRule type="expression" dxfId="107" priority="108">
      <formula>D47=1</formula>
    </cfRule>
  </conditionalFormatting>
  <conditionalFormatting sqref="B48">
    <cfRule type="expression" dxfId="106" priority="107">
      <formula>D48=1</formula>
    </cfRule>
  </conditionalFormatting>
  <conditionalFormatting sqref="B49">
    <cfRule type="expression" dxfId="105" priority="106">
      <formula>D49=1</formula>
    </cfRule>
  </conditionalFormatting>
  <conditionalFormatting sqref="B50">
    <cfRule type="expression" dxfId="104" priority="105">
      <formula>D50=1</formula>
    </cfRule>
  </conditionalFormatting>
  <conditionalFormatting sqref="B51">
    <cfRule type="expression" dxfId="103" priority="104">
      <formula>D51=1</formula>
    </cfRule>
  </conditionalFormatting>
  <conditionalFormatting sqref="B52">
    <cfRule type="expression" dxfId="102" priority="103">
      <formula>D52=1</formula>
    </cfRule>
  </conditionalFormatting>
  <conditionalFormatting sqref="B53">
    <cfRule type="expression" dxfId="101" priority="102">
      <formula>D53=1</formula>
    </cfRule>
  </conditionalFormatting>
  <conditionalFormatting sqref="B54">
    <cfRule type="expression" dxfId="100" priority="101">
      <formula>D54=1</formula>
    </cfRule>
  </conditionalFormatting>
  <conditionalFormatting sqref="B55">
    <cfRule type="expression" dxfId="99" priority="100">
      <formula>D55=1</formula>
    </cfRule>
  </conditionalFormatting>
  <conditionalFormatting sqref="B56">
    <cfRule type="expression" dxfId="98" priority="99">
      <formula>D56=1</formula>
    </cfRule>
  </conditionalFormatting>
  <conditionalFormatting sqref="B57">
    <cfRule type="expression" dxfId="97" priority="98">
      <formula>D57=1</formula>
    </cfRule>
  </conditionalFormatting>
  <conditionalFormatting sqref="B58">
    <cfRule type="expression" dxfId="96" priority="97">
      <formula>D58=1</formula>
    </cfRule>
  </conditionalFormatting>
  <conditionalFormatting sqref="B59">
    <cfRule type="expression" dxfId="95" priority="96">
      <formula>D59=1</formula>
    </cfRule>
  </conditionalFormatting>
  <conditionalFormatting sqref="B60">
    <cfRule type="expression" dxfId="94" priority="95">
      <formula>D60=1</formula>
    </cfRule>
  </conditionalFormatting>
  <conditionalFormatting sqref="B61">
    <cfRule type="expression" dxfId="93" priority="94">
      <formula>D61=1</formula>
    </cfRule>
  </conditionalFormatting>
  <conditionalFormatting sqref="B62">
    <cfRule type="expression" dxfId="92" priority="93">
      <formula>D62=1</formula>
    </cfRule>
  </conditionalFormatting>
  <conditionalFormatting sqref="B63">
    <cfRule type="expression" dxfId="91" priority="92">
      <formula>D63=1</formula>
    </cfRule>
  </conditionalFormatting>
  <conditionalFormatting sqref="B64">
    <cfRule type="expression" dxfId="90" priority="91">
      <formula>D64=1</formula>
    </cfRule>
  </conditionalFormatting>
  <conditionalFormatting sqref="B65">
    <cfRule type="expression" dxfId="89" priority="90">
      <formula>D65=1</formula>
    </cfRule>
  </conditionalFormatting>
  <conditionalFormatting sqref="B66">
    <cfRule type="expression" dxfId="88" priority="89">
      <formula>D66=1</formula>
    </cfRule>
  </conditionalFormatting>
  <conditionalFormatting sqref="B67">
    <cfRule type="expression" dxfId="87" priority="88">
      <formula>D67=1</formula>
    </cfRule>
  </conditionalFormatting>
  <conditionalFormatting sqref="B68">
    <cfRule type="expression" dxfId="86" priority="87">
      <formula>D68=1</formula>
    </cfRule>
  </conditionalFormatting>
  <conditionalFormatting sqref="B69">
    <cfRule type="expression" dxfId="85" priority="86">
      <formula>D69=1</formula>
    </cfRule>
  </conditionalFormatting>
  <conditionalFormatting sqref="B70">
    <cfRule type="expression" dxfId="84" priority="85">
      <formula>D70=1</formula>
    </cfRule>
  </conditionalFormatting>
  <conditionalFormatting sqref="B71">
    <cfRule type="expression" dxfId="83" priority="84">
      <formula>D71=1</formula>
    </cfRule>
  </conditionalFormatting>
  <conditionalFormatting sqref="B72">
    <cfRule type="expression" dxfId="82" priority="83">
      <formula>D72=1</formula>
    </cfRule>
  </conditionalFormatting>
  <conditionalFormatting sqref="B73">
    <cfRule type="expression" dxfId="81" priority="82">
      <formula>D73=1</formula>
    </cfRule>
  </conditionalFormatting>
  <conditionalFormatting sqref="B74">
    <cfRule type="expression" dxfId="80" priority="81">
      <formula>D74=1</formula>
    </cfRule>
  </conditionalFormatting>
  <conditionalFormatting sqref="B75">
    <cfRule type="expression" dxfId="79" priority="80">
      <formula>D75=1</formula>
    </cfRule>
  </conditionalFormatting>
  <conditionalFormatting sqref="B76">
    <cfRule type="expression" dxfId="78" priority="79">
      <formula>D76=1</formula>
    </cfRule>
  </conditionalFormatting>
  <conditionalFormatting sqref="B77">
    <cfRule type="expression" dxfId="77" priority="78">
      <formula>D77=1</formula>
    </cfRule>
  </conditionalFormatting>
  <conditionalFormatting sqref="B78">
    <cfRule type="expression" dxfId="76" priority="77">
      <formula>D78=1</formula>
    </cfRule>
  </conditionalFormatting>
  <conditionalFormatting sqref="B79">
    <cfRule type="expression" dxfId="75" priority="76">
      <formula>D79=1</formula>
    </cfRule>
  </conditionalFormatting>
  <conditionalFormatting sqref="B80">
    <cfRule type="expression" dxfId="74" priority="75">
      <formula>D80=1</formula>
    </cfRule>
  </conditionalFormatting>
  <conditionalFormatting sqref="B81">
    <cfRule type="expression" dxfId="73" priority="74">
      <formula>D81=1</formula>
    </cfRule>
  </conditionalFormatting>
  <conditionalFormatting sqref="B82">
    <cfRule type="expression" dxfId="72" priority="73">
      <formula>D82=1</formula>
    </cfRule>
  </conditionalFormatting>
  <conditionalFormatting sqref="B83">
    <cfRule type="expression" dxfId="71" priority="72">
      <formula>D83=1</formula>
    </cfRule>
  </conditionalFormatting>
  <conditionalFormatting sqref="B84">
    <cfRule type="expression" dxfId="70" priority="71">
      <formula>D84=1</formula>
    </cfRule>
  </conditionalFormatting>
  <conditionalFormatting sqref="B85">
    <cfRule type="expression" dxfId="69" priority="70">
      <formula>D85=1</formula>
    </cfRule>
  </conditionalFormatting>
  <conditionalFormatting sqref="B86">
    <cfRule type="expression" dxfId="68" priority="69">
      <formula>D86=1</formula>
    </cfRule>
  </conditionalFormatting>
  <conditionalFormatting sqref="B87">
    <cfRule type="expression" dxfId="67" priority="68">
      <formula>D87=1</formula>
    </cfRule>
  </conditionalFormatting>
  <conditionalFormatting sqref="B88">
    <cfRule type="expression" dxfId="66" priority="67">
      <formula>D88=1</formula>
    </cfRule>
  </conditionalFormatting>
  <conditionalFormatting sqref="B89">
    <cfRule type="expression" dxfId="65" priority="66">
      <formula>D89=1</formula>
    </cfRule>
  </conditionalFormatting>
  <conditionalFormatting sqref="B90">
    <cfRule type="expression" dxfId="64" priority="65">
      <formula>D90=1</formula>
    </cfRule>
  </conditionalFormatting>
  <conditionalFormatting sqref="B91">
    <cfRule type="expression" dxfId="63" priority="64">
      <formula>D91=1</formula>
    </cfRule>
  </conditionalFormatting>
  <conditionalFormatting sqref="B92">
    <cfRule type="expression" dxfId="62" priority="63">
      <formula>D92=1</formula>
    </cfRule>
  </conditionalFormatting>
  <conditionalFormatting sqref="B93">
    <cfRule type="expression" dxfId="61" priority="62">
      <formula>D93=1</formula>
    </cfRule>
  </conditionalFormatting>
  <conditionalFormatting sqref="B94">
    <cfRule type="expression" dxfId="60" priority="61">
      <formula>D94=1</formula>
    </cfRule>
  </conditionalFormatting>
  <conditionalFormatting sqref="B95">
    <cfRule type="expression" dxfId="59" priority="60">
      <formula>D95=1</formula>
    </cfRule>
  </conditionalFormatting>
  <conditionalFormatting sqref="B96">
    <cfRule type="expression" dxfId="58" priority="59">
      <formula>D96=1</formula>
    </cfRule>
  </conditionalFormatting>
  <conditionalFormatting sqref="B97">
    <cfRule type="expression" dxfId="57" priority="58">
      <formula>D97=1</formula>
    </cfRule>
  </conditionalFormatting>
  <conditionalFormatting sqref="B98">
    <cfRule type="expression" dxfId="56" priority="57">
      <formula>D98=1</formula>
    </cfRule>
  </conditionalFormatting>
  <conditionalFormatting sqref="B99">
    <cfRule type="expression" dxfId="55" priority="56">
      <formula>D99=1</formula>
    </cfRule>
  </conditionalFormatting>
  <conditionalFormatting sqref="B100">
    <cfRule type="expression" dxfId="54" priority="55">
      <formula>D100=1</formula>
    </cfRule>
  </conditionalFormatting>
  <conditionalFormatting sqref="B101">
    <cfRule type="expression" dxfId="53" priority="54">
      <formula>D101=1</formula>
    </cfRule>
  </conditionalFormatting>
  <conditionalFormatting sqref="B102">
    <cfRule type="expression" dxfId="52" priority="53">
      <formula>D102=1</formula>
    </cfRule>
  </conditionalFormatting>
  <conditionalFormatting sqref="B103">
    <cfRule type="expression" dxfId="51" priority="52">
      <formula>D103=1</formula>
    </cfRule>
  </conditionalFormatting>
  <conditionalFormatting sqref="B104">
    <cfRule type="expression" dxfId="50" priority="51">
      <formula>D104=1</formula>
    </cfRule>
  </conditionalFormatting>
  <conditionalFormatting sqref="B105">
    <cfRule type="expression" dxfId="49" priority="50">
      <formula>D105=1</formula>
    </cfRule>
  </conditionalFormatting>
  <conditionalFormatting sqref="B106">
    <cfRule type="expression" dxfId="48" priority="49">
      <formula>D106=1</formula>
    </cfRule>
  </conditionalFormatting>
  <conditionalFormatting sqref="B107">
    <cfRule type="expression" dxfId="47" priority="48">
      <formula>D107=1</formula>
    </cfRule>
  </conditionalFormatting>
  <conditionalFormatting sqref="B108">
    <cfRule type="expression" dxfId="46" priority="47">
      <formula>D108=1</formula>
    </cfRule>
  </conditionalFormatting>
  <conditionalFormatting sqref="B109">
    <cfRule type="expression" dxfId="45" priority="46">
      <formula>D109=1</formula>
    </cfRule>
  </conditionalFormatting>
  <conditionalFormatting sqref="B110">
    <cfRule type="expression" dxfId="44" priority="45">
      <formula>D110=1</formula>
    </cfRule>
  </conditionalFormatting>
  <conditionalFormatting sqref="B111">
    <cfRule type="expression" dxfId="43" priority="44">
      <formula>D111=1</formula>
    </cfRule>
  </conditionalFormatting>
  <conditionalFormatting sqref="B112">
    <cfRule type="expression" dxfId="42" priority="43">
      <formula>D112=1</formula>
    </cfRule>
  </conditionalFormatting>
  <conditionalFormatting sqref="B113">
    <cfRule type="expression" dxfId="41" priority="42">
      <formula>D113=1</formula>
    </cfRule>
  </conditionalFormatting>
  <conditionalFormatting sqref="B114">
    <cfRule type="expression" dxfId="40" priority="41">
      <formula>D114=1</formula>
    </cfRule>
  </conditionalFormatting>
  <conditionalFormatting sqref="B115">
    <cfRule type="expression" dxfId="39" priority="40">
      <formula>D115=1</formula>
    </cfRule>
  </conditionalFormatting>
  <conditionalFormatting sqref="B116">
    <cfRule type="expression" dxfId="38" priority="39">
      <formula>D116=1</formula>
    </cfRule>
  </conditionalFormatting>
  <conditionalFormatting sqref="B117">
    <cfRule type="expression" dxfId="37" priority="38">
      <formula>D117=1</formula>
    </cfRule>
  </conditionalFormatting>
  <conditionalFormatting sqref="B118">
    <cfRule type="expression" dxfId="36" priority="37">
      <formula>D118=1</formula>
    </cfRule>
  </conditionalFormatting>
  <conditionalFormatting sqref="B119">
    <cfRule type="expression" dxfId="35" priority="36">
      <formula>D119=1</formula>
    </cfRule>
  </conditionalFormatting>
  <conditionalFormatting sqref="B120">
    <cfRule type="expression" dxfId="34" priority="35">
      <formula>D120=1</formula>
    </cfRule>
  </conditionalFormatting>
  <conditionalFormatting sqref="B121">
    <cfRule type="expression" dxfId="33" priority="34">
      <formula>D121=1</formula>
    </cfRule>
  </conditionalFormatting>
  <conditionalFormatting sqref="B122">
    <cfRule type="expression" dxfId="32" priority="33">
      <formula>D122=1</formula>
    </cfRule>
  </conditionalFormatting>
  <conditionalFormatting sqref="B123">
    <cfRule type="expression" dxfId="31" priority="32">
      <formula>D123=1</formula>
    </cfRule>
  </conditionalFormatting>
  <conditionalFormatting sqref="B124">
    <cfRule type="expression" dxfId="30" priority="31">
      <formula>D124=1</formula>
    </cfRule>
  </conditionalFormatting>
  <conditionalFormatting sqref="B125">
    <cfRule type="expression" dxfId="29" priority="30">
      <formula>D125=1</formula>
    </cfRule>
  </conditionalFormatting>
  <conditionalFormatting sqref="B126">
    <cfRule type="expression" dxfId="28" priority="29">
      <formula>D126=1</formula>
    </cfRule>
  </conditionalFormatting>
  <conditionalFormatting sqref="B127">
    <cfRule type="expression" dxfId="27" priority="28">
      <formula>D127=1</formula>
    </cfRule>
  </conditionalFormatting>
  <conditionalFormatting sqref="B128">
    <cfRule type="expression" dxfId="26" priority="27">
      <formula>D128=1</formula>
    </cfRule>
  </conditionalFormatting>
  <conditionalFormatting sqref="B129">
    <cfRule type="expression" dxfId="25" priority="26">
      <formula>D129=1</formula>
    </cfRule>
  </conditionalFormatting>
  <conditionalFormatting sqref="B130">
    <cfRule type="expression" dxfId="24" priority="25">
      <formula>D130=1</formula>
    </cfRule>
  </conditionalFormatting>
  <conditionalFormatting sqref="B131">
    <cfRule type="expression" dxfId="23" priority="24">
      <formula>D131=1</formula>
    </cfRule>
  </conditionalFormatting>
  <conditionalFormatting sqref="B132">
    <cfRule type="expression" dxfId="22" priority="23">
      <formula>D132=1</formula>
    </cfRule>
  </conditionalFormatting>
  <conditionalFormatting sqref="B133">
    <cfRule type="expression" dxfId="21" priority="22">
      <formula>D133=1</formula>
    </cfRule>
  </conditionalFormatting>
  <conditionalFormatting sqref="B134">
    <cfRule type="expression" dxfId="20" priority="21">
      <formula>D134=1</formula>
    </cfRule>
  </conditionalFormatting>
  <conditionalFormatting sqref="B135">
    <cfRule type="expression" dxfId="19" priority="20">
      <formula>D135=1</formula>
    </cfRule>
  </conditionalFormatting>
  <conditionalFormatting sqref="B136">
    <cfRule type="expression" dxfId="18" priority="19">
      <formula>D136=1</formula>
    </cfRule>
  </conditionalFormatting>
  <conditionalFormatting sqref="B137">
    <cfRule type="expression" dxfId="17" priority="18">
      <formula>D137=1</formula>
    </cfRule>
  </conditionalFormatting>
  <conditionalFormatting sqref="B138">
    <cfRule type="expression" dxfId="16" priority="17">
      <formula>D138=1</formula>
    </cfRule>
  </conditionalFormatting>
  <conditionalFormatting sqref="B139">
    <cfRule type="expression" dxfId="15" priority="16">
      <formula>D139=1</formula>
    </cfRule>
  </conditionalFormatting>
  <conditionalFormatting sqref="B140">
    <cfRule type="expression" dxfId="14" priority="15">
      <formula>D140=1</formula>
    </cfRule>
  </conditionalFormatting>
  <conditionalFormatting sqref="B141">
    <cfRule type="expression" dxfId="13" priority="14">
      <formula>D141=1</formula>
    </cfRule>
  </conditionalFormatting>
  <conditionalFormatting sqref="B142">
    <cfRule type="expression" dxfId="12" priority="13">
      <formula>D142=1</formula>
    </cfRule>
  </conditionalFormatting>
  <conditionalFormatting sqref="B143">
    <cfRule type="expression" dxfId="11" priority="12">
      <formula>D143=1</formula>
    </cfRule>
  </conditionalFormatting>
  <conditionalFormatting sqref="B144">
    <cfRule type="expression" dxfId="10" priority="11">
      <formula>D144=1</formula>
    </cfRule>
  </conditionalFormatting>
  <conditionalFormatting sqref="B145">
    <cfRule type="expression" dxfId="9" priority="10">
      <formula>D145=1</formula>
    </cfRule>
  </conditionalFormatting>
  <conditionalFormatting sqref="B146">
    <cfRule type="expression" dxfId="8" priority="9">
      <formula>D146=1</formula>
    </cfRule>
  </conditionalFormatting>
  <conditionalFormatting sqref="B147">
    <cfRule type="expression" dxfId="7" priority="8">
      <formula>D147=1</formula>
    </cfRule>
  </conditionalFormatting>
  <conditionalFormatting sqref="B148">
    <cfRule type="expression" dxfId="6" priority="7">
      <formula>D148=1</formula>
    </cfRule>
  </conditionalFormatting>
  <conditionalFormatting sqref="B149">
    <cfRule type="expression" dxfId="5" priority="6">
      <formula>D149=1</formula>
    </cfRule>
  </conditionalFormatting>
  <conditionalFormatting sqref="B150">
    <cfRule type="expression" dxfId="4" priority="5">
      <formula>D150=1</formula>
    </cfRule>
  </conditionalFormatting>
  <conditionalFormatting sqref="B151">
    <cfRule type="expression" dxfId="3" priority="4">
      <formula>D151=1</formula>
    </cfRule>
  </conditionalFormatting>
  <conditionalFormatting sqref="B152">
    <cfRule type="expression" dxfId="2" priority="3">
      <formula>D152=1</formula>
    </cfRule>
  </conditionalFormatting>
  <conditionalFormatting sqref="B153">
    <cfRule type="expression" dxfId="1" priority="2">
      <formula>D153=1</formula>
    </cfRule>
  </conditionalFormatting>
  <conditionalFormatting sqref="B154">
    <cfRule type="expression" dxfId="0" priority="1">
      <formula>D154=1</formula>
    </cfRule>
  </conditionalFormatting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128101-747D-4EB7-8AB9-97680F233A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E8:E154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56"/>
    <col min="18" max="18" width="14.375" style="256" customWidth="1"/>
    <col min="19" max="19" width="9" style="256"/>
    <col min="20" max="20" width="15.25" style="256" customWidth="1"/>
    <col min="21" max="21" width="17.75" style="256" customWidth="1"/>
    <col min="22" max="22" width="11.25" style="256" customWidth="1"/>
    <col min="23" max="23" width="40" style="256" customWidth="1"/>
    <col min="24" max="24" width="12.875" style="256" customWidth="1"/>
    <col min="25" max="16384" width="9" style="256"/>
  </cols>
  <sheetData>
    <row r="1" spans="1:38" x14ac:dyDescent="0.2">
      <c r="A1" s="255"/>
      <c r="B1" s="255"/>
      <c r="C1" s="255" t="s">
        <v>2</v>
      </c>
      <c r="D1" s="256">
        <v>5</v>
      </c>
      <c r="E1" s="256">
        <v>2</v>
      </c>
      <c r="F1" s="256">
        <v>3</v>
      </c>
      <c r="G1" s="256">
        <v>4</v>
      </c>
      <c r="H1" s="256">
        <v>5</v>
      </c>
      <c r="I1" s="256">
        <v>6</v>
      </c>
      <c r="J1" s="256">
        <v>7</v>
      </c>
      <c r="K1" s="256">
        <v>8</v>
      </c>
      <c r="L1" s="256">
        <v>9</v>
      </c>
      <c r="M1" s="256">
        <v>10</v>
      </c>
      <c r="N1" s="256">
        <v>11</v>
      </c>
      <c r="O1" s="256">
        <v>12</v>
      </c>
      <c r="P1" s="257"/>
      <c r="Q1" s="258" t="s">
        <v>30</v>
      </c>
      <c r="R1" s="259" t="s">
        <v>3</v>
      </c>
      <c r="S1" s="259" t="s">
        <v>0</v>
      </c>
      <c r="T1" s="259" t="s">
        <v>1</v>
      </c>
      <c r="U1" s="257" t="s">
        <v>4</v>
      </c>
      <c r="V1" s="257"/>
      <c r="W1" s="259" t="s">
        <v>3</v>
      </c>
      <c r="X1" s="257" t="s">
        <v>4</v>
      </c>
      <c r="Y1" s="259" t="s">
        <v>0</v>
      </c>
      <c r="Z1" s="259" t="s">
        <v>1</v>
      </c>
      <c r="AA1" s="257" t="s">
        <v>5</v>
      </c>
      <c r="AB1" s="257" t="s">
        <v>5</v>
      </c>
      <c r="AC1" s="260"/>
      <c r="AD1" s="257" t="s">
        <v>5</v>
      </c>
    </row>
    <row r="2" spans="1:38" x14ac:dyDescent="0.2">
      <c r="A2" s="255" t="str">
        <f>Q2</f>
        <v>NGEX7</v>
      </c>
      <c r="B2" s="255" t="str">
        <f>RTD("cqg.rtd", ,"ContractData",A2, "ContractMonth")</f>
        <v>NOV</v>
      </c>
      <c r="C2" s="261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56" t="str">
        <f>$Q$1&amp;$C$1&amp;$D$1&amp;$C2</f>
        <v>NGES5X7</v>
      </c>
      <c r="E2" s="256" t="str">
        <f>$Q$1&amp;$C$1&amp;$D$1&amp;$C3</f>
        <v>NGES5Z7</v>
      </c>
      <c r="F2" s="256" t="str">
        <f>$Q$1&amp;$C$1&amp;$D$1&amp;$C4</f>
        <v>NGES5F8</v>
      </c>
      <c r="G2" s="256" t="str">
        <f>$Q$1&amp;$C$1&amp;$D$1&amp;$C5</f>
        <v>NGES5G8</v>
      </c>
      <c r="H2" s="256" t="str">
        <f>$Q$1&amp;$C$1&amp;$D$1&amp;$C6</f>
        <v>NGES5H8</v>
      </c>
      <c r="I2" s="256" t="str">
        <f>$Q$1&amp;$C$1&amp;$D$1&amp;$C7</f>
        <v>NGES5J8</v>
      </c>
      <c r="J2" s="256" t="str">
        <f>$Q$1&amp;$C$1&amp;$D$1&amp;$C8</f>
        <v>NGES5K8</v>
      </c>
      <c r="K2" s="256" t="str">
        <f>$Q$1&amp;$C$1&amp;$D$1&amp;$C9</f>
        <v>NGES5M8</v>
      </c>
      <c r="L2" s="256" t="str">
        <f>$Q$1&amp;$C$1&amp;$D$1&amp;$C10</f>
        <v>NGES5N8</v>
      </c>
      <c r="M2" s="256" t="str">
        <f>$Q$1&amp;$C$1&amp;$D$1&amp;$C11</f>
        <v>NGES5Q8</v>
      </c>
      <c r="N2" s="256" t="str">
        <f>$Q$1&amp;$C$1&amp;$D$1&amp;$C12</f>
        <v>NGES5U8</v>
      </c>
      <c r="O2" s="256" t="str">
        <f>$Q$1&amp;$C$1&amp;$D$1&amp;$C13</f>
        <v>NGES5V8</v>
      </c>
      <c r="P2" s="257" t="str">
        <f>LEFT(RIGHT(Q2,2),1)</f>
        <v>X</v>
      </c>
      <c r="Q2" s="262" t="str">
        <f>RTD("cqg.rtd", ,"ContractData", $Q$1&amp;"?"&amp;R35, "Symbol")</f>
        <v>NGEX7</v>
      </c>
      <c r="R2" s="263">
        <f>RTD("cqg.rtd", ,"ContractData", Q2, $R$1,,"T")</f>
        <v>2.8970000000000002</v>
      </c>
      <c r="S2" s="263">
        <f>RTD("cqg.rtd", ,"ContractData", Q2,$S$1,,"T")</f>
        <v>2.8959999999999999</v>
      </c>
      <c r="T2" s="263">
        <f>RTD("cqg.rtd", ,"ContractData", Q2,$T$1,,"T")</f>
        <v>2.8970000000000002</v>
      </c>
      <c r="U2" s="260">
        <f>RTD("cqg.rtd", ,"ContractData", "F."&amp;$Q$1&amp;"?1", $U$1,,"T")</f>
        <v>-2.6000000000000002E-2</v>
      </c>
      <c r="V2" s="257" t="str">
        <f>D2</f>
        <v>NGES5X7</v>
      </c>
      <c r="W2" s="260">
        <f>RTD("cqg.rtd", ,"ContractData", V2, $W$1,,"T")</f>
        <v>-2.9000000000000001E-2</v>
      </c>
      <c r="X2" s="260">
        <f>RTD("cqg.rtd", ,"ContractData", V2, $X$1,,"T")</f>
        <v>-1.3000000000000001E-2</v>
      </c>
      <c r="Y2" s="260">
        <f>RTD("cqg.rtd", ,"ContractData",V2,$Y$1,,"T")</f>
        <v>-2.9000000000000001E-2</v>
      </c>
      <c r="Z2" s="260">
        <f>RTD("cqg.rtd", ,"ContractData", V2,$Z$1,,"T")</f>
        <v>-2.8000000000000001E-2</v>
      </c>
      <c r="AA2" s="260">
        <f>IF(OR(W2="",W2&lt;Y2,W2&gt;Z2),(Y2+Z2)/2,W2)</f>
        <v>-2.9000000000000001E-2</v>
      </c>
      <c r="AB2" s="260">
        <f t="shared" ref="AB2:AB13" si="0">IF(OR(S2="",T2=""),R2,(IF(OR(R2="",R2&lt;S2,R2&gt;T2),(S2+T2)/2,R2)))</f>
        <v>2.8970000000000002</v>
      </c>
      <c r="AC2" s="260">
        <f>IF(OR(R2="",R2&lt;S2,R2&gt;T2),(S2+T2)/2,R2)</f>
        <v>2.8970000000000002</v>
      </c>
      <c r="AD2" s="260">
        <f>IF(OR(Y2="",Z2=""),W2,(IF(OR(W2="",W2&lt;Y2,W2&gt;Z2),(Y2+Z2)/2,W2)))</f>
        <v>-2.9000000000000001E-2</v>
      </c>
      <c r="AF2" s="256">
        <f>IF(ISERROR(AC2),NA(),AC2)</f>
        <v>2.8970000000000002</v>
      </c>
      <c r="AG2" s="256">
        <f>IF(AD2="",NA(),AD2)</f>
        <v>-2.9000000000000001E-2</v>
      </c>
      <c r="AH2" s="256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56" t="str">
        <f>RIGHT(RTD("cqg.rtd",,"ContractData",V2,"LongDescription",,"T"),14)</f>
        <v>Nov 17, Apr 18</v>
      </c>
      <c r="AJ2" s="256">
        <f>RTD("cqg.rtd", ,"ContractData",Q2, "Settlement",,"T")</f>
        <v>2.923</v>
      </c>
      <c r="AK2" s="256">
        <f>RTD("cqg.rtd", ,"ContractData",V2, "Settlement",,"T")</f>
        <v>-1.6E-2</v>
      </c>
      <c r="AL2" s="256">
        <f>IF(AJ2="",NA(),AJ2)</f>
        <v>2.923</v>
      </c>
    </row>
    <row r="3" spans="1:38" x14ac:dyDescent="0.2">
      <c r="A3" s="255" t="str">
        <f t="shared" ref="A3:A13" si="1">Q3</f>
        <v>NGEZ7</v>
      </c>
      <c r="B3" s="255" t="str">
        <f>RTD("cqg.rtd", ,"ContractData",A3, "ContractMonth")</f>
        <v>DEC</v>
      </c>
      <c r="C3" s="261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56" t="str">
        <f t="shared" ref="D3:D13" si="3">$Q$1&amp;$C$1&amp;$D$1&amp;$C3</f>
        <v>NGES5Z7</v>
      </c>
      <c r="P3" s="257" t="str">
        <f t="shared" ref="P3:P13" si="4">LEFT(RIGHT(Q3,2),1)</f>
        <v>Z</v>
      </c>
      <c r="Q3" s="262" t="str">
        <f>RTD("cqg.rtd", ,"ContractData", $Q$1&amp;"?"&amp;R36, "Symbol")</f>
        <v>NGEZ7</v>
      </c>
      <c r="R3" s="263">
        <f>RTD("cqg.rtd", ,"ContractData", Q3, $R$1,,"T")</f>
        <v>3.0710000000000002</v>
      </c>
      <c r="S3" s="263">
        <f>RTD("cqg.rtd", ,"ContractData", Q3,$S$1,,"T")</f>
        <v>3.069</v>
      </c>
      <c r="T3" s="263">
        <f>RTD("cqg.rtd", ,"ContractData", Q3,$T$1,,"T")</f>
        <v>3.0710000000000002</v>
      </c>
      <c r="U3" s="260">
        <f>RTD("cqg.rtd", ,"ContractData", "F."&amp;$Q$1&amp;"?2",  $U$1,,"T")</f>
        <v>-3.2000000000000001E-2</v>
      </c>
      <c r="V3" s="257" t="str">
        <f>E2</f>
        <v>NGES5Z7</v>
      </c>
      <c r="W3" s="260">
        <f>RTD("cqg.rtd", ,"ContractData", V3, $W$1,,"T")</f>
        <v>0.17200000000000001</v>
      </c>
      <c r="X3" s="260">
        <f>RTD("cqg.rtd", ,"ContractData", V3, $X$1,,"T")</f>
        <v>-2.1000000000000001E-2</v>
      </c>
      <c r="Y3" s="260">
        <f>RTD("cqg.rtd", ,"ContractData",V3,$Y$1,,"T")</f>
        <v>0.16800000000000001</v>
      </c>
      <c r="Z3" s="260">
        <f>RTD("cqg.rtd", ,"ContractData", V3,$Z$1,,"T")</f>
        <v>0.17100000000000001</v>
      </c>
      <c r="AA3" s="260">
        <f t="shared" ref="AA3:AA13" si="5">IF(OR(W3="",W3&lt;Y3,W3&gt;Z3),(Y3+Z3)/2,W3)</f>
        <v>0.16950000000000001</v>
      </c>
      <c r="AB3" s="260">
        <f t="shared" si="0"/>
        <v>3.0710000000000002</v>
      </c>
      <c r="AC3" s="260">
        <f>IF(OR(R3="",R3&lt;S3,R3&gt;T3),(S3+T3)/2,R3)</f>
        <v>3.0710000000000002</v>
      </c>
      <c r="AD3" s="260">
        <f t="shared" ref="AD3:AD13" si="6">IF(OR(Y3="",Z3=""),W3,(IF(OR(W3="",W3&lt;Y3,W3&gt;Z3),(Y3+Z3)/2,W3)))</f>
        <v>0.16950000000000001</v>
      </c>
      <c r="AF3" s="256">
        <f t="shared" ref="AF3:AF13" si="7">IF(ISERROR(AC3),NA(),AC3)</f>
        <v>3.0710000000000002</v>
      </c>
      <c r="AG3" s="256">
        <f>IF(AD3="",NA(),AD3)</f>
        <v>0.16950000000000001</v>
      </c>
      <c r="AH3" s="256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56" t="str">
        <f>RIGHT(RTD("cqg.rtd",,"ContractData",V3,"LongDescription",,"T"),14)</f>
        <v>Dec 17, May 18</v>
      </c>
      <c r="AJ3" s="256">
        <f>RTD("cqg.rtd", ,"ContractData",Q3, "Settlement",,"T")</f>
        <v>3.1030000000000002</v>
      </c>
      <c r="AK3" s="256">
        <f>RTD("cqg.rtd", ,"ContractData",V3, "Settlement",,"T")</f>
        <v>0.192</v>
      </c>
      <c r="AL3" s="256">
        <f t="shared" ref="AL3:AL13" si="9">IF(AJ3="",NA(),AJ3)</f>
        <v>3.1030000000000002</v>
      </c>
    </row>
    <row r="4" spans="1:38" x14ac:dyDescent="0.2">
      <c r="A4" s="255" t="str">
        <f t="shared" si="1"/>
        <v>NGEF8</v>
      </c>
      <c r="B4" s="255" t="str">
        <f>RTD("cqg.rtd", ,"ContractData",A4, "ContractMonth")</f>
        <v>JAN</v>
      </c>
      <c r="C4" s="261" t="str">
        <f t="shared" si="2"/>
        <v>F8</v>
      </c>
      <c r="D4" s="256" t="str">
        <f t="shared" si="3"/>
        <v>NGES5F8</v>
      </c>
      <c r="P4" s="257" t="str">
        <f t="shared" si="4"/>
        <v>F</v>
      </c>
      <c r="Q4" s="262" t="str">
        <f>RTD("cqg.rtd", ,"ContractData", $Q$1&amp;"?"&amp;R37, "Symbol")</f>
        <v>NGEF8</v>
      </c>
      <c r="R4" s="263">
        <f>RTD("cqg.rtd", ,"ContractData", Q4, $R$1,,"T")</f>
        <v>3.1970000000000001</v>
      </c>
      <c r="S4" s="263">
        <f>RTD("cqg.rtd", ,"ContractData", Q4,$S$1,,"T")</f>
        <v>3.1960000000000002</v>
      </c>
      <c r="T4" s="263">
        <f>RTD("cqg.rtd", ,"ContractData", Q4,$T$1,,"T")</f>
        <v>3.1970000000000001</v>
      </c>
      <c r="U4" s="260">
        <f>RTD("cqg.rtd", ,"ContractData", "F."&amp;$Q$1&amp;"?3",  $U$1,,"T")</f>
        <v>-3.3000000000000002E-2</v>
      </c>
      <c r="V4" s="257" t="str">
        <f>F2</f>
        <v>NGES5F8</v>
      </c>
      <c r="W4" s="260">
        <f>RTD("cqg.rtd", ,"ContractData", V4, $W$1,,"T")</f>
        <v>0.27</v>
      </c>
      <c r="X4" s="260">
        <f>RTD("cqg.rtd", ,"ContractData", V4, $X$1,,"T")</f>
        <v>-2.6000000000000002E-2</v>
      </c>
      <c r="Y4" s="260">
        <f>RTD("cqg.rtd", ,"ContractData",V4,$Y$1,,"T")</f>
        <v>0.26500000000000001</v>
      </c>
      <c r="Z4" s="260">
        <f>RTD("cqg.rtd", ,"ContractData", V4,$Z$1,,"T")</f>
        <v>0.26800000000000002</v>
      </c>
      <c r="AA4" s="260">
        <f t="shared" si="5"/>
        <v>0.26650000000000001</v>
      </c>
      <c r="AB4" s="260">
        <f t="shared" si="0"/>
        <v>3.1970000000000001</v>
      </c>
      <c r="AC4" s="260">
        <f t="shared" ref="AC4:AC13" si="10">IF(OR(R4="",R4&lt;S4,R4&gt;T4),(S4+T4)/2,R4)</f>
        <v>3.1970000000000001</v>
      </c>
      <c r="AD4" s="260">
        <f t="shared" si="6"/>
        <v>0.26650000000000001</v>
      </c>
      <c r="AF4" s="256">
        <f t="shared" si="7"/>
        <v>3.1970000000000001</v>
      </c>
      <c r="AG4" s="256">
        <f>IF(AD4="",NA(),AD4)</f>
        <v>0.26650000000000001</v>
      </c>
      <c r="AH4" s="256" t="str">
        <f t="shared" si="8"/>
        <v>JAN</v>
      </c>
      <c r="AI4" s="256" t="str">
        <f>RIGHT(RTD("cqg.rtd",,"ContractData",V4,"LongDescription",,"T"),14)</f>
        <v>Jan 18, Jun 18</v>
      </c>
      <c r="AJ4" s="256">
        <f>RTD("cqg.rtd", ,"ContractData",Q4, "Settlement",,"T")</f>
        <v>3.23</v>
      </c>
      <c r="AK4" s="256">
        <f>RTD("cqg.rtd", ,"ContractData",V4, "Settlement",,"T")</f>
        <v>0.29099999999999998</v>
      </c>
      <c r="AL4" s="256">
        <f t="shared" si="9"/>
        <v>3.23</v>
      </c>
    </row>
    <row r="5" spans="1:38" x14ac:dyDescent="0.2">
      <c r="A5" s="255" t="str">
        <f t="shared" si="1"/>
        <v>NGEG8</v>
      </c>
      <c r="B5" s="255" t="str">
        <f>RTD("cqg.rtd", ,"ContractData",A5, "ContractMonth")</f>
        <v>FEB</v>
      </c>
      <c r="C5" s="261" t="str">
        <f t="shared" si="2"/>
        <v>G8</v>
      </c>
      <c r="D5" s="256" t="str">
        <f t="shared" si="3"/>
        <v>NGES5G8</v>
      </c>
      <c r="P5" s="257" t="str">
        <f t="shared" si="4"/>
        <v>G</v>
      </c>
      <c r="Q5" s="262" t="str">
        <f>RTD("cqg.rtd", ,"ContractData", $Q$1&amp;"?"&amp;R38, "Symbol")</f>
        <v>NGEG8</v>
      </c>
      <c r="R5" s="263">
        <f>RTD("cqg.rtd", ,"ContractData", Q5, $R$1,,"T")</f>
        <v>3.202</v>
      </c>
      <c r="S5" s="263">
        <f>RTD("cqg.rtd", ,"ContractData", Q5,$S$1,,"T")</f>
        <v>3.2010000000000001</v>
      </c>
      <c r="T5" s="263">
        <f>RTD("cqg.rtd", ,"ContractData", Q5,$T$1,,"T")</f>
        <v>3.2029999999999998</v>
      </c>
      <c r="U5" s="260">
        <f>RTD("cqg.rtd", ,"ContractData", "F."&amp;$Q$1&amp;"?4",  $U$1,,"T")</f>
        <v>-3.2000000000000001E-2</v>
      </c>
      <c r="V5" s="257" t="str">
        <f>G2</f>
        <v>NGES5G8</v>
      </c>
      <c r="W5" s="260">
        <f>RTD("cqg.rtd", ,"ContractData", V5, $W$1,,"T")</f>
        <v>0.247</v>
      </c>
      <c r="X5" s="260">
        <f>RTD("cqg.rtd", ,"ContractData", V5, $X$1,,"T")</f>
        <v>-2.6000000000000002E-2</v>
      </c>
      <c r="Y5" s="260">
        <f>RTD("cqg.rtd", ,"ContractData",V5,$Y$1,,"T")</f>
        <v>0.24299999999999999</v>
      </c>
      <c r="Z5" s="260">
        <f>RTD("cqg.rtd", ,"ContractData", V5,$Z$1,,"T")</f>
        <v>0.246</v>
      </c>
      <c r="AA5" s="260">
        <f t="shared" si="5"/>
        <v>0.2445</v>
      </c>
      <c r="AB5" s="260">
        <f t="shared" si="0"/>
        <v>3.202</v>
      </c>
      <c r="AC5" s="260">
        <f t="shared" si="10"/>
        <v>3.202</v>
      </c>
      <c r="AD5" s="260">
        <f t="shared" si="6"/>
        <v>0.2445</v>
      </c>
      <c r="AF5" s="256">
        <f t="shared" si="7"/>
        <v>3.202</v>
      </c>
      <c r="AG5" s="256">
        <f t="shared" ref="AG5:AG13" si="11">IF(AD5="",NA(),AD5)</f>
        <v>0.2445</v>
      </c>
      <c r="AH5" s="256" t="str">
        <f t="shared" si="8"/>
        <v>FEB</v>
      </c>
      <c r="AI5" s="256" t="str">
        <f>RIGHT(RTD("cqg.rtd",,"ContractData",V5,"LongDescription",,"T"),14)</f>
        <v>Feb 18, Jul 18</v>
      </c>
      <c r="AJ5" s="256">
        <f>RTD("cqg.rtd", ,"ContractData",Q5, "Settlement",,"T")</f>
        <v>3.2349999999999999</v>
      </c>
      <c r="AK5" s="256">
        <f>RTD("cqg.rtd", ,"ContractData",V5, "Settlement",,"T")</f>
        <v>0.26900000000000002</v>
      </c>
      <c r="AL5" s="256">
        <f t="shared" si="9"/>
        <v>3.2349999999999999</v>
      </c>
    </row>
    <row r="6" spans="1:38" x14ac:dyDescent="0.2">
      <c r="A6" s="255" t="str">
        <f t="shared" si="1"/>
        <v>NGEH8</v>
      </c>
      <c r="B6" s="255" t="str">
        <f>RTD("cqg.rtd", ,"ContractData",A6, "ContractMonth")</f>
        <v>MAR</v>
      </c>
      <c r="C6" s="261" t="str">
        <f t="shared" si="2"/>
        <v>H8</v>
      </c>
      <c r="D6" s="256" t="str">
        <f t="shared" si="3"/>
        <v>NGES5H8</v>
      </c>
      <c r="P6" s="257" t="str">
        <f t="shared" si="4"/>
        <v>H</v>
      </c>
      <c r="Q6" s="262" t="str">
        <f>RTD("cqg.rtd", ,"ContractData", $Q$1&amp;"?"&amp;R39, "Symbol")</f>
        <v>NGEH8</v>
      </c>
      <c r="R6" s="263">
        <f>RTD("cqg.rtd", ,"ContractData", Q6, $R$1,,"T")</f>
        <v>3.1640000000000001</v>
      </c>
      <c r="S6" s="263">
        <f>RTD("cqg.rtd", ,"ContractData", Q6,$S$1,,"T")</f>
        <v>3.1619999999999999</v>
      </c>
      <c r="T6" s="263">
        <f>RTD("cqg.rtd", ,"ContractData", Q6,$T$1,,"T")</f>
        <v>3.1630000000000003</v>
      </c>
      <c r="U6" s="260">
        <f>RTD("cqg.rtd", ,"ContractData", "F."&amp;$Q$1&amp;"?5",  $U$1,,"T")</f>
        <v>-0.03</v>
      </c>
      <c r="V6" s="257" t="str">
        <f>H2</f>
        <v>NGES5H8</v>
      </c>
      <c r="W6" s="260" t="str">
        <f>RTD("cqg.rtd", ,"ContractData", V6, $W$1,,"T")</f>
        <v/>
      </c>
      <c r="X6" s="260">
        <f>RTD("cqg.rtd", ,"ContractData", V6, $X$1,,"T")</f>
        <v>-2.3E-2</v>
      </c>
      <c r="Y6" s="260">
        <f>RTD("cqg.rtd", ,"ContractData",V6,$Y$1,,"T")</f>
        <v>0.20100000000000001</v>
      </c>
      <c r="Z6" s="260">
        <f>RTD("cqg.rtd", ,"ContractData", V6,$Z$1,,"T")</f>
        <v>0.20400000000000001</v>
      </c>
      <c r="AA6" s="260">
        <f t="shared" si="5"/>
        <v>0.20250000000000001</v>
      </c>
      <c r="AB6" s="260">
        <f t="shared" si="0"/>
        <v>3.1625000000000001</v>
      </c>
      <c r="AC6" s="260">
        <f t="shared" si="10"/>
        <v>3.1625000000000001</v>
      </c>
      <c r="AD6" s="260">
        <f t="shared" si="6"/>
        <v>0.20250000000000001</v>
      </c>
      <c r="AF6" s="256">
        <f t="shared" si="7"/>
        <v>3.1625000000000001</v>
      </c>
      <c r="AG6" s="256">
        <f t="shared" si="11"/>
        <v>0.20250000000000001</v>
      </c>
      <c r="AH6" s="256" t="str">
        <f t="shared" si="8"/>
        <v>MAR</v>
      </c>
      <c r="AI6" s="256" t="str">
        <f>RIGHT(RTD("cqg.rtd",,"ContractData",V6,"LongDescription",,"T"),14)</f>
        <v>Mar 18, Aug 18</v>
      </c>
      <c r="AJ6" s="256">
        <f>RTD("cqg.rtd", ,"ContractData",Q6, "Settlement",,"T")</f>
        <v>3.1930000000000001</v>
      </c>
      <c r="AK6" s="256">
        <f>RTD("cqg.rtd", ,"ContractData",V6, "Settlement",,"T")</f>
        <v>0.224</v>
      </c>
      <c r="AL6" s="256">
        <f t="shared" si="9"/>
        <v>3.1930000000000001</v>
      </c>
    </row>
    <row r="7" spans="1:38" x14ac:dyDescent="0.2">
      <c r="A7" s="255" t="str">
        <f t="shared" si="1"/>
        <v>NGEJ8</v>
      </c>
      <c r="B7" s="255" t="str">
        <f>RTD("cqg.rtd", ,"ContractData",A7, "ContractMonth")</f>
        <v>APR</v>
      </c>
      <c r="C7" s="261" t="str">
        <f t="shared" si="2"/>
        <v>J8</v>
      </c>
      <c r="D7" s="256" t="str">
        <f t="shared" si="3"/>
        <v>NGES5J8</v>
      </c>
      <c r="P7" s="257" t="str">
        <f t="shared" si="4"/>
        <v>J</v>
      </c>
      <c r="Q7" s="262" t="str">
        <f>RTD("cqg.rtd", ,"ContractData", $Q$1&amp;"?"&amp;R40, "Symbol")</f>
        <v>NGEJ8</v>
      </c>
      <c r="R7" s="263">
        <f>RTD("cqg.rtd", ,"ContractData", Q7, $R$1,,"T")</f>
        <v>2.9250000000000003</v>
      </c>
      <c r="S7" s="263">
        <f>RTD("cqg.rtd", ,"ContractData", Q7,$S$1,,"T")</f>
        <v>2.9239999999999999</v>
      </c>
      <c r="T7" s="263">
        <f>RTD("cqg.rtd", ,"ContractData", Q7,$T$1,,"T")</f>
        <v>2.9250000000000003</v>
      </c>
      <c r="U7" s="260">
        <f>RTD("cqg.rtd", ,"ContractData", "F."&amp;$Q$1&amp;"?6", $U$1,,"T")</f>
        <v>-1.4E-2</v>
      </c>
      <c r="V7" s="257" t="str">
        <f>I2</f>
        <v>NGES5J8</v>
      </c>
      <c r="W7" s="260">
        <f>RTD("cqg.rtd", ,"ContractData", V7, $W$1,,"T")</f>
        <v>-1.8000000000000002E-2</v>
      </c>
      <c r="X7" s="260">
        <f>RTD("cqg.rtd", ,"ContractData", V7, $X$1,,"T")</f>
        <v>-7.0000000000000001E-3</v>
      </c>
      <c r="Y7" s="260">
        <f>RTD("cqg.rtd", ,"ContractData",V7,$Y$1,,"T")</f>
        <v>-1.9E-2</v>
      </c>
      <c r="Z7" s="260">
        <f>RTD("cqg.rtd", ,"ContractData", V7,$Z$1,,"T")</f>
        <v>-1.7000000000000001E-2</v>
      </c>
      <c r="AA7" s="260">
        <f t="shared" si="5"/>
        <v>-1.8000000000000002E-2</v>
      </c>
      <c r="AB7" s="260">
        <f t="shared" si="0"/>
        <v>2.9250000000000003</v>
      </c>
      <c r="AC7" s="260">
        <f t="shared" si="10"/>
        <v>2.9250000000000003</v>
      </c>
      <c r="AD7" s="260">
        <f t="shared" si="6"/>
        <v>-1.8000000000000002E-2</v>
      </c>
      <c r="AF7" s="256">
        <f t="shared" si="7"/>
        <v>2.9250000000000003</v>
      </c>
      <c r="AG7" s="256">
        <f t="shared" si="11"/>
        <v>-1.8000000000000002E-2</v>
      </c>
      <c r="AH7" s="256" t="str">
        <f t="shared" si="8"/>
        <v>APR</v>
      </c>
      <c r="AI7" s="256" t="str">
        <f>RIGHT(RTD("cqg.rtd",,"ContractData",V7,"LongDescription",,"T"),14)</f>
        <v>Apr 18, Sep 18</v>
      </c>
      <c r="AJ7" s="256">
        <f>RTD("cqg.rtd", ,"ContractData",Q7, "Settlement",,"T")</f>
        <v>2.9390000000000001</v>
      </c>
      <c r="AK7" s="256">
        <f>RTD("cqg.rtd", ,"ContractData",V7, "Settlement",,"T")</f>
        <v>-1.2E-2</v>
      </c>
      <c r="AL7" s="256">
        <f t="shared" si="9"/>
        <v>2.9390000000000001</v>
      </c>
    </row>
    <row r="8" spans="1:38" x14ac:dyDescent="0.2">
      <c r="A8" s="255" t="str">
        <f t="shared" si="1"/>
        <v>NGEK8</v>
      </c>
      <c r="B8" s="255" t="str">
        <f>RTD("cqg.rtd", ,"ContractData",A8, "ContractMonth")</f>
        <v>MAY</v>
      </c>
      <c r="C8" s="261" t="str">
        <f t="shared" si="2"/>
        <v>K8</v>
      </c>
      <c r="D8" s="256" t="str">
        <f t="shared" si="3"/>
        <v>NGES5K8</v>
      </c>
      <c r="P8" s="257" t="str">
        <f t="shared" si="4"/>
        <v>K</v>
      </c>
      <c r="Q8" s="262" t="str">
        <f>RTD("cqg.rtd", ,"ContractData", $Q$1&amp;"?"&amp;R41, "Symbol")</f>
        <v>NGEK8</v>
      </c>
      <c r="R8" s="263">
        <f>RTD("cqg.rtd", ,"ContractData", Q8, $R$1,,"T")</f>
        <v>2.9020000000000001</v>
      </c>
      <c r="S8" s="263">
        <f>RTD("cqg.rtd", ,"ContractData", Q8,$S$1,,"T")</f>
        <v>2.9</v>
      </c>
      <c r="T8" s="263">
        <f>RTD("cqg.rtd", ,"ContractData", Q8,$T$1,,"T")</f>
        <v>2.9010000000000002</v>
      </c>
      <c r="U8" s="260">
        <f>RTD("cqg.rtd", ,"ContractData", "F."&amp;$Q$1&amp;"?7", $U$1,,"T")</f>
        <v>-0.01</v>
      </c>
      <c r="V8" s="257" t="str">
        <f>J2</f>
        <v>NGES5K8</v>
      </c>
      <c r="W8" s="260">
        <f>RTD("cqg.rtd", ,"ContractData", V8, $W$1,,"T")</f>
        <v>-6.5000000000000002E-2</v>
      </c>
      <c r="X8" s="260">
        <f>RTD("cqg.rtd", ,"ContractData", V8, $X$1,,"T")</f>
        <v>-3.0000000000000001E-3</v>
      </c>
      <c r="Y8" s="260">
        <f>RTD("cqg.rtd", ,"ContractData",V8,$Y$1,,"T")</f>
        <v>-6.6000000000000003E-2</v>
      </c>
      <c r="Z8" s="260">
        <f>RTD("cqg.rtd", ,"ContractData", V8,$Z$1,,"T")</f>
        <v>-6.4000000000000001E-2</v>
      </c>
      <c r="AA8" s="260">
        <f t="shared" si="5"/>
        <v>-6.5000000000000002E-2</v>
      </c>
      <c r="AB8" s="260">
        <f t="shared" si="0"/>
        <v>2.9005000000000001</v>
      </c>
      <c r="AC8" s="260">
        <f t="shared" si="10"/>
        <v>2.9005000000000001</v>
      </c>
      <c r="AD8" s="260">
        <f t="shared" si="6"/>
        <v>-6.5000000000000002E-2</v>
      </c>
      <c r="AF8" s="256">
        <f t="shared" si="7"/>
        <v>2.9005000000000001</v>
      </c>
      <c r="AG8" s="256">
        <f t="shared" si="11"/>
        <v>-6.5000000000000002E-2</v>
      </c>
      <c r="AH8" s="256" t="str">
        <f t="shared" si="8"/>
        <v>MAY</v>
      </c>
      <c r="AI8" s="256" t="str">
        <f>RIGHT(RTD("cqg.rtd",,"ContractData",V8,"LongDescription",,"T"),14)</f>
        <v>May 18, Oct 18</v>
      </c>
      <c r="AJ8" s="256">
        <f>RTD("cqg.rtd", ,"ContractData",Q8, "Settlement",,"T")</f>
        <v>2.911</v>
      </c>
      <c r="AK8" s="256">
        <f>RTD("cqg.rtd", ,"ContractData",V8, "Settlement",,"T")</f>
        <v>-6.3E-2</v>
      </c>
      <c r="AL8" s="256">
        <f t="shared" si="9"/>
        <v>2.911</v>
      </c>
    </row>
    <row r="9" spans="1:38" x14ac:dyDescent="0.2">
      <c r="A9" s="255" t="str">
        <f t="shared" si="1"/>
        <v>NGEM8</v>
      </c>
      <c r="B9" s="255" t="str">
        <f>RTD("cqg.rtd", ,"ContractData",A9, "ContractMonth")</f>
        <v>JUN</v>
      </c>
      <c r="C9" s="261" t="str">
        <f t="shared" si="2"/>
        <v>M8</v>
      </c>
      <c r="D9" s="256" t="str">
        <f t="shared" si="3"/>
        <v>NGES5M8</v>
      </c>
      <c r="P9" s="257" t="str">
        <f t="shared" si="4"/>
        <v>M</v>
      </c>
      <c r="Q9" s="262" t="str">
        <f>RTD("cqg.rtd", ,"ContractData", $Q$1&amp;"?"&amp;R42, "Symbol")</f>
        <v>NGEM8</v>
      </c>
      <c r="R9" s="263">
        <f>RTD("cqg.rtd", ,"ContractData", Q9, $R$1,,"T")</f>
        <v>2.931</v>
      </c>
      <c r="S9" s="263">
        <f>RTD("cqg.rtd", ,"ContractData", Q9,$S$1,,"T")</f>
        <v>2.9290000000000003</v>
      </c>
      <c r="T9" s="263">
        <f>RTD("cqg.rtd", ,"ContractData", Q9,$T$1,,"T")</f>
        <v>2.931</v>
      </c>
      <c r="U9" s="260">
        <f>RTD("cqg.rtd", ,"ContractData", "F."&amp;$Q$1&amp;"?8", $U$1,,"T")</f>
        <v>-8.0000000000000002E-3</v>
      </c>
      <c r="V9" s="257" t="str">
        <f>K2</f>
        <v>NGES5M8</v>
      </c>
      <c r="W9" s="260" t="str">
        <f>RTD("cqg.rtd", ,"ContractData", V9, $W$1,,"T")</f>
        <v/>
      </c>
      <c r="X9" s="260">
        <f>RTD("cqg.rtd", ,"ContractData", V9, $X$1,,"T")</f>
        <v>2E-3</v>
      </c>
      <c r="Y9" s="260">
        <f>RTD("cqg.rtd", ,"ContractData",V9,$Y$1,,"T")</f>
        <v>-9.0999999999999998E-2</v>
      </c>
      <c r="Z9" s="260">
        <f>RTD("cqg.rtd", ,"ContractData", V9,$Z$1,,"T")</f>
        <v>-8.7000000000000008E-2</v>
      </c>
      <c r="AA9" s="260">
        <f t="shared" si="5"/>
        <v>-8.8999999999999996E-2</v>
      </c>
      <c r="AB9" s="260">
        <f t="shared" si="0"/>
        <v>2.931</v>
      </c>
      <c r="AC9" s="260">
        <f t="shared" si="10"/>
        <v>2.931</v>
      </c>
      <c r="AD9" s="260">
        <f t="shared" si="6"/>
        <v>-8.8999999999999996E-2</v>
      </c>
      <c r="AF9" s="256">
        <f t="shared" si="7"/>
        <v>2.931</v>
      </c>
      <c r="AG9" s="256">
        <f t="shared" si="11"/>
        <v>-8.8999999999999996E-2</v>
      </c>
      <c r="AH9" s="256" t="str">
        <f t="shared" si="8"/>
        <v>JUN</v>
      </c>
      <c r="AI9" s="256" t="str">
        <f>RIGHT(RTD("cqg.rtd",,"ContractData",V9,"LongDescription",,"T"),14)</f>
        <v>Jun 18, Nov 18</v>
      </c>
      <c r="AJ9" s="256">
        <f>RTD("cqg.rtd", ,"ContractData",Q9, "Settlement",,"T")</f>
        <v>2.9390000000000001</v>
      </c>
      <c r="AK9" s="256">
        <f>RTD("cqg.rtd", ,"ContractData",V9, "Settlement",,"T")</f>
        <v>-8.8999999999999996E-2</v>
      </c>
      <c r="AL9" s="256">
        <f t="shared" si="9"/>
        <v>2.9390000000000001</v>
      </c>
    </row>
    <row r="10" spans="1:38" x14ac:dyDescent="0.2">
      <c r="A10" s="255" t="str">
        <f t="shared" si="1"/>
        <v>NGEN8</v>
      </c>
      <c r="B10" s="255" t="str">
        <f>RTD("cqg.rtd", ,"ContractData",A10, "ContractMonth")</f>
        <v>JUL</v>
      </c>
      <c r="C10" s="261" t="str">
        <f t="shared" si="2"/>
        <v>N8</v>
      </c>
      <c r="D10" s="256" t="str">
        <f t="shared" si="3"/>
        <v>NGES5N8</v>
      </c>
      <c r="P10" s="257" t="str">
        <f t="shared" si="4"/>
        <v>N</v>
      </c>
      <c r="Q10" s="262" t="str">
        <f>RTD("cqg.rtd", ,"ContractData", $Q$1&amp;"?"&amp;R43, "Symbol")</f>
        <v>NGEN8</v>
      </c>
      <c r="R10" s="263">
        <f>RTD("cqg.rtd", ,"ContractData", Q10, $R$1,,"T")</f>
        <v>2.9580000000000002</v>
      </c>
      <c r="S10" s="263">
        <f>RTD("cqg.rtd", ,"ContractData", Q10,$S$1,,"T")</f>
        <v>2.956</v>
      </c>
      <c r="T10" s="263">
        <f>RTD("cqg.rtd", ,"ContractData", Q10,$T$1,,"T")</f>
        <v>2.9580000000000002</v>
      </c>
      <c r="U10" s="260">
        <f>RTD("cqg.rtd", ,"ContractData", "F."&amp;$Q$1&amp;"?9", $U$1,,"T")</f>
        <v>-8.0000000000000002E-3</v>
      </c>
      <c r="V10" s="257" t="str">
        <f>L2</f>
        <v>NGES5N8</v>
      </c>
      <c r="W10" s="260" t="str">
        <f>RTD("cqg.rtd", ,"ContractData", V10, $W$1,,"T")</f>
        <v/>
      </c>
      <c r="X10" s="260">
        <f>RTD("cqg.rtd", ,"ContractData", V10, $X$1,,"T")</f>
        <v>3.0000000000000001E-3</v>
      </c>
      <c r="Y10" s="260">
        <f>RTD("cqg.rtd", ,"ContractData",V10,$Y$1,,"T")</f>
        <v>-0.2</v>
      </c>
      <c r="Z10" s="260">
        <f>RTD("cqg.rtd", ,"ContractData", V10,$Z$1,,"T")</f>
        <v>-0.19500000000000001</v>
      </c>
      <c r="AA10" s="260">
        <f t="shared" si="5"/>
        <v>-0.19750000000000001</v>
      </c>
      <c r="AB10" s="260">
        <f t="shared" si="0"/>
        <v>2.9580000000000002</v>
      </c>
      <c r="AC10" s="260">
        <f t="shared" si="10"/>
        <v>2.9580000000000002</v>
      </c>
      <c r="AD10" s="260">
        <f t="shared" si="6"/>
        <v>-0.19750000000000001</v>
      </c>
      <c r="AF10" s="256">
        <f t="shared" si="7"/>
        <v>2.9580000000000002</v>
      </c>
      <c r="AG10" s="256">
        <f t="shared" si="11"/>
        <v>-0.19750000000000001</v>
      </c>
      <c r="AH10" s="256" t="str">
        <f t="shared" si="8"/>
        <v>JUL</v>
      </c>
      <c r="AI10" s="256" t="str">
        <f>RIGHT(RTD("cqg.rtd",,"ContractData",V10,"LongDescription",,"T"),14)</f>
        <v>Jul 18, Dec 18</v>
      </c>
      <c r="AJ10" s="256">
        <f>RTD("cqg.rtd", ,"ContractData",Q10, "Settlement",,"T")</f>
        <v>2.9660000000000002</v>
      </c>
      <c r="AK10" s="256">
        <f>RTD("cqg.rtd", ,"ContractData",V10, "Settlement",,"T")</f>
        <v>-0.19800000000000001</v>
      </c>
      <c r="AL10" s="256">
        <f t="shared" si="9"/>
        <v>2.9660000000000002</v>
      </c>
    </row>
    <row r="11" spans="1:38" x14ac:dyDescent="0.2">
      <c r="A11" s="255" t="str">
        <f t="shared" si="1"/>
        <v>NGEQ8</v>
      </c>
      <c r="B11" s="255" t="str">
        <f>RTD("cqg.rtd", ,"ContractData",A11, "ContractMonth")</f>
        <v>AUG</v>
      </c>
      <c r="C11" s="261" t="str">
        <f t="shared" si="2"/>
        <v>Q8</v>
      </c>
      <c r="D11" s="256" t="str">
        <f t="shared" si="3"/>
        <v>NGES5Q8</v>
      </c>
      <c r="P11" s="257" t="str">
        <f t="shared" si="4"/>
        <v>Q</v>
      </c>
      <c r="Q11" s="262" t="str">
        <f>RTD("cqg.rtd", ,"ContractData", $Q$1&amp;"?"&amp;R44, "Symbol")</f>
        <v>NGEQ8</v>
      </c>
      <c r="R11" s="263">
        <f>RTD("cqg.rtd", ,"ContractData", Q11, $R$1,,"T")</f>
        <v>2.96</v>
      </c>
      <c r="S11" s="263">
        <f>RTD("cqg.rtd", ,"ContractData", Q11,$S$1,,"T")</f>
        <v>2.9590000000000001</v>
      </c>
      <c r="T11" s="263">
        <f>RTD("cqg.rtd", ,"ContractData", Q11,$T$1,,"T")</f>
        <v>2.9609999999999999</v>
      </c>
      <c r="U11" s="260">
        <f>RTD("cqg.rtd", ,"ContractData", "F."&amp;$Q$1&amp;"?10", $U$1,,"T")</f>
        <v>-0.01</v>
      </c>
      <c r="V11" s="257" t="str">
        <f>M2</f>
        <v>NGES5Q8</v>
      </c>
      <c r="W11" s="260" t="str">
        <f>RTD("cqg.rtd", ,"ContractData", V11, $W$1,,"T")</f>
        <v/>
      </c>
      <c r="X11" s="260">
        <f>RTD("cqg.rtd", ,"ContractData", V11, $X$1,,"T")</f>
        <v>-3.0000000000000001E-3</v>
      </c>
      <c r="Y11" s="260">
        <f>RTD("cqg.rtd", ,"ContractData",V11,$Y$1,,"T")</f>
        <v>-0.28200000000000003</v>
      </c>
      <c r="Z11" s="260">
        <f>RTD("cqg.rtd", ,"ContractData", V11,$Z$1,,"T")</f>
        <v>-0.27800000000000002</v>
      </c>
      <c r="AA11" s="260">
        <f t="shared" si="5"/>
        <v>-0.28000000000000003</v>
      </c>
      <c r="AB11" s="260">
        <f t="shared" si="0"/>
        <v>2.96</v>
      </c>
      <c r="AC11" s="260">
        <f t="shared" si="10"/>
        <v>2.96</v>
      </c>
      <c r="AD11" s="260">
        <f t="shared" si="6"/>
        <v>-0.28000000000000003</v>
      </c>
      <c r="AF11" s="256">
        <f t="shared" si="7"/>
        <v>2.96</v>
      </c>
      <c r="AG11" s="256">
        <f t="shared" si="11"/>
        <v>-0.28000000000000003</v>
      </c>
      <c r="AH11" s="256" t="str">
        <f t="shared" si="8"/>
        <v>AUG</v>
      </c>
      <c r="AI11" s="256" t="str">
        <f>RIGHT(RTD("cqg.rtd",,"ContractData",V11,"LongDescription",,"T"),14)</f>
        <v>Aug 18, Jan 19</v>
      </c>
      <c r="AJ11" s="256">
        <f>RTD("cqg.rtd", ,"ContractData",Q11, "Settlement",,"T")</f>
        <v>2.9689999999999999</v>
      </c>
      <c r="AK11" s="256">
        <f>RTD("cqg.rtd", ,"ContractData",V11, "Settlement",,"T")</f>
        <v>-0.27900000000000003</v>
      </c>
      <c r="AL11" s="256">
        <f t="shared" si="9"/>
        <v>2.9689999999999999</v>
      </c>
    </row>
    <row r="12" spans="1:38" x14ac:dyDescent="0.2">
      <c r="A12" s="255" t="str">
        <f t="shared" si="1"/>
        <v>NGEU8</v>
      </c>
      <c r="B12" s="255" t="str">
        <f>RTD("cqg.rtd", ,"ContractData",A12, "ContractMonth")</f>
        <v>SEP</v>
      </c>
      <c r="C12" s="261" t="str">
        <f t="shared" si="2"/>
        <v>U8</v>
      </c>
      <c r="D12" s="256" t="str">
        <f t="shared" si="3"/>
        <v>NGES5U8</v>
      </c>
      <c r="P12" s="257" t="str">
        <f t="shared" si="4"/>
        <v>U</v>
      </c>
      <c r="Q12" s="262" t="str">
        <f>RTD("cqg.rtd", ,"ContractData", $Q$1&amp;"?"&amp;R45, "Symbol")</f>
        <v>NGEU8</v>
      </c>
      <c r="R12" s="263">
        <f>RTD("cqg.rtd", ,"ContractData", Q12, $R$1,,"T")</f>
        <v>2.9420000000000002</v>
      </c>
      <c r="S12" s="263">
        <f>RTD("cqg.rtd", ,"ContractData", Q12,$S$1,,"T")</f>
        <v>2.9420000000000002</v>
      </c>
      <c r="T12" s="263">
        <f>RTD("cqg.rtd", ,"ContractData", Q12,$T$1,,"T")</f>
        <v>2.944</v>
      </c>
      <c r="U12" s="260">
        <f>RTD("cqg.rtd", ,"ContractData", "F."&amp;$Q$1&amp;"?11",$U$1,,"T")</f>
        <v>-7.0000000000000001E-3</v>
      </c>
      <c r="V12" s="257" t="str">
        <f>N2</f>
        <v>NGES5U8</v>
      </c>
      <c r="W12" s="260" t="str">
        <f>RTD("cqg.rtd", ,"ContractData", V12, $W$1,,"T")</f>
        <v/>
      </c>
      <c r="X12" s="260">
        <f>RTD("cqg.rtd", ,"ContractData", V12, $X$1,,"T")</f>
        <v>-3.0000000000000001E-3</v>
      </c>
      <c r="Y12" s="260">
        <f>RTD("cqg.rtd", ,"ContractData",V12,$Y$1,,"T")</f>
        <v>-0.27700000000000002</v>
      </c>
      <c r="Z12" s="260">
        <f>RTD("cqg.rtd", ,"ContractData", V12,$Z$1,,"T")</f>
        <v>-0.26900000000000002</v>
      </c>
      <c r="AA12" s="260">
        <f t="shared" si="5"/>
        <v>-0.27300000000000002</v>
      </c>
      <c r="AB12" s="260">
        <f t="shared" si="0"/>
        <v>2.9420000000000002</v>
      </c>
      <c r="AC12" s="260">
        <f t="shared" si="10"/>
        <v>2.9420000000000002</v>
      </c>
      <c r="AD12" s="260">
        <f t="shared" si="6"/>
        <v>-0.27300000000000002</v>
      </c>
      <c r="AF12" s="256">
        <f t="shared" si="7"/>
        <v>2.9420000000000002</v>
      </c>
      <c r="AG12" s="256">
        <f t="shared" si="11"/>
        <v>-0.27300000000000002</v>
      </c>
      <c r="AH12" s="256" t="str">
        <f t="shared" si="8"/>
        <v>SEP</v>
      </c>
      <c r="AI12" s="256" t="str">
        <f>RIGHT(RTD("cqg.rtd",,"ContractData",V12,"LongDescription",,"T"),14)</f>
        <v>Sep 18, Feb 19</v>
      </c>
      <c r="AJ12" s="256">
        <f>RTD("cqg.rtd", ,"ContractData",Q12, "Settlement",,"T")</f>
        <v>2.9510000000000001</v>
      </c>
      <c r="AK12" s="256">
        <f>RTD("cqg.rtd", ,"ContractData",V12, "Settlement",,"T")</f>
        <v>-0.27400000000000002</v>
      </c>
      <c r="AL12" s="256">
        <f t="shared" si="9"/>
        <v>2.9510000000000001</v>
      </c>
    </row>
    <row r="13" spans="1:38" x14ac:dyDescent="0.2">
      <c r="A13" s="255" t="str">
        <f t="shared" si="1"/>
        <v>NGEV8</v>
      </c>
      <c r="B13" s="255" t="str">
        <f>RTD("cqg.rtd", ,"ContractData",A13, "ContractMonth")</f>
        <v>OCT</v>
      </c>
      <c r="C13" s="261" t="str">
        <f t="shared" si="2"/>
        <v>V8</v>
      </c>
      <c r="D13" s="256" t="str">
        <f t="shared" si="3"/>
        <v>NGES5V8</v>
      </c>
      <c r="P13" s="257" t="str">
        <f t="shared" si="4"/>
        <v>V</v>
      </c>
      <c r="Q13" s="262" t="str">
        <f>RTD("cqg.rtd", ,"ContractData", $Q$1&amp;"?"&amp;R46, "Symbol")</f>
        <v>NGEV8</v>
      </c>
      <c r="R13" s="263">
        <f>RTD("cqg.rtd", ,"ContractData", Q13, $R$1,,"T")</f>
        <v>2.9670000000000001</v>
      </c>
      <c r="S13" s="263">
        <f>RTD("cqg.rtd", ,"ContractData", Q13,$S$1,,"T")</f>
        <v>2.964</v>
      </c>
      <c r="T13" s="263">
        <f>RTD("cqg.rtd", ,"ContractData", Q13,$T$1,,"T")</f>
        <v>2.9660000000000002</v>
      </c>
      <c r="U13" s="260">
        <f>RTD("cqg.rtd", ,"ContractData", "F."&amp;$Q$1&amp;"?12",$U$1,,"T")</f>
        <v>-8.0000000000000002E-3</v>
      </c>
      <c r="V13" s="257" t="str">
        <f>O2</f>
        <v>NGES5V8</v>
      </c>
      <c r="W13" s="260" t="str">
        <f>RTD("cqg.rtd", ,"ContractData", V13, $W$1,,"T")</f>
        <v/>
      </c>
      <c r="X13" s="260">
        <f>RTD("cqg.rtd", ,"ContractData", V13, $X$1,,"T")</f>
        <v>-4.0000000000000001E-3</v>
      </c>
      <c r="Y13" s="260">
        <f>RTD("cqg.rtd", ,"ContractData",V13,$Y$1,,"T")</f>
        <v>-0.183</v>
      </c>
      <c r="Z13" s="260">
        <f>RTD("cqg.rtd", ,"ContractData", V13,$Z$1,,"T")</f>
        <v>-0.17400000000000002</v>
      </c>
      <c r="AA13" s="260">
        <f t="shared" si="5"/>
        <v>-0.17849999999999999</v>
      </c>
      <c r="AB13" s="260">
        <f t="shared" si="0"/>
        <v>2.9649999999999999</v>
      </c>
      <c r="AC13" s="260">
        <f t="shared" si="10"/>
        <v>2.9649999999999999</v>
      </c>
      <c r="AD13" s="260">
        <f t="shared" si="6"/>
        <v>-0.17849999999999999</v>
      </c>
      <c r="AF13" s="256">
        <f t="shared" si="7"/>
        <v>2.9649999999999999</v>
      </c>
      <c r="AG13" s="256">
        <f t="shared" si="11"/>
        <v>-0.17849999999999999</v>
      </c>
      <c r="AH13" s="256" t="str">
        <f t="shared" si="8"/>
        <v>OCT</v>
      </c>
      <c r="AI13" s="256" t="str">
        <f>RIGHT(RTD("cqg.rtd",,"ContractData",V13,"LongDescription",,"T"),14)</f>
        <v>Oct 18, Mar 19</v>
      </c>
      <c r="AJ13" s="256">
        <f>RTD("cqg.rtd", ,"ContractData",Q13, "Settlement",,"T")</f>
        <v>2.9740000000000002</v>
      </c>
      <c r="AK13" s="256">
        <f>RTD("cqg.rtd", ,"ContractData",V13, "Settlement",,"T")</f>
        <v>-0.17899999999999999</v>
      </c>
      <c r="AL13" s="256">
        <f t="shared" si="9"/>
        <v>2.9740000000000002</v>
      </c>
    </row>
    <row r="14" spans="1:38" x14ac:dyDescent="0.2"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</row>
    <row r="15" spans="1:38" x14ac:dyDescent="0.2">
      <c r="E15" s="256" t="b">
        <v>0</v>
      </c>
      <c r="F15" s="256" t="s">
        <v>24</v>
      </c>
      <c r="G15" s="256" t="s">
        <v>26</v>
      </c>
      <c r="P15" s="257"/>
      <c r="Q15" s="257"/>
      <c r="R15" s="257"/>
      <c r="S15" s="257"/>
      <c r="T15" s="257"/>
      <c r="U15" s="257"/>
    </row>
    <row r="16" spans="1:38" x14ac:dyDescent="0.2">
      <c r="A16" s="256">
        <f>NGECalendars!K4</f>
        <v>9</v>
      </c>
      <c r="B16" s="256">
        <f>NGECalendars!L4</f>
        <v>14</v>
      </c>
      <c r="C16" s="256">
        <f>NGECalendars!M4</f>
        <v>2017</v>
      </c>
      <c r="D16" s="256" t="s">
        <v>210</v>
      </c>
      <c r="G16" s="264">
        <f>IFERROR(AF2-E17,"")</f>
        <v>-0.22999999999999954</v>
      </c>
      <c r="I16" s="256" t="str">
        <f>$Q$1&amp;"?"&amp;R35</f>
        <v>NGE?1</v>
      </c>
      <c r="J16" s="256" t="str">
        <f>"NGES5??"&amp;R35</f>
        <v>NGES5??1</v>
      </c>
      <c r="K16" s="256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0.16700000000000001</v>
      </c>
      <c r="L16" s="256">
        <f>IFERROR(AG2-K16,"")</f>
        <v>-0.19600000000000001</v>
      </c>
    </row>
    <row r="17" spans="5:29" x14ac:dyDescent="0.2">
      <c r="E17" s="264">
        <f xml:space="preserve"> RTD("cqg.rtd",,"StudyData", "Close("&amp;$I16&amp;")when (LocalMonth("&amp;$I16&amp;")="&amp;$A$16&amp;" and LocalDay("&amp;$I16&amp;")="&amp;$B$16&amp;" and LocalYear("&amp;$I16&amp;")="&amp;$C$16&amp;")", "Bar", "", "Close",$D$16, "0","ALL","", "",$E$15,$F$15)</f>
        <v>3.1269999999999998</v>
      </c>
      <c r="G17" s="264" t="str">
        <f>IFERROR(AF3-#REF!,"")</f>
        <v/>
      </c>
      <c r="I17" s="256" t="str">
        <f t="shared" ref="I17:I27" si="12">$Q$1&amp;"?"&amp;R36</f>
        <v>NGE?2</v>
      </c>
      <c r="J17" s="256" t="str">
        <f t="shared" ref="J17:J27" si="13">"NGES5??"&amp;R36</f>
        <v>NGES5??2</v>
      </c>
      <c r="K17" s="256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0.34899999999999998</v>
      </c>
      <c r="L17" s="256">
        <f t="shared" ref="L17:L27" si="14">IFERROR(AG3-K17,"")</f>
        <v>-0.17949999999999997</v>
      </c>
      <c r="AB17" s="264"/>
      <c r="AC17" s="264"/>
    </row>
    <row r="18" spans="5:29" x14ac:dyDescent="0.2">
      <c r="E18" s="264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3.371</v>
      </c>
      <c r="G18" s="264">
        <f t="shared" ref="G18:G27" si="15">IFERROR(AF4-E18,"")</f>
        <v>-0.17399999999999993</v>
      </c>
      <c r="I18" s="256" t="str">
        <f t="shared" si="12"/>
        <v>NGE?3</v>
      </c>
      <c r="J18" s="256" t="str">
        <f t="shared" si="13"/>
        <v>NGES5??3</v>
      </c>
      <c r="K18" s="256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0.42499999999999999</v>
      </c>
      <c r="L18" s="256">
        <f t="shared" si="14"/>
        <v>-0.15849999999999997</v>
      </c>
      <c r="AB18" s="264"/>
      <c r="AC18" s="264"/>
    </row>
    <row r="19" spans="5:29" x14ac:dyDescent="0.2">
      <c r="E19" s="264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3.37</v>
      </c>
      <c r="G19" s="264">
        <f t="shared" si="15"/>
        <v>-0.16800000000000015</v>
      </c>
      <c r="I19" s="256" t="str">
        <f t="shared" si="12"/>
        <v>NGE?4</v>
      </c>
      <c r="J19" s="256" t="str">
        <f t="shared" si="13"/>
        <v>NGES5??4</v>
      </c>
      <c r="K19" s="256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0.4</v>
      </c>
      <c r="L19" s="256">
        <f t="shared" si="14"/>
        <v>-0.15550000000000003</v>
      </c>
      <c r="AB19" s="264"/>
      <c r="AC19" s="264"/>
    </row>
    <row r="20" spans="5:29" x14ac:dyDescent="0.2">
      <c r="E20" s="264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3.32</v>
      </c>
      <c r="G20" s="264">
        <f t="shared" si="15"/>
        <v>-0.15749999999999975</v>
      </c>
      <c r="I20" s="256" t="str">
        <f t="shared" si="12"/>
        <v>NGE?5</v>
      </c>
      <c r="J20" s="256" t="str">
        <f t="shared" si="13"/>
        <v>NGES5??5</v>
      </c>
      <c r="K20" s="256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0.34699999999999998</v>
      </c>
      <c r="L20" s="256">
        <f t="shared" si="14"/>
        <v>-0.14449999999999996</v>
      </c>
      <c r="U20" s="265"/>
      <c r="V20" s="265"/>
      <c r="AB20" s="264"/>
      <c r="AC20" s="264"/>
    </row>
    <row r="21" spans="5:29" x14ac:dyDescent="0.2">
      <c r="E21" s="264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2.96</v>
      </c>
      <c r="G21" s="264">
        <f t="shared" si="15"/>
        <v>-3.4999999999999698E-2</v>
      </c>
      <c r="I21" s="256" t="str">
        <f t="shared" si="12"/>
        <v>NGE?6</v>
      </c>
      <c r="J21" s="256" t="str">
        <f t="shared" si="13"/>
        <v>NGES5??6</v>
      </c>
      <c r="K21" s="256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0.01</v>
      </c>
      <c r="L21" s="256">
        <f t="shared" si="14"/>
        <v>-2.8000000000000004E-2</v>
      </c>
      <c r="T21" s="264"/>
      <c r="U21" s="264"/>
      <c r="V21" s="264"/>
      <c r="X21" s="264"/>
      <c r="Y21" s="264"/>
      <c r="Z21" s="264"/>
      <c r="AB21" s="264"/>
      <c r="AC21" s="264"/>
    </row>
    <row r="22" spans="5:29" x14ac:dyDescent="0.2">
      <c r="E22" s="264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2.9220000000000002</v>
      </c>
      <c r="G22" s="264">
        <f t="shared" si="15"/>
        <v>-2.1500000000000075E-2</v>
      </c>
      <c r="I22" s="256" t="str">
        <f t="shared" si="12"/>
        <v>NGE?7</v>
      </c>
      <c r="J22" s="256" t="str">
        <f t="shared" si="13"/>
        <v>NGES5??7</v>
      </c>
      <c r="K22" s="256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-0.05</v>
      </c>
      <c r="L22" s="256">
        <f t="shared" si="14"/>
        <v>-1.4999999999999999E-2</v>
      </c>
      <c r="T22" s="264"/>
      <c r="U22" s="264"/>
      <c r="V22" s="264"/>
      <c r="X22" s="264"/>
      <c r="Y22" s="264"/>
      <c r="Z22" s="264"/>
      <c r="AB22" s="264"/>
      <c r="AC22" s="264"/>
    </row>
    <row r="23" spans="5:29" x14ac:dyDescent="0.2">
      <c r="E23" s="264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2.9460000000000002</v>
      </c>
      <c r="G23" s="264">
        <f t="shared" si="15"/>
        <v>-1.5000000000000124E-2</v>
      </c>
      <c r="I23" s="256" t="str">
        <f t="shared" si="12"/>
        <v>NGE?8</v>
      </c>
      <c r="J23" s="256" t="str">
        <f t="shared" si="13"/>
        <v>NGES5??8</v>
      </c>
      <c r="K23" s="256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-7.4999999999999997E-2</v>
      </c>
      <c r="L23" s="256">
        <f t="shared" si="14"/>
        <v>-1.3999999999999999E-2</v>
      </c>
      <c r="T23" s="264"/>
      <c r="U23" s="264"/>
      <c r="V23" s="264"/>
      <c r="X23" s="264"/>
      <c r="Y23" s="264"/>
      <c r="Z23" s="264"/>
      <c r="AB23" s="264"/>
      <c r="AC23" s="264"/>
    </row>
    <row r="24" spans="5:29" x14ac:dyDescent="0.2">
      <c r="E24" s="264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2.97</v>
      </c>
      <c r="G24" s="264">
        <f t="shared" si="15"/>
        <v>-1.2000000000000011E-2</v>
      </c>
      <c r="I24" s="256" t="str">
        <f t="shared" si="12"/>
        <v>NGE?9</v>
      </c>
      <c r="J24" s="256" t="str">
        <f t="shared" si="13"/>
        <v>NGES5??9</v>
      </c>
      <c r="K24" s="256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-0.182</v>
      </c>
      <c r="L24" s="256">
        <f t="shared" si="14"/>
        <v>-1.5500000000000014E-2</v>
      </c>
      <c r="T24" s="264"/>
      <c r="U24" s="264"/>
      <c r="V24" s="264"/>
      <c r="X24" s="264"/>
      <c r="Y24" s="264"/>
      <c r="Z24" s="264"/>
      <c r="AB24" s="264"/>
      <c r="AC24" s="264"/>
    </row>
    <row r="25" spans="5:29" x14ac:dyDescent="0.2">
      <c r="E25" s="264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2.9729999999999999</v>
      </c>
      <c r="G25" s="264">
        <f t="shared" si="15"/>
        <v>-1.2999999999999901E-2</v>
      </c>
      <c r="I25" s="256" t="str">
        <f t="shared" si="12"/>
        <v>NGE?10</v>
      </c>
      <c r="J25" s="256" t="str">
        <f t="shared" si="13"/>
        <v>NGES5??10</v>
      </c>
      <c r="K25" s="256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-0.26400000000000001</v>
      </c>
      <c r="L25" s="256">
        <f t="shared" si="14"/>
        <v>-1.6000000000000014E-2</v>
      </c>
      <c r="T25" s="264"/>
      <c r="U25" s="264"/>
      <c r="V25" s="264"/>
      <c r="X25" s="264"/>
      <c r="Y25" s="264"/>
      <c r="Z25" s="264"/>
    </row>
    <row r="26" spans="5:29" x14ac:dyDescent="0.2">
      <c r="E26" s="264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2.95</v>
      </c>
      <c r="G26" s="264">
        <f t="shared" si="15"/>
        <v>-8.0000000000000071E-3</v>
      </c>
      <c r="I26" s="256" t="str">
        <f t="shared" si="12"/>
        <v>NGE?11</v>
      </c>
      <c r="J26" s="256" t="str">
        <f t="shared" si="13"/>
        <v>NGES5??11</v>
      </c>
      <c r="K26" s="256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-0.26500000000000001</v>
      </c>
      <c r="L26" s="256">
        <f t="shared" si="14"/>
        <v>-8.0000000000000071E-3</v>
      </c>
      <c r="T26" s="264"/>
      <c r="U26" s="264"/>
      <c r="V26" s="264"/>
      <c r="X26" s="264"/>
      <c r="Y26" s="264"/>
      <c r="Z26" s="264"/>
    </row>
    <row r="27" spans="5:29" x14ac:dyDescent="0.2">
      <c r="E27" s="264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2.972</v>
      </c>
      <c r="G27" s="264">
        <f t="shared" si="15"/>
        <v>-7.0000000000001172E-3</v>
      </c>
      <c r="I27" s="256" t="str">
        <f t="shared" si="12"/>
        <v>NGE?12</v>
      </c>
      <c r="J27" s="256" t="str">
        <f t="shared" si="13"/>
        <v>NGES5??12</v>
      </c>
      <c r="K27" s="256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-0.17599999999999999</v>
      </c>
      <c r="L27" s="256">
        <f t="shared" si="14"/>
        <v>-2.5000000000000022E-3</v>
      </c>
      <c r="T27" s="264"/>
      <c r="U27" s="264"/>
      <c r="V27" s="264"/>
      <c r="X27" s="264"/>
      <c r="Y27" s="264"/>
      <c r="Z27" s="264"/>
    </row>
    <row r="28" spans="5:29" x14ac:dyDescent="0.2">
      <c r="T28" s="264"/>
      <c r="U28" s="264"/>
      <c r="V28" s="264"/>
      <c r="X28" s="264"/>
      <c r="Y28" s="264"/>
      <c r="Z28" s="264"/>
    </row>
    <row r="29" spans="5:29" x14ac:dyDescent="0.2">
      <c r="T29" s="264"/>
      <c r="U29" s="264"/>
      <c r="V29" s="264"/>
      <c r="X29" s="264"/>
      <c r="Y29" s="264"/>
      <c r="Z29" s="264"/>
    </row>
    <row r="30" spans="5:29" x14ac:dyDescent="0.2">
      <c r="T30" s="264"/>
      <c r="U30" s="264"/>
      <c r="V30" s="264"/>
      <c r="X30" s="264"/>
      <c r="Y30" s="264"/>
      <c r="Z30" s="264"/>
    </row>
    <row r="31" spans="5:29" x14ac:dyDescent="0.2">
      <c r="T31" s="264"/>
      <c r="U31" s="264"/>
      <c r="V31" s="264"/>
      <c r="X31" s="264"/>
      <c r="Y31" s="264"/>
      <c r="Z31" s="264"/>
    </row>
    <row r="32" spans="5:29" x14ac:dyDescent="0.2">
      <c r="T32" s="264"/>
      <c r="U32" s="264"/>
      <c r="V32" s="264"/>
      <c r="X32" s="264"/>
      <c r="Y32" s="264"/>
      <c r="Z32" s="264"/>
    </row>
    <row r="33" spans="18:26" x14ac:dyDescent="0.2">
      <c r="T33" s="264"/>
      <c r="U33" s="264"/>
      <c r="V33" s="264"/>
    </row>
    <row r="34" spans="18:26" x14ac:dyDescent="0.2">
      <c r="R34" s="256" t="s">
        <v>6</v>
      </c>
      <c r="T34" s="264"/>
      <c r="U34" s="264"/>
      <c r="V34" s="264"/>
      <c r="X34" s="264"/>
      <c r="Y34" s="264"/>
      <c r="Z34" s="256" t="s">
        <v>31</v>
      </c>
    </row>
    <row r="35" spans="18:26" x14ac:dyDescent="0.2">
      <c r="R35" s="256">
        <f>IF(RTD("cqg.rtd", ,"ContractData",Q1&amp;"?", "ContractMonth")=RTD("cqg.rtd", ,"ContractData",Q1&amp;"?1", "ContractMonth"),1,2)</f>
        <v>1</v>
      </c>
      <c r="S35" s="256" t="str">
        <f>RTD("cqg.rtd",,"ContractData",Q1&amp;"?1", "Symbol")</f>
        <v>NGEX7</v>
      </c>
      <c r="T35" s="264"/>
      <c r="U35" s="264"/>
      <c r="V35" s="264"/>
      <c r="X35" s="264"/>
      <c r="Y35" s="264"/>
      <c r="Z35" s="256" t="s">
        <v>32</v>
      </c>
    </row>
    <row r="36" spans="18:26" x14ac:dyDescent="0.2">
      <c r="R36" s="256">
        <f>R35+1</f>
        <v>2</v>
      </c>
      <c r="S36" s="256" t="str">
        <f>RTD("cqg.rtd",,"ContractData",Q1&amp;"?2", "Symbol")</f>
        <v>NGEZ7</v>
      </c>
      <c r="T36" s="264"/>
      <c r="U36" s="264"/>
      <c r="V36" s="264"/>
      <c r="X36" s="264"/>
      <c r="Y36" s="264"/>
      <c r="Z36" s="256" t="s">
        <v>33</v>
      </c>
    </row>
    <row r="37" spans="18:26" x14ac:dyDescent="0.2">
      <c r="R37" s="256">
        <f t="shared" ref="R37:R46" si="16">R36+1</f>
        <v>3</v>
      </c>
      <c r="T37" s="264"/>
      <c r="U37" s="264"/>
      <c r="V37" s="264"/>
      <c r="X37" s="264"/>
      <c r="Y37" s="264"/>
      <c r="Z37" s="256" t="s">
        <v>34</v>
      </c>
    </row>
    <row r="38" spans="18:26" x14ac:dyDescent="0.2">
      <c r="R38" s="256">
        <f t="shared" si="16"/>
        <v>4</v>
      </c>
      <c r="T38" s="264"/>
      <c r="U38" s="264"/>
      <c r="V38" s="264"/>
      <c r="X38" s="264"/>
      <c r="Y38" s="264"/>
      <c r="Z38" s="256" t="s">
        <v>35</v>
      </c>
    </row>
    <row r="39" spans="18:26" x14ac:dyDescent="0.2">
      <c r="R39" s="256">
        <f t="shared" si="16"/>
        <v>5</v>
      </c>
      <c r="T39" s="264"/>
      <c r="U39" s="264"/>
      <c r="V39" s="264"/>
      <c r="X39" s="264"/>
      <c r="Y39" s="264"/>
      <c r="Z39" s="256" t="s">
        <v>36</v>
      </c>
    </row>
    <row r="40" spans="18:26" x14ac:dyDescent="0.2">
      <c r="R40" s="256">
        <f t="shared" si="16"/>
        <v>6</v>
      </c>
      <c r="T40" s="264"/>
      <c r="U40" s="264"/>
      <c r="V40" s="264"/>
      <c r="X40" s="264"/>
      <c r="Y40" s="264"/>
      <c r="Z40" s="256" t="s">
        <v>37</v>
      </c>
    </row>
    <row r="41" spans="18:26" x14ac:dyDescent="0.2">
      <c r="R41" s="256">
        <f t="shared" si="16"/>
        <v>7</v>
      </c>
      <c r="T41" s="264"/>
      <c r="U41" s="264"/>
      <c r="V41" s="264"/>
      <c r="X41" s="264"/>
      <c r="Y41" s="264"/>
      <c r="Z41" s="256" t="s">
        <v>38</v>
      </c>
    </row>
    <row r="42" spans="18:26" x14ac:dyDescent="0.2">
      <c r="R42" s="256">
        <f t="shared" si="16"/>
        <v>8</v>
      </c>
      <c r="T42" s="264"/>
      <c r="U42" s="264"/>
      <c r="V42" s="264"/>
      <c r="X42" s="264"/>
      <c r="Y42" s="264"/>
      <c r="Z42" s="256" t="s">
        <v>39</v>
      </c>
    </row>
    <row r="43" spans="18:26" x14ac:dyDescent="0.2">
      <c r="R43" s="256">
        <f t="shared" si="16"/>
        <v>9</v>
      </c>
      <c r="T43" s="264"/>
      <c r="U43" s="264"/>
      <c r="V43" s="264"/>
      <c r="X43" s="264"/>
      <c r="Y43" s="264"/>
      <c r="Z43" s="256" t="s">
        <v>40</v>
      </c>
    </row>
    <row r="44" spans="18:26" x14ac:dyDescent="0.2">
      <c r="R44" s="256">
        <f t="shared" si="16"/>
        <v>10</v>
      </c>
      <c r="T44" s="264"/>
      <c r="U44" s="264"/>
      <c r="V44" s="264"/>
    </row>
    <row r="45" spans="18:26" x14ac:dyDescent="0.2">
      <c r="R45" s="256">
        <f t="shared" si="16"/>
        <v>11</v>
      </c>
    </row>
    <row r="46" spans="18:26" x14ac:dyDescent="0.2">
      <c r="R46" s="256">
        <f t="shared" si="16"/>
        <v>12</v>
      </c>
      <c r="Z46" s="264"/>
    </row>
  </sheetData>
  <sheetProtection algorithmName="SHA-512" hashValue="y5A5tJo9V8Dc8DVFX3ZNbbmRSIpnFOON48QNXEdsiI9aU1k25lI15BETR2Soo+Iojz6Hu4mjbpDzaFBUYkVcDg==" saltValue="VJDOEdEvMVIZ4Q6vqJLvM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56"/>
    <col min="18" max="18" width="14.375" style="256" customWidth="1"/>
    <col min="19" max="19" width="9" style="256"/>
    <col min="20" max="20" width="15.25" style="256" customWidth="1"/>
    <col min="21" max="21" width="17.75" style="256" customWidth="1"/>
    <col min="22" max="22" width="11.25" style="256" customWidth="1"/>
    <col min="23" max="23" width="40" style="256" customWidth="1"/>
    <col min="24" max="24" width="12.875" style="256" customWidth="1"/>
    <col min="25" max="16384" width="9" style="256"/>
  </cols>
  <sheetData>
    <row r="1" spans="1:38" x14ac:dyDescent="0.2">
      <c r="A1" s="255"/>
      <c r="B1" s="255"/>
      <c r="C1" s="255" t="s">
        <v>2</v>
      </c>
      <c r="D1" s="256">
        <v>6</v>
      </c>
      <c r="E1" s="256">
        <v>2</v>
      </c>
      <c r="F1" s="256">
        <v>3</v>
      </c>
      <c r="G1" s="256">
        <v>4</v>
      </c>
      <c r="H1" s="256">
        <v>5</v>
      </c>
      <c r="I1" s="256">
        <v>6</v>
      </c>
      <c r="J1" s="256">
        <v>7</v>
      </c>
      <c r="K1" s="256">
        <v>8</v>
      </c>
      <c r="L1" s="256">
        <v>9</v>
      </c>
      <c r="M1" s="256">
        <v>10</v>
      </c>
      <c r="N1" s="256">
        <v>11</v>
      </c>
      <c r="O1" s="256">
        <v>12</v>
      </c>
      <c r="P1" s="257"/>
      <c r="Q1" s="258" t="s">
        <v>30</v>
      </c>
      <c r="R1" s="259" t="s">
        <v>3</v>
      </c>
      <c r="S1" s="259" t="s">
        <v>0</v>
      </c>
      <c r="T1" s="259" t="s">
        <v>1</v>
      </c>
      <c r="U1" s="257" t="s">
        <v>4</v>
      </c>
      <c r="V1" s="257"/>
      <c r="W1" s="259" t="s">
        <v>3</v>
      </c>
      <c r="X1" s="257" t="s">
        <v>4</v>
      </c>
      <c r="Y1" s="259" t="s">
        <v>0</v>
      </c>
      <c r="Z1" s="259" t="s">
        <v>1</v>
      </c>
      <c r="AA1" s="257" t="s">
        <v>5</v>
      </c>
      <c r="AB1" s="257" t="s">
        <v>5</v>
      </c>
      <c r="AC1" s="260"/>
      <c r="AD1" s="257" t="s">
        <v>5</v>
      </c>
    </row>
    <row r="2" spans="1:38" x14ac:dyDescent="0.2">
      <c r="A2" s="255" t="str">
        <f>Q2</f>
        <v>NGEX7</v>
      </c>
      <c r="B2" s="255" t="str">
        <f>RTD("cqg.rtd", ,"ContractData",A2, "ContractMonth")</f>
        <v>NOV</v>
      </c>
      <c r="C2" s="261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56" t="str">
        <f>$Q$1&amp;$C$1&amp;$D$1&amp;$C2</f>
        <v>NGES6X7</v>
      </c>
      <c r="E2" s="256" t="str">
        <f>$Q$1&amp;$C$1&amp;$D$1&amp;$C3</f>
        <v>NGES6Z7</v>
      </c>
      <c r="F2" s="256" t="str">
        <f>$Q$1&amp;$C$1&amp;$D$1&amp;$C4</f>
        <v>NGES6F8</v>
      </c>
      <c r="G2" s="256" t="str">
        <f>$Q$1&amp;$C$1&amp;$D$1&amp;$C5</f>
        <v>NGES6G8</v>
      </c>
      <c r="H2" s="256" t="str">
        <f>$Q$1&amp;$C$1&amp;$D$1&amp;$C6</f>
        <v>NGES6H8</v>
      </c>
      <c r="I2" s="256" t="str">
        <f>$Q$1&amp;$C$1&amp;$D$1&amp;$C7</f>
        <v>NGES6J8</v>
      </c>
      <c r="J2" s="256" t="str">
        <f>$Q$1&amp;$C$1&amp;$D$1&amp;$C8</f>
        <v>NGES6K8</v>
      </c>
      <c r="K2" s="256" t="str">
        <f>$Q$1&amp;$C$1&amp;$D$1&amp;$C9</f>
        <v>NGES6M8</v>
      </c>
      <c r="L2" s="256" t="str">
        <f>$Q$1&amp;$C$1&amp;$D$1&amp;$C10</f>
        <v>NGES6N8</v>
      </c>
      <c r="M2" s="256" t="str">
        <f>$Q$1&amp;$C$1&amp;$D$1&amp;$C11</f>
        <v>NGES6Q8</v>
      </c>
      <c r="N2" s="256" t="str">
        <f>$Q$1&amp;$C$1&amp;$D$1&amp;$C12</f>
        <v>NGES6U8</v>
      </c>
      <c r="O2" s="256" t="str">
        <f>$Q$1&amp;$C$1&amp;$D$1&amp;$C13</f>
        <v>NGES6V8</v>
      </c>
      <c r="P2" s="257" t="str">
        <f>LEFT(RIGHT(Q2,2),1)</f>
        <v>X</v>
      </c>
      <c r="Q2" s="262" t="str">
        <f>RTD("cqg.rtd", ,"ContractData", $Q$1&amp;"?"&amp;R35, "Symbol")</f>
        <v>NGEX7</v>
      </c>
      <c r="R2" s="263">
        <f>RTD("cqg.rtd", ,"ContractData", Q2, $R$1,,"T")</f>
        <v>2.8970000000000002</v>
      </c>
      <c r="S2" s="263">
        <f>RTD("cqg.rtd", ,"ContractData", Q2,$S$1,,"T")</f>
        <v>2.8959999999999999</v>
      </c>
      <c r="T2" s="263">
        <f>RTD("cqg.rtd", ,"ContractData", Q2,$T$1,,"T")</f>
        <v>2.8970000000000002</v>
      </c>
      <c r="U2" s="260">
        <f>RTD("cqg.rtd", ,"ContractData", "F."&amp;$Q$1&amp;"?1", $U$1,,"T")</f>
        <v>-2.6000000000000002E-2</v>
      </c>
      <c r="V2" s="257" t="str">
        <f>D2</f>
        <v>NGES6X7</v>
      </c>
      <c r="W2" s="260">
        <f>RTD("cqg.rtd", ,"ContractData", V2, $W$1,,"T")</f>
        <v>-5.0000000000000001E-3</v>
      </c>
      <c r="X2" s="260">
        <f>RTD("cqg.rtd", ,"ContractData", V2, $X$1,,"T")</f>
        <v>-1.7000000000000001E-2</v>
      </c>
      <c r="Y2" s="260">
        <f>RTD("cqg.rtd", ,"ContractData",V2,$Y$1,,"T")</f>
        <v>-5.0000000000000001E-3</v>
      </c>
      <c r="Z2" s="260">
        <f>RTD("cqg.rtd", ,"ContractData", V2,$Z$1,,"T")</f>
        <v>-3.0000000000000001E-3</v>
      </c>
      <c r="AA2" s="260">
        <f>IF(OR(W2="",W2&lt;Y2,W2&gt;Z2),(Y2+Z2)/2,W2)</f>
        <v>-5.0000000000000001E-3</v>
      </c>
      <c r="AB2" s="260">
        <f t="shared" ref="AB2:AB13" si="0">IF(OR(S2="",T2=""),R2,(IF(OR(R2="",R2&lt;S2,R2&gt;T2),(S2+T2)/2,R2)))</f>
        <v>2.8970000000000002</v>
      </c>
      <c r="AC2" s="260">
        <f>IF(OR(R2="",R2&lt;S2,R2&gt;T2),(S2+T2)/2,R2)</f>
        <v>2.8970000000000002</v>
      </c>
      <c r="AD2" s="260">
        <f>IF(OR(Y2="",Z2=""),W2,(IF(OR(W2="",W2&lt;Y2,W2&gt;Z2),(Y2+Z2)/2,W2)))</f>
        <v>-5.0000000000000001E-3</v>
      </c>
      <c r="AF2" s="256">
        <f>IF(ISERROR(AC2),NA(),AC2)</f>
        <v>2.8970000000000002</v>
      </c>
      <c r="AG2" s="256">
        <f>IF(AD2="",NA(),AD2)</f>
        <v>-5.0000000000000001E-3</v>
      </c>
      <c r="AH2" s="256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56" t="str">
        <f>RIGHT(RTD("cqg.rtd",,"ContractData",V2,"LongDescription",,"T"),14)</f>
        <v>Nov 17, May 18</v>
      </c>
      <c r="AJ2" s="256">
        <f>RTD("cqg.rtd", ,"ContractData",Q2, "Settlement",,"T")</f>
        <v>2.923</v>
      </c>
      <c r="AK2" s="256">
        <f>RTD("cqg.rtd", ,"ContractData",V2, "Settlement",,"T")</f>
        <v>1.2E-2</v>
      </c>
      <c r="AL2" s="256">
        <f>IF(AJ2="",NA(),AJ2)</f>
        <v>2.923</v>
      </c>
    </row>
    <row r="3" spans="1:38" x14ac:dyDescent="0.2">
      <c r="A3" s="255" t="str">
        <f t="shared" ref="A3:A13" si="1">Q3</f>
        <v>NGEZ7</v>
      </c>
      <c r="B3" s="255" t="str">
        <f>RTD("cqg.rtd", ,"ContractData",A3, "ContractMonth")</f>
        <v>DEC</v>
      </c>
      <c r="C3" s="261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56" t="str">
        <f t="shared" ref="D3:D13" si="3">$Q$1&amp;$C$1&amp;$D$1&amp;$C3</f>
        <v>NGES6Z7</v>
      </c>
      <c r="P3" s="257" t="str">
        <f t="shared" ref="P3:P13" si="4">LEFT(RIGHT(Q3,2),1)</f>
        <v>Z</v>
      </c>
      <c r="Q3" s="262" t="str">
        <f>RTD("cqg.rtd", ,"ContractData", $Q$1&amp;"?"&amp;R36, "Symbol")</f>
        <v>NGEZ7</v>
      </c>
      <c r="R3" s="263">
        <f>RTD("cqg.rtd", ,"ContractData", Q3, $R$1,,"T")</f>
        <v>3.0710000000000002</v>
      </c>
      <c r="S3" s="263">
        <f>RTD("cqg.rtd", ,"ContractData", Q3,$S$1,,"T")</f>
        <v>3.069</v>
      </c>
      <c r="T3" s="263">
        <f>RTD("cqg.rtd", ,"ContractData", Q3,$T$1,,"T")</f>
        <v>3.0710000000000002</v>
      </c>
      <c r="U3" s="260">
        <f>RTD("cqg.rtd", ,"ContractData", "F."&amp;$Q$1&amp;"?2",  $U$1,,"T")</f>
        <v>-3.2000000000000001E-2</v>
      </c>
      <c r="V3" s="257" t="str">
        <f>E2</f>
        <v>NGES6Z7</v>
      </c>
      <c r="W3" s="260">
        <f>RTD("cqg.rtd", ,"ContractData", V3, $W$1,,"T")</f>
        <v>0.14300000000000002</v>
      </c>
      <c r="X3" s="260">
        <f>RTD("cqg.rtd", ,"ContractData", V3, $X$1,,"T")</f>
        <v>-2.6000000000000002E-2</v>
      </c>
      <c r="Y3" s="260">
        <f>RTD("cqg.rtd", ,"ContractData",V3,$Y$1,,"T")</f>
        <v>0.13800000000000001</v>
      </c>
      <c r="Z3" s="260">
        <f>RTD("cqg.rtd", ,"ContractData", V3,$Z$1,,"T")</f>
        <v>0.14200000000000002</v>
      </c>
      <c r="AA3" s="260">
        <f t="shared" ref="AA3:AA13" si="5">IF(OR(W3="",W3&lt;Y3,W3&gt;Z3),(Y3+Z3)/2,W3)</f>
        <v>0.14000000000000001</v>
      </c>
      <c r="AB3" s="260">
        <f t="shared" si="0"/>
        <v>3.0710000000000002</v>
      </c>
      <c r="AC3" s="260">
        <f>IF(OR(R3="",R3&lt;S3,R3&gt;T3),(S3+T3)/2,R3)</f>
        <v>3.0710000000000002</v>
      </c>
      <c r="AD3" s="260">
        <f t="shared" ref="AD3:AD13" si="6">IF(OR(Y3="",Z3=""),W3,(IF(OR(W3="",W3&lt;Y3,W3&gt;Z3),(Y3+Z3)/2,W3)))</f>
        <v>0.14000000000000001</v>
      </c>
      <c r="AF3" s="256">
        <f t="shared" ref="AF3:AF13" si="7">IF(ISERROR(AC3),NA(),AC3)</f>
        <v>3.0710000000000002</v>
      </c>
      <c r="AG3" s="256">
        <f>IF(AD3="",NA(),AD3)</f>
        <v>0.14000000000000001</v>
      </c>
      <c r="AH3" s="256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56" t="str">
        <f>RIGHT(RTD("cqg.rtd",,"ContractData",V3,"LongDescription",,"T"),14)</f>
        <v>Dec 17, Jun 18</v>
      </c>
      <c r="AJ3" s="256">
        <f>RTD("cqg.rtd", ,"ContractData",Q3, "Settlement",,"T")</f>
        <v>3.1030000000000002</v>
      </c>
      <c r="AK3" s="256">
        <f>RTD("cqg.rtd", ,"ContractData",V3, "Settlement",,"T")</f>
        <v>0.16400000000000001</v>
      </c>
      <c r="AL3" s="256">
        <f t="shared" ref="AL3:AL13" si="9">IF(AJ3="",NA(),AJ3)</f>
        <v>3.1030000000000002</v>
      </c>
    </row>
    <row r="4" spans="1:38" x14ac:dyDescent="0.2">
      <c r="A4" s="255" t="str">
        <f t="shared" si="1"/>
        <v>NGEF8</v>
      </c>
      <c r="B4" s="255" t="str">
        <f>RTD("cqg.rtd", ,"ContractData",A4, "ContractMonth")</f>
        <v>JAN</v>
      </c>
      <c r="C4" s="261" t="str">
        <f t="shared" si="2"/>
        <v>F8</v>
      </c>
      <c r="D4" s="256" t="str">
        <f t="shared" si="3"/>
        <v>NGES6F8</v>
      </c>
      <c r="P4" s="257" t="str">
        <f t="shared" si="4"/>
        <v>F</v>
      </c>
      <c r="Q4" s="262" t="str">
        <f>RTD("cqg.rtd", ,"ContractData", $Q$1&amp;"?"&amp;R37, "Symbol")</f>
        <v>NGEF8</v>
      </c>
      <c r="R4" s="263">
        <f>RTD("cqg.rtd", ,"ContractData", Q4, $R$1,,"T")</f>
        <v>3.1970000000000001</v>
      </c>
      <c r="S4" s="263">
        <f>RTD("cqg.rtd", ,"ContractData", Q4,$S$1,,"T")</f>
        <v>3.1960000000000002</v>
      </c>
      <c r="T4" s="263">
        <f>RTD("cqg.rtd", ,"ContractData", Q4,$T$1,,"T")</f>
        <v>3.1970000000000001</v>
      </c>
      <c r="U4" s="260">
        <f>RTD("cqg.rtd", ,"ContractData", "F."&amp;$Q$1&amp;"?3",  $U$1,,"T")</f>
        <v>-3.3000000000000002E-2</v>
      </c>
      <c r="V4" s="257" t="str">
        <f>F2</f>
        <v>NGES6F8</v>
      </c>
      <c r="W4" s="260">
        <f>RTD("cqg.rtd", ,"ContractData", V4, $W$1,,"T")</f>
        <v>0.24299999999999999</v>
      </c>
      <c r="X4" s="260">
        <f>RTD("cqg.rtd", ,"ContractData", V4, $X$1,,"T")</f>
        <v>-2.7E-2</v>
      </c>
      <c r="Y4" s="260">
        <f>RTD("cqg.rtd", ,"ContractData",V4,$Y$1,,"T")</f>
        <v>0.23700000000000002</v>
      </c>
      <c r="Z4" s="260">
        <f>RTD("cqg.rtd", ,"ContractData", V4,$Z$1,,"T")</f>
        <v>0.24099999999999999</v>
      </c>
      <c r="AA4" s="260">
        <f t="shared" si="5"/>
        <v>0.23899999999999999</v>
      </c>
      <c r="AB4" s="260">
        <f t="shared" si="0"/>
        <v>3.1970000000000001</v>
      </c>
      <c r="AC4" s="260">
        <f t="shared" ref="AC4:AC13" si="10">IF(OR(R4="",R4&lt;S4,R4&gt;T4),(S4+T4)/2,R4)</f>
        <v>3.1970000000000001</v>
      </c>
      <c r="AD4" s="260">
        <f t="shared" si="6"/>
        <v>0.23899999999999999</v>
      </c>
      <c r="AF4" s="256">
        <f t="shared" si="7"/>
        <v>3.1970000000000001</v>
      </c>
      <c r="AG4" s="256">
        <f>IF(AD4="",NA(),AD4)</f>
        <v>0.23899999999999999</v>
      </c>
      <c r="AH4" s="256" t="str">
        <f t="shared" si="8"/>
        <v>JAN</v>
      </c>
      <c r="AI4" s="256" t="str">
        <f>RIGHT(RTD("cqg.rtd",,"ContractData",V4,"LongDescription",,"T"),14)</f>
        <v>Jan 18, Jul 18</v>
      </c>
      <c r="AJ4" s="256">
        <f>RTD("cqg.rtd", ,"ContractData",Q4, "Settlement",,"T")</f>
        <v>3.23</v>
      </c>
      <c r="AK4" s="256">
        <f>RTD("cqg.rtd", ,"ContractData",V4, "Settlement",,"T")</f>
        <v>0.26400000000000001</v>
      </c>
      <c r="AL4" s="256">
        <f t="shared" si="9"/>
        <v>3.23</v>
      </c>
    </row>
    <row r="5" spans="1:38" x14ac:dyDescent="0.2">
      <c r="A5" s="255" t="str">
        <f t="shared" si="1"/>
        <v>NGEG8</v>
      </c>
      <c r="B5" s="255" t="str">
        <f>RTD("cqg.rtd", ,"ContractData",A5, "ContractMonth")</f>
        <v>FEB</v>
      </c>
      <c r="C5" s="261" t="str">
        <f t="shared" si="2"/>
        <v>G8</v>
      </c>
      <c r="D5" s="256" t="str">
        <f t="shared" si="3"/>
        <v>NGES6G8</v>
      </c>
      <c r="P5" s="257" t="str">
        <f t="shared" si="4"/>
        <v>G</v>
      </c>
      <c r="Q5" s="262" t="str">
        <f>RTD("cqg.rtd", ,"ContractData", $Q$1&amp;"?"&amp;R38, "Symbol")</f>
        <v>NGEG8</v>
      </c>
      <c r="R5" s="263">
        <f>RTD("cqg.rtd", ,"ContractData", Q5, $R$1,,"T")</f>
        <v>3.202</v>
      </c>
      <c r="S5" s="263">
        <f>RTD("cqg.rtd", ,"ContractData", Q5,$S$1,,"T")</f>
        <v>3.2010000000000001</v>
      </c>
      <c r="T5" s="263">
        <f>RTD("cqg.rtd", ,"ContractData", Q5,$T$1,,"T")</f>
        <v>3.2029999999999998</v>
      </c>
      <c r="U5" s="260">
        <f>RTD("cqg.rtd", ,"ContractData", "F."&amp;$Q$1&amp;"?4",  $U$1,,"T")</f>
        <v>-3.2000000000000001E-2</v>
      </c>
      <c r="V5" s="257" t="str">
        <f>G2</f>
        <v>NGES6G8</v>
      </c>
      <c r="W5" s="260">
        <f>RTD("cqg.rtd", ,"ContractData", V5, $W$1,,"T")</f>
        <v>0.24399999999999999</v>
      </c>
      <c r="X5" s="260">
        <f>RTD("cqg.rtd", ,"ContractData", V5, $X$1,,"T")</f>
        <v>-2.6000000000000002E-2</v>
      </c>
      <c r="Y5" s="260">
        <f>RTD("cqg.rtd", ,"ContractData",V5,$Y$1,,"T")</f>
        <v>0.24</v>
      </c>
      <c r="Z5" s="260">
        <f>RTD("cqg.rtd", ,"ContractData", V5,$Z$1,,"T")</f>
        <v>0.24399999999999999</v>
      </c>
      <c r="AA5" s="260">
        <f t="shared" si="5"/>
        <v>0.24399999999999999</v>
      </c>
      <c r="AB5" s="260">
        <f t="shared" si="0"/>
        <v>3.202</v>
      </c>
      <c r="AC5" s="260">
        <f t="shared" si="10"/>
        <v>3.202</v>
      </c>
      <c r="AD5" s="260">
        <f t="shared" si="6"/>
        <v>0.24399999999999999</v>
      </c>
      <c r="AF5" s="256">
        <f t="shared" si="7"/>
        <v>3.202</v>
      </c>
      <c r="AG5" s="256">
        <f t="shared" ref="AG5:AG13" si="11">IF(AD5="",NA(),AD5)</f>
        <v>0.24399999999999999</v>
      </c>
      <c r="AH5" s="256" t="str">
        <f t="shared" si="8"/>
        <v>FEB</v>
      </c>
      <c r="AI5" s="256" t="str">
        <f>RIGHT(RTD("cqg.rtd",,"ContractData",V5,"LongDescription",,"T"),14)</f>
        <v>Feb 18, Aug 18</v>
      </c>
      <c r="AJ5" s="256">
        <f>RTD("cqg.rtd", ,"ContractData",Q5, "Settlement",,"T")</f>
        <v>3.2349999999999999</v>
      </c>
      <c r="AK5" s="256">
        <f>RTD("cqg.rtd", ,"ContractData",V5, "Settlement",,"T")</f>
        <v>0.26600000000000001</v>
      </c>
      <c r="AL5" s="256">
        <f t="shared" si="9"/>
        <v>3.2349999999999999</v>
      </c>
    </row>
    <row r="6" spans="1:38" x14ac:dyDescent="0.2">
      <c r="A6" s="255" t="str">
        <f t="shared" si="1"/>
        <v>NGEH8</v>
      </c>
      <c r="B6" s="255" t="str">
        <f>RTD("cqg.rtd", ,"ContractData",A6, "ContractMonth")</f>
        <v>MAR</v>
      </c>
      <c r="C6" s="261" t="str">
        <f t="shared" si="2"/>
        <v>H8</v>
      </c>
      <c r="D6" s="256" t="str">
        <f t="shared" si="3"/>
        <v>NGES6H8</v>
      </c>
      <c r="P6" s="257" t="str">
        <f t="shared" si="4"/>
        <v>H</v>
      </c>
      <c r="Q6" s="262" t="str">
        <f>RTD("cqg.rtd", ,"ContractData", $Q$1&amp;"?"&amp;R39, "Symbol")</f>
        <v>NGEH8</v>
      </c>
      <c r="R6" s="263">
        <f>RTD("cqg.rtd", ,"ContractData", Q6, $R$1,,"T")</f>
        <v>3.1640000000000001</v>
      </c>
      <c r="S6" s="263">
        <f>RTD("cqg.rtd", ,"ContractData", Q6,$S$1,,"T")</f>
        <v>3.1619999999999999</v>
      </c>
      <c r="T6" s="263">
        <f>RTD("cqg.rtd", ,"ContractData", Q6,$T$1,,"T")</f>
        <v>3.1630000000000003</v>
      </c>
      <c r="U6" s="260">
        <f>RTD("cqg.rtd", ,"ContractData", "F."&amp;$Q$1&amp;"?5",  $U$1,,"T")</f>
        <v>-0.03</v>
      </c>
      <c r="V6" s="257" t="str">
        <f>H2</f>
        <v>NGES6H8</v>
      </c>
      <c r="W6" s="260" t="str">
        <f>RTD("cqg.rtd", ,"ContractData", V6, $W$1,,"T")</f>
        <v/>
      </c>
      <c r="X6" s="260">
        <f>RTD("cqg.rtd", ,"ContractData", V6, $X$1,,"T")</f>
        <v>-2.1000000000000001E-2</v>
      </c>
      <c r="Y6" s="260">
        <f>RTD("cqg.rtd", ,"ContractData",V6,$Y$1,,"T")</f>
        <v>0.218</v>
      </c>
      <c r="Z6" s="260">
        <f>RTD("cqg.rtd", ,"ContractData", V6,$Z$1,,"T")</f>
        <v>0.221</v>
      </c>
      <c r="AA6" s="260">
        <f t="shared" si="5"/>
        <v>0.2195</v>
      </c>
      <c r="AB6" s="260">
        <f t="shared" si="0"/>
        <v>3.1625000000000001</v>
      </c>
      <c r="AC6" s="260">
        <f t="shared" si="10"/>
        <v>3.1625000000000001</v>
      </c>
      <c r="AD6" s="260">
        <f t="shared" si="6"/>
        <v>0.2195</v>
      </c>
      <c r="AF6" s="256">
        <f t="shared" si="7"/>
        <v>3.1625000000000001</v>
      </c>
      <c r="AG6" s="256">
        <f t="shared" si="11"/>
        <v>0.2195</v>
      </c>
      <c r="AH6" s="256" t="str">
        <f t="shared" si="8"/>
        <v>MAR</v>
      </c>
      <c r="AI6" s="256" t="str">
        <f>RIGHT(RTD("cqg.rtd",,"ContractData",V6,"LongDescription",,"T"),14)</f>
        <v>Mar 18, Sep 18</v>
      </c>
      <c r="AJ6" s="256">
        <f>RTD("cqg.rtd", ,"ContractData",Q6, "Settlement",,"T")</f>
        <v>3.1930000000000001</v>
      </c>
      <c r="AK6" s="256">
        <f>RTD("cqg.rtd", ,"ContractData",V6, "Settlement",,"T")</f>
        <v>0.24199999999999999</v>
      </c>
      <c r="AL6" s="256">
        <f t="shared" si="9"/>
        <v>3.1930000000000001</v>
      </c>
    </row>
    <row r="7" spans="1:38" x14ac:dyDescent="0.2">
      <c r="A7" s="255" t="str">
        <f t="shared" si="1"/>
        <v>NGEJ8</v>
      </c>
      <c r="B7" s="255" t="str">
        <f>RTD("cqg.rtd", ,"ContractData",A7, "ContractMonth")</f>
        <v>APR</v>
      </c>
      <c r="C7" s="261" t="str">
        <f t="shared" si="2"/>
        <v>J8</v>
      </c>
      <c r="D7" s="256" t="str">
        <f t="shared" si="3"/>
        <v>NGES6J8</v>
      </c>
      <c r="P7" s="257" t="str">
        <f t="shared" si="4"/>
        <v>J</v>
      </c>
      <c r="Q7" s="262" t="str">
        <f>RTD("cqg.rtd", ,"ContractData", $Q$1&amp;"?"&amp;R40, "Symbol")</f>
        <v>NGEJ8</v>
      </c>
      <c r="R7" s="263">
        <f>RTD("cqg.rtd", ,"ContractData", Q7, $R$1,,"T")</f>
        <v>2.9250000000000003</v>
      </c>
      <c r="S7" s="263">
        <f>RTD("cqg.rtd", ,"ContractData", Q7,$S$1,,"T")</f>
        <v>2.9239999999999999</v>
      </c>
      <c r="T7" s="263">
        <f>RTD("cqg.rtd", ,"ContractData", Q7,$T$1,,"T")</f>
        <v>2.9250000000000003</v>
      </c>
      <c r="U7" s="260">
        <f>RTD("cqg.rtd", ,"ContractData", "F."&amp;$Q$1&amp;"?6", $U$1,,"T")</f>
        <v>-1.4E-2</v>
      </c>
      <c r="V7" s="257" t="str">
        <f>I2</f>
        <v>NGES6J8</v>
      </c>
      <c r="W7" s="260">
        <f>RTD("cqg.rtd", ,"ContractData", V7, $W$1,,"T")</f>
        <v>-4.1000000000000002E-2</v>
      </c>
      <c r="X7" s="260">
        <f>RTD("cqg.rtd", ,"ContractData", V7, $X$1,,"T")</f>
        <v>-6.0000000000000001E-3</v>
      </c>
      <c r="Y7" s="260">
        <f>RTD("cqg.rtd", ,"ContractData",V7,$Y$1,,"T")</f>
        <v>-4.1000000000000002E-2</v>
      </c>
      <c r="Z7" s="260">
        <f>RTD("cqg.rtd", ,"ContractData", V7,$Z$1,,"T")</f>
        <v>-0.04</v>
      </c>
      <c r="AA7" s="260">
        <f t="shared" si="5"/>
        <v>-4.1000000000000002E-2</v>
      </c>
      <c r="AB7" s="260">
        <f t="shared" si="0"/>
        <v>2.9250000000000003</v>
      </c>
      <c r="AC7" s="260">
        <f t="shared" si="10"/>
        <v>2.9250000000000003</v>
      </c>
      <c r="AD7" s="260">
        <f t="shared" si="6"/>
        <v>-4.1000000000000002E-2</v>
      </c>
      <c r="AF7" s="256">
        <f t="shared" si="7"/>
        <v>2.9250000000000003</v>
      </c>
      <c r="AG7" s="256">
        <f t="shared" si="11"/>
        <v>-4.1000000000000002E-2</v>
      </c>
      <c r="AH7" s="256" t="str">
        <f t="shared" si="8"/>
        <v>APR</v>
      </c>
      <c r="AI7" s="256" t="str">
        <f>RIGHT(RTD("cqg.rtd",,"ContractData",V7,"LongDescription",,"T"),14)</f>
        <v>Apr 18, Oct 18</v>
      </c>
      <c r="AJ7" s="256">
        <f>RTD("cqg.rtd", ,"ContractData",Q7, "Settlement",,"T")</f>
        <v>2.9390000000000001</v>
      </c>
      <c r="AK7" s="256">
        <f>RTD("cqg.rtd", ,"ContractData",V7, "Settlement",,"T")</f>
        <v>-3.5000000000000003E-2</v>
      </c>
      <c r="AL7" s="256">
        <f t="shared" si="9"/>
        <v>2.9390000000000001</v>
      </c>
    </row>
    <row r="8" spans="1:38" x14ac:dyDescent="0.2">
      <c r="A8" s="255" t="str">
        <f t="shared" si="1"/>
        <v>NGEK8</v>
      </c>
      <c r="B8" s="255" t="str">
        <f>RTD("cqg.rtd", ,"ContractData",A8, "ContractMonth")</f>
        <v>MAY</v>
      </c>
      <c r="C8" s="261" t="str">
        <f t="shared" si="2"/>
        <v>K8</v>
      </c>
      <c r="D8" s="256" t="str">
        <f t="shared" si="3"/>
        <v>NGES6K8</v>
      </c>
      <c r="P8" s="257" t="str">
        <f t="shared" si="4"/>
        <v>K</v>
      </c>
      <c r="Q8" s="262" t="str">
        <f>RTD("cqg.rtd", ,"ContractData", $Q$1&amp;"?"&amp;R41, "Symbol")</f>
        <v>NGEK8</v>
      </c>
      <c r="R8" s="263">
        <f>RTD("cqg.rtd", ,"ContractData", Q8, $R$1,,"T")</f>
        <v>2.9020000000000001</v>
      </c>
      <c r="S8" s="263">
        <f>RTD("cqg.rtd", ,"ContractData", Q8,$S$1,,"T")</f>
        <v>2.9</v>
      </c>
      <c r="T8" s="263">
        <f>RTD("cqg.rtd", ,"ContractData", Q8,$T$1,,"T")</f>
        <v>2.9010000000000002</v>
      </c>
      <c r="U8" s="260">
        <f>RTD("cqg.rtd", ,"ContractData", "F."&amp;$Q$1&amp;"?7", $U$1,,"T")</f>
        <v>-0.01</v>
      </c>
      <c r="V8" s="257" t="str">
        <f>J2</f>
        <v>NGES6K8</v>
      </c>
      <c r="W8" s="260" t="str">
        <f>RTD("cqg.rtd", ,"ContractData", V8, $W$1,,"T")</f>
        <v/>
      </c>
      <c r="X8" s="260">
        <f>RTD("cqg.rtd", ,"ContractData", V8, $X$1,,"T")</f>
        <v>-3.0000000000000001E-3</v>
      </c>
      <c r="Y8" s="260">
        <f>RTD("cqg.rtd", ,"ContractData",V8,$Y$1,,"T")</f>
        <v>-0.12</v>
      </c>
      <c r="Z8" s="260">
        <f>RTD("cqg.rtd", ,"ContractData", V8,$Z$1,,"T")</f>
        <v>-0.11700000000000001</v>
      </c>
      <c r="AA8" s="260">
        <f t="shared" si="5"/>
        <v>-0.11849999999999999</v>
      </c>
      <c r="AB8" s="260">
        <f t="shared" si="0"/>
        <v>2.9005000000000001</v>
      </c>
      <c r="AC8" s="260">
        <f t="shared" si="10"/>
        <v>2.9005000000000001</v>
      </c>
      <c r="AD8" s="260">
        <f t="shared" si="6"/>
        <v>-0.11849999999999999</v>
      </c>
      <c r="AF8" s="256">
        <f t="shared" si="7"/>
        <v>2.9005000000000001</v>
      </c>
      <c r="AG8" s="256">
        <f t="shared" si="11"/>
        <v>-0.11849999999999999</v>
      </c>
      <c r="AH8" s="256" t="str">
        <f t="shared" si="8"/>
        <v>MAY</v>
      </c>
      <c r="AI8" s="256" t="str">
        <f>RIGHT(RTD("cqg.rtd",,"ContractData",V8,"LongDescription",,"T"),14)</f>
        <v>May 18, Nov 18</v>
      </c>
      <c r="AJ8" s="256">
        <f>RTD("cqg.rtd", ,"ContractData",Q8, "Settlement",,"T")</f>
        <v>2.911</v>
      </c>
      <c r="AK8" s="256">
        <f>RTD("cqg.rtd", ,"ContractData",V8, "Settlement",,"T")</f>
        <v>-0.11700000000000001</v>
      </c>
      <c r="AL8" s="256">
        <f t="shared" si="9"/>
        <v>2.911</v>
      </c>
    </row>
    <row r="9" spans="1:38" x14ac:dyDescent="0.2">
      <c r="A9" s="255" t="str">
        <f t="shared" si="1"/>
        <v>NGEM8</v>
      </c>
      <c r="B9" s="255" t="str">
        <f>RTD("cqg.rtd", ,"ContractData",A9, "ContractMonth")</f>
        <v>JUN</v>
      </c>
      <c r="C9" s="261" t="str">
        <f t="shared" si="2"/>
        <v>M8</v>
      </c>
      <c r="D9" s="256" t="str">
        <f t="shared" si="3"/>
        <v>NGES6M8</v>
      </c>
      <c r="P9" s="257" t="str">
        <f t="shared" si="4"/>
        <v>M</v>
      </c>
      <c r="Q9" s="262" t="str">
        <f>RTD("cqg.rtd", ,"ContractData", $Q$1&amp;"?"&amp;R42, "Symbol")</f>
        <v>NGEM8</v>
      </c>
      <c r="R9" s="263">
        <f>RTD("cqg.rtd", ,"ContractData", Q9, $R$1,,"T")</f>
        <v>2.931</v>
      </c>
      <c r="S9" s="263">
        <f>RTD("cqg.rtd", ,"ContractData", Q9,$S$1,,"T")</f>
        <v>2.9290000000000003</v>
      </c>
      <c r="T9" s="263">
        <f>RTD("cqg.rtd", ,"ContractData", Q9,$T$1,,"T")</f>
        <v>2.931</v>
      </c>
      <c r="U9" s="260">
        <f>RTD("cqg.rtd", ,"ContractData", "F."&amp;$Q$1&amp;"?8", $U$1,,"T")</f>
        <v>-8.0000000000000002E-3</v>
      </c>
      <c r="V9" s="257" t="str">
        <f>K2</f>
        <v>NGES6M8</v>
      </c>
      <c r="W9" s="260" t="str">
        <f>RTD("cqg.rtd", ,"ContractData", V9, $W$1,,"T")</f>
        <v/>
      </c>
      <c r="X9" s="260">
        <f>RTD("cqg.rtd", ,"ContractData", V9, $X$1,,"T")</f>
        <v>-3.0000000000000001E-3</v>
      </c>
      <c r="Y9" s="260">
        <f>RTD("cqg.rtd", ,"ContractData",V9,$Y$1,,"T")</f>
        <v>-0.22800000000000001</v>
      </c>
      <c r="Z9" s="260">
        <f>RTD("cqg.rtd", ,"ContractData", V9,$Z$1,,"T")</f>
        <v>-0.223</v>
      </c>
      <c r="AA9" s="260">
        <f t="shared" si="5"/>
        <v>-0.22550000000000001</v>
      </c>
      <c r="AB9" s="260">
        <f t="shared" si="0"/>
        <v>2.931</v>
      </c>
      <c r="AC9" s="260">
        <f t="shared" si="10"/>
        <v>2.931</v>
      </c>
      <c r="AD9" s="260">
        <f t="shared" si="6"/>
        <v>-0.22550000000000001</v>
      </c>
      <c r="AF9" s="256">
        <f t="shared" si="7"/>
        <v>2.931</v>
      </c>
      <c r="AG9" s="256">
        <f t="shared" si="11"/>
        <v>-0.22550000000000001</v>
      </c>
      <c r="AH9" s="256" t="str">
        <f t="shared" si="8"/>
        <v>JUN</v>
      </c>
      <c r="AI9" s="256" t="str">
        <f>RIGHT(RTD("cqg.rtd",,"ContractData",V9,"LongDescription",,"T"),14)</f>
        <v>Jun 18, Dec 18</v>
      </c>
      <c r="AJ9" s="256">
        <f>RTD("cqg.rtd", ,"ContractData",Q9, "Settlement",,"T")</f>
        <v>2.9390000000000001</v>
      </c>
      <c r="AK9" s="256">
        <f>RTD("cqg.rtd", ,"ContractData",V9, "Settlement",,"T")</f>
        <v>-0.22500000000000001</v>
      </c>
      <c r="AL9" s="256">
        <f t="shared" si="9"/>
        <v>2.9390000000000001</v>
      </c>
    </row>
    <row r="10" spans="1:38" x14ac:dyDescent="0.2">
      <c r="A10" s="255" t="str">
        <f t="shared" si="1"/>
        <v>NGEN8</v>
      </c>
      <c r="B10" s="255" t="str">
        <f>RTD("cqg.rtd", ,"ContractData",A10, "ContractMonth")</f>
        <v>JUL</v>
      </c>
      <c r="C10" s="261" t="str">
        <f t="shared" si="2"/>
        <v>N8</v>
      </c>
      <c r="D10" s="256" t="str">
        <f t="shared" si="3"/>
        <v>NGES6N8</v>
      </c>
      <c r="P10" s="257" t="str">
        <f t="shared" si="4"/>
        <v>N</v>
      </c>
      <c r="Q10" s="262" t="str">
        <f>RTD("cqg.rtd", ,"ContractData", $Q$1&amp;"?"&amp;R43, "Symbol")</f>
        <v>NGEN8</v>
      </c>
      <c r="R10" s="263">
        <f>RTD("cqg.rtd", ,"ContractData", Q10, $R$1,,"T")</f>
        <v>2.9580000000000002</v>
      </c>
      <c r="S10" s="263">
        <f>RTD("cqg.rtd", ,"ContractData", Q10,$S$1,,"T")</f>
        <v>2.956</v>
      </c>
      <c r="T10" s="263">
        <f>RTD("cqg.rtd", ,"ContractData", Q10,$T$1,,"T")</f>
        <v>2.9580000000000002</v>
      </c>
      <c r="U10" s="260">
        <f>RTD("cqg.rtd", ,"ContractData", "F."&amp;$Q$1&amp;"?9", $U$1,,"T")</f>
        <v>-8.0000000000000002E-3</v>
      </c>
      <c r="V10" s="257" t="str">
        <f>L2</f>
        <v>NGES6N8</v>
      </c>
      <c r="W10" s="260" t="str">
        <f>RTD("cqg.rtd", ,"ContractData", V10, $W$1,,"T")</f>
        <v/>
      </c>
      <c r="X10" s="260">
        <f>RTD("cqg.rtd", ,"ContractData", V10, $X$1,,"T")</f>
        <v>-3.0000000000000001E-3</v>
      </c>
      <c r="Y10" s="260">
        <f>RTD("cqg.rtd", ,"ContractData",V10,$Y$1,,"T")</f>
        <v>-0.28500000000000003</v>
      </c>
      <c r="Z10" s="260">
        <f>RTD("cqg.rtd", ,"ContractData", V10,$Z$1,,"T")</f>
        <v>-0.28000000000000003</v>
      </c>
      <c r="AA10" s="260">
        <f t="shared" si="5"/>
        <v>-0.28250000000000003</v>
      </c>
      <c r="AB10" s="260">
        <f t="shared" si="0"/>
        <v>2.9580000000000002</v>
      </c>
      <c r="AC10" s="260">
        <f t="shared" si="10"/>
        <v>2.9580000000000002</v>
      </c>
      <c r="AD10" s="260">
        <f t="shared" si="6"/>
        <v>-0.28250000000000003</v>
      </c>
      <c r="AF10" s="256">
        <f t="shared" si="7"/>
        <v>2.9580000000000002</v>
      </c>
      <c r="AG10" s="256">
        <f t="shared" si="11"/>
        <v>-0.28250000000000003</v>
      </c>
      <c r="AH10" s="256" t="str">
        <f t="shared" si="8"/>
        <v>JUL</v>
      </c>
      <c r="AI10" s="256" t="str">
        <f>RIGHT(RTD("cqg.rtd",,"ContractData",V10,"LongDescription",,"T"),14)</f>
        <v>Jul 18, Jan 19</v>
      </c>
      <c r="AJ10" s="256">
        <f>RTD("cqg.rtd", ,"ContractData",Q10, "Settlement",,"T")</f>
        <v>2.9660000000000002</v>
      </c>
      <c r="AK10" s="256">
        <f>RTD("cqg.rtd", ,"ContractData",V10, "Settlement",,"T")</f>
        <v>-0.28200000000000003</v>
      </c>
      <c r="AL10" s="256">
        <f t="shared" si="9"/>
        <v>2.9660000000000002</v>
      </c>
    </row>
    <row r="11" spans="1:38" x14ac:dyDescent="0.2">
      <c r="A11" s="255" t="str">
        <f t="shared" si="1"/>
        <v>NGEQ8</v>
      </c>
      <c r="B11" s="255" t="str">
        <f>RTD("cqg.rtd", ,"ContractData",A11, "ContractMonth")</f>
        <v>AUG</v>
      </c>
      <c r="C11" s="261" t="str">
        <f t="shared" si="2"/>
        <v>Q8</v>
      </c>
      <c r="D11" s="256" t="str">
        <f t="shared" si="3"/>
        <v>NGES6Q8</v>
      </c>
      <c r="P11" s="257" t="str">
        <f t="shared" si="4"/>
        <v>Q</v>
      </c>
      <c r="Q11" s="262" t="str">
        <f>RTD("cqg.rtd", ,"ContractData", $Q$1&amp;"?"&amp;R44, "Symbol")</f>
        <v>NGEQ8</v>
      </c>
      <c r="R11" s="263">
        <f>RTD("cqg.rtd", ,"ContractData", Q11, $R$1,,"T")</f>
        <v>2.96</v>
      </c>
      <c r="S11" s="263">
        <f>RTD("cqg.rtd", ,"ContractData", Q11,$S$1,,"T")</f>
        <v>2.9590000000000001</v>
      </c>
      <c r="T11" s="263">
        <f>RTD("cqg.rtd", ,"ContractData", Q11,$T$1,,"T")</f>
        <v>2.9609999999999999</v>
      </c>
      <c r="U11" s="260">
        <f>RTD("cqg.rtd", ,"ContractData", "F."&amp;$Q$1&amp;"?10", $U$1,,"T")</f>
        <v>-0.01</v>
      </c>
      <c r="V11" s="257" t="str">
        <f>M2</f>
        <v>NGES6Q8</v>
      </c>
      <c r="W11" s="260" t="str">
        <f>RTD("cqg.rtd", ,"ContractData", V11, $W$1,,"T")</f>
        <v/>
      </c>
      <c r="X11" s="260">
        <f>RTD("cqg.rtd", ,"ContractData", V11, $X$1,,"T")</f>
        <v>-4.0000000000000001E-3</v>
      </c>
      <c r="Y11" s="260">
        <f>RTD("cqg.rtd", ,"ContractData",V11,$Y$1,,"T")</f>
        <v>-0.26</v>
      </c>
      <c r="Z11" s="260">
        <f>RTD("cqg.rtd", ,"ContractData", V11,$Z$1,,"T")</f>
        <v>-0.251</v>
      </c>
      <c r="AA11" s="260">
        <f t="shared" si="5"/>
        <v>-0.2555</v>
      </c>
      <c r="AB11" s="260">
        <f t="shared" si="0"/>
        <v>2.96</v>
      </c>
      <c r="AC11" s="260">
        <f t="shared" si="10"/>
        <v>2.96</v>
      </c>
      <c r="AD11" s="260">
        <f t="shared" si="6"/>
        <v>-0.2555</v>
      </c>
      <c r="AF11" s="256">
        <f t="shared" si="7"/>
        <v>2.96</v>
      </c>
      <c r="AG11" s="256">
        <f t="shared" si="11"/>
        <v>-0.2555</v>
      </c>
      <c r="AH11" s="256" t="str">
        <f t="shared" si="8"/>
        <v>AUG</v>
      </c>
      <c r="AI11" s="256" t="str">
        <f>RIGHT(RTD("cqg.rtd",,"ContractData",V11,"LongDescription",,"T"),14)</f>
        <v>Aug 18, Feb 19</v>
      </c>
      <c r="AJ11" s="256">
        <f>RTD("cqg.rtd", ,"ContractData",Q11, "Settlement",,"T")</f>
        <v>2.9689999999999999</v>
      </c>
      <c r="AK11" s="256">
        <f>RTD("cqg.rtd", ,"ContractData",V11, "Settlement",,"T")</f>
        <v>-0.25600000000000001</v>
      </c>
      <c r="AL11" s="256">
        <f t="shared" si="9"/>
        <v>2.9689999999999999</v>
      </c>
    </row>
    <row r="12" spans="1:38" x14ac:dyDescent="0.2">
      <c r="A12" s="255" t="str">
        <f t="shared" si="1"/>
        <v>NGEU8</v>
      </c>
      <c r="B12" s="255" t="str">
        <f>RTD("cqg.rtd", ,"ContractData",A12, "ContractMonth")</f>
        <v>SEP</v>
      </c>
      <c r="C12" s="261" t="str">
        <f t="shared" si="2"/>
        <v>U8</v>
      </c>
      <c r="D12" s="256" t="str">
        <f t="shared" si="3"/>
        <v>NGES6U8</v>
      </c>
      <c r="P12" s="257" t="str">
        <f t="shared" si="4"/>
        <v>U</v>
      </c>
      <c r="Q12" s="262" t="str">
        <f>RTD("cqg.rtd", ,"ContractData", $Q$1&amp;"?"&amp;R45, "Symbol")</f>
        <v>NGEU8</v>
      </c>
      <c r="R12" s="263">
        <f>RTD("cqg.rtd", ,"ContractData", Q12, $R$1,,"T")</f>
        <v>2.9420000000000002</v>
      </c>
      <c r="S12" s="263">
        <f>RTD("cqg.rtd", ,"ContractData", Q12,$S$1,,"T")</f>
        <v>2.9420000000000002</v>
      </c>
      <c r="T12" s="263">
        <f>RTD("cqg.rtd", ,"ContractData", Q12,$T$1,,"T")</f>
        <v>2.944</v>
      </c>
      <c r="U12" s="260">
        <f>RTD("cqg.rtd", ,"ContractData", "F."&amp;$Q$1&amp;"?11",$U$1,,"T")</f>
        <v>-7.0000000000000001E-3</v>
      </c>
      <c r="V12" s="257" t="str">
        <f>N2</f>
        <v>NGES6U8</v>
      </c>
      <c r="W12" s="260" t="str">
        <f>RTD("cqg.rtd", ,"ContractData", V12, $W$1,,"T")</f>
        <v/>
      </c>
      <c r="X12" s="260">
        <f>RTD("cqg.rtd", ,"ContractData", V12, $X$1,,"T")</f>
        <v>-3.0000000000000001E-3</v>
      </c>
      <c r="Y12" s="260">
        <f>RTD("cqg.rtd", ,"ContractData",V12,$Y$1,,"T")</f>
        <v>-0.20500000000000002</v>
      </c>
      <c r="Z12" s="260">
        <f>RTD("cqg.rtd", ,"ContractData", V12,$Z$1,,"T")</f>
        <v>-0.19600000000000001</v>
      </c>
      <c r="AA12" s="260">
        <f t="shared" si="5"/>
        <v>-0.20050000000000001</v>
      </c>
      <c r="AB12" s="260">
        <f t="shared" si="0"/>
        <v>2.9420000000000002</v>
      </c>
      <c r="AC12" s="260">
        <f t="shared" si="10"/>
        <v>2.9420000000000002</v>
      </c>
      <c r="AD12" s="260">
        <f t="shared" si="6"/>
        <v>-0.20050000000000001</v>
      </c>
      <c r="AF12" s="256">
        <f t="shared" si="7"/>
        <v>2.9420000000000002</v>
      </c>
      <c r="AG12" s="256">
        <f t="shared" si="11"/>
        <v>-0.20050000000000001</v>
      </c>
      <c r="AH12" s="256" t="str">
        <f t="shared" si="8"/>
        <v>SEP</v>
      </c>
      <c r="AI12" s="256" t="str">
        <f>RIGHT(RTD("cqg.rtd",,"ContractData",V12,"LongDescription",,"T"),14)</f>
        <v>Sep 18, Mar 19</v>
      </c>
      <c r="AJ12" s="256">
        <f>RTD("cqg.rtd", ,"ContractData",Q12, "Settlement",,"T")</f>
        <v>2.9510000000000001</v>
      </c>
      <c r="AK12" s="256">
        <f>RTD("cqg.rtd", ,"ContractData",V12, "Settlement",,"T")</f>
        <v>-0.20200000000000001</v>
      </c>
      <c r="AL12" s="256">
        <f t="shared" si="9"/>
        <v>2.9510000000000001</v>
      </c>
    </row>
    <row r="13" spans="1:38" x14ac:dyDescent="0.2">
      <c r="A13" s="255" t="str">
        <f t="shared" si="1"/>
        <v>NGEV8</v>
      </c>
      <c r="B13" s="255" t="str">
        <f>RTD("cqg.rtd", ,"ContractData",A13, "ContractMonth")</f>
        <v>OCT</v>
      </c>
      <c r="C13" s="261" t="str">
        <f t="shared" si="2"/>
        <v>V8</v>
      </c>
      <c r="D13" s="256" t="str">
        <f t="shared" si="3"/>
        <v>NGES6V8</v>
      </c>
      <c r="P13" s="257" t="str">
        <f t="shared" si="4"/>
        <v>V</v>
      </c>
      <c r="Q13" s="262" t="str">
        <f>RTD("cqg.rtd", ,"ContractData", $Q$1&amp;"?"&amp;R46, "Symbol")</f>
        <v>NGEV8</v>
      </c>
      <c r="R13" s="263">
        <f>RTD("cqg.rtd", ,"ContractData", Q13, $R$1,,"T")</f>
        <v>2.9670000000000001</v>
      </c>
      <c r="S13" s="263">
        <f>RTD("cqg.rtd", ,"ContractData", Q13,$S$1,,"T")</f>
        <v>2.964</v>
      </c>
      <c r="T13" s="263">
        <f>RTD("cqg.rtd", ,"ContractData", Q13,$T$1,,"T")</f>
        <v>2.9660000000000002</v>
      </c>
      <c r="U13" s="260">
        <f>RTD("cqg.rtd", ,"ContractData", "F."&amp;$Q$1&amp;"?12",$U$1,,"T")</f>
        <v>-8.0000000000000002E-3</v>
      </c>
      <c r="V13" s="257" t="str">
        <f>O2</f>
        <v>NGES6V8</v>
      </c>
      <c r="W13" s="260" t="str">
        <f>RTD("cqg.rtd", ,"ContractData", V13, $W$1,,"T")</f>
        <v/>
      </c>
      <c r="X13" s="260">
        <f>RTD("cqg.rtd", ,"ContractData", V13, $X$1,,"T")</f>
        <v>-1.3000000000000001E-2</v>
      </c>
      <c r="Y13" s="260">
        <f>RTD("cqg.rtd", ,"ContractData",V13,$Y$1,,"T")</f>
        <v>0.20300000000000001</v>
      </c>
      <c r="Z13" s="260">
        <f>RTD("cqg.rtd", ,"ContractData", V13,$Z$1,,"T")</f>
        <v>0.222</v>
      </c>
      <c r="AA13" s="260">
        <f t="shared" si="5"/>
        <v>0.21250000000000002</v>
      </c>
      <c r="AB13" s="260">
        <f t="shared" si="0"/>
        <v>2.9649999999999999</v>
      </c>
      <c r="AC13" s="260">
        <f t="shared" si="10"/>
        <v>2.9649999999999999</v>
      </c>
      <c r="AD13" s="260">
        <f t="shared" si="6"/>
        <v>0.21250000000000002</v>
      </c>
      <c r="AF13" s="256">
        <f t="shared" si="7"/>
        <v>2.9649999999999999</v>
      </c>
      <c r="AG13" s="256">
        <f t="shared" si="11"/>
        <v>0.21250000000000002</v>
      </c>
      <c r="AH13" s="256" t="str">
        <f t="shared" si="8"/>
        <v>OCT</v>
      </c>
      <c r="AI13" s="256" t="str">
        <f>RIGHT(RTD("cqg.rtd",,"ContractData",V13,"LongDescription",,"T"),14)</f>
        <v>Oct 18, Apr 19</v>
      </c>
      <c r="AJ13" s="256">
        <f>RTD("cqg.rtd", ,"ContractData",Q13, "Settlement",,"T")</f>
        <v>2.9740000000000002</v>
      </c>
      <c r="AK13" s="256">
        <f>RTD("cqg.rtd", ,"ContractData",V13, "Settlement",,"T")</f>
        <v>0.216</v>
      </c>
      <c r="AL13" s="256">
        <f t="shared" si="9"/>
        <v>2.9740000000000002</v>
      </c>
    </row>
    <row r="14" spans="1:38" x14ac:dyDescent="0.2"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</row>
    <row r="15" spans="1:38" x14ac:dyDescent="0.2">
      <c r="E15" s="256" t="b">
        <v>0</v>
      </c>
      <c r="F15" s="256" t="s">
        <v>24</v>
      </c>
      <c r="G15" s="256" t="s">
        <v>26</v>
      </c>
      <c r="P15" s="257"/>
      <c r="Q15" s="257"/>
      <c r="R15" s="257"/>
      <c r="S15" s="257"/>
      <c r="T15" s="257"/>
      <c r="U15" s="257"/>
    </row>
    <row r="16" spans="1:38" x14ac:dyDescent="0.2">
      <c r="A16" s="256">
        <f>NGECalendars!K4</f>
        <v>9</v>
      </c>
      <c r="B16" s="256">
        <f>NGECalendars!L4</f>
        <v>14</v>
      </c>
      <c r="C16" s="256">
        <f>NGECalendars!M4</f>
        <v>2017</v>
      </c>
      <c r="D16" s="256" t="s">
        <v>210</v>
      </c>
      <c r="E16" s="264">
        <f xml:space="preserve"> RTD("cqg.rtd",,"StudyData", "Close("&amp;$I16&amp;")when (LocalMonth("&amp;$I16&amp;")="&amp;$A$16&amp;" and LocalDay("&amp;$I16&amp;")="&amp;$B$16&amp;" and LocalYear("&amp;$I16&amp;")="&amp;$C$16&amp;")", "Bar", "", "Close",$D$16, "0","ALL","", "",$E$15,$F$15)</f>
        <v>3.1269999999999998</v>
      </c>
      <c r="G16" s="264">
        <f>IFERROR(AF2-E16,"")</f>
        <v>-0.22999999999999954</v>
      </c>
      <c r="I16" s="256" t="str">
        <f>$Q$1&amp;"?"&amp;R35</f>
        <v>NGE?1</v>
      </c>
      <c r="J16" s="256" t="str">
        <f>"NGES6??"&amp;R35</f>
        <v>NGES6??1</v>
      </c>
      <c r="K16" s="256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0.20499999999999999</v>
      </c>
      <c r="L16" s="256">
        <f>IFERROR(AG2-K16,"")</f>
        <v>-0.21</v>
      </c>
    </row>
    <row r="17" spans="5:29" x14ac:dyDescent="0.2">
      <c r="E17" s="264">
        <f xml:space="preserve"> RTD("cqg.rtd",,"StudyData", "Close("&amp;$I17&amp;")when (LocalMonth("&amp;$I17&amp;")="&amp;$A$16&amp;" and LocalDay("&amp;$I17&amp;")="&amp;$B$16&amp;" and LocalYear("&amp;$I17&amp;")="&amp;$C$16&amp;")", "Bar", "", "Close",$D$16, "0","ALL","", "",$E$15,$F$15)</f>
        <v>3.2709999999999999</v>
      </c>
      <c r="G17" s="264">
        <f t="shared" ref="G17:G27" si="12">IFERROR(AF3-E17,"")</f>
        <v>-0.19999999999999973</v>
      </c>
      <c r="I17" s="256" t="str">
        <f t="shared" ref="I17:I27" si="13">$Q$1&amp;"?"&amp;R36</f>
        <v>NGE?2</v>
      </c>
      <c r="J17" s="256" t="str">
        <f t="shared" ref="J17:J27" si="14">"NGES6??"&amp;R36</f>
        <v>NGES6??2</v>
      </c>
      <c r="K17" s="256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0.32500000000000001</v>
      </c>
      <c r="L17" s="256">
        <f t="shared" ref="L17:L27" si="15">IFERROR(AG3-K17,"")</f>
        <v>-0.185</v>
      </c>
      <c r="AB17" s="264"/>
      <c r="AC17" s="264"/>
    </row>
    <row r="18" spans="5:29" x14ac:dyDescent="0.2">
      <c r="E18" s="264">
        <f xml:space="preserve"> RTD("cqg.rtd",,"StudyData", "Close("&amp;$I18&amp;")when (LocalMonth("&amp;$I18&amp;")="&amp;$A$16&amp;" and LocalDay("&amp;$I18&amp;")="&amp;$B$16&amp;" and LocalYear("&amp;$I18&amp;")="&amp;$C$16&amp;")", "Bar", "", "Close",$D$16, "0","ALL","", "",$E$15,$F$15)</f>
        <v>3.371</v>
      </c>
      <c r="G18" s="264">
        <f t="shared" si="12"/>
        <v>-0.17399999999999993</v>
      </c>
      <c r="I18" s="256" t="str">
        <f t="shared" si="13"/>
        <v>NGE?3</v>
      </c>
      <c r="J18" s="256" t="str">
        <f t="shared" si="14"/>
        <v>NGES6??3</v>
      </c>
      <c r="K18" s="256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0.40100000000000002</v>
      </c>
      <c r="L18" s="256">
        <f t="shared" si="15"/>
        <v>-0.16200000000000003</v>
      </c>
      <c r="AB18" s="264"/>
      <c r="AC18" s="264"/>
    </row>
    <row r="19" spans="5:29" x14ac:dyDescent="0.2">
      <c r="E19" s="264">
        <f xml:space="preserve"> RTD("cqg.rtd",,"StudyData", "Close("&amp;$I19&amp;")when (LocalMonth("&amp;$I19&amp;")="&amp;$A$16&amp;" and LocalDay("&amp;$I19&amp;")="&amp;$B$16&amp;" and LocalYear("&amp;$I19&amp;")="&amp;$C$16&amp;")", "Bar", "", "Close",$D$16, "0","ALL","", "",$E$15,$F$15)</f>
        <v>3.37</v>
      </c>
      <c r="G19" s="264">
        <f t="shared" si="12"/>
        <v>-0.16800000000000015</v>
      </c>
      <c r="I19" s="256" t="str">
        <f t="shared" si="13"/>
        <v>NGE?4</v>
      </c>
      <c r="J19" s="256" t="str">
        <f t="shared" si="14"/>
        <v>NGES6??4</v>
      </c>
      <c r="K19" s="256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0.39700000000000002</v>
      </c>
      <c r="L19" s="256">
        <f t="shared" si="15"/>
        <v>-0.15300000000000002</v>
      </c>
      <c r="AB19" s="264"/>
      <c r="AC19" s="264"/>
    </row>
    <row r="20" spans="5:29" x14ac:dyDescent="0.2">
      <c r="E20" s="264">
        <f xml:space="preserve"> RTD("cqg.rtd",,"StudyData", "Close("&amp;$I20&amp;")when (LocalMonth("&amp;$I20&amp;")="&amp;$A$16&amp;" and LocalDay("&amp;$I20&amp;")="&amp;$B$16&amp;" and LocalYear("&amp;$I20&amp;")="&amp;$C$16&amp;")", "Bar", "", "Close",$D$16, "0","ALL","", "",$E$15,$F$15)</f>
        <v>3.32</v>
      </c>
      <c r="G20" s="264">
        <f t="shared" si="12"/>
        <v>-0.15749999999999975</v>
      </c>
      <c r="I20" s="256" t="str">
        <f t="shared" si="13"/>
        <v>NGE?5</v>
      </c>
      <c r="J20" s="256" t="str">
        <f t="shared" si="14"/>
        <v>NGES6??5</v>
      </c>
      <c r="K20" s="256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0.37</v>
      </c>
      <c r="L20" s="256">
        <f t="shared" si="15"/>
        <v>-0.15049999999999999</v>
      </c>
      <c r="U20" s="265"/>
      <c r="V20" s="265"/>
      <c r="AB20" s="264"/>
      <c r="AC20" s="264"/>
    </row>
    <row r="21" spans="5:29" x14ac:dyDescent="0.2">
      <c r="E21" s="264">
        <f xml:space="preserve"> RTD("cqg.rtd",,"StudyData", "Close("&amp;$I21&amp;")when (LocalMonth("&amp;$I21&amp;")="&amp;$A$16&amp;" and LocalDay("&amp;$I21&amp;")="&amp;$B$16&amp;" and LocalYear("&amp;$I21&amp;")="&amp;$C$16&amp;")", "Bar", "", "Close",$D$16, "0","ALL","", "",$E$15,$F$15)</f>
        <v>2.96</v>
      </c>
      <c r="G21" s="264">
        <f t="shared" si="12"/>
        <v>-3.4999999999999698E-2</v>
      </c>
      <c r="I21" s="256" t="str">
        <f t="shared" si="13"/>
        <v>NGE?6</v>
      </c>
      <c r="J21" s="256" t="str">
        <f t="shared" si="14"/>
        <v>NGES6??6</v>
      </c>
      <c r="K21" s="256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-1.2E-2</v>
      </c>
      <c r="L21" s="256">
        <f t="shared" si="15"/>
        <v>-2.9000000000000001E-2</v>
      </c>
      <c r="T21" s="264"/>
      <c r="U21" s="264"/>
      <c r="V21" s="264"/>
      <c r="X21" s="264"/>
      <c r="Y21" s="264"/>
      <c r="Z21" s="264"/>
      <c r="AB21" s="264"/>
      <c r="AC21" s="264"/>
    </row>
    <row r="22" spans="5:29" x14ac:dyDescent="0.2">
      <c r="E22" s="264">
        <f xml:space="preserve"> RTD("cqg.rtd",,"StudyData", "Close("&amp;$I22&amp;")when (LocalMonth("&amp;$I22&amp;")="&amp;$A$16&amp;" and LocalDay("&amp;$I22&amp;")="&amp;$B$16&amp;" and LocalYear("&amp;$I22&amp;")="&amp;$C$16&amp;")", "Bar", "", "Close",$D$16, "0","ALL","", "",$E$15,$F$15)</f>
        <v>2.9220000000000002</v>
      </c>
      <c r="G22" s="264">
        <f t="shared" si="12"/>
        <v>-2.1500000000000075E-2</v>
      </c>
      <c r="I22" s="256" t="str">
        <f t="shared" si="13"/>
        <v>NGE?7</v>
      </c>
      <c r="J22" s="256" t="str">
        <f t="shared" si="14"/>
        <v>NGES6??7</v>
      </c>
      <c r="K22" s="256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-9.9000000000000005E-2</v>
      </c>
      <c r="L22" s="256">
        <f t="shared" si="15"/>
        <v>-1.949999999999999E-2</v>
      </c>
      <c r="T22" s="264"/>
      <c r="U22" s="264"/>
      <c r="V22" s="264"/>
      <c r="X22" s="264"/>
      <c r="Y22" s="264"/>
      <c r="Z22" s="264"/>
      <c r="AB22" s="264"/>
      <c r="AC22" s="264"/>
    </row>
    <row r="23" spans="5:29" x14ac:dyDescent="0.2">
      <c r="E23" s="264">
        <f xml:space="preserve"> RTD("cqg.rtd",,"StudyData", "Close("&amp;$I23&amp;")when (LocalMonth("&amp;$I23&amp;")="&amp;$A$16&amp;" and LocalDay("&amp;$I23&amp;")="&amp;$B$16&amp;" and LocalYear("&amp;$I23&amp;")="&amp;$C$16&amp;")", "Bar", "", "Close",$D$16, "0","ALL","", "",$E$15,$F$15)</f>
        <v>2.9460000000000002</v>
      </c>
      <c r="G23" s="264">
        <f t="shared" si="12"/>
        <v>-1.5000000000000124E-2</v>
      </c>
      <c r="I23" s="256" t="str">
        <f t="shared" si="13"/>
        <v>NGE?8</v>
      </c>
      <c r="J23" s="256" t="str">
        <f t="shared" si="14"/>
        <v>NGES6??8</v>
      </c>
      <c r="K23" s="256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-0.20599999999999999</v>
      </c>
      <c r="L23" s="256">
        <f t="shared" si="15"/>
        <v>-1.9500000000000017E-2</v>
      </c>
      <c r="T23" s="264"/>
      <c r="U23" s="264"/>
      <c r="V23" s="264"/>
      <c r="X23" s="264"/>
      <c r="Y23" s="264"/>
      <c r="Z23" s="264"/>
      <c r="AB23" s="264"/>
      <c r="AC23" s="264"/>
    </row>
    <row r="24" spans="5:29" x14ac:dyDescent="0.2">
      <c r="E24" s="264">
        <f xml:space="preserve"> RTD("cqg.rtd",,"StudyData", "Close("&amp;$I24&amp;")when (LocalMonth("&amp;$I24&amp;")="&amp;$A$16&amp;" and LocalDay("&amp;$I24&amp;")="&amp;$B$16&amp;" and LocalYear("&amp;$I24&amp;")="&amp;$C$16&amp;")", "Bar", "", "Close",$D$16, "0","ALL","", "",$E$15,$F$15)</f>
        <v>2.97</v>
      </c>
      <c r="G24" s="264">
        <f t="shared" si="12"/>
        <v>-1.2000000000000011E-2</v>
      </c>
      <c r="I24" s="256" t="str">
        <f t="shared" si="13"/>
        <v>NGE?9</v>
      </c>
      <c r="J24" s="256" t="str">
        <f t="shared" si="14"/>
        <v>NGES6??9</v>
      </c>
      <c r="K24" s="256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-0.26700000000000002</v>
      </c>
      <c r="L24" s="256">
        <f t="shared" si="15"/>
        <v>-1.5500000000000014E-2</v>
      </c>
      <c r="T24" s="264"/>
      <c r="U24" s="264"/>
      <c r="V24" s="264"/>
      <c r="X24" s="264"/>
      <c r="Y24" s="264"/>
      <c r="Z24" s="264"/>
      <c r="AB24" s="264"/>
      <c r="AC24" s="264"/>
    </row>
    <row r="25" spans="5:29" x14ac:dyDescent="0.2">
      <c r="E25" s="264">
        <f xml:space="preserve"> RTD("cqg.rtd",,"StudyData", "Close("&amp;$I25&amp;")when (LocalMonth("&amp;$I25&amp;")="&amp;$A$16&amp;" and LocalDay("&amp;$I25&amp;")="&amp;$B$16&amp;" and LocalYear("&amp;$I25&amp;")="&amp;$C$16&amp;")", "Bar", "", "Close",$D$16, "0","ALL","", "",$E$15,$F$15)</f>
        <v>2.9729999999999999</v>
      </c>
      <c r="G25" s="264">
        <f t="shared" si="12"/>
        <v>-1.2999999999999901E-2</v>
      </c>
      <c r="I25" s="256" t="str">
        <f t="shared" si="13"/>
        <v>NGE?10</v>
      </c>
      <c r="J25" s="256" t="str">
        <f t="shared" si="14"/>
        <v>NGES6??10</v>
      </c>
      <c r="K25" s="256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-0.24199999999999999</v>
      </c>
      <c r="L25" s="256">
        <f t="shared" si="15"/>
        <v>-1.3500000000000012E-2</v>
      </c>
      <c r="T25" s="264"/>
      <c r="U25" s="264"/>
      <c r="V25" s="264"/>
      <c r="X25" s="264"/>
      <c r="Y25" s="264"/>
      <c r="Z25" s="264"/>
    </row>
    <row r="26" spans="5:29" x14ac:dyDescent="0.2">
      <c r="E26" s="264">
        <f xml:space="preserve"> RTD("cqg.rtd",,"StudyData", "Close("&amp;$I26&amp;")when (LocalMonth("&amp;$I26&amp;")="&amp;$A$16&amp;" and LocalDay("&amp;$I26&amp;")="&amp;$B$16&amp;" and LocalYear("&amp;$I26&amp;")="&amp;$C$16&amp;")", "Bar", "", "Close",$D$16, "0","ALL","", "",$E$15,$F$15)</f>
        <v>2.95</v>
      </c>
      <c r="G26" s="264">
        <f t="shared" si="12"/>
        <v>-8.0000000000000071E-3</v>
      </c>
      <c r="I26" s="256" t="str">
        <f t="shared" si="13"/>
        <v>NGE?11</v>
      </c>
      <c r="J26" s="256" t="str">
        <f t="shared" si="14"/>
        <v>NGES6??11</v>
      </c>
      <c r="K26" s="256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-0.19800000000000001</v>
      </c>
      <c r="L26" s="256">
        <f t="shared" si="15"/>
        <v>-2.5000000000000022E-3</v>
      </c>
      <c r="T26" s="264"/>
      <c r="U26" s="264"/>
      <c r="V26" s="264"/>
      <c r="X26" s="264"/>
      <c r="Y26" s="264"/>
      <c r="Z26" s="264"/>
    </row>
    <row r="27" spans="5:29" x14ac:dyDescent="0.2">
      <c r="E27" s="264">
        <f xml:space="preserve"> RTD("cqg.rtd",,"StudyData", "Close("&amp;$I27&amp;")when (LocalMonth("&amp;$I27&amp;")="&amp;$A$16&amp;" and LocalDay("&amp;$I27&amp;")="&amp;$B$16&amp;" and LocalYear("&amp;$I27&amp;")="&amp;$C$16&amp;")", "Bar", "", "Close",$D$16, "0","ALL","", "",$E$15,$F$15)</f>
        <v>2.972</v>
      </c>
      <c r="G27" s="264">
        <f t="shared" si="12"/>
        <v>-7.0000000000001172E-3</v>
      </c>
      <c r="I27" s="256" t="str">
        <f t="shared" si="13"/>
        <v>NGE?12</v>
      </c>
      <c r="J27" s="256" t="str">
        <f t="shared" si="14"/>
        <v>NGES6??12</v>
      </c>
      <c r="K27" s="256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0.20200000000000001</v>
      </c>
      <c r="L27" s="256">
        <f t="shared" si="15"/>
        <v>1.0500000000000009E-2</v>
      </c>
      <c r="T27" s="264"/>
      <c r="U27" s="264"/>
      <c r="V27" s="264"/>
      <c r="X27" s="264"/>
      <c r="Y27" s="264"/>
      <c r="Z27" s="264"/>
    </row>
    <row r="28" spans="5:29" x14ac:dyDescent="0.2">
      <c r="T28" s="264"/>
      <c r="U28" s="264"/>
      <c r="V28" s="264"/>
      <c r="X28" s="264"/>
      <c r="Y28" s="264"/>
      <c r="Z28" s="264"/>
    </row>
    <row r="29" spans="5:29" x14ac:dyDescent="0.2">
      <c r="T29" s="264"/>
      <c r="U29" s="264"/>
      <c r="V29" s="264"/>
      <c r="X29" s="264"/>
      <c r="Y29" s="264"/>
      <c r="Z29" s="264"/>
    </row>
    <row r="30" spans="5:29" x14ac:dyDescent="0.2">
      <c r="T30" s="264"/>
      <c r="U30" s="264"/>
      <c r="V30" s="264"/>
      <c r="X30" s="264"/>
      <c r="Y30" s="264"/>
      <c r="Z30" s="264"/>
    </row>
    <row r="31" spans="5:29" x14ac:dyDescent="0.2">
      <c r="T31" s="264"/>
      <c r="U31" s="264"/>
      <c r="V31" s="264"/>
      <c r="X31" s="264"/>
      <c r="Y31" s="264"/>
      <c r="Z31" s="264"/>
    </row>
    <row r="32" spans="5:29" x14ac:dyDescent="0.2">
      <c r="T32" s="264"/>
      <c r="U32" s="264"/>
      <c r="V32" s="264"/>
      <c r="X32" s="264"/>
      <c r="Y32" s="264"/>
      <c r="Z32" s="264"/>
    </row>
    <row r="33" spans="18:26" x14ac:dyDescent="0.2">
      <c r="T33" s="264"/>
      <c r="U33" s="264"/>
      <c r="V33" s="264"/>
    </row>
    <row r="34" spans="18:26" x14ac:dyDescent="0.2">
      <c r="R34" s="256" t="s">
        <v>6</v>
      </c>
      <c r="T34" s="264"/>
      <c r="U34" s="264"/>
      <c r="V34" s="264"/>
      <c r="X34" s="264"/>
      <c r="Y34" s="264"/>
      <c r="Z34" s="256" t="s">
        <v>31</v>
      </c>
    </row>
    <row r="35" spans="18:26" x14ac:dyDescent="0.2">
      <c r="R35" s="256">
        <f>IF(RTD("cqg.rtd", ,"ContractData",Q1&amp;"?", "ContractMonth")=RTD("cqg.rtd", ,"ContractData",Q1&amp;"?1", "ContractMonth"),1,2)</f>
        <v>1</v>
      </c>
      <c r="S35" s="256" t="str">
        <f>RTD("cqg.rtd",,"ContractData",Q1&amp;"?1", "Symbol")</f>
        <v>NGEX7</v>
      </c>
      <c r="T35" s="264"/>
      <c r="U35" s="264"/>
      <c r="V35" s="264"/>
      <c r="X35" s="264"/>
      <c r="Y35" s="264"/>
      <c r="Z35" s="256" t="s">
        <v>32</v>
      </c>
    </row>
    <row r="36" spans="18:26" x14ac:dyDescent="0.2">
      <c r="R36" s="256">
        <f>R35+1</f>
        <v>2</v>
      </c>
      <c r="S36" s="256" t="str">
        <f>RTD("cqg.rtd",,"ContractData",Q1&amp;"?2", "Symbol")</f>
        <v>NGEZ7</v>
      </c>
      <c r="T36" s="264"/>
      <c r="U36" s="264"/>
      <c r="V36" s="264"/>
      <c r="X36" s="264"/>
      <c r="Y36" s="264"/>
      <c r="Z36" s="256" t="s">
        <v>33</v>
      </c>
    </row>
    <row r="37" spans="18:26" x14ac:dyDescent="0.2">
      <c r="R37" s="256">
        <f t="shared" ref="R37:R46" si="16">R36+1</f>
        <v>3</v>
      </c>
      <c r="T37" s="264"/>
      <c r="U37" s="264"/>
      <c r="V37" s="264"/>
      <c r="X37" s="264"/>
      <c r="Y37" s="264"/>
      <c r="Z37" s="256" t="s">
        <v>34</v>
      </c>
    </row>
    <row r="38" spans="18:26" x14ac:dyDescent="0.2">
      <c r="R38" s="256">
        <f t="shared" si="16"/>
        <v>4</v>
      </c>
      <c r="T38" s="264"/>
      <c r="U38" s="264"/>
      <c r="V38" s="264"/>
      <c r="X38" s="264"/>
      <c r="Y38" s="264"/>
      <c r="Z38" s="256" t="s">
        <v>35</v>
      </c>
    </row>
    <row r="39" spans="18:26" x14ac:dyDescent="0.2">
      <c r="R39" s="256">
        <f t="shared" si="16"/>
        <v>5</v>
      </c>
      <c r="T39" s="264"/>
      <c r="U39" s="264"/>
      <c r="V39" s="264"/>
      <c r="X39" s="264"/>
      <c r="Y39" s="264"/>
      <c r="Z39" s="256" t="s">
        <v>36</v>
      </c>
    </row>
    <row r="40" spans="18:26" x14ac:dyDescent="0.2">
      <c r="R40" s="256">
        <f t="shared" si="16"/>
        <v>6</v>
      </c>
      <c r="T40" s="264"/>
      <c r="U40" s="264"/>
      <c r="V40" s="264"/>
      <c r="X40" s="264"/>
      <c r="Y40" s="264"/>
      <c r="Z40" s="256" t="s">
        <v>37</v>
      </c>
    </row>
    <row r="41" spans="18:26" x14ac:dyDescent="0.2">
      <c r="R41" s="256">
        <f t="shared" si="16"/>
        <v>7</v>
      </c>
      <c r="T41" s="264"/>
      <c r="U41" s="264"/>
      <c r="V41" s="264"/>
      <c r="X41" s="264"/>
      <c r="Y41" s="264"/>
      <c r="Z41" s="256" t="s">
        <v>38</v>
      </c>
    </row>
    <row r="42" spans="18:26" x14ac:dyDescent="0.2">
      <c r="R42" s="256">
        <f t="shared" si="16"/>
        <v>8</v>
      </c>
      <c r="T42" s="264"/>
      <c r="U42" s="264"/>
      <c r="V42" s="264"/>
      <c r="X42" s="264"/>
      <c r="Y42" s="264"/>
      <c r="Z42" s="256" t="s">
        <v>39</v>
      </c>
    </row>
    <row r="43" spans="18:26" x14ac:dyDescent="0.2">
      <c r="R43" s="256">
        <f t="shared" si="16"/>
        <v>9</v>
      </c>
      <c r="T43" s="264"/>
      <c r="U43" s="264"/>
      <c r="V43" s="264"/>
      <c r="X43" s="264"/>
      <c r="Y43" s="264"/>
      <c r="Z43" s="256" t="s">
        <v>40</v>
      </c>
    </row>
    <row r="44" spans="18:26" x14ac:dyDescent="0.2">
      <c r="R44" s="256">
        <f t="shared" si="16"/>
        <v>10</v>
      </c>
      <c r="T44" s="264"/>
      <c r="U44" s="264"/>
      <c r="V44" s="264"/>
    </row>
    <row r="45" spans="18:26" x14ac:dyDescent="0.2">
      <c r="R45" s="256">
        <f t="shared" si="16"/>
        <v>11</v>
      </c>
    </row>
    <row r="46" spans="18:26" x14ac:dyDescent="0.2">
      <c r="R46" s="256">
        <f t="shared" si="16"/>
        <v>12</v>
      </c>
      <c r="Z46" s="264"/>
    </row>
  </sheetData>
  <sheetProtection algorithmName="SHA-512" hashValue="zaQWtCAwQWlcgxAL1fKmQx7SBjwLzeO3KTP94TEebsL649cqtpFT7Grc+XctZAbg6gHwHSQny6ErdjeTn1yxcw==" saltValue="HB6mL+JVED7icz/9rcWg2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25"/>
  <sheetViews>
    <sheetView showGridLines="0" showRowColHeaders="0" topLeftCell="A2" zoomScaleNormal="100" workbookViewId="0">
      <selection activeCell="L4" sqref="L4"/>
    </sheetView>
  </sheetViews>
  <sheetFormatPr defaultColWidth="9" defaultRowHeight="12.75" x14ac:dyDescent="0.2"/>
  <cols>
    <col min="1" max="1" width="0.875" style="8" customWidth="1"/>
    <col min="2" max="2" width="15.625" style="9" customWidth="1"/>
    <col min="3" max="6" width="9.625" style="10" customWidth="1"/>
    <col min="7" max="7" width="7.625" style="10" customWidth="1"/>
    <col min="8" max="8" width="8.625" style="9" customWidth="1"/>
    <col min="9" max="9" width="10.625" style="9" customWidth="1"/>
    <col min="10" max="10" width="5.625" style="9" customWidth="1"/>
    <col min="11" max="22" width="12.625" style="9" customWidth="1"/>
    <col min="23" max="23" width="10.75" style="9" customWidth="1"/>
    <col min="24" max="25" width="10.75" style="11" customWidth="1"/>
    <col min="26" max="35" width="9" style="11"/>
    <col min="36" max="16384" width="9" style="9"/>
  </cols>
  <sheetData>
    <row r="1" spans="1:46" ht="9" hidden="1" customHeight="1" x14ac:dyDescent="0.2"/>
    <row r="2" spans="1:46" ht="2.1" customHeight="1" x14ac:dyDescent="0.2"/>
    <row r="3" spans="1:46" ht="12" customHeight="1" x14ac:dyDescent="0.3">
      <c r="B3" s="311" t="str">
        <f>"CQG "&amp;RTD("cqg.rtd",,"ContractData",K6,"LongDescription")</f>
        <v>CQG Natural Gas (Globex), Nov 17</v>
      </c>
      <c r="C3" s="312"/>
      <c r="D3" s="312"/>
      <c r="E3" s="312"/>
      <c r="F3" s="312"/>
      <c r="G3" s="312"/>
      <c r="H3" s="312"/>
      <c r="I3" s="312"/>
      <c r="J3" s="313"/>
      <c r="K3" s="1" t="s">
        <v>20</v>
      </c>
      <c r="L3" s="1" t="s">
        <v>21</v>
      </c>
      <c r="M3" s="1" t="s">
        <v>22</v>
      </c>
      <c r="N3" s="320" t="str">
        <f>LEFT("CQG "&amp;RTD("cqg.rtd",,"ContractData",M6,"LongDescription"),24)&amp;" Forward Curves"</f>
        <v>CQG Natural Gas (Globex) Forward Curves</v>
      </c>
      <c r="O3" s="320"/>
      <c r="P3" s="320"/>
      <c r="Q3" s="320"/>
      <c r="R3" s="320"/>
      <c r="S3" s="320"/>
      <c r="T3" s="320"/>
      <c r="U3" s="314">
        <f>RTD("cqg.rtd", ,"SystemInfo", "Linetime")</f>
        <v>43014.385300925926</v>
      </c>
      <c r="V3" s="315"/>
      <c r="W3" s="12"/>
      <c r="X3" s="12"/>
    </row>
    <row r="4" spans="1:46" ht="12" customHeight="1" x14ac:dyDescent="0.2">
      <c r="B4" s="311"/>
      <c r="C4" s="312"/>
      <c r="D4" s="312"/>
      <c r="E4" s="312"/>
      <c r="F4" s="312"/>
      <c r="G4" s="312"/>
      <c r="H4" s="312"/>
      <c r="I4" s="312"/>
      <c r="J4" s="313"/>
      <c r="K4" s="7">
        <v>9</v>
      </c>
      <c r="L4" s="7">
        <v>14</v>
      </c>
      <c r="M4" s="7">
        <v>2017</v>
      </c>
      <c r="N4" s="321"/>
      <c r="O4" s="321"/>
      <c r="P4" s="321"/>
      <c r="Q4" s="321"/>
      <c r="R4" s="321"/>
      <c r="S4" s="321"/>
      <c r="T4" s="321"/>
      <c r="U4" s="316"/>
      <c r="V4" s="317"/>
      <c r="W4" s="13"/>
      <c r="X4" s="13"/>
    </row>
    <row r="5" spans="1:46" ht="12" customHeight="1" x14ac:dyDescent="0.3">
      <c r="B5" s="311"/>
      <c r="C5" s="312"/>
      <c r="D5" s="312"/>
      <c r="E5" s="312"/>
      <c r="F5" s="312"/>
      <c r="G5" s="312"/>
      <c r="H5" s="312"/>
      <c r="I5" s="312"/>
      <c r="J5" s="313"/>
      <c r="K5" s="2"/>
      <c r="L5" s="3" t="s">
        <v>23</v>
      </c>
      <c r="M5" s="1" t="s">
        <v>25</v>
      </c>
      <c r="N5" s="322"/>
      <c r="O5" s="322"/>
      <c r="P5" s="322"/>
      <c r="Q5" s="322"/>
      <c r="R5" s="322"/>
      <c r="S5" s="322"/>
      <c r="T5" s="322"/>
      <c r="U5" s="318"/>
      <c r="V5" s="319"/>
      <c r="W5" s="12"/>
      <c r="X5" s="12"/>
    </row>
    <row r="6" spans="1:46" ht="14.45" hidden="1" customHeight="1" x14ac:dyDescent="0.3">
      <c r="B6" s="4"/>
      <c r="C6" s="5"/>
      <c r="D6" s="5"/>
      <c r="E6" s="5"/>
      <c r="F6" s="5"/>
      <c r="G6" s="5"/>
      <c r="H6" s="5"/>
      <c r="I6" s="6"/>
      <c r="J6" s="5"/>
      <c r="K6" s="14" t="str">
        <f>RTD("cqg.rtd", ,"ContractData",NGE!Q2, "Symbol")</f>
        <v>NGEX7</v>
      </c>
      <c r="L6" s="15" t="str">
        <f>RTD("cqg.rtd", ,"ContractData",NGE!Q3, "Symbol")</f>
        <v>NGEZ7</v>
      </c>
      <c r="M6" s="15" t="str">
        <f>RTD("cqg.rtd", ,"ContractData",NGE!Q4, "Symbol")</f>
        <v>NGEF8</v>
      </c>
      <c r="N6" s="15" t="str">
        <f>RTD("cqg.rtd", ,"ContractData",NGE!Q5, "Symbol")</f>
        <v>NGEG8</v>
      </c>
      <c r="O6" s="16" t="str">
        <f>RTD("cqg.rtd", ,"ContractData",NGE!Q6, "Symbol")</f>
        <v>NGEH8</v>
      </c>
      <c r="P6" s="16" t="str">
        <f>RTD("cqg.rtd", ,"ContractData",NGE!Q7, "Symbol")</f>
        <v>NGEJ8</v>
      </c>
      <c r="Q6" s="17" t="str">
        <f>RTD("cqg.rtd", ,"ContractData",NGE!Q8, "Symbol")</f>
        <v>NGEK8</v>
      </c>
      <c r="R6" s="18" t="str">
        <f>RTD("cqg.rtd", ,"ContractData",NGE!Q9, "Symbol")</f>
        <v>NGEM8</v>
      </c>
      <c r="S6" s="18" t="str">
        <f>RTD("cqg.rtd", ,"ContractData",NGE!Q10, "Symbol")</f>
        <v>NGEN8</v>
      </c>
      <c r="T6" s="18" t="str">
        <f>RTD("cqg.rtd", ,"ContractData",NGE!Q11, "Symbol")</f>
        <v>NGEQ8</v>
      </c>
      <c r="U6" s="18" t="str">
        <f>RTD("cqg.rtd", ,"ContractData",NGE!Q12, "Symbol")</f>
        <v>NGEU8</v>
      </c>
      <c r="V6" s="19" t="str">
        <f>RTD("cqg.rtd", ,"ContractData",NGE!Q13, "Symbol")</f>
        <v>NGEV8</v>
      </c>
      <c r="W6" s="12"/>
      <c r="X6" s="12"/>
      <c r="Z6" s="11" t="str">
        <f>LEFT(RIGHT(E7,2),1)</f>
        <v/>
      </c>
      <c r="AB6" s="11" t="str">
        <f>LEFT(RIGHT(G7,2),1)</f>
        <v/>
      </c>
      <c r="AC6" s="11" t="str">
        <f>LEFT(RIGHT(H7,2),1)</f>
        <v/>
      </c>
      <c r="AD6" s="11" t="str">
        <f>LEFT(RIGHT(I7,2),1)</f>
        <v/>
      </c>
      <c r="AE6" s="11" t="str">
        <f t="shared" ref="AE6:AR6" si="0">LEFT(RIGHT(K6,2),1)</f>
        <v>X</v>
      </c>
      <c r="AF6" s="11" t="str">
        <f t="shared" si="0"/>
        <v>Z</v>
      </c>
      <c r="AG6" s="11" t="str">
        <f t="shared" si="0"/>
        <v>F</v>
      </c>
      <c r="AH6" s="11" t="str">
        <f t="shared" si="0"/>
        <v>G</v>
      </c>
      <c r="AI6" s="11" t="str">
        <f t="shared" si="0"/>
        <v>H</v>
      </c>
      <c r="AJ6" s="11" t="str">
        <f t="shared" si="0"/>
        <v>J</v>
      </c>
      <c r="AK6" s="11" t="str">
        <f t="shared" si="0"/>
        <v>K</v>
      </c>
      <c r="AL6" s="11" t="str">
        <f t="shared" si="0"/>
        <v>M</v>
      </c>
      <c r="AM6" s="11" t="str">
        <f t="shared" si="0"/>
        <v>N</v>
      </c>
      <c r="AN6" s="11" t="str">
        <f t="shared" si="0"/>
        <v>Q</v>
      </c>
      <c r="AO6" s="11" t="str">
        <f t="shared" si="0"/>
        <v>U</v>
      </c>
      <c r="AP6" s="11" t="str">
        <f t="shared" si="0"/>
        <v>V</v>
      </c>
      <c r="AQ6" s="11" t="str">
        <f t="shared" si="0"/>
        <v/>
      </c>
      <c r="AR6" s="11" t="str">
        <f t="shared" si="0"/>
        <v/>
      </c>
      <c r="AS6" s="11"/>
      <c r="AT6" s="11"/>
    </row>
    <row r="7" spans="1:46" ht="14.45" customHeight="1" x14ac:dyDescent="0.2">
      <c r="B7" s="333" t="s">
        <v>1</v>
      </c>
      <c r="C7" s="335">
        <f>RTD("cqg.rtd", ,"ContractData",K6, "MT_LastAskVolume")</f>
        <v>30</v>
      </c>
      <c r="D7" s="341">
        <f>RTD("cqg.rtd", ,"ContractData",K6, "Ask",,"T")</f>
        <v>2.8970000000000002</v>
      </c>
      <c r="E7" s="342"/>
      <c r="F7" s="345" t="s">
        <v>14</v>
      </c>
      <c r="G7" s="346"/>
      <c r="H7" s="346"/>
      <c r="I7" s="346"/>
      <c r="J7" s="310"/>
      <c r="K7" s="20" t="str">
        <f t="shared" ref="K7:Q7" si="1">IF(AE6="F","JAN",IF(AE6="G","FEB",IF(AE6="H","MAR",IF(AE6="J","APR",IF(AE6="K","MAY",IF(AE6="M","JUN",IF(AE6="N","JUL",IF(AE6="Q","AUG",IF(AE6="U","SEP",IF(AE6="V","OCT",IF(AE6="X","NOV",IF(AE6="Z","DEC",))))))))))))</f>
        <v>NOV</v>
      </c>
      <c r="L7" s="21" t="str">
        <f t="shared" si="1"/>
        <v>DEC</v>
      </c>
      <c r="M7" s="21" t="str">
        <f t="shared" si="1"/>
        <v>JAN</v>
      </c>
      <c r="N7" s="21" t="str">
        <f t="shared" si="1"/>
        <v>FEB</v>
      </c>
      <c r="O7" s="21" t="str">
        <f t="shared" si="1"/>
        <v>MAR</v>
      </c>
      <c r="P7" s="21" t="str">
        <f t="shared" si="1"/>
        <v>APR</v>
      </c>
      <c r="Q7" s="21" t="str">
        <f t="shared" si="1"/>
        <v>MAY</v>
      </c>
      <c r="R7" s="21" t="str">
        <f>IF(AL6="F","JAN",IF(AL6="G","FEB",IF(AL6="H","MAR",IF(AL6="J","APR",IF(AL6="K","MAY",IF(AL6="M","JUN",IF(AL6="N","JUL",IF(AL6="Q","AUG",IF(AL6="U","SEP",IF(AL6="V","OCT",IF(AL6="X","NOV",IF(AL6="Z","DEC",))))))))))))</f>
        <v>JUN</v>
      </c>
      <c r="S7" s="21" t="str">
        <f t="shared" ref="S7:V7" si="2">IF(AM6="F","JAN",IF(AM6="G","FEB",IF(AM6="H","MAR",IF(AM6="J","APR",IF(AM6="K","MAY",IF(AM6="M","JUN",IF(AM6="N","JUL",IF(AM6="Q","AUG",IF(AM6="U","SEP",IF(AM6="V","OCT",IF(AM6="X","NOV",IF(AM6="Z","DEC",))))))))))))</f>
        <v>JUL</v>
      </c>
      <c r="T7" s="21" t="str">
        <f t="shared" si="2"/>
        <v>AUG</v>
      </c>
      <c r="U7" s="21" t="str">
        <f t="shared" si="2"/>
        <v>SEP</v>
      </c>
      <c r="V7" s="22" t="str">
        <f t="shared" si="2"/>
        <v>OCT</v>
      </c>
      <c r="W7" s="13"/>
      <c r="X7" s="13"/>
    </row>
    <row r="8" spans="1:46" ht="14.45" customHeight="1" x14ac:dyDescent="0.3">
      <c r="B8" s="334"/>
      <c r="C8" s="336"/>
      <c r="D8" s="343"/>
      <c r="E8" s="344"/>
      <c r="F8" s="347"/>
      <c r="G8" s="348"/>
      <c r="H8" s="348"/>
      <c r="I8" s="348"/>
      <c r="J8" s="310"/>
      <c r="K8" s="23" t="str">
        <f>TEXT(RTD("cqg.rtd",,"ContractData",K6,"Ask",,"T"),"#.000")&amp;" "&amp;"A"</f>
        <v>2.897 A</v>
      </c>
      <c r="L8" s="24" t="str">
        <f>TEXT(RTD("cqg.rtd",,"ContractData",L6,"Ask",,"T"),"#.000")&amp;" "&amp;"A"</f>
        <v>3.071 A</v>
      </c>
      <c r="M8" s="24" t="str">
        <f>TEXT(RTD("cqg.rtd",,"ContractData",M6,"Ask",,"T"),"#.000")&amp;" "&amp;"A"</f>
        <v>3.197 A</v>
      </c>
      <c r="N8" s="24" t="str">
        <f>TEXT(RTD("cqg.rtd",,"ContractData",N6,"Ask",,"T"),"#.000")&amp;" "&amp;"A"</f>
        <v>3.203 A</v>
      </c>
      <c r="O8" s="24" t="str">
        <f>TEXT(RTD("cqg.rtd",,"ContractData",O6,"Ask",,"T"),"#.000")&amp;" "&amp;"A"</f>
        <v>3.163 A</v>
      </c>
      <c r="P8" s="24" t="str">
        <f>TEXT(RTD("cqg.rtd",,"ContractData",P6,"Ask",,"T"),"#.000")&amp;" "&amp;"A"</f>
        <v>2.925 A</v>
      </c>
      <c r="Q8" s="24" t="str">
        <f>TEXT(RTD("cqg.rtd",,"ContractData",Q6,"Ask",,"T"),"#.000")&amp;" "&amp;"A"</f>
        <v>2.901 A</v>
      </c>
      <c r="R8" s="24" t="str">
        <f>TEXT(RTD("cqg.rtd",,"ContractData",R6,"Ask",,"T"),"#.000")&amp;" "&amp;"A"</f>
        <v>2.931 A</v>
      </c>
      <c r="S8" s="24" t="str">
        <f>TEXT(RTD("cqg.rtd",,"ContractData",S6,"Ask",,"T"),"#.000")&amp;" "&amp;"A"</f>
        <v>2.958 A</v>
      </c>
      <c r="T8" s="24" t="str">
        <f>TEXT(RTD("cqg.rtd",,"ContractData",T6,"Ask",,"T"),"#.000")&amp;" "&amp;"A"</f>
        <v>2.961 A</v>
      </c>
      <c r="U8" s="24" t="str">
        <f>TEXT(RTD("cqg.rtd",,"ContractData",U6,"Ask",,"T"),"#.000")&amp;" "&amp;"A"</f>
        <v>2.944 A</v>
      </c>
      <c r="V8" s="25" t="str">
        <f>TEXT(RTD("cqg.rtd",,"ContractData",V6,"Ask",,"T"),"#.000")&amp;" "&amp;"A"</f>
        <v>2.966 A</v>
      </c>
      <c r="W8" s="12"/>
      <c r="X8" s="12"/>
    </row>
    <row r="9" spans="1:46" ht="14.45" customHeight="1" x14ac:dyDescent="0.3">
      <c r="B9" s="339" t="s">
        <v>0</v>
      </c>
      <c r="C9" s="323">
        <f>RTD("cqg.rtd", ,"ContractData",K6, "MT_LastBidVolume")</f>
        <v>31</v>
      </c>
      <c r="D9" s="325">
        <f>RTD("cqg.rtd", ,"ContractData",K6, "Bid",,"T")</f>
        <v>2.8959999999999999</v>
      </c>
      <c r="E9" s="325"/>
      <c r="F9" s="327">
        <f>RTD("cqg.rtd", ,"ContractData",K6,"LastTradeorSettle",,"T")</f>
        <v>2.8970000000000002</v>
      </c>
      <c r="G9" s="328"/>
      <c r="H9" s="331" t="str">
        <f>IF(G13&gt;0,"+"&amp;TEXT(RTD("cqg.rtd",,"ContractData",K6,"NetLastTradeToday",,"T"),"#.000"),TEXT(G13,"#.000"))</f>
        <v>-.026</v>
      </c>
      <c r="I9" s="331"/>
      <c r="J9" s="310"/>
      <c r="K9" s="23" t="str">
        <f>TEXT(RTD("cqg.rtd",,"ContractData",K6,"Bid",,"T"),"#.000")&amp;" "&amp;"B"</f>
        <v>2.896 B</v>
      </c>
      <c r="L9" s="24" t="str">
        <f>TEXT(RTD("cqg.rtd",,"ContractData",L6,"Bid",,"T"),"#.000")&amp;" "&amp;"B"</f>
        <v>3.069 B</v>
      </c>
      <c r="M9" s="24" t="str">
        <f>TEXT(RTD("cqg.rtd",,"ContractData",M6,"Bid",,"T"),"#.000")&amp;" "&amp;"B"</f>
        <v>3.196 B</v>
      </c>
      <c r="N9" s="24" t="str">
        <f>TEXT(RTD("cqg.rtd",,"ContractData",N6,"Bid",,"T"),"#.000")&amp;" "&amp;"B"</f>
        <v>3.201 B</v>
      </c>
      <c r="O9" s="24" t="str">
        <f>TEXT(RTD("cqg.rtd",,"ContractData",O6,"Bid",,"T"),"#.000")&amp;" "&amp;"B"</f>
        <v>3.162 B</v>
      </c>
      <c r="P9" s="24" t="str">
        <f>TEXT(RTD("cqg.rtd",,"ContractData",P6,"Bid",,"T"),"#.000")&amp;" "&amp;"B"</f>
        <v>2.924 B</v>
      </c>
      <c r="Q9" s="24" t="str">
        <f>TEXT(RTD("cqg.rtd",,"ContractData",Q6,"Bid",,"T"),"#.000")&amp;" "&amp;"B"</f>
        <v>2.900 B</v>
      </c>
      <c r="R9" s="24" t="str">
        <f>TEXT(RTD("cqg.rtd",,"ContractData",R6,"Bid",,"T"),"#.000")&amp;" "&amp;"B"</f>
        <v>2.929 B</v>
      </c>
      <c r="S9" s="24" t="str">
        <f>TEXT(RTD("cqg.rtd",,"ContractData",S6,"Bid",,"T"),"#.000")&amp;" "&amp;"B"</f>
        <v>2.956 B</v>
      </c>
      <c r="T9" s="24" t="str">
        <f>TEXT(RTD("cqg.rtd",,"ContractData",T6,"Bid",,"T"),"#.000")&amp;" "&amp;"B"</f>
        <v>2.959 B</v>
      </c>
      <c r="U9" s="24" t="str">
        <f>TEXT(RTD("cqg.rtd",,"ContractData",U6,"Bid",,"T"),"#.000")&amp;" "&amp;"B"</f>
        <v>2.942 B</v>
      </c>
      <c r="V9" s="25" t="str">
        <f>TEXT(RTD("cqg.rtd",,"ContractData",V6,"Bid",,"T"),"#.000")&amp;" "&amp;"B"</f>
        <v>2.964 B</v>
      </c>
      <c r="W9" s="12"/>
      <c r="X9" s="12"/>
    </row>
    <row r="10" spans="1:46" ht="14.45" customHeight="1" x14ac:dyDescent="0.3">
      <c r="B10" s="340"/>
      <c r="C10" s="324"/>
      <c r="D10" s="326"/>
      <c r="E10" s="326"/>
      <c r="F10" s="329"/>
      <c r="G10" s="330"/>
      <c r="H10" s="332"/>
      <c r="I10" s="332"/>
      <c r="J10" s="310"/>
      <c r="K10" s="23" t="str">
        <f>TEXT(RTD("cqg.rtd", ,"ContractData",K6,"LastTradeorSettle",,"T"),"#.000")&amp;" "&amp;"L"</f>
        <v>2.897 L</v>
      </c>
      <c r="L10" s="24" t="str">
        <f>TEXT(RTD("cqg.rtd", ,"ContractData",L6,"LastTradeorSettle",,"T"),"#.000")&amp;" "&amp;"L"</f>
        <v>3.071 L</v>
      </c>
      <c r="M10" s="24" t="str">
        <f>TEXT(RTD("cqg.rtd", ,"ContractData",M6,"LastTradeorSettle",,"T"),"#.000")&amp;" "&amp;"L"</f>
        <v>3.197 L</v>
      </c>
      <c r="N10" s="24" t="str">
        <f>TEXT(RTD("cqg.rtd", ,"ContractData",N6,"LastTradeorSettle",,"T"),"#.000")&amp;" "&amp;"L"</f>
        <v>3.202 L</v>
      </c>
      <c r="O10" s="24" t="str">
        <f>TEXT(RTD("cqg.rtd", ,"ContractData",O6,"LastTradeorSettle",,"T"),"#.000")&amp;" "&amp;"L"</f>
        <v>3.164 L</v>
      </c>
      <c r="P10" s="24" t="str">
        <f>TEXT(RTD("cqg.rtd", ,"ContractData",P6,"LastTradeorSettle",,"T"),"#.000")&amp;" "&amp;"L"</f>
        <v>2.925 L</v>
      </c>
      <c r="Q10" s="24" t="str">
        <f>TEXT(RTD("cqg.rtd", ,"ContractData",Q6,"LastTradeorSettle",,"T"),"#.000")&amp;" "&amp;"L"</f>
        <v>2.902 L</v>
      </c>
      <c r="R10" s="24" t="str">
        <f>TEXT(RTD("cqg.rtd", ,"ContractData",R6,"LastTradeorSettle",,"T"),"#.000")&amp;" "&amp;"L"</f>
        <v>2.931 L</v>
      </c>
      <c r="S10" s="24" t="str">
        <f>TEXT(RTD("cqg.rtd", ,"ContractData",S6,"LastTradeorSettle",,"T"),"#.000")&amp;" "&amp;"L"</f>
        <v>2.958 L</v>
      </c>
      <c r="T10" s="24" t="str">
        <f>TEXT(RTD("cqg.rtd", ,"ContractData",T6,"LastTradeorSettle",,"T"),"#.000")&amp;" "&amp;"L"</f>
        <v>2.960 L</v>
      </c>
      <c r="U10" s="24" t="str">
        <f>TEXT(RTD("cqg.rtd", ,"ContractData",U6,"LastTradeorSettle",,"T"),"#.000")&amp;" "&amp;"L"</f>
        <v>2.942 L</v>
      </c>
      <c r="V10" s="25" t="str">
        <f>TEXT(RTD("cqg.rtd", ,"ContractData",V6,"LastTradeorSettle",,"T"),"#.000")&amp;" "&amp;"L"</f>
        <v>2.967 L</v>
      </c>
      <c r="W10" s="12"/>
      <c r="X10" s="12"/>
    </row>
    <row r="11" spans="1:46" ht="14.45" hidden="1" customHeight="1" x14ac:dyDescent="0.3">
      <c r="B11" s="26"/>
      <c r="C11" s="27"/>
      <c r="D11" s="28"/>
      <c r="E11" s="28"/>
      <c r="F11" s="29"/>
      <c r="G11" s="29"/>
      <c r="H11" s="30"/>
      <c r="I11" s="30"/>
      <c r="J11" s="31"/>
      <c r="K11" s="32"/>
      <c r="L11" s="33" t="str">
        <f>RTD("cqg.rtd", ,"ContractData",NGE!D2, "Symbol")</f>
        <v>NGES1X7</v>
      </c>
      <c r="M11" s="33" t="str">
        <f>RTD("cqg.rtd", ,"ContractData",NGE!E2, "Symbol")</f>
        <v>NGES1Z7</v>
      </c>
      <c r="N11" s="33" t="str">
        <f>RTD("cqg.rtd", ,"ContractData",NGE!F2, "Symbol")</f>
        <v>NGES1F8</v>
      </c>
      <c r="O11" s="33" t="str">
        <f>RTD("cqg.rtd", ,"ContractData",NGE!G2, "Symbol")</f>
        <v>NGES1G8</v>
      </c>
      <c r="P11" s="33" t="str">
        <f>RTD("cqg.rtd", ,"ContractData",NGE!H2, "Symbol")</f>
        <v>NGES1H8</v>
      </c>
      <c r="Q11" s="33" t="str">
        <f>RTD("cqg.rtd", ,"ContractData",NGE!I2, "Symbol")</f>
        <v>NGES1J8</v>
      </c>
      <c r="R11" s="33" t="str">
        <f>RTD("cqg.rtd", ,"ContractData",NGE!J2, "Symbol")</f>
        <v>NGES1K8</v>
      </c>
      <c r="S11" s="33" t="str">
        <f>RTD("cqg.rtd", ,"ContractData",NGE!K2, "Symbol")</f>
        <v>NGES1M8</v>
      </c>
      <c r="T11" s="33" t="str">
        <f>RTD("cqg.rtd", ,"ContractData",NGE!L2, "Symbol")</f>
        <v>NGES1N8</v>
      </c>
      <c r="U11" s="33" t="str">
        <f>RTD("cqg.rtd", ,"ContractData",NGE!M2, "Symbol")</f>
        <v>NGES1Q8</v>
      </c>
      <c r="V11" s="33" t="str">
        <f>RTD("cqg.rtd", ,"ContractData",NGE!N2, "Symbol")</f>
        <v>NGES1U8</v>
      </c>
      <c r="W11" s="34" t="str">
        <f>RTD("cqg.rtd", ,"ContractData",NGE!O2, "Symbol")</f>
        <v>NGES1V8</v>
      </c>
      <c r="X11" s="35"/>
    </row>
    <row r="12" spans="1:46" ht="14.45" customHeight="1" x14ac:dyDescent="0.2">
      <c r="B12" s="36" t="s">
        <v>16</v>
      </c>
      <c r="C12" s="37" t="s">
        <v>9</v>
      </c>
      <c r="D12" s="37" t="s">
        <v>10</v>
      </c>
      <c r="E12" s="37" t="s">
        <v>11</v>
      </c>
      <c r="F12" s="37" t="s">
        <v>8</v>
      </c>
      <c r="G12" s="37" t="s">
        <v>12</v>
      </c>
      <c r="H12" s="38" t="s">
        <v>12</v>
      </c>
      <c r="I12" s="39" t="s">
        <v>13</v>
      </c>
      <c r="J12" s="40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2"/>
      <c r="W12" s="43"/>
      <c r="X12" s="44"/>
      <c r="AI12" s="9"/>
    </row>
    <row r="13" spans="1:46" ht="14.45" customHeight="1" x14ac:dyDescent="0.3">
      <c r="A13" s="8" t="str">
        <f>RTD("cqg.rtd",,"ContractData","NGE?1", "Symbol")</f>
        <v>NGEX7</v>
      </c>
      <c r="B13" s="45" t="str">
        <f>RIGHT(RTD("cqg.rtd",,"ContractData",A13, "LongDescription"),7)</f>
        <v xml:space="preserve"> Nov 17</v>
      </c>
      <c r="C13" s="118">
        <f>RTD("cqg.rtd", ,"ContractData",A13, "Open",,"T")</f>
        <v>2.895</v>
      </c>
      <c r="D13" s="118">
        <f>RTD("cqg.rtd", ,"ContractData",A13, "High",,"T")</f>
        <v>2.9170000000000003</v>
      </c>
      <c r="E13" s="118">
        <f>RTD("cqg.rtd", ,"ContractData",A13, "Low",,"T")</f>
        <v>2.887</v>
      </c>
      <c r="F13" s="118">
        <f>RTD("cqg.rtd", ,"ContractData",A13, "LastTradeorSettle",,"T")</f>
        <v>2.8970000000000002</v>
      </c>
      <c r="G13" s="119">
        <f>RTD("cqg.rtd",,"ContractData",A13,"NetLastTradeToday",,"T")</f>
        <v>-2.6000000000000002E-2</v>
      </c>
      <c r="H13" s="46">
        <f>RTD("cqg.rtd",,"ContractData",A13,"NetLastTradeToday",,"T")</f>
        <v>-2.6000000000000002E-2</v>
      </c>
      <c r="I13" s="47">
        <f>RTD("cqg.rtd", ,"ContractData",A13, "T_CVol")</f>
        <v>57846</v>
      </c>
      <c r="J13" s="48"/>
      <c r="K13" s="3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50"/>
      <c r="W13" s="49"/>
      <c r="X13" s="12"/>
      <c r="Y13" s="11" t="s">
        <v>7</v>
      </c>
      <c r="Z13" s="11" t="s">
        <v>7</v>
      </c>
    </row>
    <row r="14" spans="1:46" ht="14.45" customHeight="1" x14ac:dyDescent="0.3">
      <c r="A14" s="8" t="str">
        <f>RTD("cqg.rtd",,"ContractData","NGE?2", "Symbol")</f>
        <v>NGEZ7</v>
      </c>
      <c r="B14" s="45" t="str">
        <f>RIGHT(RTD("cqg.rtd",,"ContractData",A14, "LongDescription"),7)</f>
        <v xml:space="preserve"> Dec 17</v>
      </c>
      <c r="C14" s="118">
        <f>RTD("cqg.rtd", ,"ContractData",A14, "Open",,"T")</f>
        <v>3.0790000000000002</v>
      </c>
      <c r="D14" s="118">
        <f>RTD("cqg.rtd", ,"ContractData",A14, "High",,"T")</f>
        <v>3.093</v>
      </c>
      <c r="E14" s="118">
        <f>RTD("cqg.rtd", ,"ContractData",A14, "Low",,"T")</f>
        <v>3.0640000000000001</v>
      </c>
      <c r="F14" s="118">
        <f>RTD("cqg.rtd", ,"ContractData",A14, "LastTradeorSettle",,"T")</f>
        <v>3.0710000000000002</v>
      </c>
      <c r="G14" s="119">
        <f>RTD("cqg.rtd",,"ContractData",A14,"NetLastTradeToday",,"T")</f>
        <v>-3.2000000000000001E-2</v>
      </c>
      <c r="H14" s="46">
        <f>RTD("cqg.rtd",,"ContractData",A14,"NetLastTradeToday",,"T")</f>
        <v>-3.2000000000000001E-2</v>
      </c>
      <c r="I14" s="47">
        <f>RTD("cqg.rtd", ,"ContractData",A14, "T_CVol")</f>
        <v>22483</v>
      </c>
      <c r="J14" s="48"/>
      <c r="K14" s="3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50"/>
      <c r="W14" s="49"/>
      <c r="X14" s="12"/>
    </row>
    <row r="15" spans="1:46" ht="14.45" customHeight="1" x14ac:dyDescent="0.3">
      <c r="A15" s="8" t="str">
        <f>RTD("cqg.rtd",,"ContractData","NGE?3", "Symbol")</f>
        <v>NGEF8</v>
      </c>
      <c r="B15" s="45" t="str">
        <f>RIGHT(RTD("cqg.rtd",,"ContractData",A15, "LongDescription"),7)</f>
        <v xml:space="preserve"> Jan 18</v>
      </c>
      <c r="C15" s="118">
        <f>RTD("cqg.rtd", ,"ContractData",A15, "Open",,"T")</f>
        <v>3.2050000000000001</v>
      </c>
      <c r="D15" s="118">
        <f>RTD("cqg.rtd", ,"ContractData",A15, "High",,"T")</f>
        <v>3.2189999999999999</v>
      </c>
      <c r="E15" s="118">
        <f>RTD("cqg.rtd", ,"ContractData",A15, "Low",,"T")</f>
        <v>3.19</v>
      </c>
      <c r="F15" s="118">
        <f>RTD("cqg.rtd", ,"ContractData",A15, "LastTradeorSettle",,"T")</f>
        <v>3.1970000000000001</v>
      </c>
      <c r="G15" s="119">
        <f>RTD("cqg.rtd",,"ContractData",A15,"NetLastTradeToday",,"T")</f>
        <v>-3.3000000000000002E-2</v>
      </c>
      <c r="H15" s="46">
        <f>RTD("cqg.rtd",,"ContractData",A15,"NetLastTradeToday",,"T")</f>
        <v>-3.3000000000000002E-2</v>
      </c>
      <c r="I15" s="47">
        <f>RTD("cqg.rtd", ,"ContractData",A15, "T_CVol")</f>
        <v>14801</v>
      </c>
      <c r="J15" s="48"/>
      <c r="K15" s="3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51"/>
      <c r="X15" s="12"/>
    </row>
    <row r="16" spans="1:46" ht="14.45" customHeight="1" x14ac:dyDescent="0.3">
      <c r="A16" s="8" t="str">
        <f>RTD("cqg.rtd",,"ContractData","NGE?4", "Symbol")</f>
        <v>NGEG8</v>
      </c>
      <c r="B16" s="45" t="str">
        <f>RIGHT(RTD("cqg.rtd",,"ContractData",A16, "LongDescription"),7)</f>
        <v xml:space="preserve"> Feb 18</v>
      </c>
      <c r="C16" s="118">
        <f>RTD("cqg.rtd", ,"ContractData",A16, "Open",,"T")</f>
        <v>3.2160000000000002</v>
      </c>
      <c r="D16" s="118">
        <f>RTD("cqg.rtd", ,"ContractData",A16, "High",,"T")</f>
        <v>3.222</v>
      </c>
      <c r="E16" s="118">
        <f>RTD("cqg.rtd", ,"ContractData",A16, "Low",,"T")</f>
        <v>3.1960000000000002</v>
      </c>
      <c r="F16" s="118">
        <f>RTD("cqg.rtd", ,"ContractData",A16, "LastTradeorSettle",,"T")</f>
        <v>3.202</v>
      </c>
      <c r="G16" s="119">
        <f>RTD("cqg.rtd",,"ContractData",A16,"NetLastTradeToday",,"T")</f>
        <v>-3.3000000000000002E-2</v>
      </c>
      <c r="H16" s="46">
        <f>RTD("cqg.rtd",,"ContractData",A16,"NetLastTradeToday",,"T")</f>
        <v>-3.3000000000000002E-2</v>
      </c>
      <c r="I16" s="47">
        <f>RTD("cqg.rtd", ,"ContractData",A16, "T_CVol")</f>
        <v>5067</v>
      </c>
      <c r="J16" s="48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3"/>
      <c r="W16" s="54"/>
    </row>
    <row r="17" spans="1:36" ht="14.45" customHeight="1" x14ac:dyDescent="0.3">
      <c r="A17" s="8" t="str">
        <f>RTD("cqg.rtd",,"ContractData","NGE?5", "Symbol")</f>
        <v>NGEH8</v>
      </c>
      <c r="B17" s="45" t="str">
        <f>RIGHT(RTD("cqg.rtd",,"ContractData",A17, "LongDescription"),7)</f>
        <v xml:space="preserve"> Mar 18</v>
      </c>
      <c r="C17" s="118">
        <f>RTD("cqg.rtd", ,"ContractData",A17, "Open",,"T")</f>
        <v>3.17</v>
      </c>
      <c r="D17" s="118">
        <f>RTD("cqg.rtd", ,"ContractData",A17, "High",,"T")</f>
        <v>3.1790000000000003</v>
      </c>
      <c r="E17" s="118">
        <f>RTD("cqg.rtd", ,"ContractData",A17, "Low",,"T")</f>
        <v>3.1560000000000001</v>
      </c>
      <c r="F17" s="118">
        <f>RTD("cqg.rtd", ,"ContractData",A17, "LastTradeorSettle",,"T")</f>
        <v>3.1640000000000001</v>
      </c>
      <c r="G17" s="119">
        <f>RTD("cqg.rtd",,"ContractData",A17,"NetLastTradeToday",,"T")</f>
        <v>-2.9000000000000001E-2</v>
      </c>
      <c r="H17" s="46">
        <f>RTD("cqg.rtd",,"ContractData",A17,"NetLastTradeToday",,"T")</f>
        <v>-2.9000000000000001E-2</v>
      </c>
      <c r="I17" s="47">
        <f>RTD("cqg.rtd", ,"ContractData",A17, "T_CVol")</f>
        <v>8085</v>
      </c>
      <c r="J17" s="48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6"/>
      <c r="W17" s="54"/>
      <c r="X17" s="11" t="s">
        <v>7</v>
      </c>
    </row>
    <row r="18" spans="1:36" ht="15" customHeight="1" x14ac:dyDescent="0.3">
      <c r="A18" s="8" t="str">
        <f>RTD("cqg.rtd",,"ContractData","NGE?6", "Symbol")</f>
        <v>NGEJ8</v>
      </c>
      <c r="B18" s="45" t="str">
        <f>RIGHT(RTD("cqg.rtd",,"ContractData",A18, "LongDescription"),7)</f>
        <v xml:space="preserve"> Apr 18</v>
      </c>
      <c r="C18" s="118">
        <f>RTD("cqg.rtd", ,"ContractData",A18, "Open",,"T")</f>
        <v>2.927</v>
      </c>
      <c r="D18" s="118">
        <f>RTD("cqg.rtd", ,"ContractData",A18, "High",,"T")</f>
        <v>2.9319999999999999</v>
      </c>
      <c r="E18" s="118">
        <f>RTD("cqg.rtd", ,"ContractData",A18, "Low",,"T")</f>
        <v>2.9180000000000001</v>
      </c>
      <c r="F18" s="118">
        <f>RTD("cqg.rtd", ,"ContractData",A18, "LastTradeorSettle",,"T")</f>
        <v>2.9250000000000003</v>
      </c>
      <c r="G18" s="119">
        <f>RTD("cqg.rtd",,"ContractData",A18,"NetLastTradeToday",,"T")</f>
        <v>-1.4E-2</v>
      </c>
      <c r="H18" s="46">
        <f>RTD("cqg.rtd",,"ContractData",A18,"NetLastTradeToday",,"T")</f>
        <v>-1.4E-2</v>
      </c>
      <c r="I18" s="47">
        <f>RTD("cqg.rtd", ,"ContractData",A18, "T_CVol")</f>
        <v>5093</v>
      </c>
      <c r="J18" s="48"/>
      <c r="K18" s="55"/>
      <c r="L18" s="55"/>
      <c r="M18" s="55"/>
      <c r="N18" s="55"/>
      <c r="O18" s="55"/>
      <c r="P18" s="55"/>
      <c r="Q18" s="55"/>
      <c r="R18" s="57"/>
      <c r="S18" s="58"/>
      <c r="T18" s="58"/>
      <c r="U18" s="58"/>
      <c r="V18" s="59"/>
      <c r="W18" s="54"/>
    </row>
    <row r="19" spans="1:36" ht="15" customHeight="1" x14ac:dyDescent="0.3">
      <c r="A19" s="8" t="str">
        <f>RTD("cqg.rtd",,"ContractData","NGE?7", "Symbol")</f>
        <v>NGEK8</v>
      </c>
      <c r="B19" s="45" t="str">
        <f>RIGHT(RTD("cqg.rtd",,"ContractData",A19, "LongDescription"),7)</f>
        <v xml:space="preserve"> May 18</v>
      </c>
      <c r="C19" s="118">
        <f>RTD("cqg.rtd", ,"ContractData",A19, "Open",,"T")</f>
        <v>2.8970000000000002</v>
      </c>
      <c r="D19" s="118">
        <f>RTD("cqg.rtd", ,"ContractData",A19, "High",,"T")</f>
        <v>2.9039999999999999</v>
      </c>
      <c r="E19" s="118">
        <f>RTD("cqg.rtd", ,"ContractData",A19, "Low",,"T")</f>
        <v>2.8940000000000001</v>
      </c>
      <c r="F19" s="118">
        <f>RTD("cqg.rtd", ,"ContractData",A19, "LastTradeorSettle",,"T")</f>
        <v>2.9020000000000001</v>
      </c>
      <c r="G19" s="119">
        <f>RTD("cqg.rtd",,"ContractData",A19,"NetLastTradeToday",,"T")</f>
        <v>-9.0000000000000011E-3</v>
      </c>
      <c r="H19" s="46">
        <f>RTD("cqg.rtd",,"ContractData",A19,"NetLastTradeToday",,"T")</f>
        <v>-9.0000000000000011E-3</v>
      </c>
      <c r="I19" s="47">
        <f>RTD("cqg.rtd", ,"ContractData",A19, "T_CVol")</f>
        <v>1940</v>
      </c>
      <c r="J19" s="48"/>
      <c r="K19" s="55"/>
      <c r="L19" s="55"/>
      <c r="M19" s="55"/>
      <c r="N19" s="55"/>
      <c r="O19" s="55"/>
      <c r="P19" s="55"/>
      <c r="Q19" s="55"/>
      <c r="R19" s="57"/>
      <c r="S19" s="58"/>
      <c r="T19" s="58"/>
      <c r="U19" s="58"/>
      <c r="V19" s="59"/>
      <c r="W19" s="54"/>
    </row>
    <row r="20" spans="1:36" ht="15" customHeight="1" x14ac:dyDescent="0.3">
      <c r="A20" s="8" t="str">
        <f>RTD("cqg.rtd",,"ContractData","NGE?8", "Symbol")</f>
        <v>NGEM8</v>
      </c>
      <c r="B20" s="45" t="str">
        <f>RIGHT(RTD("cqg.rtd",,"ContractData",A20, "LongDescription"),7)</f>
        <v xml:space="preserve"> Jun 18</v>
      </c>
      <c r="C20" s="118">
        <f>RTD("cqg.rtd", ,"ContractData",A20, "Open",,"T")</f>
        <v>2.927</v>
      </c>
      <c r="D20" s="118">
        <f>RTD("cqg.rtd", ,"ContractData",A20, "High",,"T")</f>
        <v>2.931</v>
      </c>
      <c r="E20" s="118">
        <f>RTD("cqg.rtd", ,"ContractData",A20, "Low",,"T")</f>
        <v>2.9260000000000002</v>
      </c>
      <c r="F20" s="118">
        <f>RTD("cqg.rtd", ,"ContractData",A20, "LastTradeorSettle",,"T")</f>
        <v>2.931</v>
      </c>
      <c r="G20" s="119">
        <f>RTD("cqg.rtd",,"ContractData",A20,"NetLastTradeToday",,"T")</f>
        <v>-8.0000000000000002E-3</v>
      </c>
      <c r="H20" s="46">
        <f>RTD("cqg.rtd",,"ContractData",A20,"NetLastTradeToday",,"T")</f>
        <v>-8.0000000000000002E-3</v>
      </c>
      <c r="I20" s="47">
        <f>RTD("cqg.rtd", ,"ContractData",A20, "T_CVol")</f>
        <v>243</v>
      </c>
      <c r="J20" s="48"/>
      <c r="K20" s="55"/>
      <c r="L20" s="55"/>
      <c r="M20" s="55"/>
      <c r="N20" s="55"/>
      <c r="O20" s="55"/>
      <c r="P20" s="55"/>
      <c r="Q20" s="55"/>
      <c r="R20" s="60"/>
      <c r="S20" s="58"/>
      <c r="T20" s="58"/>
      <c r="U20" s="58"/>
      <c r="V20" s="59"/>
      <c r="W20" s="54"/>
    </row>
    <row r="21" spans="1:36" ht="15" customHeight="1" x14ac:dyDescent="0.3">
      <c r="A21" s="8" t="str">
        <f>RTD("cqg.rtd",,"ContractData","NGE?9", "Symbol")</f>
        <v>NGEN8</v>
      </c>
      <c r="B21" s="45" t="str">
        <f>RIGHT(RTD("cqg.rtd",,"ContractData",A21, "LongDescription"),7)</f>
        <v xml:space="preserve"> Jul 18</v>
      </c>
      <c r="C21" s="118">
        <f>RTD("cqg.rtd", ,"ContractData",A21, "Open",,"T")</f>
        <v>2.9550000000000001</v>
      </c>
      <c r="D21" s="118">
        <f>RTD("cqg.rtd", ,"ContractData",A21, "High",,"T")</f>
        <v>2.96</v>
      </c>
      <c r="E21" s="118">
        <f>RTD("cqg.rtd", ,"ContractData",A21, "Low",,"T")</f>
        <v>2.9510000000000001</v>
      </c>
      <c r="F21" s="118">
        <f>RTD("cqg.rtd", ,"ContractData",A21, "LastTradeorSettle",,"T")</f>
        <v>2.9580000000000002</v>
      </c>
      <c r="G21" s="119">
        <f>RTD("cqg.rtd",,"ContractData",A21,"NetLastTradeToday",,"T")</f>
        <v>-8.0000000000000002E-3</v>
      </c>
      <c r="H21" s="46">
        <f>RTD("cqg.rtd",,"ContractData",A21,"NetLastTradeToday",,"T")</f>
        <v>-8.0000000000000002E-3</v>
      </c>
      <c r="I21" s="47">
        <f>RTD("cqg.rtd", ,"ContractData",A21, "T_CVol")</f>
        <v>942</v>
      </c>
      <c r="J21" s="48"/>
      <c r="K21" s="55"/>
      <c r="L21" s="55"/>
      <c r="M21" s="55"/>
      <c r="N21" s="55"/>
      <c r="O21" s="55"/>
      <c r="P21" s="55"/>
      <c r="Q21" s="55"/>
      <c r="R21" s="57"/>
      <c r="S21" s="58"/>
      <c r="T21" s="58"/>
      <c r="U21" s="58"/>
      <c r="V21" s="59"/>
      <c r="W21" s="54"/>
    </row>
    <row r="22" spans="1:36" ht="15" customHeight="1" x14ac:dyDescent="0.3">
      <c r="A22" s="8" t="str">
        <f>RTD("cqg.rtd",,"ContractData","NGE?10", "Symbol")</f>
        <v>NGEQ8</v>
      </c>
      <c r="B22" s="45" t="str">
        <f>RIGHT(RTD("cqg.rtd",,"ContractData",A22, "LongDescription"),7)</f>
        <v xml:space="preserve"> Aug 18</v>
      </c>
      <c r="C22" s="118">
        <f>RTD("cqg.rtd", ,"ContractData",A22, "Open",,"T")</f>
        <v>2.9550000000000001</v>
      </c>
      <c r="D22" s="118">
        <f>RTD("cqg.rtd", ,"ContractData",A22, "High",,"T")</f>
        <v>2.9620000000000002</v>
      </c>
      <c r="E22" s="118">
        <f>RTD("cqg.rtd", ,"ContractData",A22, "Low",,"T")</f>
        <v>2.9529999999999998</v>
      </c>
      <c r="F22" s="118">
        <f>RTD("cqg.rtd", ,"ContractData",A22, "LastTradeorSettle",,"T")</f>
        <v>2.96</v>
      </c>
      <c r="G22" s="119">
        <f>RTD("cqg.rtd",,"ContractData",A22,"NetLastTradeToday",,"T")</f>
        <v>-9.0000000000000011E-3</v>
      </c>
      <c r="H22" s="46">
        <f>RTD("cqg.rtd",,"ContractData",A22,"NetLastTradeToday",,"T")</f>
        <v>-9.0000000000000011E-3</v>
      </c>
      <c r="I22" s="47">
        <f>RTD("cqg.rtd", ,"ContractData",A22, "T_CVol")</f>
        <v>951</v>
      </c>
      <c r="J22" s="48"/>
      <c r="K22" s="55"/>
      <c r="L22" s="55"/>
      <c r="M22" s="55"/>
      <c r="N22" s="55"/>
      <c r="O22" s="55"/>
      <c r="P22" s="55"/>
      <c r="Q22" s="55"/>
      <c r="R22" s="57"/>
      <c r="S22" s="58"/>
      <c r="T22" s="58"/>
      <c r="U22" s="58"/>
      <c r="V22" s="59"/>
      <c r="W22" s="54"/>
    </row>
    <row r="23" spans="1:36" ht="15" customHeight="1" x14ac:dyDescent="0.3">
      <c r="A23" s="8" t="str">
        <f>RTD("cqg.rtd",,"ContractData","NGE?11", "Symbol")</f>
        <v>NGEU8</v>
      </c>
      <c r="B23" s="45" t="str">
        <f>RIGHT(RTD("cqg.rtd",,"ContractData",A23, "LongDescription"),7)</f>
        <v xml:space="preserve"> Sep 18</v>
      </c>
      <c r="C23" s="118">
        <f>RTD("cqg.rtd", ,"ContractData",A23, "Open",,"T")</f>
        <v>2.944</v>
      </c>
      <c r="D23" s="118">
        <f>RTD("cqg.rtd", ,"ContractData",A23, "High",,"T")</f>
        <v>2.944</v>
      </c>
      <c r="E23" s="118">
        <f>RTD("cqg.rtd", ,"ContractData",A23, "Low",,"T")</f>
        <v>2.9350000000000001</v>
      </c>
      <c r="F23" s="118">
        <f>RTD("cqg.rtd", ,"ContractData",A23, "LastTradeorSettle",,"T")</f>
        <v>2.9420000000000002</v>
      </c>
      <c r="G23" s="119">
        <f>RTD("cqg.rtd",,"ContractData",A23,"NetLastTradeToday",,"T")</f>
        <v>-9.0000000000000011E-3</v>
      </c>
      <c r="H23" s="46">
        <f>RTD("cqg.rtd",,"ContractData",A23,"NetLastTradeToday",,"T")</f>
        <v>-9.0000000000000011E-3</v>
      </c>
      <c r="I23" s="47">
        <f>RTD("cqg.rtd", ,"ContractData",A23, "T_CVol")</f>
        <v>744</v>
      </c>
      <c r="J23" s="48"/>
      <c r="K23" s="55"/>
      <c r="L23" s="55"/>
      <c r="M23" s="55"/>
      <c r="N23" s="55"/>
      <c r="O23" s="55"/>
      <c r="P23" s="55"/>
      <c r="Q23" s="55"/>
      <c r="R23" s="57"/>
      <c r="S23" s="58"/>
      <c r="T23" s="58"/>
      <c r="U23" s="58"/>
      <c r="V23" s="59"/>
      <c r="W23" s="54"/>
    </row>
    <row r="24" spans="1:36" ht="15" customHeight="1" x14ac:dyDescent="0.3">
      <c r="A24" s="8" t="str">
        <f>RTD("cqg.rtd",,"ContractData","NGE?12", "Symbol")</f>
        <v>NGEV8</v>
      </c>
      <c r="B24" s="45" t="str">
        <f>RIGHT(RTD("cqg.rtd",,"ContractData",A24, "LongDescription"),7)</f>
        <v xml:space="preserve"> Oct 18</v>
      </c>
      <c r="C24" s="118">
        <f>RTD("cqg.rtd", ,"ContractData",A24, "Open",,"T")</f>
        <v>2.9660000000000002</v>
      </c>
      <c r="D24" s="118">
        <f>RTD("cqg.rtd", ,"ContractData",A24, "High",,"T")</f>
        <v>2.968</v>
      </c>
      <c r="E24" s="118">
        <f>RTD("cqg.rtd", ,"ContractData",A24, "Low",,"T")</f>
        <v>2.9580000000000002</v>
      </c>
      <c r="F24" s="118">
        <f>RTD("cqg.rtd", ,"ContractData",A24, "LastTradeorSettle",,"T")</f>
        <v>2.9670000000000001</v>
      </c>
      <c r="G24" s="119">
        <f>RTD("cqg.rtd",,"ContractData",A24,"NetLastTradeToday",,"T")</f>
        <v>-7.0000000000000001E-3</v>
      </c>
      <c r="H24" s="46">
        <f>RTD("cqg.rtd",,"ContractData",A24,"NetLastTradeToday",,"T")</f>
        <v>-7.0000000000000001E-3</v>
      </c>
      <c r="I24" s="47">
        <f>RTD("cqg.rtd", ,"ContractData",A24, "T_CVol")</f>
        <v>1142</v>
      </c>
      <c r="J24" s="48"/>
      <c r="K24" s="55"/>
      <c r="L24" s="55"/>
      <c r="M24" s="55"/>
      <c r="N24" s="55"/>
      <c r="O24" s="55"/>
      <c r="P24" s="55"/>
      <c r="Q24" s="55"/>
      <c r="R24" s="57"/>
      <c r="S24" s="58"/>
      <c r="T24" s="58"/>
      <c r="U24" s="58"/>
      <c r="V24" s="59"/>
      <c r="W24" s="54"/>
    </row>
    <row r="25" spans="1:36" ht="12" customHeight="1" x14ac:dyDescent="0.3">
      <c r="B25" s="305"/>
      <c r="C25" s="306"/>
      <c r="D25" s="61"/>
      <c r="E25" s="62"/>
      <c r="F25" s="63"/>
      <c r="G25" s="62"/>
      <c r="H25" s="64"/>
      <c r="I25" s="62"/>
      <c r="J25" s="65"/>
      <c r="K25" s="66"/>
      <c r="L25" s="66"/>
      <c r="M25" s="66"/>
      <c r="N25" s="66"/>
      <c r="O25" s="66"/>
      <c r="P25" s="66"/>
      <c r="Q25" s="66"/>
      <c r="R25" s="67"/>
      <c r="S25" s="68"/>
      <c r="T25" s="68"/>
      <c r="U25" s="68"/>
      <c r="V25" s="69"/>
      <c r="W25" s="54"/>
    </row>
    <row r="26" spans="1:36" ht="15" customHeight="1" x14ac:dyDescent="0.2">
      <c r="B26" s="337" t="s">
        <v>15</v>
      </c>
      <c r="C26" s="338"/>
      <c r="D26" s="338"/>
      <c r="E26" s="338"/>
      <c r="F26" s="338"/>
      <c r="G26" s="338"/>
      <c r="H26" s="338"/>
      <c r="I26" s="338"/>
      <c r="J26" s="70"/>
      <c r="K26" s="71" t="str">
        <f>B29</f>
        <v xml:space="preserve"> Nov 17, Dec 17</v>
      </c>
      <c r="L26" s="72" t="str">
        <f>B30</f>
        <v xml:space="preserve"> Dec 17, Jan 18</v>
      </c>
      <c r="M26" s="72" t="str">
        <f>B31</f>
        <v xml:space="preserve"> Jan 18, Feb 18</v>
      </c>
      <c r="N26" s="72" t="str">
        <f>B32</f>
        <v xml:space="preserve"> Feb 18, Mar 18</v>
      </c>
      <c r="O26" s="72" t="str">
        <f>B33</f>
        <v xml:space="preserve"> Mar 18, Apr 18</v>
      </c>
      <c r="P26" s="72" t="str">
        <f>B34</f>
        <v xml:space="preserve"> Apr 18, May 18</v>
      </c>
      <c r="Q26" s="72" t="str">
        <f>B35</f>
        <v xml:space="preserve"> May 18, Jun 18</v>
      </c>
      <c r="R26" s="72" t="str">
        <f>B36</f>
        <v xml:space="preserve"> Jun 18, Jul 18</v>
      </c>
      <c r="S26" s="72" t="str">
        <f>B37</f>
        <v xml:space="preserve"> Jul 18, Aug 18</v>
      </c>
      <c r="T26" s="72" t="str">
        <f>B38</f>
        <v xml:space="preserve"> Aug 18, Sep 18</v>
      </c>
      <c r="U26" s="72" t="str">
        <f>B39</f>
        <v xml:space="preserve"> Sep 18, Oct 18</v>
      </c>
      <c r="V26" s="72" t="str">
        <f>B40</f>
        <v xml:space="preserve"> Oct 18, Nov 18</v>
      </c>
      <c r="W26" s="54"/>
      <c r="AJ26" s="11"/>
    </row>
    <row r="27" spans="1:36" ht="15" customHeight="1" x14ac:dyDescent="0.3">
      <c r="B27" s="303"/>
      <c r="C27" s="304"/>
      <c r="D27" s="304"/>
      <c r="E27" s="304"/>
      <c r="F27" s="304"/>
      <c r="G27" s="304"/>
      <c r="H27" s="304"/>
      <c r="I27" s="304"/>
      <c r="J27" s="70"/>
      <c r="K27" s="73" t="str">
        <f>TEXT(RTD("cqg.rtd",,"ContractData",A29,"Ask",,"T"),"#.000")&amp;" "&amp;"A"</f>
        <v>-.173 A</v>
      </c>
      <c r="L27" s="23" t="str">
        <f>TEXT(RTD("cqg.rtd",,"ContractData",A30,"Ask",,"T"),"#.000")&amp;" "&amp;"A"</f>
        <v>-.126 A</v>
      </c>
      <c r="M27" s="24" t="str">
        <f>TEXT(RTD("cqg.rtd",,"ContractData",A31,"Ask",,"T"),"#.000")&amp;" "&amp;"A"</f>
        <v>-.005 A</v>
      </c>
      <c r="N27" s="24" t="str">
        <f>TEXT(RTD("cqg.rtd",,"ContractData",A32,"Ask",,"T"),"#.000")&amp;" "&amp;"A"</f>
        <v>.040 A</v>
      </c>
      <c r="O27" s="24" t="str">
        <f>TEXT(RTD("cqg.rtd",,"ContractData",A33,"Ask",,"T"),"#.000")&amp;" "&amp;"A"</f>
        <v>.238 A</v>
      </c>
      <c r="P27" s="24" t="str">
        <f>TEXT(RTD("cqg.rtd",,"ContractData",A34,"Ask",,"T"),"#.000")&amp;" "&amp;"A"</f>
        <v>.025 A</v>
      </c>
      <c r="Q27" s="24" t="str">
        <f>TEXT(RTD("cqg.rtd",,"ContractData",A35,"Ask",,"T"),"#.000")&amp;" "&amp;"A"</f>
        <v>-.029 A</v>
      </c>
      <c r="R27" s="24" t="str">
        <f>TEXT(RTD("cqg.rtd",,"ContractData",A36,"Ask",,"T"),"#.000")&amp;" "&amp;"A"</f>
        <v>-.027 A</v>
      </c>
      <c r="S27" s="24" t="str">
        <f>TEXT(RTD("cqg.rtd",,"ContractData",A37,"Ask",,"T"),"#.000")&amp;" "&amp;"A"</f>
        <v>-.002 A</v>
      </c>
      <c r="T27" s="24" t="str">
        <f>TEXT(RTD("cqg.rtd",,"ContractData",A38,"Ask",,"T"),"#.000")&amp;" "&amp;"A"</f>
        <v>.018 A</v>
      </c>
      <c r="U27" s="24" t="str">
        <f>TEXT(RTD("cqg.rtd",,"ContractData",A39,"Ask",,"T"),"#.000")&amp;" "&amp;"A"</f>
        <v>-.022 A</v>
      </c>
      <c r="V27" s="24" t="str">
        <f>TEXT(RTD("cqg.rtd",,"ContractData",A40,"Ask",,"T"),"#.000")&amp;" "&amp;"A"</f>
        <v>-.053 A</v>
      </c>
      <c r="W27" s="54"/>
    </row>
    <row r="28" spans="1:36" ht="15" customHeight="1" x14ac:dyDescent="0.3">
      <c r="B28" s="74" t="s">
        <v>16</v>
      </c>
      <c r="C28" s="37" t="s">
        <v>9</v>
      </c>
      <c r="D28" s="37" t="s">
        <v>10</v>
      </c>
      <c r="E28" s="37" t="s">
        <v>11</v>
      </c>
      <c r="F28" s="37" t="s">
        <v>8</v>
      </c>
      <c r="G28" s="37" t="s">
        <v>12</v>
      </c>
      <c r="H28" s="37" t="s">
        <v>12</v>
      </c>
      <c r="I28" s="75" t="s">
        <v>13</v>
      </c>
      <c r="J28" s="76"/>
      <c r="K28" s="77" t="str">
        <f>TEXT(RTD("cqg.rtd",,"ContractData",A29,"Bid",,"T"),"#.000")&amp;" "&amp;"B"</f>
        <v>-.174 B</v>
      </c>
      <c r="L28" s="23" t="str">
        <f>TEXT(RTD("cqg.rtd",,"ContractData",A30,"Bid",,"T"),"#.000")&amp;" "&amp;"B"</f>
        <v>-.127 B</v>
      </c>
      <c r="M28" s="24" t="str">
        <f>TEXT(RTD("cqg.rtd",,"ContractData",A31,"Bid",,"T"),"#.000")&amp;" "&amp;"B"</f>
        <v>-.006 B</v>
      </c>
      <c r="N28" s="24" t="str">
        <f>TEXT(RTD("cqg.rtd",,"ContractData",A32,"Bid",,"T"),"#.000")&amp;" "&amp;"B"</f>
        <v>.039 B</v>
      </c>
      <c r="O28" s="24" t="str">
        <f>TEXT(RTD("cqg.rtd",,"ContractData",A33,"Bid",,"T"),"#.000")&amp;" "&amp;"B"</f>
        <v>.237 B</v>
      </c>
      <c r="P28" s="24" t="str">
        <f>TEXT(RTD("cqg.rtd",,"ContractData",A34,"Bid",,"T"),"#.000")&amp;" "&amp;"B"</f>
        <v>.024 B</v>
      </c>
      <c r="Q28" s="24" t="str">
        <f>TEXT(RTD("cqg.rtd",,"ContractData",A35,"Bid",,"T"),"#.000")&amp;" "&amp;"B"</f>
        <v>-.030 B</v>
      </c>
      <c r="R28" s="24" t="str">
        <f>TEXT(RTD("cqg.rtd",,"ContractData",A36,"Bid",,"T"),"#.000")&amp;" "&amp;"B"</f>
        <v>-.028 B</v>
      </c>
      <c r="S28" s="24" t="str">
        <f>TEXT(RTD("cqg.rtd",,"ContractData",A37,"Bid",,"T"),"#.000")&amp;" "&amp;"B"</f>
        <v>-.003 B</v>
      </c>
      <c r="T28" s="24" t="str">
        <f>TEXT(RTD("cqg.rtd",,"ContractData",A38,"Bid",,"T"),"#.000")&amp;" "&amp;"B"</f>
        <v>.017 B</v>
      </c>
      <c r="U28" s="24" t="str">
        <f>TEXT(RTD("cqg.rtd",,"ContractData",A39,"Bid",,"T"),"#.000")&amp;" "&amp;"B"</f>
        <v>-.023 B</v>
      </c>
      <c r="V28" s="24" t="str">
        <f>TEXT(RTD("cqg.rtd",,"ContractData",A40,"Bid",,"T"),"#.000")&amp;" "&amp;"B"</f>
        <v>-.054 B</v>
      </c>
      <c r="W28" s="54"/>
      <c r="X28" s="11" t="s">
        <v>7</v>
      </c>
    </row>
    <row r="29" spans="1:36" ht="15" customHeight="1" x14ac:dyDescent="0.3">
      <c r="A29" s="8" t="str">
        <f>RTD("cqg.rtd",,"ContractData",NGE!J16, "Symbol")</f>
        <v>NGES1X7</v>
      </c>
      <c r="B29" s="78" t="str">
        <f>RIGHT(RTD("cqg.rtd",,"ContractData",A29, "LongDescription"),15)</f>
        <v xml:space="preserve"> Nov 17, Dec 17</v>
      </c>
      <c r="C29" s="118">
        <f>RTD("cqg.rtd", ,"ContractData",A29, "Open",,"T")</f>
        <v>-0.18099999999999999</v>
      </c>
      <c r="D29" s="118">
        <f>RTD("cqg.rtd", ,"ContractData",A29, "High",,"T")</f>
        <v>-0.17</v>
      </c>
      <c r="E29" s="118">
        <f>RTD("cqg.rtd", ,"ContractData",A29, "Low",,"T")</f>
        <v>-0.18099999999999999</v>
      </c>
      <c r="F29" s="118">
        <f>RTD("cqg.rtd", ,"ContractData",A29, "LastTradeorSettle",, "T")</f>
        <v>-0.17300000000000001</v>
      </c>
      <c r="G29" s="119">
        <f>RTD("cqg.rtd",,"ContractData",A29,"NetLastTradeToday",,"T")</f>
        <v>7.0000000000000001E-3</v>
      </c>
      <c r="H29" s="46">
        <f>RTD("cqg.rtd",,"ContractData",A29,"NetLastTradeToday",,"T")</f>
        <v>7.0000000000000001E-3</v>
      </c>
      <c r="I29" s="47">
        <f>RTD("cqg.rtd", ,"ContractData",A29, "T_CVol")</f>
        <v>12795</v>
      </c>
      <c r="J29" s="48"/>
      <c r="K29" s="79" t="str">
        <f>TEXT(RTD("cqg.rtd",,"StudyData",A29,  "Bar",, "Close", "D",,,,,,"T"),"#.000")&amp;" "&amp;"L"</f>
        <v>-.173 L</v>
      </c>
      <c r="L29" s="23" t="str">
        <f>TEXT(RTD("cqg.rtd",,"StudyData",A30,  "Bar",, "Close", "D",,,,,,"T"),"#.000")&amp;" "&amp;"L"</f>
        <v>-.126 L</v>
      </c>
      <c r="M29" s="24" t="str">
        <f>TEXT(RTD("cqg.rtd",,"StudyData",A31,  "Bar",, "Close", "D",,,,,,"T"),"#.000")&amp;" "&amp;"L"</f>
        <v>-.006 L</v>
      </c>
      <c r="N29" s="24" t="str">
        <f>TEXT(RTD("cqg.rtd",,"StudyData",A32,  "Bar",, "Close", "D",,,,,,"T"),"#.000")&amp;" "&amp;"L"</f>
        <v>.039 L</v>
      </c>
      <c r="O29" s="24" t="str">
        <f>TEXT(RTD("cqg.rtd",,"StudyData",A33,  "Bar",, "Close", "D",,,,,,"T"),"#.000")&amp;" "&amp;"L"</f>
        <v>.238 L</v>
      </c>
      <c r="P29" s="24" t="str">
        <f>TEXT(RTD("cqg.rtd",,"StudyData",A34,  "Bar",, "Close", "D",,,,,,"T"),"#.000")&amp;" "&amp;"L"</f>
        <v>.024 L</v>
      </c>
      <c r="Q29" s="24" t="str">
        <f>TEXT(RTD("cqg.rtd",,"StudyData",A35,  "Bar",, "Close", "D",,,,,,"T"),"#.000")&amp;" "&amp;"L"</f>
        <v>-.029 L</v>
      </c>
      <c r="R29" s="24" t="str">
        <f>TEXT(RTD("cqg.rtd",,"StudyData",A36,  "Bar",, "Close", "D",,,,,,"T"),"#.000")&amp;" "&amp;"L"</f>
        <v>-.027 L</v>
      </c>
      <c r="S29" s="24" t="str">
        <f>TEXT(RTD("cqg.rtd",,"StudyData",A37,  "Bar",, "Close", "D",,,,,,"T"),"#.000")&amp;" "&amp;"L"</f>
        <v>-.003 L</v>
      </c>
      <c r="T29" s="24" t="str">
        <f>TEXT(RTD("cqg.rtd",,"StudyData",A38,  "Bar",, "Close", "D",,,,,,"T"),"#.000")&amp;" "&amp;"L"</f>
        <v>.018 L</v>
      </c>
      <c r="U29" s="24" t="str">
        <f>TEXT(RTD("cqg.rtd",,"StudyData",A39,  "Bar",, "Close", "D",,,,,,"T"),"#.000")&amp;" "&amp;"L"</f>
        <v>-.023 L</v>
      </c>
      <c r="V29" s="24" t="str">
        <f>TEXT(RTD("cqg.rtd",,"StudyData",A40,  "Bar",, "Close", "D",,,,,,"T"),"#.000")&amp;" "&amp;"L"</f>
        <v>-.053 L</v>
      </c>
      <c r="W29" s="54"/>
    </row>
    <row r="30" spans="1:36" ht="15" customHeight="1" x14ac:dyDescent="0.3">
      <c r="A30" s="8" t="str">
        <f>RTD("cqg.rtd",,"ContractData",NGE!J17, "Symbol")</f>
        <v>NGES1Z7</v>
      </c>
      <c r="B30" s="78" t="str">
        <f>RIGHT(RTD("cqg.rtd",,"ContractData",A30, "LongDescription"),15)</f>
        <v xml:space="preserve"> Dec 17, Jan 18</v>
      </c>
      <c r="C30" s="118">
        <f>RTD("cqg.rtd", ,"ContractData",A30, "Open",,"T")</f>
        <v>-0.126</v>
      </c>
      <c r="D30" s="118">
        <f>RTD("cqg.rtd", ,"ContractData",A30, "High",,"T")</f>
        <v>-0.124</v>
      </c>
      <c r="E30" s="118">
        <f>RTD("cqg.rtd", ,"ContractData",A30, "Low",,"T")</f>
        <v>-0.127</v>
      </c>
      <c r="F30" s="118">
        <f>RTD("cqg.rtd", ,"ContractData",A30, "LastTradeorSettle",,"T")</f>
        <v>-0.126</v>
      </c>
      <c r="G30" s="119">
        <f>RTD("cqg.rtd",,"ContractData",A30,"NetLastTradeToday",,"T")</f>
        <v>1E-3</v>
      </c>
      <c r="H30" s="46">
        <f>RTD("cqg.rtd",,"ContractData",A30,"NetLastTradeToday",,"T")</f>
        <v>1E-3</v>
      </c>
      <c r="I30" s="47">
        <f>RTD("cqg.rtd", ,"ContractData",A30, "T_CVol")</f>
        <v>4541</v>
      </c>
      <c r="J30" s="48"/>
      <c r="K30" s="80"/>
      <c r="L30" s="80"/>
      <c r="M30" s="80"/>
      <c r="N30" s="80"/>
      <c r="O30" s="80"/>
      <c r="P30" s="80"/>
      <c r="Q30" s="80"/>
      <c r="R30" s="81"/>
      <c r="S30" s="82"/>
      <c r="T30" s="82"/>
      <c r="U30" s="82"/>
      <c r="V30" s="83"/>
      <c r="W30" s="54"/>
    </row>
    <row r="31" spans="1:36" ht="15" customHeight="1" x14ac:dyDescent="0.3">
      <c r="A31" s="8" t="str">
        <f>RTD("cqg.rtd",,"ContractData",NGE!J18, "Symbol")</f>
        <v>NGES1F8</v>
      </c>
      <c r="B31" s="78" t="str">
        <f>RIGHT(RTD("cqg.rtd",,"ContractData",A31, "LongDescription"),15)</f>
        <v xml:space="preserve"> Jan 18, Feb 18</v>
      </c>
      <c r="C31" s="118">
        <f>RTD("cqg.rtd", ,"ContractData",A31, "Open",,"T")</f>
        <v>-5.0000000000000001E-3</v>
      </c>
      <c r="D31" s="118">
        <f>RTD("cqg.rtd", ,"ContractData",A31, "High",,"T")</f>
        <v>-4.0000000000000001E-3</v>
      </c>
      <c r="E31" s="118">
        <f>RTD("cqg.rtd", ,"ContractData",A31, "Low",,"T")</f>
        <v>-6.0000000000000001E-3</v>
      </c>
      <c r="F31" s="118">
        <f>RTD("cqg.rtd", ,"ContractData",A31, "LastTradeorSettle",,"T")</f>
        <v>-6.0000000000000001E-3</v>
      </c>
      <c r="G31" s="119">
        <f>RTD("cqg.rtd",,"ContractData",A31,"NetLastTradeToday",,"T")</f>
        <v>-1E-3</v>
      </c>
      <c r="H31" s="46">
        <f>RTD("cqg.rtd",,"ContractData",A31,"NetLastTradeToday",,"T")</f>
        <v>-1E-3</v>
      </c>
      <c r="I31" s="47">
        <f>RTD("cqg.rtd", ,"ContractData",A31, "T_CVol")</f>
        <v>742</v>
      </c>
      <c r="J31" s="48"/>
      <c r="K31" s="84"/>
      <c r="L31" s="84"/>
      <c r="M31" s="84"/>
      <c r="N31" s="84"/>
      <c r="O31" s="84"/>
      <c r="P31" s="84"/>
      <c r="Q31" s="84"/>
      <c r="R31" s="85"/>
      <c r="S31" s="54"/>
      <c r="T31" s="54"/>
      <c r="U31" s="54"/>
      <c r="V31" s="86"/>
      <c r="W31" s="54"/>
    </row>
    <row r="32" spans="1:36" ht="15" customHeight="1" x14ac:dyDescent="0.3">
      <c r="A32" s="8" t="str">
        <f>RTD("cqg.rtd",,"ContractData",NGE!J19, "Symbol")</f>
        <v>NGES1G8</v>
      </c>
      <c r="B32" s="78" t="str">
        <f>RIGHT(RTD("cqg.rtd",,"ContractData",A32, "LongDescription"),15)</f>
        <v xml:space="preserve"> Feb 18, Mar 18</v>
      </c>
      <c r="C32" s="118">
        <f>RTD("cqg.rtd", ,"ContractData",A32, "Open",,"T")</f>
        <v>4.3000000000000003E-2</v>
      </c>
      <c r="D32" s="118">
        <f>RTD("cqg.rtd", ,"ContractData",A32, "High",,"T")</f>
        <v>4.3000000000000003E-2</v>
      </c>
      <c r="E32" s="118">
        <f>RTD("cqg.rtd", ,"ContractData",A32, "Low",,"T")</f>
        <v>3.7999999999999999E-2</v>
      </c>
      <c r="F32" s="118">
        <f>RTD("cqg.rtd", ,"ContractData",A32, "LastTradeorSettle",,"T")</f>
        <v>3.9E-2</v>
      </c>
      <c r="G32" s="119">
        <f>RTD("cqg.rtd",,"ContractData",A32,"NetLastTradeToday",,"T")</f>
        <v>-3.0000000000000001E-3</v>
      </c>
      <c r="H32" s="46">
        <f>RTD("cqg.rtd",,"ContractData",A32,"NetLastTradeToday",,"T")</f>
        <v>-3.0000000000000001E-3</v>
      </c>
      <c r="I32" s="47">
        <f>RTD("cqg.rtd", ,"ContractData",A32, "T_CVol")</f>
        <v>1946</v>
      </c>
      <c r="J32" s="48"/>
      <c r="K32" s="84"/>
      <c r="L32" s="84"/>
      <c r="M32" s="84"/>
      <c r="N32" s="84"/>
      <c r="O32" s="84"/>
      <c r="P32" s="84"/>
      <c r="Q32" s="84"/>
      <c r="R32" s="85"/>
      <c r="S32" s="54"/>
      <c r="T32" s="54"/>
      <c r="U32" s="54"/>
      <c r="V32" s="86"/>
      <c r="W32" s="54"/>
    </row>
    <row r="33" spans="1:23" ht="15" customHeight="1" x14ac:dyDescent="0.3">
      <c r="A33" s="8" t="str">
        <f>RTD("cqg.rtd",,"ContractData",NGE!J20, "Symbol")</f>
        <v>NGES1H8</v>
      </c>
      <c r="B33" s="78" t="str">
        <f>RIGHT(RTD("cqg.rtd",,"ContractData",A33, "LongDescription"),15)</f>
        <v xml:space="preserve"> Mar 18, Apr 18</v>
      </c>
      <c r="C33" s="118">
        <f>RTD("cqg.rtd", ,"ContractData",A33, "Open",,"T")</f>
        <v>0.245</v>
      </c>
      <c r="D33" s="118">
        <f>RTD("cqg.rtd", ,"ContractData",A33, "High",,"T")</f>
        <v>0.248</v>
      </c>
      <c r="E33" s="118">
        <f>RTD("cqg.rtd", ,"ContractData",A33, "Low",,"T")</f>
        <v>0.23400000000000001</v>
      </c>
      <c r="F33" s="118">
        <f>RTD("cqg.rtd", ,"ContractData",A33, "LastTradeorSettle",,"T")</f>
        <v>0.23800000000000002</v>
      </c>
      <c r="G33" s="119">
        <f>RTD("cqg.rtd",,"ContractData",A33,"NetLastTradeToday",,"T")</f>
        <v>-1.6E-2</v>
      </c>
      <c r="H33" s="46">
        <f>RTD("cqg.rtd",,"ContractData",A33,"NetLastTradeToday",,"T")</f>
        <v>-1.6E-2</v>
      </c>
      <c r="I33" s="47">
        <f>RTD("cqg.rtd", ,"ContractData",A33, "T_CVol")</f>
        <v>1772</v>
      </c>
      <c r="J33" s="48"/>
      <c r="K33" s="84"/>
      <c r="L33" s="84"/>
      <c r="M33" s="84"/>
      <c r="N33" s="84"/>
      <c r="O33" s="84"/>
      <c r="P33" s="84"/>
      <c r="Q33" s="84"/>
      <c r="R33" s="85"/>
      <c r="S33" s="54"/>
      <c r="T33" s="54"/>
      <c r="U33" s="54"/>
      <c r="V33" s="86"/>
      <c r="W33" s="54"/>
    </row>
    <row r="34" spans="1:23" ht="15" customHeight="1" x14ac:dyDescent="0.3">
      <c r="A34" s="8" t="str">
        <f>RTD("cqg.rtd",,"ContractData",NGE!J21, "Symbol")</f>
        <v>NGES1J8</v>
      </c>
      <c r="B34" s="87" t="str">
        <f>RIGHT(RTD("cqg.rtd",,"ContractData",A34, "LongDescription"),15)</f>
        <v xml:space="preserve"> Apr 18, May 18</v>
      </c>
      <c r="C34" s="120">
        <f>RTD("cqg.rtd", ,"ContractData",A34, "Open",,"T")</f>
        <v>2.6000000000000002E-2</v>
      </c>
      <c r="D34" s="120">
        <f>RTD("cqg.rtd", ,"ContractData",A34, "High",,"T")</f>
        <v>2.6000000000000002E-2</v>
      </c>
      <c r="E34" s="120">
        <f>RTD("cqg.rtd", ,"ContractData",A34, "Low",,"T")</f>
        <v>2.4E-2</v>
      </c>
      <c r="F34" s="120">
        <f>RTD("cqg.rtd", ,"ContractData",A34, "LastTradeorSettle",,"T")</f>
        <v>2.4E-2</v>
      </c>
      <c r="G34" s="119">
        <f>RTD("cqg.rtd",,"ContractData",A34,"NetLastTradeToday",,"T")</f>
        <v>-4.0000000000000001E-3</v>
      </c>
      <c r="H34" s="88">
        <f>RTD("cqg.rtd",,"ContractData",A34,"NetLastTradeToday",,"T")</f>
        <v>-4.0000000000000001E-3</v>
      </c>
      <c r="I34" s="47">
        <f>RTD("cqg.rtd", ,"ContractData",A34, "T_CVol")</f>
        <v>1101</v>
      </c>
      <c r="J34" s="48"/>
      <c r="K34" s="84"/>
      <c r="L34" s="84"/>
      <c r="M34" s="84"/>
      <c r="N34" s="84"/>
      <c r="O34" s="84"/>
      <c r="P34" s="84"/>
      <c r="Q34" s="84"/>
      <c r="R34" s="85"/>
      <c r="S34" s="54"/>
      <c r="T34" s="54"/>
      <c r="U34" s="54"/>
      <c r="V34" s="86"/>
      <c r="W34" s="54"/>
    </row>
    <row r="35" spans="1:23" ht="15" customHeight="1" x14ac:dyDescent="0.3">
      <c r="A35" s="8" t="str">
        <f>RTD("cqg.rtd",,"ContractData",NGE!J22, "Symbol")</f>
        <v>NGES1K8</v>
      </c>
      <c r="B35" s="87" t="str">
        <f>RIGHT(RTD("cqg.rtd",,"ContractData",A35, "LongDescription"),15)</f>
        <v xml:space="preserve"> May 18, Jun 18</v>
      </c>
      <c r="C35" s="120">
        <f>RTD("cqg.rtd", ,"ContractData",A35, "Open",,"T")</f>
        <v>-2.9000000000000001E-2</v>
      </c>
      <c r="D35" s="120">
        <f>RTD("cqg.rtd", ,"ContractData",A35, "High",,"T")</f>
        <v>-2.9000000000000001E-2</v>
      </c>
      <c r="E35" s="120">
        <f>RTD("cqg.rtd", ,"ContractData",A35, "Low",,"T")</f>
        <v>-0.03</v>
      </c>
      <c r="F35" s="120">
        <f>RTD("cqg.rtd", ,"ContractData",A35, "LastTradeorSettle",,"T")</f>
        <v>-2.9000000000000001E-2</v>
      </c>
      <c r="G35" s="121">
        <f>RTD("cqg.rtd",,"ContractData",A35,"NetLastTradeToday",,"T")</f>
        <v>-1E-3</v>
      </c>
      <c r="H35" s="88">
        <f>RTD("cqg.rtd",,"ContractData",A35,"NetLastTradeToday",,"T")</f>
        <v>-1E-3</v>
      </c>
      <c r="I35" s="47">
        <f>RTD("cqg.rtd", ,"ContractData",A35, "T_CVol")</f>
        <v>51</v>
      </c>
      <c r="J35" s="48"/>
      <c r="K35" s="89"/>
      <c r="L35" s="89"/>
      <c r="M35" s="89"/>
      <c r="N35" s="89"/>
      <c r="O35" s="89"/>
      <c r="P35" s="89"/>
      <c r="Q35" s="89"/>
      <c r="R35" s="90"/>
      <c r="S35" s="54"/>
      <c r="T35" s="54"/>
      <c r="U35" s="54"/>
      <c r="V35" s="86"/>
      <c r="W35" s="54"/>
    </row>
    <row r="36" spans="1:23" ht="15" customHeight="1" x14ac:dyDescent="0.3">
      <c r="A36" s="8" t="str">
        <f>RTD("cqg.rtd",,"ContractData",NGE!J23, "Symbol")</f>
        <v>NGES1M8</v>
      </c>
      <c r="B36" s="87" t="str">
        <f>RIGHT(RTD("cqg.rtd",,"ContractData",A36, "LongDescription"),15)</f>
        <v xml:space="preserve"> Jun 18, Jul 18</v>
      </c>
      <c r="C36" s="120">
        <f>RTD("cqg.rtd", ,"ContractData",A36, "Open",,"T")</f>
        <v>-2.6000000000000002E-2</v>
      </c>
      <c r="D36" s="120">
        <f>RTD("cqg.rtd", ,"ContractData",A36, "High",,"T")</f>
        <v>-2.6000000000000002E-2</v>
      </c>
      <c r="E36" s="120">
        <f>RTD("cqg.rtd", ,"ContractData",A36, "Low",,"T")</f>
        <v>-2.7E-2</v>
      </c>
      <c r="F36" s="120">
        <f>RTD("cqg.rtd", ,"ContractData",A36, "LastTradeorSettle",,"T")</f>
        <v>-2.7E-2</v>
      </c>
      <c r="G36" s="119">
        <f>RTD("cqg.rtd",,"ContractData",A36,"NetLastTradeToday",,"T")</f>
        <v>0</v>
      </c>
      <c r="H36" s="88">
        <f>RTD("cqg.rtd",,"ContractData",A36,"NetLastTradeToday",,"T")</f>
        <v>0</v>
      </c>
      <c r="I36" s="47">
        <f>RTD("cqg.rtd", ,"ContractData",A36, "T_CVol")</f>
        <v>48</v>
      </c>
      <c r="J36" s="48"/>
      <c r="K36" s="84"/>
      <c r="L36" s="84"/>
      <c r="M36" s="84"/>
      <c r="N36" s="84"/>
      <c r="O36" s="84"/>
      <c r="P36" s="84"/>
      <c r="Q36" s="84"/>
      <c r="R36" s="85"/>
      <c r="S36" s="54"/>
      <c r="T36" s="54"/>
      <c r="U36" s="54"/>
      <c r="V36" s="86"/>
      <c r="W36" s="54"/>
    </row>
    <row r="37" spans="1:23" ht="15" customHeight="1" x14ac:dyDescent="0.3">
      <c r="A37" s="8" t="str">
        <f>RTD("cqg.rtd",,"ContractData",NGE!J24, "Symbol")</f>
        <v>NGES1N8</v>
      </c>
      <c r="B37" s="87" t="str">
        <f>RIGHT(RTD("cqg.rtd",,"ContractData",A37, "LongDescription"),15)</f>
        <v xml:space="preserve"> Jul 18, Aug 18</v>
      </c>
      <c r="C37" s="120">
        <f>RTD("cqg.rtd", ,"ContractData",A37, "Open",,"T")</f>
        <v>-3.0000000000000001E-3</v>
      </c>
      <c r="D37" s="120">
        <f>RTD("cqg.rtd", ,"ContractData",A37, "High",,"T")</f>
        <v>-2E-3</v>
      </c>
      <c r="E37" s="120">
        <f>RTD("cqg.rtd", ,"ContractData",A37, "Low",,"T")</f>
        <v>-3.0000000000000001E-3</v>
      </c>
      <c r="F37" s="120">
        <f>RTD("cqg.rtd", ,"ContractData",A37, "LastTradeorSettle",,"T")</f>
        <v>-3.0000000000000001E-3</v>
      </c>
      <c r="G37" s="121">
        <f>RTD("cqg.rtd",,"ContractData",A37,"NetLastTradeToday",,"T")</f>
        <v>0</v>
      </c>
      <c r="H37" s="88">
        <f>RTD("cqg.rtd",,"ContractData",A37,"NetLastTradeToday",,"T")</f>
        <v>0</v>
      </c>
      <c r="I37" s="47">
        <f>RTD("cqg.rtd", ,"ContractData",A37, "T_CVol")</f>
        <v>541</v>
      </c>
      <c r="J37" s="48"/>
      <c r="K37" s="84"/>
      <c r="L37" s="84"/>
      <c r="M37" s="84"/>
      <c r="N37" s="84"/>
      <c r="O37" s="84"/>
      <c r="P37" s="84"/>
      <c r="Q37" s="84"/>
      <c r="R37" s="85"/>
      <c r="S37" s="54"/>
      <c r="T37" s="54"/>
      <c r="U37" s="54"/>
      <c r="V37" s="86"/>
      <c r="W37" s="54"/>
    </row>
    <row r="38" spans="1:23" ht="15" customHeight="1" x14ac:dyDescent="0.3">
      <c r="A38" s="8" t="str">
        <f>RTD("cqg.rtd",,"ContractData",NGE!J25, "Symbol")</f>
        <v>NGES1Q8</v>
      </c>
      <c r="B38" s="87" t="str">
        <f>RIGHT(RTD("cqg.rtd",,"ContractData",A38, "LongDescription"),15)</f>
        <v xml:space="preserve"> Aug 18, Sep 18</v>
      </c>
      <c r="C38" s="120">
        <f>RTD("cqg.rtd", ,"ContractData",A38, "Open",,"T")</f>
        <v>1.8000000000000002E-2</v>
      </c>
      <c r="D38" s="120">
        <f>RTD("cqg.rtd", ,"ContractData",A38, "High",,"T")</f>
        <v>1.8000000000000002E-2</v>
      </c>
      <c r="E38" s="120">
        <f>RTD("cqg.rtd", ,"ContractData",A38, "Low",,"T")</f>
        <v>1.8000000000000002E-2</v>
      </c>
      <c r="F38" s="120">
        <f>RTD("cqg.rtd", ,"ContractData",A38, "LastTradeorSettle",,"T")</f>
        <v>1.8000000000000002E-2</v>
      </c>
      <c r="G38" s="121">
        <f>RTD("cqg.rtd",,"ContractData",A38,"NetLastTradeToday",,"T")</f>
        <v>0</v>
      </c>
      <c r="H38" s="88">
        <f>RTD("cqg.rtd",,"ContractData",A38,"NetLastTradeToday",,"T")</f>
        <v>0</v>
      </c>
      <c r="I38" s="47">
        <f>RTD("cqg.rtd", ,"ContractData",A38, "T_CVol")</f>
        <v>270</v>
      </c>
      <c r="J38" s="48"/>
      <c r="K38" s="84"/>
      <c r="L38" s="84"/>
      <c r="M38" s="84"/>
      <c r="N38" s="84"/>
      <c r="O38" s="84"/>
      <c r="P38" s="84"/>
      <c r="Q38" s="84"/>
      <c r="R38" s="85"/>
      <c r="S38" s="54"/>
      <c r="T38" s="54"/>
      <c r="U38" s="54"/>
      <c r="V38" s="86"/>
      <c r="W38" s="54"/>
    </row>
    <row r="39" spans="1:23" ht="15" customHeight="1" x14ac:dyDescent="0.3">
      <c r="A39" s="8" t="str">
        <f>RTD("cqg.rtd",,"ContractData",NGE!J26, "Symbol")</f>
        <v>NGES1U8</v>
      </c>
      <c r="B39" s="87" t="str">
        <f>RIGHT(RTD("cqg.rtd",,"ContractData",A39, "LongDescription"),15)</f>
        <v xml:space="preserve"> Sep 18, Oct 18</v>
      </c>
      <c r="C39" s="120">
        <f>RTD("cqg.rtd", ,"ContractData",A39, "Open",,"T")</f>
        <v>-2.3E-2</v>
      </c>
      <c r="D39" s="120">
        <f>RTD("cqg.rtd", ,"ContractData",A39, "High",,"T")</f>
        <v>-2.3E-2</v>
      </c>
      <c r="E39" s="120">
        <f>RTD("cqg.rtd", ,"ContractData",A39, "Low",,"T")</f>
        <v>-2.3E-2</v>
      </c>
      <c r="F39" s="120">
        <f>RTD("cqg.rtd", ,"ContractData",A39, "LastTradeorSettle",,"T")</f>
        <v>-2.3E-2</v>
      </c>
      <c r="G39" s="121">
        <f>RTD("cqg.rtd",,"ContractData",A39,"NetLastTradeToday",,"T")</f>
        <v>0</v>
      </c>
      <c r="H39" s="88">
        <f>RTD("cqg.rtd",,"ContractData",A39,"NetLastTradeToday",,"T")</f>
        <v>0</v>
      </c>
      <c r="I39" s="47">
        <f>RTD("cqg.rtd", ,"ContractData",A39, "T_CVol")</f>
        <v>363</v>
      </c>
      <c r="J39" s="48"/>
      <c r="K39" s="84"/>
      <c r="L39" s="84"/>
      <c r="M39" s="84"/>
      <c r="N39" s="84"/>
      <c r="O39" s="84"/>
      <c r="P39" s="84"/>
      <c r="Q39" s="84"/>
      <c r="R39" s="85"/>
      <c r="S39" s="54"/>
      <c r="T39" s="54"/>
      <c r="U39" s="54"/>
      <c r="V39" s="86"/>
      <c r="W39" s="54"/>
    </row>
    <row r="40" spans="1:23" ht="15" customHeight="1" x14ac:dyDescent="0.3">
      <c r="A40" s="8" t="str">
        <f>RTD("cqg.rtd",,"ContractData",NGE!J27, "Symbol")</f>
        <v>NGES1V8</v>
      </c>
      <c r="B40" s="87" t="str">
        <f>RIGHT(RTD("cqg.rtd",,"ContractData",A40, "LongDescription"),15)</f>
        <v xml:space="preserve"> Oct 18, Nov 18</v>
      </c>
      <c r="C40" s="120">
        <f>RTD("cqg.rtd", ,"ContractData",A40, "Open",,"T")</f>
        <v>-5.3999999999999999E-2</v>
      </c>
      <c r="D40" s="120">
        <f>RTD("cqg.rtd", ,"ContractData",A40, "High",,"T")</f>
        <v>-5.2999999999999999E-2</v>
      </c>
      <c r="E40" s="120">
        <f>RTD("cqg.rtd", ,"ContractData",A40, "Low",,"T")</f>
        <v>-5.3999999999999999E-2</v>
      </c>
      <c r="F40" s="120">
        <f>RTD("cqg.rtd", ,"ContractData",A40, "LastTradeorSettle",,"T")</f>
        <v>-5.2999999999999999E-2</v>
      </c>
      <c r="G40" s="121">
        <f>RTD("cqg.rtd",,"ContractData",A40,"NetLastTradeToday",,"T")</f>
        <v>1E-3</v>
      </c>
      <c r="H40" s="88">
        <f>RTD("cqg.rtd",,"ContractData",A40,"NetLastTradeToday",,"T")</f>
        <v>1E-3</v>
      </c>
      <c r="I40" s="91">
        <f>RTD("cqg.rtd", ,"ContractData",A40, "T_CVol")</f>
        <v>31</v>
      </c>
      <c r="J40" s="48"/>
      <c r="K40" s="84"/>
      <c r="L40" s="84"/>
      <c r="M40" s="84"/>
      <c r="N40" s="84"/>
      <c r="O40" s="84"/>
      <c r="P40" s="84"/>
      <c r="Q40" s="84"/>
      <c r="R40" s="85"/>
      <c r="S40" s="54"/>
      <c r="T40" s="54"/>
      <c r="U40" s="54"/>
      <c r="V40" s="86"/>
      <c r="W40" s="54"/>
    </row>
    <row r="41" spans="1:23" ht="12" customHeight="1" x14ac:dyDescent="0.3">
      <c r="B41" s="305"/>
      <c r="C41" s="306"/>
      <c r="D41" s="61"/>
      <c r="E41" s="62"/>
      <c r="F41" s="63"/>
      <c r="G41" s="62"/>
      <c r="H41" s="64"/>
      <c r="I41" s="62"/>
      <c r="J41" s="65"/>
      <c r="K41" s="92"/>
      <c r="L41" s="92"/>
      <c r="M41" s="92"/>
      <c r="N41" s="92"/>
      <c r="O41" s="92"/>
      <c r="P41" s="92"/>
      <c r="Q41" s="92"/>
      <c r="R41" s="93"/>
      <c r="S41" s="94"/>
      <c r="T41" s="94"/>
      <c r="U41" s="94"/>
      <c r="V41" s="95"/>
      <c r="W41" s="54"/>
    </row>
    <row r="42" spans="1:23" ht="15" customHeight="1" x14ac:dyDescent="0.2">
      <c r="B42" s="301" t="s">
        <v>27</v>
      </c>
      <c r="C42" s="302"/>
      <c r="D42" s="302"/>
      <c r="E42" s="302"/>
      <c r="F42" s="302"/>
      <c r="G42" s="302"/>
      <c r="H42" s="302"/>
      <c r="I42" s="302"/>
      <c r="J42" s="70"/>
      <c r="K42" s="71" t="str">
        <f>B45</f>
        <v xml:space="preserve"> Nov 17, Jan 18</v>
      </c>
      <c r="L42" s="96" t="str">
        <f>B46</f>
        <v xml:space="preserve"> Dec 17, Feb 18</v>
      </c>
      <c r="M42" s="96" t="str">
        <f>B47</f>
        <v xml:space="preserve"> Jan 18, Mar 18</v>
      </c>
      <c r="N42" s="96" t="str">
        <f>B48</f>
        <v xml:space="preserve"> Feb 18, Apr 18</v>
      </c>
      <c r="O42" s="96" t="str">
        <f>B49</f>
        <v xml:space="preserve"> Mar 18, May 18</v>
      </c>
      <c r="P42" s="96" t="str">
        <f>B50</f>
        <v xml:space="preserve"> Apr 18, Jun 18</v>
      </c>
      <c r="Q42" s="96" t="str">
        <f>B51</f>
        <v xml:space="preserve"> May 18, Jul 18</v>
      </c>
      <c r="R42" s="96" t="str">
        <f>B52</f>
        <v xml:space="preserve"> Jun 18, Aug 18</v>
      </c>
      <c r="S42" s="96" t="str">
        <f>B53</f>
        <v xml:space="preserve"> Jul 18, Sep 18</v>
      </c>
      <c r="T42" s="96" t="str">
        <f>B54</f>
        <v xml:space="preserve"> Aug 18, Oct 18</v>
      </c>
      <c r="U42" s="96" t="str">
        <f>B55</f>
        <v xml:space="preserve"> Sep 18, Nov 18</v>
      </c>
      <c r="V42" s="96" t="str">
        <f>B56</f>
        <v xml:space="preserve"> Oct 18, Dec 18</v>
      </c>
      <c r="W42" s="54"/>
    </row>
    <row r="43" spans="1:23" ht="15" customHeight="1" x14ac:dyDescent="0.3">
      <c r="B43" s="303"/>
      <c r="C43" s="304"/>
      <c r="D43" s="304"/>
      <c r="E43" s="304"/>
      <c r="F43" s="304"/>
      <c r="G43" s="304"/>
      <c r="H43" s="304"/>
      <c r="I43" s="304"/>
      <c r="J43" s="70"/>
      <c r="K43" s="73" t="str">
        <f>TEXT(RTD("cqg.rtd",,"ContractData",A45,"Ask",,"T"),"#.000")&amp;" "&amp;"A"</f>
        <v>-.300 A</v>
      </c>
      <c r="L43" s="23" t="str">
        <f>TEXT(RTD("cqg.rtd",,"ContractData",A46,"Ask",,"T"),"#.000")&amp;" "&amp;"A"</f>
        <v>-.131 A</v>
      </c>
      <c r="M43" s="24" t="str">
        <f>TEXT(RTD("cqg.rtd",,"ContractData",A47,"Ask",,"T"),"#.000")&amp;" "&amp;"A"</f>
        <v>.034 A</v>
      </c>
      <c r="N43" s="24" t="str">
        <f>TEXT(RTD("cqg.rtd",,"ContractData",A48,"Ask",,"T"),"#.000")&amp;" "&amp;"A"</f>
        <v>.278 A</v>
      </c>
      <c r="O43" s="24" t="str">
        <f>TEXT(RTD("cqg.rtd",,"ContractData",A49,"Ask",,"T"),"#.000")&amp;" "&amp;"A"</f>
        <v>.263 A</v>
      </c>
      <c r="P43" s="24" t="str">
        <f>TEXT(RTD("cqg.rtd",,"ContractData",A50,"Ask",,"T"),"#.000")&amp;" "&amp;"A"</f>
        <v>-.004 A</v>
      </c>
      <c r="Q43" s="24" t="str">
        <f>TEXT(RTD("cqg.rtd",,"ContractData",A51,"Ask",,"T"),"#.000")&amp;" "&amp;"A"</f>
        <v>-.056 A</v>
      </c>
      <c r="R43" s="24" t="str">
        <f>TEXT(RTD("cqg.rtd",,"ContractData",A52,"Ask",,"T"),"#.000")&amp;" "&amp;"A"</f>
        <v>-.029 A</v>
      </c>
      <c r="S43" s="24" t="str">
        <f>TEXT(RTD("cqg.rtd",,"ContractData",A53,"Ask",,"T"),"#.000")&amp;" "&amp;"A"</f>
        <v>.015 A</v>
      </c>
      <c r="T43" s="24" t="str">
        <f>TEXT(RTD("cqg.rtd",,"ContractData",A54,"Ask",,"T"),"#.000")&amp;" "&amp;"A"</f>
        <v>-.005 A</v>
      </c>
      <c r="U43" s="24" t="str">
        <f>TEXT(RTD("cqg.rtd",,"ContractData",A55,"Ask",,"T"),"#.000")&amp;" "&amp;"A"</f>
        <v>-.075 A</v>
      </c>
      <c r="V43" s="24" t="str">
        <f>TEXT(RTD("cqg.rtd",,"ContractData",A56,"Ask",,"T"),"#.000")&amp;" "&amp;"A"</f>
        <v>-.189 A</v>
      </c>
      <c r="W43" s="54"/>
    </row>
    <row r="44" spans="1:23" ht="15" customHeight="1" x14ac:dyDescent="0.3">
      <c r="B44" s="74" t="s">
        <v>16</v>
      </c>
      <c r="C44" s="37" t="s">
        <v>9</v>
      </c>
      <c r="D44" s="37" t="s">
        <v>10</v>
      </c>
      <c r="E44" s="37" t="s">
        <v>11</v>
      </c>
      <c r="F44" s="37" t="s">
        <v>8</v>
      </c>
      <c r="G44" s="37" t="s">
        <v>12</v>
      </c>
      <c r="H44" s="37" t="s">
        <v>12</v>
      </c>
      <c r="I44" s="75" t="s">
        <v>13</v>
      </c>
      <c r="J44" s="76"/>
      <c r="K44" s="77" t="str">
        <f>TEXT(RTD("cqg.rtd",,"ContractData",A45,"Bid",,"T"),"#.000")&amp;" "&amp;"B"</f>
        <v>-.301 B</v>
      </c>
      <c r="L44" s="23" t="str">
        <f>TEXT(RTD("cqg.rtd",,"ContractData",A46,"Bid",,"T"),"#.000")&amp;" "&amp;"B"</f>
        <v>-.132 B</v>
      </c>
      <c r="M44" s="24" t="str">
        <f>TEXT(RTD("cqg.rtd",,"ContractData",A47,"Bid",,"T"),"#.000")&amp;" "&amp;"B"</f>
        <v>.033 B</v>
      </c>
      <c r="N44" s="24" t="str">
        <f>TEXT(RTD("cqg.rtd",,"ContractData",A48,"Bid",,"T"),"#.000")&amp;" "&amp;"B"</f>
        <v>.276 B</v>
      </c>
      <c r="O44" s="24" t="str">
        <f>TEXT(RTD("cqg.rtd",,"ContractData",A49,"Bid",,"T"),"#.000")&amp;" "&amp;"B"</f>
        <v>.261 B</v>
      </c>
      <c r="P44" s="24" t="str">
        <f>TEXT(RTD("cqg.rtd",,"ContractData",A50,"Bid",,"T"),"#.000")&amp;" "&amp;"B"</f>
        <v>-.006 B</v>
      </c>
      <c r="Q44" s="24" t="str">
        <f>TEXT(RTD("cqg.rtd",,"ContractData",A51,"Bid",,"T"),"#.000")&amp;" "&amp;"B"</f>
        <v>-.058 B</v>
      </c>
      <c r="R44" s="24" t="str">
        <f>TEXT(RTD("cqg.rtd",,"ContractData",A52,"Bid",,"T"),"#.000")&amp;" "&amp;"B"</f>
        <v>-.031 B</v>
      </c>
      <c r="S44" s="24" t="str">
        <f>TEXT(RTD("cqg.rtd",,"ContractData",A53,"Bid",,"T"),"#.000")&amp;" "&amp;"B"</f>
        <v>.014 B</v>
      </c>
      <c r="T44" s="24" t="str">
        <f>TEXT(RTD("cqg.rtd",,"ContractData",A54,"Bid",,"T"),"#.000")&amp;" "&amp;"B"</f>
        <v>-.006 B</v>
      </c>
      <c r="U44" s="24" t="str">
        <f>TEXT(RTD("cqg.rtd",,"ContractData",A55,"Bid",,"T"),"#.000")&amp;" "&amp;"B"</f>
        <v>-.078 B</v>
      </c>
      <c r="V44" s="24" t="str">
        <f>TEXT(RTD("cqg.rtd",,"ContractData",A56,"Bid",,"T"),"#.000")&amp;" "&amp;"B"</f>
        <v>-.191 B</v>
      </c>
      <c r="W44" s="54"/>
    </row>
    <row r="45" spans="1:23" ht="15" customHeight="1" x14ac:dyDescent="0.3">
      <c r="A45" s="8" t="str">
        <f>RTD("cqg.rtd",,"ContractData",'NGE2'!J16, "Symbol")</f>
        <v>NGES2X7</v>
      </c>
      <c r="B45" s="78" t="str">
        <f>RIGHT(RTD("cqg.rtd",,"ContractData",A45, "LongDescription"),15)</f>
        <v xml:space="preserve"> Nov 17, Jan 18</v>
      </c>
      <c r="C45" s="118">
        <f>RTD("cqg.rtd", ,"ContractData",A45, "Open",,"T")</f>
        <v>-0.30399999999999999</v>
      </c>
      <c r="D45" s="118">
        <f>RTD("cqg.rtd", ,"ContractData",A45, "High",,"T")</f>
        <v>-0.29399999999999998</v>
      </c>
      <c r="E45" s="118">
        <f>RTD("cqg.rtd", ,"ContractData",A45, "Low",,"T")</f>
        <v>-0.30499999999999999</v>
      </c>
      <c r="F45" s="118">
        <f>RTD("cqg.rtd", ,"ContractData",A45, "LastTradeorSettle",,"T")</f>
        <v>-0.3</v>
      </c>
      <c r="G45" s="119">
        <f>RTD("cqg.rtd",,"ContractData",A45,"NetLastTradeToday",,"T")</f>
        <v>7.0000000000000001E-3</v>
      </c>
      <c r="H45" s="46">
        <f>RTD("cqg.rtd",,"ContractData",A45,"NetLastTradeToday",,"T")</f>
        <v>7.0000000000000001E-3</v>
      </c>
      <c r="I45" s="47">
        <f>RTD("cqg.rtd", ,"ContractData",A45, "T_CVol")</f>
        <v>6477</v>
      </c>
      <c r="J45" s="48"/>
      <c r="K45" s="79" t="str">
        <f>TEXT(RTD("cqg.rtd",,"StudyData",A45,  "Bar",, "Close", "D",,,,,,"T"),"#.000")&amp;" "&amp;"L"</f>
        <v>-.300 L</v>
      </c>
      <c r="L45" s="23" t="str">
        <f>TEXT(RTD("cqg.rtd",,"StudyData",A46,  "Bar",, "Close", "D",,,,,,"T"),"#.000")&amp;" "&amp;"L"</f>
        <v>-.131 L</v>
      </c>
      <c r="M45" s="24" t="str">
        <f>TEXT(RTD("cqg.rtd",,"StudyData",A47,  "Bar",, "Close", "D",,,,,,"T"),"#.000")&amp;" "&amp;"L"</f>
        <v>.033 L</v>
      </c>
      <c r="N45" s="24" t="str">
        <f>TEXT(RTD("cqg.rtd",,"StudyData",A48,  "Bar",, "Close", "D",,,,,,"T"),"#.000")&amp;" "&amp;"L"</f>
        <v>.279 L</v>
      </c>
      <c r="O45" s="24" t="str">
        <f>TEXT(RTD("cqg.rtd",,"StudyData",A49,  "Bar",, "Close", "D",,,,,,"T"),"#.000")&amp;" "&amp;"L"</f>
        <v>.263 L</v>
      </c>
      <c r="P45" s="24" t="str">
        <f>TEXT(RTD("cqg.rtd",,"StudyData",A50,  "Bar",, "Close", "D",,,,,,"T"),"#.000")&amp;" "&amp;"L"</f>
        <v>-.005 L</v>
      </c>
      <c r="Q45" s="24" t="str">
        <f>TEXT(RTD("cqg.rtd",,"StudyData",A51,  "Bar",, "Close", "D",,,,,,"T"),"#.000")&amp;" "&amp;"L"</f>
        <v>-.056 L</v>
      </c>
      <c r="R45" s="24" t="str">
        <f>TEXT(RTD("cqg.rtd",,"StudyData",A52,  "Bar",, "Close", "D",,,,,,"T"),"#.000")&amp;" "&amp;"L"</f>
        <v>-.030 L</v>
      </c>
      <c r="S45" s="24" t="str">
        <f>TEXT(RTD("cqg.rtd",,"StudyData",A53,  "Bar",, "Close", "D",,,,,,"T"),"#.000")&amp;" "&amp;"L"</f>
        <v>.015 L</v>
      </c>
      <c r="T45" s="24" t="str">
        <f>TEXT(RTD("cqg.rtd",,"StudyData",A54,  "Bar",, "Close", "D",,,,,,"T"),"#.000")&amp;" "&amp;"L"</f>
        <v>-.005 L</v>
      </c>
      <c r="U45" s="24" t="str">
        <f>TEXT(RTD("cqg.rtd",,"StudyData",A55,  "Bar",, "Close", "D",,,,,,"T"),"#.000")&amp;" "&amp;"L"</f>
        <v xml:space="preserve"> L</v>
      </c>
      <c r="V45" s="24" t="str">
        <f>TEXT(RTD("cqg.rtd",,"StudyData",A56,  "Bar",, "Close", "D",,,,,,"T"),"#.000")&amp;" "&amp;"L"</f>
        <v>-.190 L</v>
      </c>
      <c r="W45" s="54"/>
    </row>
    <row r="46" spans="1:23" ht="15" customHeight="1" x14ac:dyDescent="0.3">
      <c r="A46" s="8" t="str">
        <f>RTD("cqg.rtd",,"ContractData",'NGE2'!J17, "Symbol")</f>
        <v>NGES2Z7</v>
      </c>
      <c r="B46" s="78" t="str">
        <f>RIGHT(RTD("cqg.rtd",,"ContractData",A46, "LongDescription"),15)</f>
        <v xml:space="preserve"> Dec 17, Feb 18</v>
      </c>
      <c r="C46" s="118">
        <f>RTD("cqg.rtd", ,"ContractData",A46, "Open",,"T")</f>
        <v>-0.13100000000000001</v>
      </c>
      <c r="D46" s="118">
        <f>RTD("cqg.rtd", ,"ContractData",A46, "High",,"T")</f>
        <v>-0.128</v>
      </c>
      <c r="E46" s="118">
        <f>RTD("cqg.rtd", ,"ContractData",A46, "Low",,"T")</f>
        <v>-0.13200000000000001</v>
      </c>
      <c r="F46" s="118">
        <f>RTD("cqg.rtd", ,"ContractData",A46, "LastTradeorSettle",,"T")</f>
        <v>-0.13100000000000001</v>
      </c>
      <c r="G46" s="119">
        <f>RTD("cqg.rtd",,"ContractData",A46,"NetLastTradeToday",,"T")</f>
        <v>1E-3</v>
      </c>
      <c r="H46" s="46">
        <f>RTD("cqg.rtd",,"ContractData",A46,"NetLastTradeToday",,"T")</f>
        <v>1E-3</v>
      </c>
      <c r="I46" s="47">
        <f>RTD("cqg.rtd", ,"ContractData",A46, "T_CVol")</f>
        <v>376</v>
      </c>
      <c r="J46" s="48"/>
      <c r="K46" s="84"/>
      <c r="L46" s="84"/>
      <c r="M46" s="84"/>
      <c r="N46" s="84"/>
      <c r="O46" s="84"/>
      <c r="P46" s="84"/>
      <c r="Q46" s="84"/>
      <c r="R46" s="85"/>
      <c r="S46" s="54"/>
      <c r="T46" s="54"/>
      <c r="U46" s="54"/>
      <c r="V46" s="97"/>
      <c r="W46" s="54"/>
    </row>
    <row r="47" spans="1:23" ht="15" customHeight="1" x14ac:dyDescent="0.3">
      <c r="A47" s="8" t="str">
        <f>RTD("cqg.rtd",,"ContractData",'NGE2'!J18, "Symbol")</f>
        <v>NGES2F8</v>
      </c>
      <c r="B47" s="78" t="str">
        <f>RIGHT(RTD("cqg.rtd",,"ContractData",A47, "LongDescription"),15)</f>
        <v xml:space="preserve"> Jan 18, Mar 18</v>
      </c>
      <c r="C47" s="118">
        <f>RTD("cqg.rtd", ,"ContractData",A47, "Open",,"T")</f>
        <v>3.6999999999999998E-2</v>
      </c>
      <c r="D47" s="118">
        <f>RTD("cqg.rtd", ,"ContractData",A47, "High",,"T")</f>
        <v>3.9E-2</v>
      </c>
      <c r="E47" s="118">
        <f>RTD("cqg.rtd", ,"ContractData",A47, "Low",,"T")</f>
        <v>3.3000000000000002E-2</v>
      </c>
      <c r="F47" s="118">
        <f>RTD("cqg.rtd", ,"ContractData",A47, "LastTradeorSettle",,"T")</f>
        <v>3.3000000000000002E-2</v>
      </c>
      <c r="G47" s="119">
        <f>RTD("cqg.rtd",,"ContractData",A47,"NetLastTradeToday",,"T")</f>
        <v>-4.0000000000000001E-3</v>
      </c>
      <c r="H47" s="46">
        <f>RTD("cqg.rtd",,"ContractData",A47,"NetLastTradeToday",,"T")</f>
        <v>-4.0000000000000001E-3</v>
      </c>
      <c r="I47" s="47">
        <f>RTD("cqg.rtd", ,"ContractData",A47, "T_CVol")</f>
        <v>1357</v>
      </c>
      <c r="J47" s="48"/>
      <c r="K47" s="84"/>
      <c r="L47" s="84"/>
      <c r="M47" s="84"/>
      <c r="N47" s="84"/>
      <c r="O47" s="84"/>
      <c r="P47" s="84"/>
      <c r="Q47" s="84"/>
      <c r="R47" s="85"/>
      <c r="S47" s="54"/>
      <c r="T47" s="54"/>
      <c r="U47" s="54"/>
      <c r="V47" s="98"/>
      <c r="W47" s="54"/>
    </row>
    <row r="48" spans="1:23" ht="15" customHeight="1" x14ac:dyDescent="0.3">
      <c r="A48" s="8" t="str">
        <f>RTD("cqg.rtd",,"ContractData",'NGE2'!J19, "Symbol")</f>
        <v>NGES2G8</v>
      </c>
      <c r="B48" s="78" t="str">
        <f>RIGHT(RTD("cqg.rtd",,"ContractData",A48, "LongDescription"),15)</f>
        <v xml:space="preserve"> Feb 18, Apr 18</v>
      </c>
      <c r="C48" s="118">
        <f>RTD("cqg.rtd", ,"ContractData",A48, "Open",,"T")</f>
        <v>0.28800000000000003</v>
      </c>
      <c r="D48" s="118">
        <f>RTD("cqg.rtd", ,"ContractData",A48, "High",,"T")</f>
        <v>0.28899999999999998</v>
      </c>
      <c r="E48" s="118">
        <f>RTD("cqg.rtd", ,"ContractData",A48, "Low",,"T")</f>
        <v>0.27600000000000002</v>
      </c>
      <c r="F48" s="118">
        <f>RTD("cqg.rtd", ,"ContractData",A48, "LastTradeorSettle",,"T")</f>
        <v>0.27900000000000003</v>
      </c>
      <c r="G48" s="119">
        <f>RTD("cqg.rtd",,"ContractData",A48,"NetLastTradeToday",,"T")</f>
        <v>-1.7000000000000001E-2</v>
      </c>
      <c r="H48" s="46">
        <f>RTD("cqg.rtd",,"ContractData",A48,"NetLastTradeToday",,"T")</f>
        <v>-1.7000000000000001E-2</v>
      </c>
      <c r="I48" s="47">
        <f>RTD("cqg.rtd", ,"ContractData",A48, "T_CVol")</f>
        <v>75</v>
      </c>
      <c r="J48" s="48"/>
      <c r="K48" s="84"/>
      <c r="L48" s="84"/>
      <c r="M48" s="84"/>
      <c r="N48" s="84"/>
      <c r="O48" s="84"/>
      <c r="P48" s="84"/>
      <c r="Q48" s="84"/>
      <c r="R48" s="85"/>
      <c r="S48" s="54"/>
      <c r="T48" s="54"/>
      <c r="U48" s="54"/>
      <c r="V48" s="98"/>
      <c r="W48" s="54"/>
    </row>
    <row r="49" spans="1:23" ht="15" customHeight="1" x14ac:dyDescent="0.3">
      <c r="A49" s="8" t="str">
        <f>RTD("cqg.rtd",,"ContractData",'NGE2'!J20, "Symbol")</f>
        <v>NGES2H8</v>
      </c>
      <c r="B49" s="78" t="str">
        <f>RIGHT(RTD("cqg.rtd",,"ContractData",A49, "LongDescription"),15)</f>
        <v xml:space="preserve"> Mar 18, May 18</v>
      </c>
      <c r="C49" s="118">
        <f>RTD("cqg.rtd", ,"ContractData",A49, "Open",,"T")</f>
        <v>0.26700000000000002</v>
      </c>
      <c r="D49" s="118">
        <f>RTD("cqg.rtd", ,"ContractData",A49, "High",,"T")</f>
        <v>0.27100000000000002</v>
      </c>
      <c r="E49" s="118">
        <f>RTD("cqg.rtd", ,"ContractData",A49, "Low",,"T")</f>
        <v>0.25800000000000001</v>
      </c>
      <c r="F49" s="118">
        <f>RTD("cqg.rtd", ,"ContractData",A49, "LastTradeorSettle",,"T")</f>
        <v>0.26300000000000001</v>
      </c>
      <c r="G49" s="119">
        <f>RTD("cqg.rtd",,"ContractData",A49,"NetLastTradeToday",,"T")</f>
        <v>-1.9E-2</v>
      </c>
      <c r="H49" s="46">
        <f>RTD("cqg.rtd",,"ContractData",A49,"NetLastTradeToday",,"T")</f>
        <v>-1.9E-2</v>
      </c>
      <c r="I49" s="47">
        <f>RTD("cqg.rtd", ,"ContractData",A49, "T_CVol")</f>
        <v>103</v>
      </c>
      <c r="J49" s="48"/>
      <c r="K49" s="84"/>
      <c r="L49" s="84"/>
      <c r="M49" s="84"/>
      <c r="N49" s="84"/>
      <c r="O49" s="84"/>
      <c r="P49" s="84"/>
      <c r="Q49" s="84"/>
      <c r="R49" s="85"/>
      <c r="S49" s="54"/>
      <c r="T49" s="54"/>
      <c r="U49" s="54"/>
      <c r="V49" s="98"/>
      <c r="W49" s="54"/>
    </row>
    <row r="50" spans="1:23" ht="15" customHeight="1" x14ac:dyDescent="0.3">
      <c r="A50" s="8" t="str">
        <f>RTD("cqg.rtd",,"ContractData",'NGE2'!J21, "Symbol")</f>
        <v>NGES2J8</v>
      </c>
      <c r="B50" s="87" t="str">
        <f>RIGHT(RTD("cqg.rtd",,"ContractData",A50, "LongDescription"),15)</f>
        <v xml:space="preserve"> Apr 18, Jun 18</v>
      </c>
      <c r="C50" s="120">
        <f>RTD("cqg.rtd", ,"ContractData",A50, "Open",,"T")</f>
        <v>-3.0000000000000001E-3</v>
      </c>
      <c r="D50" s="120">
        <f>RTD("cqg.rtd", ,"ContractData",A50, "High",,"T")</f>
        <v>-3.0000000000000001E-3</v>
      </c>
      <c r="E50" s="120">
        <f>RTD("cqg.rtd", ,"ContractData",A50, "Low",,"T")</f>
        <v>-6.0000000000000001E-3</v>
      </c>
      <c r="F50" s="120">
        <f>RTD("cqg.rtd", ,"ContractData",A50, "LastTradeorSettle",,"T")</f>
        <v>-5.0000000000000001E-3</v>
      </c>
      <c r="G50" s="119">
        <f>RTD("cqg.rtd",,"ContractData",A50,"NetLastTradeToday",,"T")</f>
        <v>-5.0000000000000001E-3</v>
      </c>
      <c r="H50" s="88">
        <f>RTD("cqg.rtd",,"ContractData",A50,"NetLastTradeToday",,"T")</f>
        <v>-5.0000000000000001E-3</v>
      </c>
      <c r="I50" s="47">
        <f>RTD("cqg.rtd", ,"ContractData",A50, "T_CVol")</f>
        <v>54</v>
      </c>
      <c r="J50" s="48"/>
      <c r="K50" s="84"/>
      <c r="L50" s="84"/>
      <c r="M50" s="84"/>
      <c r="N50" s="84"/>
      <c r="O50" s="84"/>
      <c r="P50" s="84"/>
      <c r="Q50" s="84"/>
      <c r="R50" s="85"/>
      <c r="S50" s="54"/>
      <c r="T50" s="54"/>
      <c r="U50" s="54"/>
      <c r="V50" s="98"/>
      <c r="W50" s="54"/>
    </row>
    <row r="51" spans="1:23" ht="15" customHeight="1" x14ac:dyDescent="0.3">
      <c r="A51" s="8" t="str">
        <f>RTD("cqg.rtd",,"ContractData",'NGE2'!J22, "Symbol")</f>
        <v>NGES2K8</v>
      </c>
      <c r="B51" s="87" t="str">
        <f>RIGHT(RTD("cqg.rtd",,"ContractData",A51, "LongDescription"),15)</f>
        <v xml:space="preserve"> May 18, Jul 18</v>
      </c>
      <c r="C51" s="120">
        <f>RTD("cqg.rtd", ,"ContractData",A51, "Open",,"T")</f>
        <v>-5.6000000000000001E-2</v>
      </c>
      <c r="D51" s="120">
        <f>RTD("cqg.rtd", ,"ContractData",A51, "High",,"T")</f>
        <v>-5.6000000000000001E-2</v>
      </c>
      <c r="E51" s="120">
        <f>RTD("cqg.rtd", ,"ContractData",A51, "Low",,"T")</f>
        <v>-5.7000000000000002E-2</v>
      </c>
      <c r="F51" s="120">
        <f>RTD("cqg.rtd", ,"ContractData",A51, "LastTradeorSettle",,"T")</f>
        <v>-5.6000000000000001E-2</v>
      </c>
      <c r="G51" s="121">
        <f>RTD("cqg.rtd",,"ContractData",A51,"NetLastTradeToday",,"T")</f>
        <v>-1E-3</v>
      </c>
      <c r="H51" s="88">
        <f>RTD("cqg.rtd",,"ContractData",A51,"NetLastTradeToday",,"T")</f>
        <v>-1E-3</v>
      </c>
      <c r="I51" s="47">
        <f>RTD("cqg.rtd", ,"ContractData",A51, "T_CVol")</f>
        <v>25</v>
      </c>
      <c r="J51" s="48"/>
      <c r="K51" s="84"/>
      <c r="L51" s="84"/>
      <c r="M51" s="84"/>
      <c r="N51" s="84"/>
      <c r="O51" s="84"/>
      <c r="P51" s="84"/>
      <c r="Q51" s="84"/>
      <c r="R51" s="85"/>
      <c r="S51" s="54"/>
      <c r="T51" s="54"/>
      <c r="U51" s="54"/>
      <c r="V51" s="98"/>
      <c r="W51" s="54"/>
    </row>
    <row r="52" spans="1:23" ht="15" customHeight="1" x14ac:dyDescent="0.3">
      <c r="A52" s="8" t="str">
        <f>RTD("cqg.rtd",,"ContractData",'NGE2'!J23, "Symbol")</f>
        <v>NGES2M8</v>
      </c>
      <c r="B52" s="87" t="str">
        <f>RIGHT(RTD("cqg.rtd",,"ContractData",A52, "LongDescription"),15)</f>
        <v xml:space="preserve"> Jun 18, Aug 18</v>
      </c>
      <c r="C52" s="120">
        <f>RTD("cqg.rtd", ,"ContractData",A52, "Open",,"T")</f>
        <v>-3.1E-2</v>
      </c>
      <c r="D52" s="120">
        <f>RTD("cqg.rtd", ,"ContractData",A52, "High",,"T")</f>
        <v>-0.03</v>
      </c>
      <c r="E52" s="120">
        <f>RTD("cqg.rtd", ,"ContractData",A52, "Low",,"T")</f>
        <v>-3.1E-2</v>
      </c>
      <c r="F52" s="120">
        <f>RTD("cqg.rtd", ,"ContractData",A52, "LastTradeorSettle",,"T")</f>
        <v>-0.03</v>
      </c>
      <c r="G52" s="119">
        <f>RTD("cqg.rtd",,"ContractData",A52,"NetLastTradeToday",,"T")</f>
        <v>0</v>
      </c>
      <c r="H52" s="88">
        <f>RTD("cqg.rtd",,"ContractData",A52,"NetLastTradeToday",,"T")</f>
        <v>0</v>
      </c>
      <c r="I52" s="47">
        <f>RTD("cqg.rtd", ,"ContractData",A52, "T_CVol")</f>
        <v>13</v>
      </c>
      <c r="J52" s="48"/>
      <c r="K52" s="84"/>
      <c r="L52" s="84"/>
      <c r="M52" s="84"/>
      <c r="N52" s="84"/>
      <c r="O52" s="84"/>
      <c r="P52" s="84"/>
      <c r="Q52" s="84"/>
      <c r="R52" s="85"/>
      <c r="S52" s="54"/>
      <c r="T52" s="54"/>
      <c r="U52" s="54"/>
      <c r="V52" s="98"/>
      <c r="W52" s="54"/>
    </row>
    <row r="53" spans="1:23" ht="15" customHeight="1" x14ac:dyDescent="0.3">
      <c r="A53" s="8" t="str">
        <f>RTD("cqg.rtd",,"ContractData",'NGE2'!J24, "Symbol")</f>
        <v>NGES2N8</v>
      </c>
      <c r="B53" s="87" t="str">
        <f>RIGHT(RTD("cqg.rtd",,"ContractData",A53, "LongDescription"),15)</f>
        <v xml:space="preserve"> Jul 18, Sep 18</v>
      </c>
      <c r="C53" s="120">
        <f>RTD("cqg.rtd", ,"ContractData",A53, "Open",,"T")</f>
        <v>1.4999999999999999E-2</v>
      </c>
      <c r="D53" s="120">
        <f>RTD("cqg.rtd", ,"ContractData",A53, "High",,"T")</f>
        <v>1.6E-2</v>
      </c>
      <c r="E53" s="120">
        <f>RTD("cqg.rtd", ,"ContractData",A53, "Low",,"T")</f>
        <v>1.4999999999999999E-2</v>
      </c>
      <c r="F53" s="120">
        <f>RTD("cqg.rtd", ,"ContractData",A53, "LastTradeorSettle",,"T")</f>
        <v>1.4999999999999999E-2</v>
      </c>
      <c r="G53" s="121">
        <f>RTD("cqg.rtd",,"ContractData",A53,"NetLastTradeToday",,"T")</f>
        <v>0</v>
      </c>
      <c r="H53" s="88">
        <f>RTD("cqg.rtd",,"ContractData",A53,"NetLastTradeToday",,"T")</f>
        <v>0</v>
      </c>
      <c r="I53" s="47">
        <f>RTD("cqg.rtd", ,"ContractData",A53, "T_CVol")</f>
        <v>51</v>
      </c>
      <c r="J53" s="48"/>
      <c r="K53" s="84"/>
      <c r="L53" s="84"/>
      <c r="M53" s="84"/>
      <c r="N53" s="84"/>
      <c r="O53" s="84"/>
      <c r="P53" s="84"/>
      <c r="Q53" s="84"/>
      <c r="R53" s="85"/>
      <c r="S53" s="54"/>
      <c r="T53" s="54"/>
      <c r="U53" s="54"/>
      <c r="V53" s="98"/>
      <c r="W53" s="54"/>
    </row>
    <row r="54" spans="1:23" ht="15" customHeight="1" x14ac:dyDescent="0.3">
      <c r="A54" s="8" t="str">
        <f>RTD("cqg.rtd",,"ContractData",'NGE2'!J25, "Symbol")</f>
        <v>NGES2Q8</v>
      </c>
      <c r="B54" s="87" t="str">
        <f>RIGHT(RTD("cqg.rtd",,"ContractData",A54, "LongDescription"),15)</f>
        <v xml:space="preserve"> Aug 18, Oct 18</v>
      </c>
      <c r="C54" s="120">
        <f>RTD("cqg.rtd", ,"ContractData",A54, "Open",,"T")</f>
        <v>-5.0000000000000001E-3</v>
      </c>
      <c r="D54" s="120">
        <f>RTD("cqg.rtd", ,"ContractData",A54, "High",,"T")</f>
        <v>-5.0000000000000001E-3</v>
      </c>
      <c r="E54" s="120">
        <f>RTD("cqg.rtd", ,"ContractData",A54, "Low",,"T")</f>
        <v>-6.0000000000000001E-3</v>
      </c>
      <c r="F54" s="120">
        <f>RTD("cqg.rtd", ,"ContractData",A54, "LastTradeorSettle",,"T")</f>
        <v>-5.0000000000000001E-3</v>
      </c>
      <c r="G54" s="121">
        <f>RTD("cqg.rtd",,"ContractData",A54,"NetLastTradeToday",,"T")</f>
        <v>0</v>
      </c>
      <c r="H54" s="88">
        <f>RTD("cqg.rtd",,"ContractData",A54,"NetLastTradeToday",,"T")</f>
        <v>0</v>
      </c>
      <c r="I54" s="47">
        <f>RTD("cqg.rtd", ,"ContractData",A54, "T_CVol")</f>
        <v>31</v>
      </c>
      <c r="J54" s="48"/>
      <c r="K54" s="84"/>
      <c r="L54" s="84"/>
      <c r="M54" s="84"/>
      <c r="N54" s="84"/>
      <c r="O54" s="84"/>
      <c r="P54" s="84"/>
      <c r="Q54" s="84"/>
      <c r="R54" s="85"/>
      <c r="S54" s="54"/>
      <c r="T54" s="54"/>
      <c r="U54" s="54"/>
      <c r="V54" s="98"/>
      <c r="W54" s="54"/>
    </row>
    <row r="55" spans="1:23" ht="15" customHeight="1" x14ac:dyDescent="0.3">
      <c r="A55" s="8" t="str">
        <f>RTD("cqg.rtd",,"ContractData",'NGE2'!J26, "Symbol")</f>
        <v>NGES2U8</v>
      </c>
      <c r="B55" s="87" t="str">
        <f>RIGHT(RTD("cqg.rtd",,"ContractData",A55, "LongDescription"),15)</f>
        <v xml:space="preserve"> Sep 18, Nov 18</v>
      </c>
      <c r="C55" s="120" t="str">
        <f>RTD("cqg.rtd", ,"ContractData",A55, "Open",,"T")</f>
        <v/>
      </c>
      <c r="D55" s="120" t="str">
        <f>RTD("cqg.rtd", ,"ContractData",A55, "High",,"T")</f>
        <v/>
      </c>
      <c r="E55" s="120" t="str">
        <f>RTD("cqg.rtd", ,"ContractData",A55, "Low",,"T")</f>
        <v/>
      </c>
      <c r="F55" s="120" t="str">
        <f>RTD("cqg.rtd", ,"ContractData",A55, "LastTradeorSettle",,"T")</f>
        <v/>
      </c>
      <c r="G55" s="121" t="str">
        <f>RTD("cqg.rtd",,"ContractData",A55,"NetLastTradeToday",,"T")</f>
        <v/>
      </c>
      <c r="H55" s="88" t="str">
        <f>RTD("cqg.rtd",,"ContractData",A55,"NetLastTradeToday",,"T")</f>
        <v/>
      </c>
      <c r="I55" s="47">
        <f>RTD("cqg.rtd", ,"ContractData",A55, "T_CVol")</f>
        <v>0</v>
      </c>
      <c r="J55" s="48"/>
      <c r="K55" s="84"/>
      <c r="L55" s="84"/>
      <c r="M55" s="84"/>
      <c r="N55" s="84"/>
      <c r="O55" s="84"/>
      <c r="P55" s="84"/>
      <c r="Q55" s="84"/>
      <c r="R55" s="85"/>
      <c r="S55" s="54"/>
      <c r="T55" s="54"/>
      <c r="U55" s="54"/>
      <c r="V55" s="98"/>
      <c r="W55" s="54"/>
    </row>
    <row r="56" spans="1:23" ht="15" customHeight="1" x14ac:dyDescent="0.3">
      <c r="A56" s="8" t="str">
        <f>RTD("cqg.rtd",,"ContractData",'NGE2'!J27, "Symbol")</f>
        <v>NGES2V8</v>
      </c>
      <c r="B56" s="87" t="str">
        <f>RIGHT(RTD("cqg.rtd",,"ContractData",A56, "LongDescription"),15)</f>
        <v xml:space="preserve"> Oct 18, Dec 18</v>
      </c>
      <c r="C56" s="120">
        <f>RTD("cqg.rtd", ,"ContractData",A56, "Open",,"T")</f>
        <v>-0.19</v>
      </c>
      <c r="D56" s="120">
        <f>RTD("cqg.rtd", ,"ContractData",A56, "High",,"T")</f>
        <v>-0.19</v>
      </c>
      <c r="E56" s="120">
        <f>RTD("cqg.rtd", ,"ContractData",A56, "Low",,"T")</f>
        <v>-0.19</v>
      </c>
      <c r="F56" s="120">
        <f>RTD("cqg.rtd", ,"ContractData",A56, "LastTradeorSettle",,"T")</f>
        <v>-0.19</v>
      </c>
      <c r="G56" s="121">
        <f>RTD("cqg.rtd",,"ContractData",A56,"NetLastTradeToday",,"T")</f>
        <v>0</v>
      </c>
      <c r="H56" s="88">
        <f>RTD("cqg.rtd",,"ContractData",A56,"NetLastTradeToday",,"T")</f>
        <v>0</v>
      </c>
      <c r="I56" s="91">
        <f>RTD("cqg.rtd", ,"ContractData",A56, "T_CVol")</f>
        <v>3</v>
      </c>
      <c r="J56" s="48"/>
      <c r="K56" s="84"/>
      <c r="L56" s="84"/>
      <c r="M56" s="84"/>
      <c r="N56" s="84"/>
      <c r="O56" s="84"/>
      <c r="P56" s="84"/>
      <c r="Q56" s="84"/>
      <c r="R56" s="85"/>
      <c r="S56" s="54"/>
      <c r="T56" s="54"/>
      <c r="U56" s="54"/>
      <c r="V56" s="98"/>
      <c r="W56" s="54"/>
    </row>
    <row r="57" spans="1:23" ht="12" customHeight="1" x14ac:dyDescent="0.3">
      <c r="B57" s="305"/>
      <c r="C57" s="306"/>
      <c r="D57" s="61"/>
      <c r="E57" s="62"/>
      <c r="F57" s="63"/>
      <c r="G57" s="62"/>
      <c r="H57" s="64"/>
      <c r="I57" s="62"/>
      <c r="J57" s="65"/>
      <c r="K57" s="84"/>
      <c r="L57" s="84"/>
      <c r="M57" s="84"/>
      <c r="N57" s="84"/>
      <c r="O57" s="84"/>
      <c r="P57" s="84"/>
      <c r="Q57" s="84"/>
      <c r="R57" s="85"/>
      <c r="S57" s="54"/>
      <c r="T57" s="54"/>
      <c r="U57" s="54"/>
      <c r="V57" s="98"/>
      <c r="W57" s="54"/>
    </row>
    <row r="58" spans="1:23" ht="15" customHeight="1" x14ac:dyDescent="0.2">
      <c r="B58" s="301" t="s">
        <v>18</v>
      </c>
      <c r="C58" s="302"/>
      <c r="D58" s="302"/>
      <c r="E58" s="302"/>
      <c r="F58" s="302"/>
      <c r="G58" s="302"/>
      <c r="H58" s="302"/>
      <c r="I58" s="302"/>
      <c r="J58" s="70"/>
      <c r="K58" s="71" t="str">
        <f>B61</f>
        <v xml:space="preserve"> Nov 17, Feb 18</v>
      </c>
      <c r="L58" s="96" t="str">
        <f>B62</f>
        <v xml:space="preserve"> Dec 17, Mar 18</v>
      </c>
      <c r="M58" s="96" t="str">
        <f>B63</f>
        <v xml:space="preserve"> Jan 18, Apr 18</v>
      </c>
      <c r="N58" s="96" t="str">
        <f>B64</f>
        <v xml:space="preserve"> Feb 18, May 18</v>
      </c>
      <c r="O58" s="96" t="str">
        <f>B65</f>
        <v xml:space="preserve"> Mar 18, Jun 18</v>
      </c>
      <c r="P58" s="96" t="str">
        <f>B66</f>
        <v xml:space="preserve"> Apr 18, Jul 18</v>
      </c>
      <c r="Q58" s="96" t="str">
        <f>B67</f>
        <v xml:space="preserve"> May 18, Aug 18</v>
      </c>
      <c r="R58" s="96" t="str">
        <f>B68</f>
        <v xml:space="preserve"> Jun 18, Sep 18</v>
      </c>
      <c r="S58" s="96" t="str">
        <f>B69</f>
        <v xml:space="preserve"> Jul 18, Oct 18</v>
      </c>
      <c r="T58" s="96" t="str">
        <f>B70</f>
        <v xml:space="preserve"> Aug 18, Nov 18</v>
      </c>
      <c r="U58" s="96" t="str">
        <f>B71</f>
        <v xml:space="preserve"> Sep 18, Dec 18</v>
      </c>
      <c r="V58" s="96" t="str">
        <f>B72</f>
        <v xml:space="preserve"> Oct 18, Jan 19</v>
      </c>
      <c r="W58" s="54"/>
    </row>
    <row r="59" spans="1:23" ht="15" customHeight="1" x14ac:dyDescent="0.3">
      <c r="B59" s="303"/>
      <c r="C59" s="304"/>
      <c r="D59" s="304"/>
      <c r="E59" s="304"/>
      <c r="F59" s="304"/>
      <c r="G59" s="304"/>
      <c r="H59" s="304"/>
      <c r="I59" s="304"/>
      <c r="J59" s="70"/>
      <c r="K59" s="73" t="str">
        <f>TEXT(RTD("cqg.rtd",,"ContractData",A61,"Ask",,"T"),"#.000")&amp;" "&amp;"A"</f>
        <v>-.305 A</v>
      </c>
      <c r="L59" s="23" t="str">
        <f>TEXT(RTD("cqg.rtd",,"ContractData",A62,"Ask",,"T"),"#.000")&amp;" "&amp;"A"</f>
        <v>-.092 A</v>
      </c>
      <c r="M59" s="24" t="str">
        <f>TEXT(RTD("cqg.rtd",,"ContractData",A63,"Ask",,"T"),"#.000")&amp;" "&amp;"A"</f>
        <v>.272 A</v>
      </c>
      <c r="N59" s="24" t="str">
        <f>TEXT(RTD("cqg.rtd",,"ContractData",A64,"Ask",,"T"),"#.000")&amp;" "&amp;"A"</f>
        <v>.302 A</v>
      </c>
      <c r="O59" s="24" t="str">
        <f>TEXT(RTD("cqg.rtd",,"ContractData",A65,"Ask",,"T"),"#.000")&amp;" "&amp;"A"</f>
        <v>.234 A</v>
      </c>
      <c r="P59" s="24" t="str">
        <f>TEXT(RTD("cqg.rtd",,"ContractData",A66,"Ask",,"T"),"#.000")&amp;" "&amp;"A"</f>
        <v>-.032 A</v>
      </c>
      <c r="Q59" s="24" t="str">
        <f>TEXT(RTD("cqg.rtd",,"ContractData",A67,"Ask",,"T"),"#.000")&amp;" "&amp;"A"</f>
        <v>-.059 A</v>
      </c>
      <c r="R59" s="24" t="str">
        <f>TEXT(RTD("cqg.rtd",,"ContractData",A68,"Ask",,"T"),"#.000")&amp;" "&amp;"A"</f>
        <v>-.012 A</v>
      </c>
      <c r="S59" s="24" t="str">
        <f>TEXT(RTD("cqg.rtd",,"ContractData",A69,"Ask",,"T"),"#.000")&amp;" "&amp;"A"</f>
        <v>-.007 A</v>
      </c>
      <c r="T59" s="24" t="str">
        <f>TEXT(RTD("cqg.rtd",,"ContractData",A70,"Ask",,"T"),"#.000")&amp;" "&amp;"A"</f>
        <v>-.057 A</v>
      </c>
      <c r="U59" s="24" t="str">
        <f>TEXT(RTD("cqg.rtd",,"ContractData",A71,"Ask",,"T"),"#.000")&amp;" "&amp;"A"</f>
        <v>-.211 A</v>
      </c>
      <c r="V59" s="24" t="str">
        <f>TEXT(RTD("cqg.rtd",,"ContractData",A72,"Ask",,"T"),"#.000")&amp;" "&amp;"A"</f>
        <v>-.274 A</v>
      </c>
      <c r="W59" s="54"/>
    </row>
    <row r="60" spans="1:23" ht="15" customHeight="1" x14ac:dyDescent="0.3">
      <c r="B60" s="74" t="s">
        <v>16</v>
      </c>
      <c r="C60" s="37" t="s">
        <v>9</v>
      </c>
      <c r="D60" s="37" t="s">
        <v>10</v>
      </c>
      <c r="E60" s="37" t="s">
        <v>11</v>
      </c>
      <c r="F60" s="37" t="s">
        <v>8</v>
      </c>
      <c r="G60" s="37" t="s">
        <v>12</v>
      </c>
      <c r="H60" s="37" t="s">
        <v>12</v>
      </c>
      <c r="I60" s="75" t="s">
        <v>13</v>
      </c>
      <c r="J60" s="76"/>
      <c r="K60" s="77" t="str">
        <f>TEXT(RTD("cqg.rtd",,"ContractData",A61,"Bid",,"T"),"#.000")&amp;" "&amp;"B"</f>
        <v>-.306 B</v>
      </c>
      <c r="L60" s="23" t="str">
        <f>TEXT(RTD("cqg.rtd",,"ContractData",A62,"Bid",,"T"),"#.000")&amp;" "&amp;"B"</f>
        <v>-.093 B</v>
      </c>
      <c r="M60" s="24" t="str">
        <f>TEXT(RTD("cqg.rtd",,"ContractData",A63,"Bid",,"T"),"#.000")&amp;" "&amp;"B"</f>
        <v>.271 B</v>
      </c>
      <c r="N60" s="24" t="str">
        <f>TEXT(RTD("cqg.rtd",,"ContractData",A64,"Bid",,"T"),"#.000")&amp;" "&amp;"B"</f>
        <v>.300 B</v>
      </c>
      <c r="O60" s="24" t="str">
        <f>TEXT(RTD("cqg.rtd",,"ContractData",A65,"Bid",,"T"),"#.000")&amp;" "&amp;"B"</f>
        <v>.231 B</v>
      </c>
      <c r="P60" s="24" t="str">
        <f>TEXT(RTD("cqg.rtd",,"ContractData",A66,"Bid",,"T"),"#.000")&amp;" "&amp;"B"</f>
        <v>-.033 B</v>
      </c>
      <c r="Q60" s="24" t="str">
        <f>TEXT(RTD("cqg.rtd",,"ContractData",A67,"Bid",,"T"),"#.000")&amp;" "&amp;"B"</f>
        <v>-.060 B</v>
      </c>
      <c r="R60" s="24" t="str">
        <f>TEXT(RTD("cqg.rtd",,"ContractData",A68,"Bid",,"T"),"#.000")&amp;" "&amp;"B"</f>
        <v>-.014 B</v>
      </c>
      <c r="S60" s="24" t="str">
        <f>TEXT(RTD("cqg.rtd",,"ContractData",A69,"Bid",,"T"),"#.000")&amp;" "&amp;"B"</f>
        <v>-.009 B</v>
      </c>
      <c r="T60" s="24" t="str">
        <f>TEXT(RTD("cqg.rtd",,"ContractData",A70,"Bid",,"T"),"#.000")&amp;" "&amp;"B"</f>
        <v>-.060 B</v>
      </c>
      <c r="U60" s="24" t="str">
        <f>TEXT(RTD("cqg.rtd",,"ContractData",A71,"Bid",,"T"),"#.000")&amp;" "&amp;"B"</f>
        <v>-.214 B</v>
      </c>
      <c r="V60" s="24" t="str">
        <f>TEXT(RTD("cqg.rtd",,"ContractData",A72,"Bid",,"T"),"#.000")&amp;" "&amp;"B"</f>
        <v>-.275 B</v>
      </c>
      <c r="W60" s="54"/>
    </row>
    <row r="61" spans="1:23" ht="15" customHeight="1" x14ac:dyDescent="0.3">
      <c r="A61" s="8" t="str">
        <f>RTD("cqg.rtd",,"ContractData",'NGE3'!J16, "Symbol")</f>
        <v>NGES3X7</v>
      </c>
      <c r="B61" s="78" t="str">
        <f>RIGHT(RTD("cqg.rtd",,"ContractData",A61, "LongDescription"),15)</f>
        <v xml:space="preserve"> Nov 17, Feb 18</v>
      </c>
      <c r="C61" s="118">
        <f>RTD("cqg.rtd", ,"ContractData",A61, "Open",,"T")</f>
        <v>-0.311</v>
      </c>
      <c r="D61" s="118">
        <f>RTD("cqg.rtd", ,"ContractData",A61, "High",,"T")</f>
        <v>-0.3</v>
      </c>
      <c r="E61" s="118">
        <f>RTD("cqg.rtd", ,"ContractData",A61, "Low",,"T")</f>
        <v>-0.311</v>
      </c>
      <c r="F61" s="118">
        <f>RTD("cqg.rtd", ,"ContractData",A61, "LastTradeorSettle",,"T")</f>
        <v>-0.30599999999999999</v>
      </c>
      <c r="G61" s="119">
        <f>RTD("cqg.rtd",,"ContractData",A61,"NetLastTradeToday",,"T")</f>
        <v>6.0000000000000001E-3</v>
      </c>
      <c r="H61" s="46">
        <f>RTD("cqg.rtd",,"ContractData",A61,"NetLastTradeToday",,"T")</f>
        <v>6.0000000000000001E-3</v>
      </c>
      <c r="I61" s="47">
        <f>RTD("cqg.rtd", ,"ContractData",A61, "T_CVol")</f>
        <v>1576</v>
      </c>
      <c r="J61" s="48"/>
      <c r="K61" s="79" t="str">
        <f>TEXT(RTD("cqg.rtd",,"StudyData",A61,  "Bar",, "Close", "D",,,,,,"T"),"#.000")&amp;" "&amp;"L"</f>
        <v>-.306 L</v>
      </c>
      <c r="L61" s="23" t="str">
        <f>TEXT(RTD("cqg.rtd",,"StudyData",A62,  "Bar",, "Close", "D",,,,,,"T"),"#.000")&amp;" "&amp;"L"</f>
        <v>-.092 L</v>
      </c>
      <c r="M61" s="24" t="str">
        <f>TEXT(RTD("cqg.rtd",,"StudyData",A63,  "Bar",, "Close", "D",,,,,,"T"),"#.000")&amp;" "&amp;"L"</f>
        <v>.272 L</v>
      </c>
      <c r="N61" s="24" t="str">
        <f>TEXT(RTD("cqg.rtd",,"StudyData",A64,  "Bar",, "Close", "D",,,,,,"T"),"#.000")&amp;" "&amp;"L"</f>
        <v>.301 L</v>
      </c>
      <c r="O61" s="24" t="str">
        <f>TEXT(RTD("cqg.rtd",,"StudyData",A65,  "Bar",, "Close", "D",,,,,,"T"),"#.000")&amp;" "&amp;"L"</f>
        <v>.233 L</v>
      </c>
      <c r="P61" s="24" t="str">
        <f>TEXT(RTD("cqg.rtd",,"StudyData",A66,  "Bar",, "Close", "D",,,,,,"T"),"#.000")&amp;" "&amp;"L"</f>
        <v>-.033 L</v>
      </c>
      <c r="Q61" s="24" t="str">
        <f>TEXT(RTD("cqg.rtd",,"StudyData",A67,  "Bar",, "Close", "D",,,,,,"T"),"#.000")&amp;" "&amp;"L"</f>
        <v>-.060 L</v>
      </c>
      <c r="R61" s="24" t="str">
        <f>TEXT(RTD("cqg.rtd",,"StudyData",A68,  "Bar",, "Close", "D",,,,,,"T"),"#.000")&amp;" "&amp;"L"</f>
        <v>-.013 L</v>
      </c>
      <c r="S61" s="24" t="str">
        <f>TEXT(RTD("cqg.rtd",,"StudyData",A69,  "Bar",, "Close", "D",,,,,,"T"),"#.000")&amp;" "&amp;"L"</f>
        <v xml:space="preserve"> L</v>
      </c>
      <c r="T61" s="24" t="str">
        <f>TEXT(RTD("cqg.rtd",,"StudyData",A70,  "Bar",, "Close", "D",,,,,,"T"),"#.000")&amp;" "&amp;"L"</f>
        <v xml:space="preserve"> L</v>
      </c>
      <c r="U61" s="24" t="str">
        <f>TEXT(RTD("cqg.rtd",,"StudyData",A71,  "Bar",, "Close", "D",,,,,,"T"),"#.000")&amp;" "&amp;"L"</f>
        <v>-.211 L</v>
      </c>
      <c r="V61" s="24" t="str">
        <f>TEXT(RTD("cqg.rtd",,"StudyData",A72,  "Bar",, "Close", "D",,,,,,"T"),"#.000")&amp;" "&amp;"L"</f>
        <v>-.275 L</v>
      </c>
      <c r="W61" s="54"/>
    </row>
    <row r="62" spans="1:23" ht="15" customHeight="1" x14ac:dyDescent="0.3">
      <c r="A62" s="8" t="str">
        <f>RTD("cqg.rtd",,"ContractData",'NGE3'!J17, "Symbol")</f>
        <v>NGES3Z7</v>
      </c>
      <c r="B62" s="78" t="str">
        <f>RIGHT(RTD("cqg.rtd",,"ContractData",A62, "LongDescription"),15)</f>
        <v xml:space="preserve"> Dec 17, Mar 18</v>
      </c>
      <c r="C62" s="118">
        <f>RTD("cqg.rtd", ,"ContractData",A62, "Open",,"T")</f>
        <v>-8.7000000000000008E-2</v>
      </c>
      <c r="D62" s="118">
        <f>RTD("cqg.rtd", ,"ContractData",A62, "High",,"T")</f>
        <v>-8.6000000000000007E-2</v>
      </c>
      <c r="E62" s="118">
        <f>RTD("cqg.rtd", ,"ContractData",A62, "Low",,"T")</f>
        <v>-9.2999999999999999E-2</v>
      </c>
      <c r="F62" s="118">
        <f>RTD("cqg.rtd", ,"ContractData",A62, "LastTradeorSettle",,"T")</f>
        <v>-9.1999999999999998E-2</v>
      </c>
      <c r="G62" s="119">
        <f>RTD("cqg.rtd",,"ContractData",A62,"NetLastTradeToday",,"T")</f>
        <v>-2E-3</v>
      </c>
      <c r="H62" s="46">
        <f>RTD("cqg.rtd",,"ContractData",A62,"NetLastTradeToday",,"T")</f>
        <v>-2E-3</v>
      </c>
      <c r="I62" s="47">
        <f>RTD("cqg.rtd", ,"ContractData",A62, "T_CVol")</f>
        <v>1464</v>
      </c>
      <c r="J62" s="48"/>
      <c r="K62" s="84"/>
      <c r="L62" s="84"/>
      <c r="M62" s="84"/>
      <c r="N62" s="84"/>
      <c r="O62" s="84"/>
      <c r="P62" s="84"/>
      <c r="Q62" s="84"/>
      <c r="R62" s="85"/>
      <c r="S62" s="54"/>
      <c r="T62" s="54"/>
      <c r="U62" s="54"/>
      <c r="V62" s="98"/>
      <c r="W62" s="54"/>
    </row>
    <row r="63" spans="1:23" ht="15" customHeight="1" x14ac:dyDescent="0.3">
      <c r="A63" s="8" t="str">
        <f>RTD("cqg.rtd",,"ContractData",'NGE3'!J18, "Symbol")</f>
        <v>NGES3F8</v>
      </c>
      <c r="B63" s="78" t="str">
        <f>RIGHT(RTD("cqg.rtd",,"ContractData",A63, "LongDescription"),15)</f>
        <v xml:space="preserve"> Jan 18, Apr 18</v>
      </c>
      <c r="C63" s="118">
        <f>RTD("cqg.rtd", ,"ContractData",A63, "Open",,"T")</f>
        <v>0.28000000000000003</v>
      </c>
      <c r="D63" s="118">
        <f>RTD("cqg.rtd", ,"ContractData",A63, "High",,"T")</f>
        <v>0.28400000000000003</v>
      </c>
      <c r="E63" s="118">
        <f>RTD("cqg.rtd", ,"ContractData",A63, "Low",,"T")</f>
        <v>0.27100000000000002</v>
      </c>
      <c r="F63" s="118">
        <f>RTD("cqg.rtd", ,"ContractData",A63, "LastTradeorSettle",,"T")</f>
        <v>0.27200000000000002</v>
      </c>
      <c r="G63" s="119">
        <f>RTD("cqg.rtd",,"ContractData",A63,"NetLastTradeToday",,"T")</f>
        <v>-1.9E-2</v>
      </c>
      <c r="H63" s="46">
        <f>RTD("cqg.rtd",,"ContractData",A63,"NetLastTradeToday",,"T")</f>
        <v>-1.9E-2</v>
      </c>
      <c r="I63" s="47">
        <f>RTD("cqg.rtd", ,"ContractData",A63, "T_CVol")</f>
        <v>287</v>
      </c>
      <c r="J63" s="48"/>
      <c r="K63" s="84"/>
      <c r="L63" s="84"/>
      <c r="M63" s="84"/>
      <c r="N63" s="84"/>
      <c r="O63" s="84"/>
      <c r="P63" s="84"/>
      <c r="Q63" s="84"/>
      <c r="R63" s="85"/>
      <c r="S63" s="54"/>
      <c r="T63" s="54"/>
      <c r="U63" s="54"/>
      <c r="V63" s="98"/>
      <c r="W63" s="54"/>
    </row>
    <row r="64" spans="1:23" ht="15" customHeight="1" x14ac:dyDescent="0.3">
      <c r="A64" s="8" t="str">
        <f>RTD("cqg.rtd",,"ContractData",'NGE3'!J19, "Symbol")</f>
        <v>NGES3G8</v>
      </c>
      <c r="B64" s="78" t="str">
        <f>RIGHT(RTD("cqg.rtd",,"ContractData",A64, "LongDescription"),15)</f>
        <v xml:space="preserve"> Feb 18, May 18</v>
      </c>
      <c r="C64" s="118">
        <f>RTD("cqg.rtd", ,"ContractData",A64, "Open",,"T")</f>
        <v>0.30299999999999999</v>
      </c>
      <c r="D64" s="118">
        <f>RTD("cqg.rtd", ,"ContractData",A64, "High",,"T")</f>
        <v>0.31</v>
      </c>
      <c r="E64" s="118">
        <f>RTD("cqg.rtd", ,"ContractData",A64, "Low",,"T")</f>
        <v>0.3</v>
      </c>
      <c r="F64" s="118">
        <f>RTD("cqg.rtd", ,"ContractData",A64, "LastTradeorSettle",,"T")</f>
        <v>0.30099999999999999</v>
      </c>
      <c r="G64" s="119">
        <f>RTD("cqg.rtd",,"ContractData",A64,"NetLastTradeToday",,"T")</f>
        <v>-2.3E-2</v>
      </c>
      <c r="H64" s="46">
        <f>RTD("cqg.rtd",,"ContractData",A64,"NetLastTradeToday",,"T")</f>
        <v>-2.3E-2</v>
      </c>
      <c r="I64" s="47">
        <f>RTD("cqg.rtd", ,"ContractData",A64, "T_CVol")</f>
        <v>125</v>
      </c>
      <c r="J64" s="48"/>
      <c r="K64" s="84"/>
      <c r="L64" s="84"/>
      <c r="M64" s="84"/>
      <c r="N64" s="84"/>
      <c r="O64" s="84"/>
      <c r="P64" s="84"/>
      <c r="Q64" s="84"/>
      <c r="R64" s="85"/>
      <c r="S64" s="54"/>
      <c r="T64" s="54"/>
      <c r="U64" s="54"/>
      <c r="V64" s="98"/>
      <c r="W64" s="54"/>
    </row>
    <row r="65" spans="1:23" ht="15" customHeight="1" x14ac:dyDescent="0.3">
      <c r="A65" s="8" t="str">
        <f>RTD("cqg.rtd",,"ContractData",'NGE3'!J20, "Symbol")</f>
        <v>NGES3H8</v>
      </c>
      <c r="B65" s="78" t="str">
        <f>RIGHT(RTD("cqg.rtd",,"ContractData",A65, "LongDescription"),15)</f>
        <v xml:space="preserve"> Mar 18, Jun 18</v>
      </c>
      <c r="C65" s="118">
        <f>RTD("cqg.rtd", ,"ContractData",A65, "Open",,"T")</f>
        <v>0.24199999999999999</v>
      </c>
      <c r="D65" s="118">
        <f>RTD("cqg.rtd", ,"ContractData",A65, "High",,"T")</f>
        <v>0.24199999999999999</v>
      </c>
      <c r="E65" s="118">
        <f>RTD("cqg.rtd", ,"ContractData",A65, "Low",,"T")</f>
        <v>0.23300000000000001</v>
      </c>
      <c r="F65" s="118">
        <f>RTD("cqg.rtd", ,"ContractData",A65, "LastTradeorSettle",,"T")</f>
        <v>0.23300000000000001</v>
      </c>
      <c r="G65" s="119">
        <f>RTD("cqg.rtd",,"ContractData",A65,"NetLastTradeToday",,"T")</f>
        <v>-2.1000000000000001E-2</v>
      </c>
      <c r="H65" s="46">
        <f>RTD("cqg.rtd",,"ContractData",A65,"NetLastTradeToday",,"T")</f>
        <v>-2.1000000000000001E-2</v>
      </c>
      <c r="I65" s="47">
        <f>RTD("cqg.rtd", ,"ContractData",A65, "T_CVol")</f>
        <v>3</v>
      </c>
      <c r="J65" s="48"/>
      <c r="K65" s="84"/>
      <c r="L65" s="84"/>
      <c r="M65" s="84"/>
      <c r="N65" s="84"/>
      <c r="O65" s="84"/>
      <c r="P65" s="84"/>
      <c r="Q65" s="84"/>
      <c r="R65" s="85"/>
      <c r="S65" s="54"/>
      <c r="T65" s="54"/>
      <c r="U65" s="54"/>
      <c r="V65" s="98"/>
      <c r="W65" s="54"/>
    </row>
    <row r="66" spans="1:23" ht="15" customHeight="1" x14ac:dyDescent="0.3">
      <c r="A66" s="8" t="str">
        <f>RTD("cqg.rtd",,"ContractData",'NGE3'!J21, "Symbol")</f>
        <v>NGES3J8</v>
      </c>
      <c r="B66" s="87" t="str">
        <f>RIGHT(RTD("cqg.rtd",,"ContractData",A66, "LongDescription"),15)</f>
        <v xml:space="preserve"> Apr 18, Jul 18</v>
      </c>
      <c r="C66" s="120">
        <f>RTD("cqg.rtd", ,"ContractData",A66, "Open",,"T")</f>
        <v>-0.03</v>
      </c>
      <c r="D66" s="120">
        <f>RTD("cqg.rtd", ,"ContractData",A66, "High",,"T")</f>
        <v>-0.03</v>
      </c>
      <c r="E66" s="120">
        <f>RTD("cqg.rtd", ,"ContractData",A66, "Low",,"T")</f>
        <v>-3.3000000000000002E-2</v>
      </c>
      <c r="F66" s="120">
        <f>RTD("cqg.rtd", ,"ContractData",A66, "LastTradeorSettle",,"T")</f>
        <v>-3.3000000000000002E-2</v>
      </c>
      <c r="G66" s="119">
        <f>RTD("cqg.rtd",,"ContractData",A66,"NetLastTradeToday",,"T")</f>
        <v>-6.0000000000000001E-3</v>
      </c>
      <c r="H66" s="88">
        <f>RTD("cqg.rtd",,"ContractData",A66,"NetLastTradeToday",,"T")</f>
        <v>-6.0000000000000001E-3</v>
      </c>
      <c r="I66" s="47">
        <f>RTD("cqg.rtd", ,"ContractData",A66, "T_CVol")</f>
        <v>202</v>
      </c>
      <c r="J66" s="48"/>
      <c r="K66" s="84"/>
      <c r="L66" s="84"/>
      <c r="M66" s="84"/>
      <c r="N66" s="84"/>
      <c r="O66" s="84"/>
      <c r="P66" s="84"/>
      <c r="Q66" s="84"/>
      <c r="R66" s="85"/>
      <c r="S66" s="54"/>
      <c r="T66" s="54"/>
      <c r="U66" s="54"/>
      <c r="V66" s="98"/>
      <c r="W66" s="54"/>
    </row>
    <row r="67" spans="1:23" ht="15" customHeight="1" x14ac:dyDescent="0.3">
      <c r="A67" s="8" t="str">
        <f>RTD("cqg.rtd",,"ContractData",'NGE3'!J22, "Symbol")</f>
        <v>NGES3K8</v>
      </c>
      <c r="B67" s="87" t="str">
        <f>RIGHT(RTD("cqg.rtd",,"ContractData",A67, "LongDescription"),15)</f>
        <v xml:space="preserve"> May 18, Aug 18</v>
      </c>
      <c r="C67" s="120">
        <f>RTD("cqg.rtd", ,"ContractData",A67, "Open",,"T")</f>
        <v>-5.8000000000000003E-2</v>
      </c>
      <c r="D67" s="120">
        <f>RTD("cqg.rtd", ,"ContractData",A67, "High",,"T")</f>
        <v>-5.8000000000000003E-2</v>
      </c>
      <c r="E67" s="120">
        <f>RTD("cqg.rtd", ,"ContractData",A67, "Low",,"T")</f>
        <v>-0.06</v>
      </c>
      <c r="F67" s="120">
        <f>RTD("cqg.rtd", ,"ContractData",A67, "LastTradeorSettle",,"T")</f>
        <v>-0.06</v>
      </c>
      <c r="G67" s="121">
        <f>RTD("cqg.rtd",,"ContractData",A67,"NetLastTradeToday",,"T")</f>
        <v>-2E-3</v>
      </c>
      <c r="H67" s="88">
        <f>RTD("cqg.rtd",,"ContractData",A67,"NetLastTradeToday",,"T")</f>
        <v>-2E-3</v>
      </c>
      <c r="I67" s="47">
        <f>RTD("cqg.rtd", ,"ContractData",A67, "T_CVol")</f>
        <v>30</v>
      </c>
      <c r="J67" s="48"/>
      <c r="K67" s="84"/>
      <c r="L67" s="84"/>
      <c r="M67" s="84"/>
      <c r="N67" s="84"/>
      <c r="O67" s="84"/>
      <c r="P67" s="84"/>
      <c r="Q67" s="84"/>
      <c r="R67" s="85"/>
      <c r="S67" s="54"/>
      <c r="T67" s="54"/>
      <c r="U67" s="54"/>
      <c r="V67" s="98"/>
      <c r="W67" s="54"/>
    </row>
    <row r="68" spans="1:23" ht="15" customHeight="1" x14ac:dyDescent="0.3">
      <c r="A68" s="8" t="str">
        <f>RTD("cqg.rtd",,"ContractData",'NGE3'!J23, "Symbol")</f>
        <v>NGES3M8</v>
      </c>
      <c r="B68" s="87" t="str">
        <f>RIGHT(RTD("cqg.rtd",,"ContractData",A68, "LongDescription"),15)</f>
        <v xml:space="preserve"> Jun 18, Sep 18</v>
      </c>
      <c r="C68" s="120">
        <f>RTD("cqg.rtd", ,"ContractData",A68, "Open",,"T")</f>
        <v>-1.2E-2</v>
      </c>
      <c r="D68" s="120">
        <f>RTD("cqg.rtd", ,"ContractData",A68, "High",,"T")</f>
        <v>-1.2E-2</v>
      </c>
      <c r="E68" s="120">
        <f>RTD("cqg.rtd", ,"ContractData",A68, "Low",,"T")</f>
        <v>-1.3000000000000001E-2</v>
      </c>
      <c r="F68" s="120">
        <f>RTD("cqg.rtd", ,"ContractData",A68, "LastTradeorSettle",,"T")</f>
        <v>-1.3000000000000001E-2</v>
      </c>
      <c r="G68" s="119">
        <f>RTD("cqg.rtd",,"ContractData",A68,"NetLastTradeToday",,"T")</f>
        <v>-1E-3</v>
      </c>
      <c r="H68" s="88">
        <f>RTD("cqg.rtd",,"ContractData",A68,"NetLastTradeToday",,"T")</f>
        <v>-1E-3</v>
      </c>
      <c r="I68" s="47">
        <f>RTD("cqg.rtd", ,"ContractData",A68, "T_CVol")</f>
        <v>4</v>
      </c>
      <c r="J68" s="48"/>
      <c r="K68" s="84"/>
      <c r="L68" s="84"/>
      <c r="M68" s="84"/>
      <c r="N68" s="84"/>
      <c r="O68" s="84"/>
      <c r="P68" s="84"/>
      <c r="Q68" s="84"/>
      <c r="R68" s="85"/>
      <c r="S68" s="54"/>
      <c r="T68" s="54"/>
      <c r="U68" s="54"/>
      <c r="V68" s="98"/>
      <c r="W68" s="54"/>
    </row>
    <row r="69" spans="1:23" ht="15" customHeight="1" x14ac:dyDescent="0.3">
      <c r="A69" s="8" t="str">
        <f>RTD("cqg.rtd",,"ContractData",'NGE3'!J24, "Symbol")</f>
        <v>NGES3N8</v>
      </c>
      <c r="B69" s="87" t="str">
        <f>RIGHT(RTD("cqg.rtd",,"ContractData",A69, "LongDescription"),15)</f>
        <v xml:space="preserve"> Jul 18, Oct 18</v>
      </c>
      <c r="C69" s="120" t="str">
        <f>RTD("cqg.rtd", ,"ContractData",A69, "Open",,"T")</f>
        <v/>
      </c>
      <c r="D69" s="120" t="str">
        <f>RTD("cqg.rtd", ,"ContractData",A69, "High",,"T")</f>
        <v/>
      </c>
      <c r="E69" s="120" t="str">
        <f>RTD("cqg.rtd", ,"ContractData",A69, "Low",,"T")</f>
        <v/>
      </c>
      <c r="F69" s="120" t="str">
        <f>RTD("cqg.rtd", ,"ContractData",A69, "LastTradeorSettle",,"T")</f>
        <v/>
      </c>
      <c r="G69" s="121" t="str">
        <f>RTD("cqg.rtd",,"ContractData",A69,"NetLastTradeToday",,"T")</f>
        <v/>
      </c>
      <c r="H69" s="88" t="str">
        <f>RTD("cqg.rtd",,"ContractData",A69,"NetLastTradeToday",,"T")</f>
        <v/>
      </c>
      <c r="I69" s="47">
        <f>RTD("cqg.rtd", ,"ContractData",A69, "T_CVol")</f>
        <v>0</v>
      </c>
      <c r="J69" s="48"/>
      <c r="K69" s="84"/>
      <c r="L69" s="84"/>
      <c r="M69" s="84"/>
      <c r="N69" s="84"/>
      <c r="O69" s="84"/>
      <c r="P69" s="84"/>
      <c r="Q69" s="84"/>
      <c r="R69" s="85"/>
      <c r="S69" s="54"/>
      <c r="T69" s="54"/>
      <c r="U69" s="54"/>
      <c r="V69" s="98"/>
      <c r="W69" s="54"/>
    </row>
    <row r="70" spans="1:23" ht="15" customHeight="1" x14ac:dyDescent="0.3">
      <c r="A70" s="8" t="str">
        <f>RTD("cqg.rtd",,"ContractData",'NGE3'!J25, "Symbol")</f>
        <v>NGES3Q8</v>
      </c>
      <c r="B70" s="87" t="str">
        <f>RIGHT(RTD("cqg.rtd",,"ContractData",A70, "LongDescription"),15)</f>
        <v xml:space="preserve"> Aug 18, Nov 18</v>
      </c>
      <c r="C70" s="120" t="str">
        <f>RTD("cqg.rtd", ,"ContractData",A70, "Open",,"T")</f>
        <v/>
      </c>
      <c r="D70" s="120" t="str">
        <f>RTD("cqg.rtd", ,"ContractData",A70, "High",,"T")</f>
        <v/>
      </c>
      <c r="E70" s="120" t="str">
        <f>RTD("cqg.rtd", ,"ContractData",A70, "Low",,"T")</f>
        <v/>
      </c>
      <c r="F70" s="120" t="str">
        <f>RTD("cqg.rtd", ,"ContractData",A70, "LastTradeorSettle",,"T")</f>
        <v/>
      </c>
      <c r="G70" s="121" t="str">
        <f>RTD("cqg.rtd",,"ContractData",A70,"NetLastTradeToday",,"T")</f>
        <v/>
      </c>
      <c r="H70" s="88" t="str">
        <f>RTD("cqg.rtd",,"ContractData",A70,"NetLastTradeToday",,"T")</f>
        <v/>
      </c>
      <c r="I70" s="47">
        <f>RTD("cqg.rtd", ,"ContractData",A70, "T_CVol")</f>
        <v>0</v>
      </c>
      <c r="J70" s="48"/>
      <c r="K70" s="84"/>
      <c r="L70" s="84"/>
      <c r="M70" s="84"/>
      <c r="N70" s="84"/>
      <c r="O70" s="84"/>
      <c r="P70" s="84"/>
      <c r="Q70" s="84"/>
      <c r="R70" s="85"/>
      <c r="S70" s="54"/>
      <c r="T70" s="54"/>
      <c r="U70" s="54"/>
      <c r="V70" s="98"/>
      <c r="W70" s="54"/>
    </row>
    <row r="71" spans="1:23" ht="15" customHeight="1" x14ac:dyDescent="0.3">
      <c r="A71" s="8" t="str">
        <f>RTD("cqg.rtd",,"ContractData",'NGE3'!J26, "Symbol")</f>
        <v>NGES3U8</v>
      </c>
      <c r="B71" s="87" t="str">
        <f>RIGHT(RTD("cqg.rtd",,"ContractData",A71, "LongDescription"),15)</f>
        <v xml:space="preserve"> Sep 18, Dec 18</v>
      </c>
      <c r="C71" s="120">
        <f>RTD("cqg.rtd", ,"ContractData",A71, "Open",,"T")</f>
        <v>-0.21099999999999999</v>
      </c>
      <c r="D71" s="120">
        <f>RTD("cqg.rtd", ,"ContractData",A71, "High",,"T")</f>
        <v>-0.21099999999999999</v>
      </c>
      <c r="E71" s="120">
        <f>RTD("cqg.rtd", ,"ContractData",A71, "Low",,"T")</f>
        <v>-0.21099999999999999</v>
      </c>
      <c r="F71" s="120">
        <f>RTD("cqg.rtd", ,"ContractData",A71, "LastTradeorSettle",,"T")</f>
        <v>-0.21099999999999999</v>
      </c>
      <c r="G71" s="121">
        <f>RTD("cqg.rtd",,"ContractData",A71,"NetLastTradeToday",,"T")</f>
        <v>2E-3</v>
      </c>
      <c r="H71" s="88">
        <f>RTD("cqg.rtd",,"ContractData",A71,"NetLastTradeToday",,"T")</f>
        <v>2E-3</v>
      </c>
      <c r="I71" s="47">
        <f>RTD("cqg.rtd", ,"ContractData",A71, "T_CVol")</f>
        <v>1</v>
      </c>
      <c r="J71" s="48"/>
      <c r="K71" s="84"/>
      <c r="L71" s="84"/>
      <c r="M71" s="84"/>
      <c r="N71" s="84"/>
      <c r="O71" s="84"/>
      <c r="P71" s="84"/>
      <c r="Q71" s="84"/>
      <c r="R71" s="85"/>
      <c r="S71" s="54"/>
      <c r="T71" s="54"/>
      <c r="U71" s="54"/>
      <c r="V71" s="98"/>
      <c r="W71" s="54"/>
    </row>
    <row r="72" spans="1:23" ht="15" customHeight="1" x14ac:dyDescent="0.3">
      <c r="A72" s="8" t="str">
        <f>RTD("cqg.rtd",,"ContractData",'NGE3'!J27, "Symbol")</f>
        <v>NGES3V8</v>
      </c>
      <c r="B72" s="87" t="str">
        <f>RIGHT(RTD("cqg.rtd",,"ContractData",A72, "LongDescription"),15)</f>
        <v xml:space="preserve"> Oct 18, Jan 19</v>
      </c>
      <c r="C72" s="120">
        <f>RTD("cqg.rtd", ,"ContractData",A72, "Open",,"T")</f>
        <v>-0.27400000000000002</v>
      </c>
      <c r="D72" s="120">
        <f>RTD("cqg.rtd", ,"ContractData",A72, "High",,"T")</f>
        <v>-0.27300000000000002</v>
      </c>
      <c r="E72" s="120">
        <f>RTD("cqg.rtd", ,"ContractData",A72, "Low",,"T")</f>
        <v>-0.27500000000000002</v>
      </c>
      <c r="F72" s="120">
        <f>RTD("cqg.rtd", ,"ContractData",A72, "LastTradeorSettle",,"T")</f>
        <v>-0.27500000000000002</v>
      </c>
      <c r="G72" s="121">
        <f>RTD("cqg.rtd",,"ContractData",A72,"NetLastTradeToday",,"T")</f>
        <v>-1E-3</v>
      </c>
      <c r="H72" s="88">
        <f>RTD("cqg.rtd",,"ContractData",A72,"NetLastTradeToday",,"T")</f>
        <v>-1E-3</v>
      </c>
      <c r="I72" s="91">
        <f>RTD("cqg.rtd", ,"ContractData",A72, "T_CVol")</f>
        <v>89</v>
      </c>
      <c r="J72" s="48"/>
      <c r="K72" s="84"/>
      <c r="L72" s="84"/>
      <c r="M72" s="84"/>
      <c r="N72" s="84"/>
      <c r="O72" s="84"/>
      <c r="P72" s="84"/>
      <c r="Q72" s="84"/>
      <c r="R72" s="85"/>
      <c r="S72" s="54"/>
      <c r="T72" s="54"/>
      <c r="U72" s="54"/>
      <c r="V72" s="98"/>
      <c r="W72" s="54"/>
    </row>
    <row r="73" spans="1:23" ht="12" customHeight="1" x14ac:dyDescent="0.3">
      <c r="B73" s="305"/>
      <c r="C73" s="306"/>
      <c r="D73" s="61"/>
      <c r="E73" s="62"/>
      <c r="F73" s="63"/>
      <c r="G73" s="62"/>
      <c r="H73" s="64"/>
      <c r="I73" s="62"/>
      <c r="J73" s="65"/>
      <c r="K73" s="84"/>
      <c r="L73" s="84"/>
      <c r="M73" s="84"/>
      <c r="N73" s="84"/>
      <c r="O73" s="84"/>
      <c r="P73" s="84"/>
      <c r="Q73" s="84"/>
      <c r="R73" s="85"/>
      <c r="S73" s="54"/>
      <c r="T73" s="54"/>
      <c r="U73" s="54"/>
      <c r="V73" s="98"/>
      <c r="W73" s="54"/>
    </row>
    <row r="74" spans="1:23" ht="15" customHeight="1" x14ac:dyDescent="0.2">
      <c r="B74" s="301" t="s">
        <v>28</v>
      </c>
      <c r="C74" s="302"/>
      <c r="D74" s="302"/>
      <c r="E74" s="302"/>
      <c r="F74" s="302"/>
      <c r="G74" s="302"/>
      <c r="H74" s="302"/>
      <c r="I74" s="302"/>
      <c r="J74" s="70"/>
      <c r="K74" s="71" t="str">
        <f>B77</f>
        <v xml:space="preserve"> Nov 17, Mar 18</v>
      </c>
      <c r="L74" s="96" t="str">
        <f>B78</f>
        <v xml:space="preserve"> Dec 17, Apr 18</v>
      </c>
      <c r="M74" s="96" t="str">
        <f>B79</f>
        <v xml:space="preserve"> Jan 18, May 18</v>
      </c>
      <c r="N74" s="96" t="str">
        <f>B80</f>
        <v xml:space="preserve"> Feb 18, Jun 18</v>
      </c>
      <c r="O74" s="96" t="str">
        <f>B81</f>
        <v xml:space="preserve"> Mar 18, Jul 18</v>
      </c>
      <c r="P74" s="96" t="str">
        <f>B82</f>
        <v xml:space="preserve"> Apr 18, Aug 18</v>
      </c>
      <c r="Q74" s="96" t="str">
        <f>B83</f>
        <v xml:space="preserve"> May 18, Sep 18</v>
      </c>
      <c r="R74" s="96" t="str">
        <f>B84</f>
        <v xml:space="preserve"> Jun 18, Oct 18</v>
      </c>
      <c r="S74" s="96" t="str">
        <f>B85</f>
        <v xml:space="preserve"> Jul 18, Nov 18</v>
      </c>
      <c r="T74" s="96" t="str">
        <f>B86</f>
        <v xml:space="preserve"> Aug 18, Dec 18</v>
      </c>
      <c r="U74" s="96" t="str">
        <f>B87</f>
        <v xml:space="preserve"> Sep 18, Jan 19</v>
      </c>
      <c r="V74" s="96" t="str">
        <f>B88</f>
        <v xml:space="preserve"> Oct 18, Feb 19</v>
      </c>
      <c r="W74" s="54"/>
    </row>
    <row r="75" spans="1:23" ht="15" customHeight="1" x14ac:dyDescent="0.3">
      <c r="B75" s="303"/>
      <c r="C75" s="304"/>
      <c r="D75" s="304"/>
      <c r="E75" s="304"/>
      <c r="F75" s="304"/>
      <c r="G75" s="304"/>
      <c r="H75" s="304"/>
      <c r="I75" s="304"/>
      <c r="J75" s="70"/>
      <c r="K75" s="73" t="str">
        <f>TEXT(RTD("cqg.rtd",,"ContractData",A77,"Ask",,"T"),"#.000")&amp;" "&amp;"A"</f>
        <v>-.266 A</v>
      </c>
      <c r="L75" s="23" t="str">
        <f>TEXT(RTD("cqg.rtd",,"ContractData",A78,"Ask",,"T"),"#.000")&amp;" "&amp;"A"</f>
        <v>.146 A</v>
      </c>
      <c r="M75" s="24" t="str">
        <f>TEXT(RTD("cqg.rtd",,"ContractData",A79,"Ask",,"T"),"#.000")&amp;" "&amp;"A"</f>
        <v>.296 A</v>
      </c>
      <c r="N75" s="24" t="str">
        <f>TEXT(RTD("cqg.rtd",,"ContractData",A80,"Ask",,"T"),"#.000")&amp;" "&amp;"A"</f>
        <v>.274 A</v>
      </c>
      <c r="O75" s="24" t="str">
        <f>TEXT(RTD("cqg.rtd",,"ContractData",A81,"Ask",,"T"),"#.000")&amp;" "&amp;"A"</f>
        <v>.207 A</v>
      </c>
      <c r="P75" s="24" t="str">
        <f>TEXT(RTD("cqg.rtd",,"ContractData",A82,"Ask",,"T"),"#.000")&amp;" "&amp;"A"</f>
        <v>-.035 A</v>
      </c>
      <c r="Q75" s="24" t="str">
        <f>TEXT(RTD("cqg.rtd",,"ContractData",A83,"Ask",,"T"),"#.000")&amp;" "&amp;"A"</f>
        <v>-.041 A</v>
      </c>
      <c r="R75" s="24" t="str">
        <f>TEXT(RTD("cqg.rtd",,"ContractData",A84,"Ask",,"T"),"#.000")&amp;" "&amp;"A"</f>
        <v>-.034 A</v>
      </c>
      <c r="S75" s="24" t="str">
        <f>TEXT(RTD("cqg.rtd",,"ContractData",A85,"Ask",,"T"),"#.000")&amp;" "&amp;"A"</f>
        <v>-.059 A</v>
      </c>
      <c r="T75" s="24" t="str">
        <f>TEXT(RTD("cqg.rtd",,"ContractData",A86,"Ask",,"T"),"#.000")&amp;" "&amp;"A"</f>
        <v>-.193 A</v>
      </c>
      <c r="U75" s="24" t="str">
        <f>TEXT(RTD("cqg.rtd",,"ContractData",A87,"Ask",,"T"),"#.000")&amp;" "&amp;"A"</f>
        <v>-.295 A</v>
      </c>
      <c r="V75" s="24" t="str">
        <f>TEXT(RTD("cqg.rtd",,"ContractData",A88,"Ask",,"T"),"#.000")&amp;" "&amp;"A"</f>
        <v>-.247 A</v>
      </c>
      <c r="W75" s="54"/>
    </row>
    <row r="76" spans="1:23" ht="15" customHeight="1" x14ac:dyDescent="0.3">
      <c r="B76" s="74" t="s">
        <v>16</v>
      </c>
      <c r="C76" s="37" t="s">
        <v>9</v>
      </c>
      <c r="D76" s="37" t="s">
        <v>10</v>
      </c>
      <c r="E76" s="37" t="s">
        <v>11</v>
      </c>
      <c r="F76" s="37" t="s">
        <v>8</v>
      </c>
      <c r="G76" s="37" t="s">
        <v>12</v>
      </c>
      <c r="H76" s="37" t="s">
        <v>12</v>
      </c>
      <c r="I76" s="75" t="s">
        <v>13</v>
      </c>
      <c r="J76" s="76"/>
      <c r="K76" s="77" t="str">
        <f>TEXT(RTD("cqg.rtd",,"ContractData",A77,"Bid",,"T"),"#.000")&amp;" "&amp;"B"</f>
        <v>-.267 B</v>
      </c>
      <c r="L76" s="23" t="str">
        <f>TEXT(RTD("cqg.rtd",,"ContractData",A78,"Bid",,"T"),"#.000")&amp;" "&amp;"B"</f>
        <v>.145 B</v>
      </c>
      <c r="M76" s="24" t="str">
        <f>TEXT(RTD("cqg.rtd",,"ContractData",A79,"Bid",,"T"),"#.000")&amp;" "&amp;"B"</f>
        <v>.295 B</v>
      </c>
      <c r="N76" s="24" t="str">
        <f>TEXT(RTD("cqg.rtd",,"ContractData",A80,"Bid",,"T"),"#.000")&amp;" "&amp;"B"</f>
        <v>.270 B</v>
      </c>
      <c r="O76" s="24" t="str">
        <f>TEXT(RTD("cqg.rtd",,"ContractData",A81,"Bid",,"T"),"#.000")&amp;" "&amp;"B"</f>
        <v>.204 B</v>
      </c>
      <c r="P76" s="24" t="str">
        <f>TEXT(RTD("cqg.rtd",,"ContractData",A82,"Bid",,"T"),"#.000")&amp;" "&amp;"B"</f>
        <v>-.036 B</v>
      </c>
      <c r="Q76" s="24" t="str">
        <f>TEXT(RTD("cqg.rtd",,"ContractData",A83,"Bid",,"T"),"#.000")&amp;" "&amp;"B"</f>
        <v>-.043 B</v>
      </c>
      <c r="R76" s="24" t="str">
        <f>TEXT(RTD("cqg.rtd",,"ContractData",A84,"Bid",,"T"),"#.000")&amp;" "&amp;"B"</f>
        <v>-.036 B</v>
      </c>
      <c r="S76" s="24" t="str">
        <f>TEXT(RTD("cqg.rtd",,"ContractData",A85,"Bid",,"T"),"#.000")&amp;" "&amp;"B"</f>
        <v>-.063 B</v>
      </c>
      <c r="T76" s="24" t="str">
        <f>TEXT(RTD("cqg.rtd",,"ContractData",A86,"Bid",,"T"),"#.000")&amp;" "&amp;"B"</f>
        <v>-.197 B</v>
      </c>
      <c r="U76" s="24" t="str">
        <f>TEXT(RTD("cqg.rtd",,"ContractData",A87,"Bid",,"T"),"#.000")&amp;" "&amp;"B"</f>
        <v>-.299 B</v>
      </c>
      <c r="V76" s="24" t="str">
        <f>TEXT(RTD("cqg.rtd",,"ContractData",A88,"Bid",,"T"),"#.000")&amp;" "&amp;"B"</f>
        <v>-.255 B</v>
      </c>
      <c r="W76" s="54"/>
    </row>
    <row r="77" spans="1:23" ht="15" customHeight="1" x14ac:dyDescent="0.3">
      <c r="A77" s="8" t="str">
        <f>RTD("cqg.rtd",,"ContractData",'NGE4'!J16, "Symbol")</f>
        <v>NGES4X7</v>
      </c>
      <c r="B77" s="78" t="str">
        <f>RIGHT(RTD("cqg.rtd",,"ContractData",A77, "LongDescription"),15)</f>
        <v xml:space="preserve"> Nov 17, Mar 18</v>
      </c>
      <c r="C77" s="118">
        <f>RTD("cqg.rtd", ,"ContractData",A77, "Open",,"T")</f>
        <v>-0.26300000000000001</v>
      </c>
      <c r="D77" s="118">
        <f>RTD("cqg.rtd", ,"ContractData",A77, "High",,"T")</f>
        <v>-0.26</v>
      </c>
      <c r="E77" s="118">
        <f>RTD("cqg.rtd", ,"ContractData",A77, "Low",,"T")</f>
        <v>-0.26700000000000002</v>
      </c>
      <c r="F77" s="118">
        <f>RTD("cqg.rtd", ,"ContractData",A77, "LastTradeorSettle",,"T")</f>
        <v>-0.26600000000000001</v>
      </c>
      <c r="G77" s="119">
        <f>RTD("cqg.rtd",,"ContractData",A77,"NetLastTradeToday",,"T")</f>
        <v>4.0000000000000001E-3</v>
      </c>
      <c r="H77" s="46">
        <f>RTD("cqg.rtd",,"ContractData",A77,"NetLastTradeToday",,"T")</f>
        <v>4.0000000000000001E-3</v>
      </c>
      <c r="I77" s="47">
        <f>RTD("cqg.rtd", ,"ContractData",A77, "T_CVol")</f>
        <v>1224</v>
      </c>
      <c r="J77" s="48"/>
      <c r="K77" s="79" t="str">
        <f>TEXT(RTD("cqg.rtd",,"StudyData",A77,  "Bar",, "Close", "D",,,,,,"T"),"#.000")&amp;" "&amp;"L"</f>
        <v>-.266 L</v>
      </c>
      <c r="L77" s="23" t="str">
        <f>TEXT(RTD("cqg.rtd",,"StudyData",A78,  "Bar",, "Close", "D",,,,,,"T"),"#.000")&amp;" "&amp;"L"</f>
        <v>.146 L</v>
      </c>
      <c r="M77" s="24" t="str">
        <f>TEXT(RTD("cqg.rtd",,"StudyData",A79,  "Bar",, "Close", "D",,,,,,"T"),"#.000")&amp;" "&amp;"L"</f>
        <v>.298 L</v>
      </c>
      <c r="N77" s="24" t="str">
        <f>TEXT(RTD("cqg.rtd",,"StudyData",A80,  "Bar",, "Close", "D",,,,,,"T"),"#.000")&amp;" "&amp;"L"</f>
        <v>.275 L</v>
      </c>
      <c r="O77" s="24" t="str">
        <f>TEXT(RTD("cqg.rtd",,"StudyData",A81,  "Bar",, "Close", "D",,,,,,"T"),"#.000")&amp;" "&amp;"L"</f>
        <v>.213 L</v>
      </c>
      <c r="P77" s="24" t="str">
        <f>TEXT(RTD("cqg.rtd",,"StudyData",A82,  "Bar",, "Close", "D",,,,,,"T"),"#.000")&amp;" "&amp;"L"</f>
        <v>-.036 L</v>
      </c>
      <c r="Q77" s="24" t="str">
        <f>TEXT(RTD("cqg.rtd",,"StudyData",A83,  "Bar",, "Close", "D",,,,,,"T"),"#.000")&amp;" "&amp;"L"</f>
        <v>-.042 L</v>
      </c>
      <c r="R77" s="24" t="str">
        <f>TEXT(RTD("cqg.rtd",,"StudyData",A84,  "Bar",, "Close", "D",,,,,,"T"),"#.000")&amp;" "&amp;"L"</f>
        <v>-.036 L</v>
      </c>
      <c r="S77" s="24" t="str">
        <f>TEXT(RTD("cqg.rtd",,"StudyData",A85,  "Bar",, "Close", "D",,,,,,"T"),"#.000")&amp;" "&amp;"L"</f>
        <v xml:space="preserve"> L</v>
      </c>
      <c r="T77" s="24" t="str">
        <f>TEXT(RTD("cqg.rtd",,"StudyData",A86,  "Bar",, "Close", "D",,,,,,"T"),"#.000")&amp;" "&amp;"L"</f>
        <v xml:space="preserve"> L</v>
      </c>
      <c r="U77" s="24" t="str">
        <f>TEXT(RTD("cqg.rtd",,"StudyData",A87,  "Bar",, "Close", "D",,,,,,"T"),"#.000")&amp;" "&amp;"L"</f>
        <v xml:space="preserve"> L</v>
      </c>
      <c r="V77" s="24" t="str">
        <f>TEXT(RTD("cqg.rtd",,"StudyData",A88,  "Bar",, "Close", "D",,,,,,"T"),"#.000")&amp;" "&amp;"L"</f>
        <v xml:space="preserve"> L</v>
      </c>
      <c r="W77" s="54"/>
    </row>
    <row r="78" spans="1:23" ht="15" customHeight="1" x14ac:dyDescent="0.3">
      <c r="A78" s="8" t="str">
        <f>RTD("cqg.rtd",,"ContractData",'NGE4'!J17, "Symbol")</f>
        <v>NGES4Z7</v>
      </c>
      <c r="B78" s="78" t="str">
        <f>RIGHT(RTD("cqg.rtd",,"ContractData",A78, "LongDescription"),15)</f>
        <v xml:space="preserve"> Dec 17, Apr 18</v>
      </c>
      <c r="C78" s="118">
        <f>RTD("cqg.rtd", ,"ContractData",A78, "Open",,"T")</f>
        <v>0.157</v>
      </c>
      <c r="D78" s="118">
        <f>RTD("cqg.rtd", ,"ContractData",A78, "High",,"T")</f>
        <v>0.159</v>
      </c>
      <c r="E78" s="118">
        <f>RTD("cqg.rtd", ,"ContractData",A78, "Low",,"T")</f>
        <v>0.14499999999999999</v>
      </c>
      <c r="F78" s="118">
        <f>RTD("cqg.rtd", ,"ContractData",A78, "LastTradeorSettle",,"T")</f>
        <v>0.14599999999999999</v>
      </c>
      <c r="G78" s="119">
        <f>RTD("cqg.rtd",,"ContractData",A78,"NetLastTradeToday",,"T")</f>
        <v>-1.8000000000000002E-2</v>
      </c>
      <c r="H78" s="46">
        <f>RTD("cqg.rtd",,"ContractData",A78,"NetLastTradeToday",,"T")</f>
        <v>-1.8000000000000002E-2</v>
      </c>
      <c r="I78" s="47">
        <f>RTD("cqg.rtd", ,"ContractData",A78, "T_CVol")</f>
        <v>177</v>
      </c>
      <c r="J78" s="48"/>
      <c r="K78" s="84"/>
      <c r="L78" s="84"/>
      <c r="M78" s="84"/>
      <c r="N78" s="84"/>
      <c r="O78" s="84"/>
      <c r="P78" s="84"/>
      <c r="Q78" s="84"/>
      <c r="R78" s="85"/>
      <c r="S78" s="54"/>
      <c r="T78" s="54"/>
      <c r="U78" s="54"/>
      <c r="V78" s="98"/>
      <c r="W78" s="54"/>
    </row>
    <row r="79" spans="1:23" ht="15" customHeight="1" x14ac:dyDescent="0.3">
      <c r="A79" s="8" t="str">
        <f>RTD("cqg.rtd",,"ContractData",'NGE4'!J18, "Symbol")</f>
        <v>NGES4F8</v>
      </c>
      <c r="B79" s="78" t="str">
        <f>RIGHT(RTD("cqg.rtd",,"ContractData",A79, "LongDescription"),15)</f>
        <v xml:space="preserve"> Jan 18, May 18</v>
      </c>
      <c r="C79" s="118">
        <f>RTD("cqg.rtd", ,"ContractData",A79, "Open",,"T")</f>
        <v>0.31</v>
      </c>
      <c r="D79" s="118">
        <f>RTD("cqg.rtd", ,"ContractData",A79, "High",,"T")</f>
        <v>0.31</v>
      </c>
      <c r="E79" s="118">
        <f>RTD("cqg.rtd", ,"ContractData",A79, "Low",,"T")</f>
        <v>0.29399999999999998</v>
      </c>
      <c r="F79" s="118">
        <f>RTD("cqg.rtd", ,"ContractData",A79, "LastTradeorSettle",,"T")</f>
        <v>0.29799999999999999</v>
      </c>
      <c r="G79" s="119">
        <f>RTD("cqg.rtd",,"ContractData",A79,"NetLastTradeToday",,"T")</f>
        <v>-2.1000000000000001E-2</v>
      </c>
      <c r="H79" s="46">
        <f>RTD("cqg.rtd",,"ContractData",A79,"NetLastTradeToday",,"T")</f>
        <v>-2.1000000000000001E-2</v>
      </c>
      <c r="I79" s="47">
        <f>RTD("cqg.rtd", ,"ContractData",A79, "T_CVol")</f>
        <v>165</v>
      </c>
      <c r="J79" s="48"/>
      <c r="K79" s="84"/>
      <c r="L79" s="84"/>
      <c r="M79" s="84"/>
      <c r="N79" s="84"/>
      <c r="O79" s="84"/>
      <c r="P79" s="84"/>
      <c r="Q79" s="84"/>
      <c r="R79" s="85"/>
      <c r="S79" s="54"/>
      <c r="T79" s="54"/>
      <c r="U79" s="54"/>
      <c r="V79" s="98"/>
      <c r="W79" s="54"/>
    </row>
    <row r="80" spans="1:23" ht="15" customHeight="1" x14ac:dyDescent="0.3">
      <c r="A80" s="8" t="str">
        <f>RTD("cqg.rtd",,"ContractData",'NGE4'!J19, "Symbol")</f>
        <v>NGES4G8</v>
      </c>
      <c r="B80" s="78" t="str">
        <f>RIGHT(RTD("cqg.rtd",,"ContractData",A80, "LongDescription"),15)</f>
        <v xml:space="preserve"> Feb 18, Jun 18</v>
      </c>
      <c r="C80" s="118">
        <f>RTD("cqg.rtd", ,"ContractData",A80, "Open",,"T")</f>
        <v>0.27300000000000002</v>
      </c>
      <c r="D80" s="118">
        <f>RTD("cqg.rtd", ,"ContractData",A80, "High",,"T")</f>
        <v>0.28000000000000003</v>
      </c>
      <c r="E80" s="118">
        <f>RTD("cqg.rtd", ,"ContractData",A80, "Low",,"T")</f>
        <v>0.27300000000000002</v>
      </c>
      <c r="F80" s="118">
        <f>RTD("cqg.rtd", ,"ContractData",A80, "LastTradeorSettle",,"T")</f>
        <v>0.27500000000000002</v>
      </c>
      <c r="G80" s="119">
        <f>RTD("cqg.rtd",,"ContractData",A80,"NetLastTradeToday",,"T")</f>
        <v>-2.1000000000000001E-2</v>
      </c>
      <c r="H80" s="46">
        <f>RTD("cqg.rtd",,"ContractData",A80,"NetLastTradeToday",,"T")</f>
        <v>-2.1000000000000001E-2</v>
      </c>
      <c r="I80" s="47">
        <f>RTD("cqg.rtd", ,"ContractData",A80, "T_CVol")</f>
        <v>11</v>
      </c>
      <c r="J80" s="48"/>
      <c r="K80" s="84"/>
      <c r="L80" s="84"/>
      <c r="M80" s="84"/>
      <c r="N80" s="84"/>
      <c r="O80" s="84"/>
      <c r="P80" s="84"/>
      <c r="Q80" s="84"/>
      <c r="R80" s="85"/>
      <c r="S80" s="54"/>
      <c r="T80" s="54"/>
      <c r="U80" s="54"/>
      <c r="V80" s="98"/>
      <c r="W80" s="54"/>
    </row>
    <row r="81" spans="1:23" ht="15" customHeight="1" x14ac:dyDescent="0.3">
      <c r="A81" s="8" t="str">
        <f>RTD("cqg.rtd",,"ContractData",'NGE4'!J20, "Symbol")</f>
        <v>NGES4H8</v>
      </c>
      <c r="B81" s="78" t="str">
        <f>RIGHT(RTD("cqg.rtd",,"ContractData",A81, "LongDescription"),15)</f>
        <v xml:space="preserve"> Mar 18, Jul 18</v>
      </c>
      <c r="C81" s="118">
        <f>RTD("cqg.rtd", ,"ContractData",A81, "Open",,"T")</f>
        <v>0.21</v>
      </c>
      <c r="D81" s="118">
        <f>RTD("cqg.rtd", ,"ContractData",A81, "High",,"T")</f>
        <v>0.21299999999999999</v>
      </c>
      <c r="E81" s="118">
        <f>RTD("cqg.rtd", ,"ContractData",A81, "Low",,"T")</f>
        <v>0.21</v>
      </c>
      <c r="F81" s="118">
        <f>RTD("cqg.rtd", ,"ContractData",A81, "LastTradeorSettle",,"T")</f>
        <v>0.21299999999999999</v>
      </c>
      <c r="G81" s="119">
        <f>RTD("cqg.rtd",,"ContractData",A81,"NetLastTradeToday",,"T")</f>
        <v>-1.4E-2</v>
      </c>
      <c r="H81" s="46">
        <f>RTD("cqg.rtd",,"ContractData",A81,"NetLastTradeToday",,"T")</f>
        <v>-1.4E-2</v>
      </c>
      <c r="I81" s="47">
        <f>RTD("cqg.rtd", ,"ContractData",A81, "T_CVol")</f>
        <v>2</v>
      </c>
      <c r="J81" s="48"/>
      <c r="K81" s="84"/>
      <c r="L81" s="84"/>
      <c r="M81" s="84"/>
      <c r="N81" s="84"/>
      <c r="O81" s="84"/>
      <c r="P81" s="84"/>
      <c r="Q81" s="84"/>
      <c r="R81" s="85"/>
      <c r="S81" s="54"/>
      <c r="T81" s="54"/>
      <c r="U81" s="54"/>
      <c r="V81" s="98"/>
      <c r="W81" s="54"/>
    </row>
    <row r="82" spans="1:23" ht="15" customHeight="1" x14ac:dyDescent="0.3">
      <c r="A82" s="8" t="str">
        <f>RTD("cqg.rtd",,"ContractData",'NGE4'!J21, "Symbol")</f>
        <v>NGES4J8</v>
      </c>
      <c r="B82" s="87" t="str">
        <f>RIGHT(RTD("cqg.rtd",,"ContractData",A82, "LongDescription"),15)</f>
        <v xml:space="preserve"> Apr 18, Aug 18</v>
      </c>
      <c r="C82" s="120">
        <f>RTD("cqg.rtd", ,"ContractData",A82, "Open",,"T")</f>
        <v>-3.3000000000000002E-2</v>
      </c>
      <c r="D82" s="120">
        <f>RTD("cqg.rtd", ,"ContractData",A82, "High",,"T")</f>
        <v>-3.3000000000000002E-2</v>
      </c>
      <c r="E82" s="120">
        <f>RTD("cqg.rtd", ,"ContractData",A82, "Low",,"T")</f>
        <v>-3.6000000000000004E-2</v>
      </c>
      <c r="F82" s="120">
        <f>RTD("cqg.rtd", ,"ContractData",A82, "LastTradeorSettle",,"T")</f>
        <v>-3.6000000000000004E-2</v>
      </c>
      <c r="G82" s="119">
        <f>RTD("cqg.rtd",,"ContractData",A82,"NetLastTradeToday",,"T")</f>
        <v>-6.0000000000000001E-3</v>
      </c>
      <c r="H82" s="88">
        <f>RTD("cqg.rtd",,"ContractData",A82,"NetLastTradeToday",,"T")</f>
        <v>-6.0000000000000001E-3</v>
      </c>
      <c r="I82" s="47">
        <f>RTD("cqg.rtd", ,"ContractData",A82, "T_CVol")</f>
        <v>40</v>
      </c>
      <c r="J82" s="48"/>
      <c r="K82" s="84"/>
      <c r="L82" s="84"/>
      <c r="M82" s="84"/>
      <c r="N82" s="84"/>
      <c r="O82" s="84"/>
      <c r="P82" s="84"/>
      <c r="Q82" s="84"/>
      <c r="R82" s="85"/>
      <c r="S82" s="54"/>
      <c r="T82" s="54"/>
      <c r="U82" s="54"/>
      <c r="V82" s="98"/>
      <c r="W82" s="54"/>
    </row>
    <row r="83" spans="1:23" ht="15" customHeight="1" x14ac:dyDescent="0.3">
      <c r="A83" s="8" t="str">
        <f>RTD("cqg.rtd",,"ContractData",'NGE4'!J22, "Symbol")</f>
        <v>NGES4K8</v>
      </c>
      <c r="B83" s="87" t="str">
        <f>RIGHT(RTD("cqg.rtd",,"ContractData",A83, "LongDescription"),15)</f>
        <v xml:space="preserve"> May 18, Sep 18</v>
      </c>
      <c r="C83" s="120">
        <f>RTD("cqg.rtd", ,"ContractData",A83, "Open",,"T")</f>
        <v>-3.9E-2</v>
      </c>
      <c r="D83" s="120">
        <f>RTD("cqg.rtd", ,"ContractData",A83, "High",,"T")</f>
        <v>-3.9E-2</v>
      </c>
      <c r="E83" s="120">
        <f>RTD("cqg.rtd", ,"ContractData",A83, "Low",,"T")</f>
        <v>-4.2000000000000003E-2</v>
      </c>
      <c r="F83" s="120">
        <f>RTD("cqg.rtd", ,"ContractData",A83, "LastTradeorSettle",,"T")</f>
        <v>-4.2000000000000003E-2</v>
      </c>
      <c r="G83" s="121">
        <f>RTD("cqg.rtd",,"ContractData",A83,"NetLastTradeToday",,"T")</f>
        <v>-2E-3</v>
      </c>
      <c r="H83" s="88">
        <f>RTD("cqg.rtd",,"ContractData",A83,"NetLastTradeToday",,"T")</f>
        <v>-2E-3</v>
      </c>
      <c r="I83" s="47">
        <f>RTD("cqg.rtd", ,"ContractData",A83, "T_CVol")</f>
        <v>10</v>
      </c>
      <c r="J83" s="48"/>
      <c r="K83" s="84"/>
      <c r="L83" s="84"/>
      <c r="M83" s="84"/>
      <c r="N83" s="84"/>
      <c r="O83" s="84"/>
      <c r="P83" s="84"/>
      <c r="Q83" s="84"/>
      <c r="R83" s="85"/>
      <c r="S83" s="54"/>
      <c r="T83" s="54"/>
      <c r="U83" s="54"/>
      <c r="V83" s="98"/>
      <c r="W83" s="54"/>
    </row>
    <row r="84" spans="1:23" ht="15" customHeight="1" x14ac:dyDescent="0.3">
      <c r="A84" s="8" t="str">
        <f>RTD("cqg.rtd",,"ContractData",'NGE4'!J23, "Symbol")</f>
        <v>NGES4M8</v>
      </c>
      <c r="B84" s="87" t="str">
        <f>RIGHT(RTD("cqg.rtd",,"ContractData",A84, "LongDescription"),15)</f>
        <v xml:space="preserve"> Jun 18, Oct 18</v>
      </c>
      <c r="C84" s="120">
        <f>RTD("cqg.rtd", ,"ContractData",A84, "Open",,"T")</f>
        <v>-3.6000000000000004E-2</v>
      </c>
      <c r="D84" s="120">
        <f>RTD("cqg.rtd", ,"ContractData",A84, "High",,"T")</f>
        <v>-3.6000000000000004E-2</v>
      </c>
      <c r="E84" s="120">
        <f>RTD("cqg.rtd", ,"ContractData",A84, "Low",,"T")</f>
        <v>-3.6000000000000004E-2</v>
      </c>
      <c r="F84" s="120">
        <f>RTD("cqg.rtd", ,"ContractData",A84, "LastTradeorSettle",,"T")</f>
        <v>-3.6000000000000004E-2</v>
      </c>
      <c r="G84" s="119">
        <f>RTD("cqg.rtd",,"ContractData",A84,"NetLastTradeToday",,"T")</f>
        <v>-1E-3</v>
      </c>
      <c r="H84" s="88">
        <f>RTD("cqg.rtd",,"ContractData",A84,"NetLastTradeToday",,"T")</f>
        <v>-1E-3</v>
      </c>
      <c r="I84" s="47">
        <f>RTD("cqg.rtd", ,"ContractData",A84, "T_CVol")</f>
        <v>10</v>
      </c>
      <c r="J84" s="48"/>
      <c r="K84" s="84"/>
      <c r="L84" s="84"/>
      <c r="M84" s="84"/>
      <c r="N84" s="84"/>
      <c r="O84" s="84"/>
      <c r="P84" s="84"/>
      <c r="Q84" s="84"/>
      <c r="R84" s="85"/>
      <c r="S84" s="54"/>
      <c r="T84" s="54"/>
      <c r="U84" s="54"/>
      <c r="V84" s="98"/>
      <c r="W84" s="54"/>
    </row>
    <row r="85" spans="1:23" ht="15" customHeight="1" x14ac:dyDescent="0.3">
      <c r="A85" s="8" t="str">
        <f>RTD("cqg.rtd",,"ContractData",'NGE4'!J24, "Symbol")</f>
        <v>NGES4N8</v>
      </c>
      <c r="B85" s="87" t="str">
        <f>RIGHT(RTD("cqg.rtd",,"ContractData",A85, "LongDescription"),15)</f>
        <v xml:space="preserve"> Jul 18, Nov 18</v>
      </c>
      <c r="C85" s="120" t="str">
        <f>RTD("cqg.rtd", ,"ContractData",A85, "Open",,"T")</f>
        <v/>
      </c>
      <c r="D85" s="120" t="str">
        <f>RTD("cqg.rtd", ,"ContractData",A85, "High",,"T")</f>
        <v/>
      </c>
      <c r="E85" s="120" t="str">
        <f>RTD("cqg.rtd", ,"ContractData",A85, "Low",,"T")</f>
        <v/>
      </c>
      <c r="F85" s="120" t="str">
        <f>RTD("cqg.rtd", ,"ContractData",A85, "LastTradeorSettle",,"T")</f>
        <v/>
      </c>
      <c r="G85" s="121" t="str">
        <f>RTD("cqg.rtd",,"ContractData",A85,"NetLastTradeToday",,"T")</f>
        <v/>
      </c>
      <c r="H85" s="88" t="str">
        <f>RTD("cqg.rtd",,"ContractData",A85,"NetLastTradeToday",,"T")</f>
        <v/>
      </c>
      <c r="I85" s="47">
        <f>RTD("cqg.rtd", ,"ContractData",A85, "T_CVol")</f>
        <v>0</v>
      </c>
      <c r="J85" s="48"/>
      <c r="K85" s="84"/>
      <c r="L85" s="84"/>
      <c r="M85" s="84"/>
      <c r="N85" s="84"/>
      <c r="O85" s="84"/>
      <c r="P85" s="84"/>
      <c r="Q85" s="84"/>
      <c r="R85" s="85"/>
      <c r="S85" s="54"/>
      <c r="T85" s="54"/>
      <c r="U85" s="54"/>
      <c r="V85" s="98"/>
      <c r="W85" s="54"/>
    </row>
    <row r="86" spans="1:23" ht="15" customHeight="1" x14ac:dyDescent="0.3">
      <c r="A86" s="8" t="str">
        <f>RTD("cqg.rtd",,"ContractData",'NGE4'!J25, "Symbol")</f>
        <v>NGES4Q8</v>
      </c>
      <c r="B86" s="87" t="str">
        <f>RIGHT(RTD("cqg.rtd",,"ContractData",A86, "LongDescription"),15)</f>
        <v xml:space="preserve"> Aug 18, Dec 18</v>
      </c>
      <c r="C86" s="120" t="str">
        <f>RTD("cqg.rtd", ,"ContractData",A86, "Open",,"T")</f>
        <v/>
      </c>
      <c r="D86" s="120" t="str">
        <f>RTD("cqg.rtd", ,"ContractData",A86, "High",,"T")</f>
        <v/>
      </c>
      <c r="E86" s="120" t="str">
        <f>RTD("cqg.rtd", ,"ContractData",A86, "Low",,"T")</f>
        <v/>
      </c>
      <c r="F86" s="120" t="str">
        <f>RTD("cqg.rtd", ,"ContractData",A86, "LastTradeorSettle",,"T")</f>
        <v/>
      </c>
      <c r="G86" s="121" t="str">
        <f>RTD("cqg.rtd",,"ContractData",A86,"NetLastTradeToday",,"T")</f>
        <v/>
      </c>
      <c r="H86" s="88" t="str">
        <f>RTD("cqg.rtd",,"ContractData",A86,"NetLastTradeToday",,"T")</f>
        <v/>
      </c>
      <c r="I86" s="47">
        <f>RTD("cqg.rtd", ,"ContractData",A86, "T_CVol")</f>
        <v>0</v>
      </c>
      <c r="J86" s="48"/>
      <c r="K86" s="84"/>
      <c r="L86" s="84"/>
      <c r="M86" s="84"/>
      <c r="N86" s="84"/>
      <c r="O86" s="84"/>
      <c r="P86" s="84"/>
      <c r="Q86" s="84"/>
      <c r="R86" s="85"/>
      <c r="S86" s="54"/>
      <c r="T86" s="54"/>
      <c r="U86" s="54"/>
      <c r="V86" s="98"/>
      <c r="W86" s="54"/>
    </row>
    <row r="87" spans="1:23" ht="15" customHeight="1" x14ac:dyDescent="0.3">
      <c r="A87" s="8" t="str">
        <f>RTD("cqg.rtd",,"ContractData",'NGE4'!J26, "Symbol")</f>
        <v>NGES4U8</v>
      </c>
      <c r="B87" s="87" t="str">
        <f>RIGHT(RTD("cqg.rtd",,"ContractData",A87, "LongDescription"),15)</f>
        <v xml:space="preserve"> Sep 18, Jan 19</v>
      </c>
      <c r="C87" s="120" t="str">
        <f>RTD("cqg.rtd", ,"ContractData",A87, "Open",,"T")</f>
        <v/>
      </c>
      <c r="D87" s="120" t="str">
        <f>RTD("cqg.rtd", ,"ContractData",A87, "High",,"T")</f>
        <v/>
      </c>
      <c r="E87" s="120" t="str">
        <f>RTD("cqg.rtd", ,"ContractData",A87, "Low",,"T")</f>
        <v/>
      </c>
      <c r="F87" s="120" t="str">
        <f>RTD("cqg.rtd", ,"ContractData",A87, "LastTradeorSettle",,"T")</f>
        <v/>
      </c>
      <c r="G87" s="121" t="str">
        <f>RTD("cqg.rtd",,"ContractData",A87,"NetLastTradeToday",,"T")</f>
        <v/>
      </c>
      <c r="H87" s="88" t="str">
        <f>RTD("cqg.rtd",,"ContractData",A87,"NetLastTradeToday",,"T")</f>
        <v/>
      </c>
      <c r="I87" s="47">
        <f>RTD("cqg.rtd", ,"ContractData",A87, "T_CVol")</f>
        <v>0</v>
      </c>
      <c r="J87" s="48"/>
      <c r="K87" s="84"/>
      <c r="L87" s="84"/>
      <c r="M87" s="84"/>
      <c r="N87" s="84"/>
      <c r="O87" s="84"/>
      <c r="P87" s="84"/>
      <c r="Q87" s="84"/>
      <c r="R87" s="85"/>
      <c r="S87" s="54"/>
      <c r="T87" s="54"/>
      <c r="U87" s="54"/>
      <c r="V87" s="98"/>
      <c r="W87" s="54"/>
    </row>
    <row r="88" spans="1:23" ht="15" customHeight="1" x14ac:dyDescent="0.3">
      <c r="A88" s="8" t="str">
        <f>RTD("cqg.rtd",,"ContractData",'NGE4'!J27, "Symbol")</f>
        <v>NGES4V8</v>
      </c>
      <c r="B88" s="87" t="str">
        <f>RIGHT(RTD("cqg.rtd",,"ContractData",A88, "LongDescription"),15)</f>
        <v xml:space="preserve"> Oct 18, Feb 19</v>
      </c>
      <c r="C88" s="120" t="str">
        <f>RTD("cqg.rtd", ,"ContractData",A88, "Open",,"T")</f>
        <v/>
      </c>
      <c r="D88" s="120" t="str">
        <f>RTD("cqg.rtd", ,"ContractData",A88, "High",,"T")</f>
        <v/>
      </c>
      <c r="E88" s="120" t="str">
        <f>RTD("cqg.rtd", ,"ContractData",A88, "Low",,"T")</f>
        <v/>
      </c>
      <c r="F88" s="120" t="str">
        <f>RTD("cqg.rtd", ,"ContractData",A88, "LastTradeorSettle",,"T")</f>
        <v/>
      </c>
      <c r="G88" s="121" t="str">
        <f>RTD("cqg.rtd",,"ContractData",A88,"NetLastTradeToday",,"T")</f>
        <v/>
      </c>
      <c r="H88" s="88" t="str">
        <f>RTD("cqg.rtd",,"ContractData",A88,"NetLastTradeToday",,"T")</f>
        <v/>
      </c>
      <c r="I88" s="91">
        <f>RTD("cqg.rtd", ,"ContractData",A88, "T_CVol")</f>
        <v>0</v>
      </c>
      <c r="J88" s="48"/>
      <c r="K88" s="84"/>
      <c r="L88" s="84"/>
      <c r="M88" s="84"/>
      <c r="N88" s="84"/>
      <c r="O88" s="84"/>
      <c r="P88" s="84"/>
      <c r="Q88" s="84"/>
      <c r="R88" s="85"/>
      <c r="S88" s="54"/>
      <c r="T88" s="54"/>
      <c r="U88" s="54"/>
      <c r="V88" s="98"/>
      <c r="W88" s="54"/>
    </row>
    <row r="89" spans="1:23" ht="12" customHeight="1" x14ac:dyDescent="0.3">
      <c r="B89" s="305"/>
      <c r="C89" s="306"/>
      <c r="D89" s="61"/>
      <c r="E89" s="62"/>
      <c r="F89" s="63"/>
      <c r="G89" s="62"/>
      <c r="H89" s="64"/>
      <c r="I89" s="62"/>
      <c r="J89" s="65"/>
      <c r="K89" s="84"/>
      <c r="L89" s="84"/>
      <c r="M89" s="84"/>
      <c r="N89" s="84"/>
      <c r="O89" s="84"/>
      <c r="P89" s="84"/>
      <c r="Q89" s="84"/>
      <c r="R89" s="85"/>
      <c r="S89" s="54"/>
      <c r="T89" s="54"/>
      <c r="U89" s="54"/>
      <c r="V89" s="98"/>
      <c r="W89" s="54"/>
    </row>
    <row r="90" spans="1:23" ht="15" customHeight="1" x14ac:dyDescent="0.2">
      <c r="B90" s="301" t="s">
        <v>29</v>
      </c>
      <c r="C90" s="302"/>
      <c r="D90" s="302"/>
      <c r="E90" s="302"/>
      <c r="F90" s="302"/>
      <c r="G90" s="302"/>
      <c r="H90" s="302"/>
      <c r="I90" s="302"/>
      <c r="J90" s="70"/>
      <c r="K90" s="71" t="str">
        <f>B93</f>
        <v xml:space="preserve"> Nov 17, Apr 18</v>
      </c>
      <c r="L90" s="96" t="str">
        <f>B94</f>
        <v xml:space="preserve"> Dec 17, May 18</v>
      </c>
      <c r="M90" s="96" t="str">
        <f>B95</f>
        <v xml:space="preserve"> Jan 18, Jun 18</v>
      </c>
      <c r="N90" s="96" t="str">
        <f>B96</f>
        <v xml:space="preserve"> Feb 18, Jul 18</v>
      </c>
      <c r="O90" s="96" t="str">
        <f>B97</f>
        <v xml:space="preserve"> Mar 18, Aug 18</v>
      </c>
      <c r="P90" s="96" t="str">
        <f>B98</f>
        <v xml:space="preserve"> Apr 18, Sep 18</v>
      </c>
      <c r="Q90" s="96" t="str">
        <f>B99</f>
        <v xml:space="preserve"> May 18, Oct 18</v>
      </c>
      <c r="R90" s="96" t="str">
        <f>B100</f>
        <v xml:space="preserve"> Jun 18, Nov 18</v>
      </c>
      <c r="S90" s="96" t="str">
        <f>B101</f>
        <v xml:space="preserve"> Jul 18, Dec 18</v>
      </c>
      <c r="T90" s="96" t="str">
        <f>B102</f>
        <v xml:space="preserve"> Aug 18, Jan 19</v>
      </c>
      <c r="U90" s="96" t="str">
        <f>B103</f>
        <v xml:space="preserve"> Sep 18, Feb 19</v>
      </c>
      <c r="V90" s="96" t="str">
        <f>B104</f>
        <v xml:space="preserve"> Oct 18, Mar 19</v>
      </c>
      <c r="W90" s="54"/>
    </row>
    <row r="91" spans="1:23" ht="15" customHeight="1" x14ac:dyDescent="0.3">
      <c r="B91" s="303"/>
      <c r="C91" s="304"/>
      <c r="D91" s="304"/>
      <c r="E91" s="304"/>
      <c r="F91" s="304"/>
      <c r="G91" s="304"/>
      <c r="H91" s="304"/>
      <c r="I91" s="304"/>
      <c r="J91" s="70"/>
      <c r="K91" s="73" t="str">
        <f>TEXT(RTD("cqg.rtd",,"ContractData",A93,"Ask",,"T"),"#.000")&amp;" "&amp;"A"</f>
        <v>-.028 A</v>
      </c>
      <c r="L91" s="23" t="str">
        <f>TEXT(RTD("cqg.rtd",,"ContractData",A94,"Ask",,"T"),"#.000")&amp;" "&amp;"A"</f>
        <v>.171 A</v>
      </c>
      <c r="M91" s="24" t="str">
        <f>TEXT(RTD("cqg.rtd",,"ContractData",A95,"Ask",,"T"),"#.000")&amp;" "&amp;"A"</f>
        <v>.268 A</v>
      </c>
      <c r="N91" s="24" t="str">
        <f>TEXT(RTD("cqg.rtd",,"ContractData",A96,"Ask",,"T"),"#.000")&amp;" "&amp;"A"</f>
        <v>.246 A</v>
      </c>
      <c r="O91" s="24" t="str">
        <f>TEXT(RTD("cqg.rtd",,"ContractData",A97,"Ask",,"T"),"#.000")&amp;" "&amp;"A"</f>
        <v>.204 A</v>
      </c>
      <c r="P91" s="24" t="str">
        <f>TEXT(RTD("cqg.rtd",,"ContractData",A98,"Ask",,"T"),"#.000")&amp;" "&amp;"A"</f>
        <v>-.017 A</v>
      </c>
      <c r="Q91" s="24" t="str">
        <f>TEXT(RTD("cqg.rtd",,"ContractData",A99,"Ask",,"T"),"#.000")&amp;" "&amp;"A"</f>
        <v>-.064 A</v>
      </c>
      <c r="R91" s="24" t="str">
        <f>TEXT(RTD("cqg.rtd",,"ContractData",A100,"Ask",,"T"),"#.000")&amp;" "&amp;"A"</f>
        <v>-.087 A</v>
      </c>
      <c r="S91" s="24" t="str">
        <f>TEXT(RTD("cqg.rtd",,"ContractData",A101,"Ask",,"T"),"#.000")&amp;" "&amp;"A"</f>
        <v>-.195 A</v>
      </c>
      <c r="T91" s="24" t="str">
        <f>TEXT(RTD("cqg.rtd",,"ContractData",A102,"Ask",,"T"),"#.000")&amp;" "&amp;"A"</f>
        <v>-.278 A</v>
      </c>
      <c r="U91" s="24" t="str">
        <f>TEXT(RTD("cqg.rtd",,"ContractData",A103,"Ask",,"T"),"#.000")&amp;" "&amp;"A"</f>
        <v>-.269 A</v>
      </c>
      <c r="V91" s="24" t="str">
        <f>TEXT(RTD("cqg.rtd",,"ContractData",A104,"Ask",,"T"),"#.000")&amp;" "&amp;"A"</f>
        <v>-.174 A</v>
      </c>
      <c r="W91" s="54"/>
    </row>
    <row r="92" spans="1:23" ht="15" customHeight="1" x14ac:dyDescent="0.3">
      <c r="B92" s="74" t="s">
        <v>16</v>
      </c>
      <c r="C92" s="37" t="s">
        <v>9</v>
      </c>
      <c r="D92" s="37" t="s">
        <v>10</v>
      </c>
      <c r="E92" s="37" t="s">
        <v>11</v>
      </c>
      <c r="F92" s="37" t="s">
        <v>8</v>
      </c>
      <c r="G92" s="37" t="s">
        <v>12</v>
      </c>
      <c r="H92" s="37" t="s">
        <v>12</v>
      </c>
      <c r="I92" s="75" t="s">
        <v>13</v>
      </c>
      <c r="J92" s="76"/>
      <c r="K92" s="77" t="str">
        <f>TEXT(RTD("cqg.rtd",,"ContractData",A93,"Bid",,"T"),"#.000")&amp;" "&amp;"B"</f>
        <v>-.029 B</v>
      </c>
      <c r="L92" s="23" t="str">
        <f>TEXT(RTD("cqg.rtd",,"ContractData",A94,"Bid",,"T"),"#.000")&amp;" "&amp;"B"</f>
        <v>.168 B</v>
      </c>
      <c r="M92" s="24" t="str">
        <f>TEXT(RTD("cqg.rtd",,"ContractData",A95,"Bid",,"T"),"#.000")&amp;" "&amp;"B"</f>
        <v>.265 B</v>
      </c>
      <c r="N92" s="24" t="str">
        <f>TEXT(RTD("cqg.rtd",,"ContractData",A96,"Bid",,"T"),"#.000")&amp;" "&amp;"B"</f>
        <v>.243 B</v>
      </c>
      <c r="O92" s="24" t="str">
        <f>TEXT(RTD("cqg.rtd",,"ContractData",A97,"Bid",,"T"),"#.000")&amp;" "&amp;"B"</f>
        <v>.201 B</v>
      </c>
      <c r="P92" s="24" t="str">
        <f>TEXT(RTD("cqg.rtd",,"ContractData",A98,"Bid",,"T"),"#.000")&amp;" "&amp;"B"</f>
        <v>-.019 B</v>
      </c>
      <c r="Q92" s="24" t="str">
        <f>TEXT(RTD("cqg.rtd",,"ContractData",A99,"Bid",,"T"),"#.000")&amp;" "&amp;"B"</f>
        <v>-.066 B</v>
      </c>
      <c r="R92" s="24" t="str">
        <f>TEXT(RTD("cqg.rtd",,"ContractData",A100,"Bid",,"T"),"#.000")&amp;" "&amp;"B"</f>
        <v>-.091 B</v>
      </c>
      <c r="S92" s="24" t="str">
        <f>TEXT(RTD("cqg.rtd",,"ContractData",A101,"Bid",,"T"),"#.000")&amp;" "&amp;"B"</f>
        <v>-.200 B</v>
      </c>
      <c r="T92" s="24" t="str">
        <f>TEXT(RTD("cqg.rtd",,"ContractData",A102,"Bid",,"T"),"#.000")&amp;" "&amp;"B"</f>
        <v>-.282 B</v>
      </c>
      <c r="U92" s="24" t="str">
        <f>TEXT(RTD("cqg.rtd",,"ContractData",A103,"Bid",,"T"),"#.000")&amp;" "&amp;"B"</f>
        <v>-.277 B</v>
      </c>
      <c r="V92" s="24" t="str">
        <f>TEXT(RTD("cqg.rtd",,"ContractData",A104,"Bid",,"T"),"#.000")&amp;" "&amp;"B"</f>
        <v>-.183 B</v>
      </c>
      <c r="W92" s="54"/>
    </row>
    <row r="93" spans="1:23" ht="15" customHeight="1" x14ac:dyDescent="0.3">
      <c r="A93" s="8" t="str">
        <f>RTD("cqg.rtd",,"ContractData",'NGE5'!J16, "Symbol")</f>
        <v>NGES5X7</v>
      </c>
      <c r="B93" s="78" t="str">
        <f>RIGHT(RTD("cqg.rtd",,"ContractData",A93, "LongDescription"),15)</f>
        <v xml:space="preserve"> Nov 17, Apr 18</v>
      </c>
      <c r="C93" s="118">
        <f>RTD("cqg.rtd", ,"ContractData",A93, "Open",,"T")</f>
        <v>-0.02</v>
      </c>
      <c r="D93" s="118">
        <f>RTD("cqg.rtd", ,"ContractData",A93, "High",,"T")</f>
        <v>-1.4999999999999999E-2</v>
      </c>
      <c r="E93" s="118">
        <f>RTD("cqg.rtd", ,"ContractData",A93, "Low",,"T")</f>
        <v>-3.3000000000000002E-2</v>
      </c>
      <c r="F93" s="118">
        <f>RTD("cqg.rtd", ,"ContractData",A93, "LastTradeorSettle",,"T")</f>
        <v>-2.9000000000000001E-2</v>
      </c>
      <c r="G93" s="119">
        <f>RTD("cqg.rtd",,"ContractData",A93,"NetLastTradeToday",,"T")</f>
        <v>-1.3000000000000001E-2</v>
      </c>
      <c r="H93" s="46">
        <f>RTD("cqg.rtd",,"ContractData",A93,"NetLastTradeToday",,"T")</f>
        <v>-1.3000000000000001E-2</v>
      </c>
      <c r="I93" s="47">
        <f>RTD("cqg.rtd", ,"ContractData",A93, "T_CVol")</f>
        <v>650</v>
      </c>
      <c r="J93" s="48"/>
      <c r="K93" s="79" t="str">
        <f>TEXT(RTD("cqg.rtd",,"StudyData",A93,  "Bar",, "Close", "D",,,,,,"T"),"#.000")&amp;" "&amp;"L"</f>
        <v>-.029 L</v>
      </c>
      <c r="L93" s="23" t="str">
        <f>TEXT(RTD("cqg.rtd",,"StudyData",A94,  "Bar",, "Close", "D",,,,,,"T"),"#.000")&amp;" "&amp;"L"</f>
        <v>.172 L</v>
      </c>
      <c r="M93" s="24" t="str">
        <f>TEXT(RTD("cqg.rtd",,"StudyData",A95,  "Bar",, "Close", "D",,,,,,"T"),"#.000")&amp;" "&amp;"L"</f>
        <v>.270 L</v>
      </c>
      <c r="N93" s="24" t="str">
        <f>TEXT(RTD("cqg.rtd",,"StudyData",A96,  "Bar",, "Close", "D",,,,,,"T"),"#.000")&amp;" "&amp;"L"</f>
        <v>.247 L</v>
      </c>
      <c r="O93" s="24" t="str">
        <f>TEXT(RTD("cqg.rtd",,"StudyData",A97,  "Bar",, "Close", "D",,,,,,"T"),"#.000")&amp;" "&amp;"L"</f>
        <v xml:space="preserve"> L</v>
      </c>
      <c r="P93" s="24" t="str">
        <f>TEXT(RTD("cqg.rtd",,"StudyData",A98,  "Bar",, "Close", "D",,,,,,"T"),"#.000")&amp;" "&amp;"L"</f>
        <v>-.018 L</v>
      </c>
      <c r="Q93" s="24" t="str">
        <f>TEXT(RTD("cqg.rtd",,"StudyData",A99,  "Bar",, "Close", "D",,,,,,"T"),"#.000")&amp;" "&amp;"L"</f>
        <v>-.065 L</v>
      </c>
      <c r="R93" s="24" t="str">
        <f>TEXT(RTD("cqg.rtd",,"StudyData",A100,  "Bar",, "Close", "D",,,,,,"T"),"#.000")&amp;" "&amp;"L"</f>
        <v xml:space="preserve"> L</v>
      </c>
      <c r="S93" s="24" t="str">
        <f>TEXT(RTD("cqg.rtd",,"StudyData",A101,  "Bar",, "Close", "D",,,,,,"T"),"#.000")&amp;" "&amp;"L"</f>
        <v xml:space="preserve"> L</v>
      </c>
      <c r="T93" s="24" t="str">
        <f>TEXT(RTD("cqg.rtd",,"StudyData",A102,  "Bar",, "Close", "D",,,,,,"T"),"#.000")&amp;" "&amp;"L"</f>
        <v xml:space="preserve"> L</v>
      </c>
      <c r="U93" s="24" t="str">
        <f>TEXT(RTD("cqg.rtd",,"StudyData",A103,  "Bar",, "Close", "D",,,,,,"T"),"#.000")&amp;" "&amp;"L"</f>
        <v xml:space="preserve"> L</v>
      </c>
      <c r="V93" s="24" t="str">
        <f>TEXT(RTD("cqg.rtd",,"StudyData",A104,  "Bar",, "Close", "D",,,,,,"T"),"#.000")&amp;" "&amp;"L"</f>
        <v xml:space="preserve"> L</v>
      </c>
      <c r="W93" s="54"/>
    </row>
    <row r="94" spans="1:23" ht="15" customHeight="1" x14ac:dyDescent="0.3">
      <c r="A94" s="8" t="str">
        <f>RTD("cqg.rtd",,"ContractData",'NGE5'!J17, "Symbol")</f>
        <v>NGES5Z7</v>
      </c>
      <c r="B94" s="78" t="str">
        <f>RIGHT(RTD("cqg.rtd",,"ContractData",A94, "LongDescription"),15)</f>
        <v xml:space="preserve"> Dec 17, May 18</v>
      </c>
      <c r="C94" s="118">
        <f>RTD("cqg.rtd", ,"ContractData",A94, "Open",,"T")</f>
        <v>0.17300000000000001</v>
      </c>
      <c r="D94" s="118">
        <f>RTD("cqg.rtd", ,"ContractData",A94, "High",,"T")</f>
        <v>0.18</v>
      </c>
      <c r="E94" s="118">
        <f>RTD("cqg.rtd", ,"ContractData",A94, "Low",,"T")</f>
        <v>0.16900000000000001</v>
      </c>
      <c r="F94" s="118">
        <f>RTD("cqg.rtd", ,"ContractData",A94, "LastTradeorSettle",,"T")</f>
        <v>0.17200000000000001</v>
      </c>
      <c r="G94" s="119">
        <f>RTD("cqg.rtd",,"ContractData",A94,"NetLastTradeToday",,"T")</f>
        <v>-0.02</v>
      </c>
      <c r="H94" s="46">
        <f>RTD("cqg.rtd",,"ContractData",A94,"NetLastTradeToday",,"T")</f>
        <v>-0.02</v>
      </c>
      <c r="I94" s="47">
        <f>RTD("cqg.rtd", ,"ContractData",A94, "T_CVol")</f>
        <v>45</v>
      </c>
      <c r="J94" s="48"/>
      <c r="K94" s="84"/>
      <c r="L94" s="84"/>
      <c r="M94" s="84"/>
      <c r="N94" s="84"/>
      <c r="O94" s="84"/>
      <c r="P94" s="84"/>
      <c r="Q94" s="84"/>
      <c r="R94" s="85"/>
      <c r="S94" s="54"/>
      <c r="T94" s="54"/>
      <c r="U94" s="54"/>
      <c r="V94" s="98"/>
      <c r="W94" s="54"/>
    </row>
    <row r="95" spans="1:23" ht="15" customHeight="1" x14ac:dyDescent="0.3">
      <c r="A95" s="8" t="str">
        <f>RTD("cqg.rtd",,"ContractData",'NGE5'!J18, "Symbol")</f>
        <v>NGES5F8</v>
      </c>
      <c r="B95" s="78" t="str">
        <f>RIGHT(RTD("cqg.rtd",,"ContractData",A95, "LongDescription"),15)</f>
        <v xml:space="preserve"> Jan 18, Jun 18</v>
      </c>
      <c r="C95" s="118">
        <f>RTD("cqg.rtd", ,"ContractData",A95, "Open",,"T")</f>
        <v>0.26600000000000001</v>
      </c>
      <c r="D95" s="118">
        <f>RTD("cqg.rtd", ,"ContractData",A95, "High",,"T")</f>
        <v>0.27</v>
      </c>
      <c r="E95" s="118">
        <f>RTD("cqg.rtd", ,"ContractData",A95, "Low",,"T")</f>
        <v>0.26600000000000001</v>
      </c>
      <c r="F95" s="118">
        <f>RTD("cqg.rtd", ,"ContractData",A95, "LastTradeorSettle",,"T")</f>
        <v>0.27</v>
      </c>
      <c r="G95" s="119">
        <f>RTD("cqg.rtd",,"ContractData",A95,"NetLastTradeToday",,"T")</f>
        <v>-2.1000000000000001E-2</v>
      </c>
      <c r="H95" s="46">
        <f>RTD("cqg.rtd",,"ContractData",A95,"NetLastTradeToday",,"T")</f>
        <v>-2.1000000000000001E-2</v>
      </c>
      <c r="I95" s="47">
        <f>RTD("cqg.rtd", ,"ContractData",A95, "T_CVol")</f>
        <v>8</v>
      </c>
      <c r="J95" s="48"/>
      <c r="K95" s="84"/>
      <c r="L95" s="84"/>
      <c r="M95" s="84"/>
      <c r="N95" s="84"/>
      <c r="O95" s="84"/>
      <c r="P95" s="84"/>
      <c r="Q95" s="84"/>
      <c r="R95" s="85"/>
      <c r="S95" s="54"/>
      <c r="T95" s="54"/>
      <c r="U95" s="54"/>
      <c r="V95" s="98"/>
      <c r="W95" s="54"/>
    </row>
    <row r="96" spans="1:23" ht="15" customHeight="1" x14ac:dyDescent="0.3">
      <c r="A96" s="8" t="str">
        <f>RTD("cqg.rtd",,"ContractData",'NGE5'!J19, "Symbol")</f>
        <v>NGES5G8</v>
      </c>
      <c r="B96" s="78" t="str">
        <f>RIGHT(RTD("cqg.rtd",,"ContractData",A96, "LongDescription"),15)</f>
        <v xml:space="preserve"> Feb 18, Jul 18</v>
      </c>
      <c r="C96" s="118">
        <f>RTD("cqg.rtd", ,"ContractData",A96, "Open",,"T")</f>
        <v>0.251</v>
      </c>
      <c r="D96" s="118">
        <f>RTD("cqg.rtd", ,"ContractData",A96, "High",,"T")</f>
        <v>0.251</v>
      </c>
      <c r="E96" s="118">
        <f>RTD("cqg.rtd", ,"ContractData",A96, "Low",,"T")</f>
        <v>0.247</v>
      </c>
      <c r="F96" s="118">
        <f>RTD("cqg.rtd", ,"ContractData",A96, "LastTradeorSettle",,"T")</f>
        <v>0.247</v>
      </c>
      <c r="G96" s="119">
        <f>RTD("cqg.rtd",,"ContractData",A96,"NetLastTradeToday",,"T")</f>
        <v>-2.1999999999999999E-2</v>
      </c>
      <c r="H96" s="46">
        <f>RTD("cqg.rtd",,"ContractData",A96,"NetLastTradeToday",,"T")</f>
        <v>-2.1999999999999999E-2</v>
      </c>
      <c r="I96" s="47">
        <f>RTD("cqg.rtd", ,"ContractData",A96, "T_CVol")</f>
        <v>4</v>
      </c>
      <c r="J96" s="48"/>
      <c r="K96" s="84"/>
      <c r="L96" s="84"/>
      <c r="M96" s="84"/>
      <c r="N96" s="84"/>
      <c r="O96" s="84"/>
      <c r="P96" s="84"/>
      <c r="Q96" s="84"/>
      <c r="R96" s="85"/>
      <c r="S96" s="54"/>
      <c r="T96" s="54"/>
      <c r="U96" s="54"/>
      <c r="V96" s="98"/>
      <c r="W96" s="54"/>
    </row>
    <row r="97" spans="1:33" ht="15" customHeight="1" x14ac:dyDescent="0.3">
      <c r="A97" s="8" t="str">
        <f>RTD("cqg.rtd",,"ContractData",'NGE5'!J20, "Symbol")</f>
        <v>NGES5H8</v>
      </c>
      <c r="B97" s="78" t="str">
        <f>RIGHT(RTD("cqg.rtd",,"ContractData",A97, "LongDescription"),15)</f>
        <v xml:space="preserve"> Mar 18, Aug 18</v>
      </c>
      <c r="C97" s="118" t="str">
        <f>RTD("cqg.rtd", ,"ContractData",A97, "Open",,"T")</f>
        <v/>
      </c>
      <c r="D97" s="118" t="str">
        <f>RTD("cqg.rtd", ,"ContractData",A97, "High",,"T")</f>
        <v/>
      </c>
      <c r="E97" s="118" t="str">
        <f>RTD("cqg.rtd", ,"ContractData",A97, "Low",,"T")</f>
        <v/>
      </c>
      <c r="F97" s="118" t="str">
        <f>RTD("cqg.rtd", ,"ContractData",A97, "LastTradeorSettle",,"T")</f>
        <v/>
      </c>
      <c r="G97" s="119" t="str">
        <f>RTD("cqg.rtd",,"ContractData",A97,"NetLastTradeToday",,"T")</f>
        <v/>
      </c>
      <c r="H97" s="46" t="str">
        <f>RTD("cqg.rtd",,"ContractData",A97,"NetLastTradeToday",,"T")</f>
        <v/>
      </c>
      <c r="I97" s="47">
        <f>RTD("cqg.rtd", ,"ContractData",A97, "T_CVol")</f>
        <v>0</v>
      </c>
      <c r="J97" s="48"/>
      <c r="K97" s="84"/>
      <c r="L97" s="84"/>
      <c r="M97" s="84"/>
      <c r="N97" s="84"/>
      <c r="O97" s="84"/>
      <c r="P97" s="84"/>
      <c r="Q97" s="84"/>
      <c r="R97" s="85"/>
      <c r="S97" s="54"/>
      <c r="T97" s="54"/>
      <c r="U97" s="54"/>
      <c r="V97" s="98"/>
      <c r="W97" s="54"/>
    </row>
    <row r="98" spans="1:33" ht="15" customHeight="1" x14ac:dyDescent="0.3">
      <c r="A98" s="8" t="str">
        <f>RTD("cqg.rtd",,"ContractData",'NGE5'!J21, "Symbol")</f>
        <v>NGES5J8</v>
      </c>
      <c r="B98" s="87" t="str">
        <f>RIGHT(RTD("cqg.rtd",,"ContractData",A98, "LongDescription"),15)</f>
        <v xml:space="preserve"> Apr 18, Sep 18</v>
      </c>
      <c r="C98" s="120">
        <f>RTD("cqg.rtd", ,"ContractData",A98, "Open",,"T")</f>
        <v>-1.8000000000000002E-2</v>
      </c>
      <c r="D98" s="120">
        <f>RTD("cqg.rtd", ,"ContractData",A98, "High",,"T")</f>
        <v>-1.7000000000000001E-2</v>
      </c>
      <c r="E98" s="120">
        <f>RTD("cqg.rtd", ,"ContractData",A98, "Low",,"T")</f>
        <v>-1.9E-2</v>
      </c>
      <c r="F98" s="120">
        <f>RTD("cqg.rtd", ,"ContractData",A98, "LastTradeorSettle",,"T")</f>
        <v>-1.8000000000000002E-2</v>
      </c>
      <c r="G98" s="119">
        <f>RTD("cqg.rtd",,"ContractData",A98,"NetLastTradeToday",,"T")</f>
        <v>-6.0000000000000001E-3</v>
      </c>
      <c r="H98" s="88">
        <f>RTD("cqg.rtd",,"ContractData",A98,"NetLastTradeToday",,"T")</f>
        <v>-6.0000000000000001E-3</v>
      </c>
      <c r="I98" s="47">
        <f>RTD("cqg.rtd", ,"ContractData",A98, "T_CVol")</f>
        <v>10</v>
      </c>
      <c r="J98" s="48"/>
      <c r="K98" s="84"/>
      <c r="L98" s="84"/>
      <c r="M98" s="84"/>
      <c r="N98" s="84"/>
      <c r="O98" s="84"/>
      <c r="P98" s="84"/>
      <c r="Q98" s="84"/>
      <c r="R98" s="85"/>
      <c r="S98" s="54"/>
      <c r="T98" s="54"/>
      <c r="U98" s="54"/>
      <c r="V98" s="98"/>
      <c r="W98" s="54"/>
    </row>
    <row r="99" spans="1:33" ht="15" customHeight="1" x14ac:dyDescent="0.3">
      <c r="A99" s="8" t="str">
        <f>RTD("cqg.rtd",,"ContractData",'NGE5'!J22, "Symbol")</f>
        <v>NGES5K8</v>
      </c>
      <c r="B99" s="87" t="str">
        <f>RIGHT(RTD("cqg.rtd",,"ContractData",A99, "LongDescription"),15)</f>
        <v xml:space="preserve"> May 18, Oct 18</v>
      </c>
      <c r="C99" s="120">
        <f>RTD("cqg.rtd", ,"ContractData",A99, "Open",,"T")</f>
        <v>-6.4000000000000001E-2</v>
      </c>
      <c r="D99" s="120">
        <f>RTD("cqg.rtd", ,"ContractData",A99, "High",,"T")</f>
        <v>-6.4000000000000001E-2</v>
      </c>
      <c r="E99" s="120">
        <f>RTD("cqg.rtd", ,"ContractData",A99, "Low",,"T")</f>
        <v>-6.5000000000000002E-2</v>
      </c>
      <c r="F99" s="120">
        <f>RTD("cqg.rtd", ,"ContractData",A99, "LastTradeorSettle",,"T")</f>
        <v>-6.5000000000000002E-2</v>
      </c>
      <c r="G99" s="121">
        <f>RTD("cqg.rtd",,"ContractData",A99,"NetLastTradeToday",,"T")</f>
        <v>-2E-3</v>
      </c>
      <c r="H99" s="88">
        <f>RTD("cqg.rtd",,"ContractData",A99,"NetLastTradeToday",,"T")</f>
        <v>-2E-3</v>
      </c>
      <c r="I99" s="47">
        <f>RTD("cqg.rtd", ,"ContractData",A99, "T_CVol")</f>
        <v>173</v>
      </c>
      <c r="J99" s="48"/>
      <c r="K99" s="84"/>
      <c r="L99" s="84"/>
      <c r="M99" s="84"/>
      <c r="N99" s="84"/>
      <c r="O99" s="84"/>
      <c r="P99" s="84"/>
      <c r="Q99" s="84"/>
      <c r="R99" s="85"/>
      <c r="S99" s="54"/>
      <c r="T99" s="54"/>
      <c r="U99" s="54"/>
      <c r="V99" s="98"/>
      <c r="W99" s="54"/>
    </row>
    <row r="100" spans="1:33" ht="15" customHeight="1" x14ac:dyDescent="0.3">
      <c r="A100" s="8" t="str">
        <f>RTD("cqg.rtd",,"ContractData",'NGE5'!J23, "Symbol")</f>
        <v>NGES5M8</v>
      </c>
      <c r="B100" s="87" t="str">
        <f>RIGHT(RTD("cqg.rtd",,"ContractData",A100, "LongDescription"),15)</f>
        <v xml:space="preserve"> Jun 18, Nov 18</v>
      </c>
      <c r="C100" s="120" t="str">
        <f>RTD("cqg.rtd", ,"ContractData",A100, "Open",,"T")</f>
        <v/>
      </c>
      <c r="D100" s="120" t="str">
        <f>RTD("cqg.rtd", ,"ContractData",A100, "High",,"T")</f>
        <v/>
      </c>
      <c r="E100" s="120" t="str">
        <f>RTD("cqg.rtd", ,"ContractData",A100, "Low",,"T")</f>
        <v/>
      </c>
      <c r="F100" s="120" t="str">
        <f>RTD("cqg.rtd", ,"ContractData",A100, "LastTradeorSettle",,"T")</f>
        <v/>
      </c>
      <c r="G100" s="119" t="str">
        <f>RTD("cqg.rtd",,"ContractData",A100,"NetLastTradeToday",,"T")</f>
        <v/>
      </c>
      <c r="H100" s="88" t="str">
        <f>RTD("cqg.rtd",,"ContractData",A100,"NetLastTradeToday",,"T")</f>
        <v/>
      </c>
      <c r="I100" s="47">
        <f>RTD("cqg.rtd", ,"ContractData",A100, "T_CVol")</f>
        <v>0</v>
      </c>
      <c r="J100" s="48"/>
      <c r="K100" s="84"/>
      <c r="L100" s="84"/>
      <c r="M100" s="84"/>
      <c r="N100" s="84"/>
      <c r="O100" s="84"/>
      <c r="P100" s="84"/>
      <c r="Q100" s="84"/>
      <c r="R100" s="85"/>
      <c r="S100" s="54"/>
      <c r="T100" s="54"/>
      <c r="U100" s="54"/>
      <c r="V100" s="98"/>
      <c r="W100" s="54"/>
    </row>
    <row r="101" spans="1:33" ht="15" customHeight="1" x14ac:dyDescent="0.3">
      <c r="A101" s="8" t="str">
        <f>RTD("cqg.rtd",,"ContractData",'NGE5'!J24, "Symbol")</f>
        <v>NGES5N8</v>
      </c>
      <c r="B101" s="87" t="str">
        <f>RIGHT(RTD("cqg.rtd",,"ContractData",A101, "LongDescription"),15)</f>
        <v xml:space="preserve"> Jul 18, Dec 18</v>
      </c>
      <c r="C101" s="120" t="str">
        <f>RTD("cqg.rtd", ,"ContractData",A101, "Open",,"T")</f>
        <v/>
      </c>
      <c r="D101" s="120" t="str">
        <f>RTD("cqg.rtd", ,"ContractData",A101, "High",,"T")</f>
        <v/>
      </c>
      <c r="E101" s="120" t="str">
        <f>RTD("cqg.rtd", ,"ContractData",A101, "Low",,"T")</f>
        <v/>
      </c>
      <c r="F101" s="120" t="str">
        <f>RTD("cqg.rtd", ,"ContractData",A101, "LastTradeorSettle",,"T")</f>
        <v/>
      </c>
      <c r="G101" s="121" t="str">
        <f>RTD("cqg.rtd",,"ContractData",A101,"NetLastTradeToday",,"T")</f>
        <v/>
      </c>
      <c r="H101" s="88" t="str">
        <f>RTD("cqg.rtd",,"ContractData",A101,"NetLastTradeToday",,"T")</f>
        <v/>
      </c>
      <c r="I101" s="47">
        <f>RTD("cqg.rtd", ,"ContractData",A101, "T_CVol")</f>
        <v>0</v>
      </c>
      <c r="J101" s="48"/>
      <c r="K101" s="84"/>
      <c r="L101" s="84"/>
      <c r="M101" s="84"/>
      <c r="N101" s="84"/>
      <c r="O101" s="84"/>
      <c r="P101" s="84"/>
      <c r="Q101" s="84"/>
      <c r="R101" s="85"/>
      <c r="S101" s="54"/>
      <c r="T101" s="54"/>
      <c r="U101" s="54"/>
      <c r="V101" s="98"/>
      <c r="W101" s="54"/>
    </row>
    <row r="102" spans="1:33" ht="15" customHeight="1" x14ac:dyDescent="0.3">
      <c r="A102" s="8" t="str">
        <f>RTD("cqg.rtd",,"ContractData",'NGE5'!J25, "Symbol")</f>
        <v>NGES5Q8</v>
      </c>
      <c r="B102" s="87" t="str">
        <f>RIGHT(RTD("cqg.rtd",,"ContractData",A102, "LongDescription"),15)</f>
        <v xml:space="preserve"> Aug 18, Jan 19</v>
      </c>
      <c r="C102" s="120" t="str">
        <f>RTD("cqg.rtd", ,"ContractData",A102, "Open",,"T")</f>
        <v/>
      </c>
      <c r="D102" s="120" t="str">
        <f>RTD("cqg.rtd", ,"ContractData",A102, "High",,"T")</f>
        <v/>
      </c>
      <c r="E102" s="120" t="str">
        <f>RTD("cqg.rtd", ,"ContractData",A102, "Low",,"T")</f>
        <v/>
      </c>
      <c r="F102" s="120" t="str">
        <f>RTD("cqg.rtd", ,"ContractData",A102, "LastTradeorSettle",,"T")</f>
        <v/>
      </c>
      <c r="G102" s="121" t="str">
        <f>RTD("cqg.rtd",,"ContractData",A102,"NetLastTradeToday",,"T")</f>
        <v/>
      </c>
      <c r="H102" s="88" t="str">
        <f>RTD("cqg.rtd",,"ContractData",A102,"NetLastTradeToday",,"T")</f>
        <v/>
      </c>
      <c r="I102" s="47">
        <f>RTD("cqg.rtd", ,"ContractData",A102, "T_CVol")</f>
        <v>0</v>
      </c>
      <c r="J102" s="48"/>
      <c r="K102" s="84"/>
      <c r="L102" s="84"/>
      <c r="M102" s="84"/>
      <c r="N102" s="84"/>
      <c r="O102" s="84"/>
      <c r="P102" s="84"/>
      <c r="Q102" s="84"/>
      <c r="R102" s="85"/>
      <c r="S102" s="54"/>
      <c r="T102" s="54"/>
      <c r="U102" s="54"/>
      <c r="V102" s="98"/>
      <c r="W102" s="54"/>
    </row>
    <row r="103" spans="1:33" ht="15" customHeight="1" x14ac:dyDescent="0.3">
      <c r="A103" s="8" t="str">
        <f>RTD("cqg.rtd",,"ContractData",'NGE5'!J26, "Symbol")</f>
        <v>NGES5U8</v>
      </c>
      <c r="B103" s="87" t="str">
        <f>RIGHT(RTD("cqg.rtd",,"ContractData",A103, "LongDescription"),15)</f>
        <v xml:space="preserve"> Sep 18, Feb 19</v>
      </c>
      <c r="C103" s="120" t="str">
        <f>RTD("cqg.rtd", ,"ContractData",A103, "Open",,"T")</f>
        <v/>
      </c>
      <c r="D103" s="120" t="str">
        <f>RTD("cqg.rtd", ,"ContractData",A103, "High",,"T")</f>
        <v/>
      </c>
      <c r="E103" s="120" t="str">
        <f>RTD("cqg.rtd", ,"ContractData",A103, "Low",,"T")</f>
        <v/>
      </c>
      <c r="F103" s="120" t="str">
        <f>RTD("cqg.rtd", ,"ContractData",A103, "LastTradeorSettle",,"T")</f>
        <v/>
      </c>
      <c r="G103" s="121" t="str">
        <f>RTD("cqg.rtd",,"ContractData",A103,"NetLastTradeToday",,"T")</f>
        <v/>
      </c>
      <c r="H103" s="88" t="str">
        <f>RTD("cqg.rtd",,"ContractData",A103,"NetLastTradeToday",,"T")</f>
        <v/>
      </c>
      <c r="I103" s="47">
        <f>RTD("cqg.rtd", ,"ContractData",A103, "T_CVol")</f>
        <v>0</v>
      </c>
      <c r="J103" s="48"/>
      <c r="K103" s="84"/>
      <c r="L103" s="84"/>
      <c r="M103" s="84"/>
      <c r="N103" s="84"/>
      <c r="O103" s="84"/>
      <c r="P103" s="84"/>
      <c r="Q103" s="84"/>
      <c r="R103" s="85"/>
      <c r="S103" s="54"/>
      <c r="T103" s="54"/>
      <c r="U103" s="54"/>
      <c r="V103" s="98"/>
      <c r="W103" s="54"/>
    </row>
    <row r="104" spans="1:33" ht="15" customHeight="1" x14ac:dyDescent="0.3">
      <c r="A104" s="8" t="str">
        <f>RTD("cqg.rtd",,"ContractData",'NGE5'!J27, "Symbol")</f>
        <v>NGES5V8</v>
      </c>
      <c r="B104" s="87" t="str">
        <f>RIGHT(RTD("cqg.rtd",,"ContractData",A104, "LongDescription"),15)</f>
        <v xml:space="preserve"> Oct 18, Mar 19</v>
      </c>
      <c r="C104" s="120" t="str">
        <f>RTD("cqg.rtd", ,"ContractData",A104, "Open",,"T")</f>
        <v/>
      </c>
      <c r="D104" s="120" t="str">
        <f>RTD("cqg.rtd", ,"ContractData",A104, "High",,"T")</f>
        <v/>
      </c>
      <c r="E104" s="120" t="str">
        <f>RTD("cqg.rtd", ,"ContractData",A104, "Low",,"T")</f>
        <v/>
      </c>
      <c r="F104" s="120" t="str">
        <f>RTD("cqg.rtd", ,"ContractData",A104, "LastTradeorSettle",,"T")</f>
        <v/>
      </c>
      <c r="G104" s="121" t="str">
        <f>RTD("cqg.rtd",,"ContractData",A104,"NetLastTradeToday",,"T")</f>
        <v/>
      </c>
      <c r="H104" s="88" t="str">
        <f>RTD("cqg.rtd",,"ContractData",A104,"NetLastTradeToday",,"T")</f>
        <v/>
      </c>
      <c r="I104" s="91">
        <f>RTD("cqg.rtd", ,"ContractData",A104, "T_CVol")</f>
        <v>0</v>
      </c>
      <c r="J104" s="48"/>
      <c r="K104" s="84"/>
      <c r="L104" s="84"/>
      <c r="M104" s="84"/>
      <c r="N104" s="84"/>
      <c r="O104" s="84"/>
      <c r="P104" s="84"/>
      <c r="Q104" s="84"/>
      <c r="R104" s="85"/>
      <c r="S104" s="54"/>
      <c r="T104" s="54"/>
      <c r="U104" s="54"/>
      <c r="V104" s="98"/>
      <c r="W104" s="54"/>
    </row>
    <row r="105" spans="1:33" ht="12" customHeight="1" x14ac:dyDescent="0.3">
      <c r="B105" s="99"/>
      <c r="C105" s="100"/>
      <c r="D105" s="61"/>
      <c r="E105" s="62"/>
      <c r="F105" s="63"/>
      <c r="G105" s="62"/>
      <c r="H105" s="64"/>
      <c r="I105" s="62"/>
      <c r="J105" s="65"/>
      <c r="K105" s="84"/>
      <c r="L105" s="84"/>
      <c r="M105" s="84"/>
      <c r="N105" s="84"/>
      <c r="O105" s="84"/>
      <c r="P105" s="84"/>
      <c r="Q105" s="84"/>
      <c r="R105" s="85"/>
      <c r="S105" s="54"/>
      <c r="T105" s="54"/>
      <c r="U105" s="54"/>
      <c r="V105" s="98"/>
      <c r="W105" s="54"/>
    </row>
    <row r="106" spans="1:33" ht="15" hidden="1" customHeight="1" x14ac:dyDescent="0.2">
      <c r="B106" s="101"/>
      <c r="C106" s="102"/>
      <c r="D106" s="102"/>
      <c r="E106" s="103"/>
      <c r="F106" s="103"/>
      <c r="G106" s="103"/>
      <c r="H106" s="104"/>
      <c r="I106" s="104"/>
      <c r="J106" s="105"/>
      <c r="K106" s="106"/>
      <c r="L106" s="107"/>
      <c r="M106" s="107"/>
      <c r="N106" s="107"/>
      <c r="O106" s="107"/>
      <c r="P106" s="107"/>
      <c r="Q106" s="107"/>
      <c r="R106" s="108"/>
      <c r="S106" s="108"/>
      <c r="T106" s="108"/>
      <c r="U106" s="54"/>
      <c r="V106" s="98"/>
      <c r="W106" s="54"/>
      <c r="AB106" s="11">
        <f>RTD("cqg.rtd", ,"ContractData",AD106, "T_CVol")</f>
        <v>12795</v>
      </c>
      <c r="AD106" s="11" t="str">
        <f>NGE!V2</f>
        <v>NGES1X7</v>
      </c>
      <c r="AE106" s="11" t="e">
        <f>RTD("cqg.rtd",,"StudyData",AG106, "Vol", "VolType=auto,CoCType=Contract", "Vol","D","0","ALL",,,"TRUE","T")</f>
        <v>#REF!</v>
      </c>
      <c r="AG106" s="11" t="e">
        <f>#REF!</f>
        <v>#REF!</v>
      </c>
    </row>
    <row r="107" spans="1:33" ht="15.95" hidden="1" customHeight="1" x14ac:dyDescent="0.2">
      <c r="B107" s="109"/>
      <c r="C107" s="307"/>
      <c r="D107" s="307"/>
      <c r="E107" s="307"/>
      <c r="F107" s="307"/>
      <c r="G107" s="307"/>
      <c r="H107" s="307"/>
      <c r="I107" s="308"/>
      <c r="J107" s="308"/>
      <c r="K107" s="308"/>
      <c r="L107" s="110"/>
      <c r="M107" s="111"/>
      <c r="N107" s="299"/>
      <c r="O107" s="299"/>
      <c r="P107" s="309"/>
      <c r="Q107" s="309"/>
      <c r="R107" s="298"/>
      <c r="S107" s="298"/>
      <c r="T107" s="111"/>
      <c r="U107" s="299"/>
      <c r="V107" s="300"/>
      <c r="W107" s="54"/>
      <c r="AB107" s="11">
        <f>RTD("cqg.rtd", ,"ContractData",AD107, "T_CVol")</f>
        <v>4541</v>
      </c>
      <c r="AD107" s="11" t="str">
        <f>NGE!V3</f>
        <v>NGES1Z7</v>
      </c>
      <c r="AE107" s="11" t="e">
        <f>RTD("cqg.rtd",,"StudyData",AG107, "Vol", "VolType=auto,CoCType=Contract", "Vol","D","0","ALL",,,"TRUE","T")</f>
        <v>#REF!</v>
      </c>
      <c r="AG107" s="11" t="e">
        <f>#REF!</f>
        <v>#REF!</v>
      </c>
    </row>
    <row r="108" spans="1:33" ht="12" hidden="1" customHeight="1" x14ac:dyDescent="0.3">
      <c r="A108" s="8" t="str">
        <f>RTD("cqg.rtd",,"ContractData","NGES6?"&amp;'NGE6'!R35, "Symbol")</f>
        <v>NGES6X7</v>
      </c>
      <c r="B108" s="305"/>
      <c r="C108" s="306"/>
      <c r="D108" s="61"/>
      <c r="E108" s="62"/>
      <c r="F108" s="63"/>
      <c r="G108" s="62"/>
      <c r="H108" s="64"/>
      <c r="I108" s="62"/>
      <c r="J108" s="65"/>
      <c r="O108" s="84"/>
      <c r="P108" s="84"/>
      <c r="Q108" s="84"/>
      <c r="W108" s="54"/>
      <c r="AB108" s="11">
        <f>RTD("cqg.rtd", ,"ContractData",AD108, "T_CVol")</f>
        <v>742</v>
      </c>
      <c r="AD108" s="11" t="str">
        <f>NGE!V4</f>
        <v>NGES1F8</v>
      </c>
      <c r="AE108" s="11" t="e">
        <f>RTD("cqg.rtd",,"StudyData",AG108, "Vol", "VolType=auto,CoCType=Contract", "Vol","D","0","ALL",,,"TRUE","T")</f>
        <v>#REF!</v>
      </c>
      <c r="AG108" s="11" t="e">
        <f>#REF!</f>
        <v>#REF!</v>
      </c>
    </row>
    <row r="109" spans="1:33" ht="15.95" customHeight="1" x14ac:dyDescent="0.2">
      <c r="B109" s="301" t="s">
        <v>41</v>
      </c>
      <c r="C109" s="302"/>
      <c r="D109" s="302"/>
      <c r="E109" s="302"/>
      <c r="F109" s="302"/>
      <c r="G109" s="302"/>
      <c r="H109" s="302"/>
      <c r="I109" s="302"/>
      <c r="K109" s="71" t="str">
        <f>B112</f>
        <v xml:space="preserve"> Nov 17, May 18</v>
      </c>
      <c r="L109" s="96" t="str">
        <f>B113</f>
        <v xml:space="preserve"> Dec 17, Jun 18</v>
      </c>
      <c r="M109" s="96" t="str">
        <f>B114</f>
        <v xml:space="preserve"> Jan 18, Jul 18</v>
      </c>
      <c r="N109" s="96" t="str">
        <f>B115</f>
        <v xml:space="preserve"> Feb 18, Aug 18</v>
      </c>
      <c r="O109" s="96" t="str">
        <f>B116</f>
        <v xml:space="preserve"> Mar 18, Sep 18</v>
      </c>
      <c r="P109" s="96" t="str">
        <f>B117</f>
        <v xml:space="preserve"> Apr 18, Oct 18</v>
      </c>
      <c r="Q109" s="96" t="str">
        <f>B118</f>
        <v xml:space="preserve"> May 18, Nov 18</v>
      </c>
      <c r="R109" s="96" t="str">
        <f>B119</f>
        <v xml:space="preserve"> Jun 18, Dec 18</v>
      </c>
      <c r="S109" s="96" t="str">
        <f>B120</f>
        <v xml:space="preserve"> Jul 18, Jan 19</v>
      </c>
      <c r="T109" s="96" t="str">
        <f>B121</f>
        <v xml:space="preserve"> Aug 18, Feb 19</v>
      </c>
      <c r="U109" s="96" t="str">
        <f>B122</f>
        <v xml:space="preserve"> Sep 18, Mar 19</v>
      </c>
      <c r="V109" s="96" t="str">
        <f>B123</f>
        <v xml:space="preserve"> Oct 18, Apr 19</v>
      </c>
      <c r="W109" s="54"/>
      <c r="AB109" s="11">
        <f>RTD("cqg.rtd", ,"ContractData",AD109, "T_CVol")</f>
        <v>1946</v>
      </c>
      <c r="AD109" s="11" t="str">
        <f>NGE!V5</f>
        <v>NGES1G8</v>
      </c>
      <c r="AE109" s="11" t="e">
        <f>RTD("cqg.rtd",,"StudyData",AG109, "Vol", "VolType=auto,CoCType=Contract", "Vol","D","0","ALL",,,"TRUE","T")</f>
        <v>#REF!</v>
      </c>
      <c r="AG109" s="11" t="e">
        <f>#REF!</f>
        <v>#REF!</v>
      </c>
    </row>
    <row r="110" spans="1:33" ht="15.95" customHeight="1" x14ac:dyDescent="0.3">
      <c r="B110" s="303"/>
      <c r="C110" s="304"/>
      <c r="D110" s="304"/>
      <c r="E110" s="304"/>
      <c r="F110" s="304"/>
      <c r="G110" s="304"/>
      <c r="H110" s="304"/>
      <c r="I110" s="304"/>
      <c r="K110" s="73" t="str">
        <f>TEXT(RTD("cqg.rtd",,"ContractData",A112,"Ask",,"T"),"#.000")&amp;" "&amp;"A"</f>
        <v>-.003 A</v>
      </c>
      <c r="L110" s="23" t="str">
        <f>TEXT(RTD("cqg.rtd",,"ContractData",A113,"Ask",,"T"),"#.000")&amp;" "&amp;"A"</f>
        <v>.142 A</v>
      </c>
      <c r="M110" s="24" t="str">
        <f>TEXT(RTD("cqg.rtd",,"ContractData",A114,"Ask",,"T"),"#.000")&amp;" "&amp;"A"</f>
        <v>.241 A</v>
      </c>
      <c r="N110" s="24" t="str">
        <f>TEXT(RTD("cqg.rtd",,"ContractData",A115,"Ask",,"T"),"#.000")&amp;" "&amp;"A"</f>
        <v>.244 A</v>
      </c>
      <c r="O110" s="24" t="str">
        <f>TEXT(RTD("cqg.rtd",,"ContractData",A116,"Ask",,"T"),"#.000")&amp;" "&amp;"A"</f>
        <v>.221 A</v>
      </c>
      <c r="P110" s="24" t="str">
        <f>TEXT(RTD("cqg.rtd",,"ContractData",A117,"Ask",,"T"),"#.000")&amp;" "&amp;"A"</f>
        <v>-.040 A</v>
      </c>
      <c r="Q110" s="24" t="str">
        <f>TEXT(RTD("cqg.rtd",,"ContractData",A118,"Ask",,"T"),"#.000")&amp;" "&amp;"A"</f>
        <v>-.117 A</v>
      </c>
      <c r="R110" s="24" t="str">
        <f>TEXT(RTD("cqg.rtd",,"ContractData",A119,"Ask",,"T"),"#.000")&amp;" "&amp;"A"</f>
        <v>-.223 A</v>
      </c>
      <c r="S110" s="24" t="str">
        <f>TEXT(RTD("cqg.rtd",,"ContractData",A120,"Ask",,"T"),"#.000")&amp;" "&amp;"A"</f>
        <v>-.280 A</v>
      </c>
      <c r="T110" s="24" t="str">
        <f>TEXT(RTD("cqg.rtd",,"ContractData",A121,"Ask",,"T"),"#.000")&amp;" "&amp;"A"</f>
        <v>-.251 A</v>
      </c>
      <c r="U110" s="24" t="str">
        <f>TEXT(RTD("cqg.rtd",,"ContractData",A122,"Ask",,"T"),"#.000")&amp;" "&amp;"A"</f>
        <v>-.196 A</v>
      </c>
      <c r="V110" s="24" t="str">
        <f>TEXT(RTD("cqg.rtd",,"ContractData",A123,"Ask",,"T"),"#.000")&amp;" "&amp;"A"</f>
        <v>.222 A</v>
      </c>
      <c r="W110" s="54"/>
      <c r="AB110" s="11">
        <f>RTD("cqg.rtd", ,"ContractData",AD110, "T_CVol")</f>
        <v>1772</v>
      </c>
      <c r="AD110" s="11" t="str">
        <f>NGE!V6</f>
        <v>NGES1H8</v>
      </c>
      <c r="AE110" s="11" t="e">
        <f>RTD("cqg.rtd",,"StudyData",AG110, "Vol", "VolType=auto,CoCType=Contract", "Vol","D","0","ALL",,,"TRUE","T")</f>
        <v>#REF!</v>
      </c>
      <c r="AG110" s="11" t="e">
        <f>#REF!</f>
        <v>#REF!</v>
      </c>
    </row>
    <row r="111" spans="1:33" ht="15" customHeight="1" x14ac:dyDescent="0.3">
      <c r="A111" s="8" t="str">
        <f>RTD("cqg.rtd",,"ContractData","NGES6?"&amp;'NGE6'!R35, "Symbol")</f>
        <v>NGES6X7</v>
      </c>
      <c r="B111" s="74" t="s">
        <v>16</v>
      </c>
      <c r="C111" s="37" t="s">
        <v>9</v>
      </c>
      <c r="D111" s="37" t="s">
        <v>10</v>
      </c>
      <c r="E111" s="37" t="s">
        <v>11</v>
      </c>
      <c r="F111" s="37" t="s">
        <v>8</v>
      </c>
      <c r="G111" s="37" t="s">
        <v>12</v>
      </c>
      <c r="H111" s="37" t="s">
        <v>12</v>
      </c>
      <c r="I111" s="75" t="s">
        <v>13</v>
      </c>
      <c r="K111" s="77" t="str">
        <f>TEXT(RTD("cqg.rtd",,"ContractData",A112,"Bid",,"T"),"#.000")&amp;" "&amp;"B"</f>
        <v>-.005 B</v>
      </c>
      <c r="L111" s="23" t="str">
        <f>TEXT(RTD("cqg.rtd",,"ContractData",A113,"Bid",,"T"),"#.000")&amp;" "&amp;"B"</f>
        <v>.138 B</v>
      </c>
      <c r="M111" s="24" t="str">
        <f>TEXT(RTD("cqg.rtd",,"ContractData",A114,"Bid",,"T"),"#.000")&amp;" "&amp;"B"</f>
        <v>.237 B</v>
      </c>
      <c r="N111" s="24" t="str">
        <f>TEXT(RTD("cqg.rtd",,"ContractData",A115,"Bid",,"T"),"#.000")&amp;" "&amp;"B"</f>
        <v>.240 B</v>
      </c>
      <c r="O111" s="24" t="str">
        <f>TEXT(RTD("cqg.rtd",,"ContractData",A116,"Bid",,"T"),"#.000")&amp;" "&amp;"B"</f>
        <v>.218 B</v>
      </c>
      <c r="P111" s="24" t="str">
        <f>TEXT(RTD("cqg.rtd",,"ContractData",A117,"Bid",,"T"),"#.000")&amp;" "&amp;"B"</f>
        <v>-.041 B</v>
      </c>
      <c r="Q111" s="24" t="str">
        <f>TEXT(RTD("cqg.rtd",,"ContractData",A118,"Bid",,"T"),"#.000")&amp;" "&amp;"B"</f>
        <v>-.120 B</v>
      </c>
      <c r="R111" s="24" t="str">
        <f>TEXT(RTD("cqg.rtd",,"ContractData",A119,"Bid",,"T"),"#.000")&amp;" "&amp;"B"</f>
        <v>-.228 B</v>
      </c>
      <c r="S111" s="24" t="str">
        <f>TEXT(RTD("cqg.rtd",,"ContractData",A120,"Bid",,"T"),"#.000")&amp;" "&amp;"B"</f>
        <v>-.285 B</v>
      </c>
      <c r="T111" s="24" t="str">
        <f>TEXT(RTD("cqg.rtd",,"ContractData",A121,"Bid",,"T"),"#.000")&amp;" "&amp;"B"</f>
        <v>-.260 B</v>
      </c>
      <c r="U111" s="24" t="str">
        <f>TEXT(RTD("cqg.rtd",,"ContractData",A122,"Bid",,"T"),"#.000")&amp;" "&amp;"B"</f>
        <v>-.205 B</v>
      </c>
      <c r="V111" s="24" t="str">
        <f>TEXT(RTD("cqg.rtd",,"ContractData",A123,"Bid",,"T"),"#.000")&amp;" "&amp;"B"</f>
        <v>.203 B</v>
      </c>
      <c r="W111" s="54"/>
      <c r="AB111" s="11">
        <f>RTD("cqg.rtd", ,"ContractData",AD111, "T_CVol")</f>
        <v>1101</v>
      </c>
      <c r="AD111" s="11" t="str">
        <f>NGE!V7</f>
        <v>NGES1J8</v>
      </c>
      <c r="AE111" s="11" t="e">
        <f>RTD("cqg.rtd",,"StudyData",AG111, "Vol", "VolType=auto,CoCType=Contract", "Vol","D","0","ALL",,,"TRUE","T")</f>
        <v>#REF!</v>
      </c>
      <c r="AG111" s="11" t="e">
        <f>#REF!</f>
        <v>#REF!</v>
      </c>
    </row>
    <row r="112" spans="1:33" ht="15" customHeight="1" x14ac:dyDescent="0.3">
      <c r="A112" s="8" t="str">
        <f>RTD("cqg.rtd",,"ContractData",'NGE6'!J16, "Symbol")</f>
        <v>NGES6X7</v>
      </c>
      <c r="B112" s="78" t="str">
        <f>RIGHT(RTD("cqg.rtd",,"ContractData",A112, "LongDescription"),15)</f>
        <v xml:space="preserve"> Nov 17, May 18</v>
      </c>
      <c r="C112" s="118">
        <f>RTD("cqg.rtd", ,"ContractData",A112, "Open",,"T")</f>
        <v>3.0000000000000001E-3</v>
      </c>
      <c r="D112" s="118">
        <f>RTD("cqg.rtd", ,"ContractData",A112, "High",,"T")</f>
        <v>8.0000000000000002E-3</v>
      </c>
      <c r="E112" s="118">
        <f>RTD("cqg.rtd", ,"ContractData",A112, "Low",,"T")</f>
        <v>-6.0000000000000001E-3</v>
      </c>
      <c r="F112" s="118">
        <f>RTD("cqg.rtd", ,"ContractData",A112, "LastTradeorSettle",,"T")</f>
        <v>-5.0000000000000001E-3</v>
      </c>
      <c r="G112" s="119">
        <f>RTD("cqg.rtd",,"ContractData",A112,"NetLastTradeToday",,"T")</f>
        <v>-1.7000000000000001E-2</v>
      </c>
      <c r="H112" s="46">
        <f>RTD("cqg.rtd",,"ContractData",A112,"NetLastTradeToday",,"T")</f>
        <v>-1.7000000000000001E-2</v>
      </c>
      <c r="I112" s="47">
        <f>RTD("cqg.rtd", ,"ContractData",A112, "T_CVol")</f>
        <v>62</v>
      </c>
      <c r="K112" s="79" t="str">
        <f>TEXT(RTD("cqg.rtd",,"StudyData",A112,  "Bar",, "Close", "D",,,,,,"T"),"#.000")&amp;" "&amp;"L"</f>
        <v>-.005 L</v>
      </c>
      <c r="L112" s="23" t="str">
        <f>TEXT(RTD("cqg.rtd",,"StudyData",A113,  "Bar",, "Close", "D",,,,,,"T"),"#.000")&amp;" "&amp;"L"</f>
        <v>.143 L</v>
      </c>
      <c r="M112" s="24" t="str">
        <f>TEXT(RTD("cqg.rtd",,"StudyData",A114,  "Bar",, "Close", "D",,,,,,"T"),"#.000")&amp;" "&amp;"L"</f>
        <v>.243 L</v>
      </c>
      <c r="N112" s="24" t="str">
        <f>TEXT(RTD("cqg.rtd",,"StudyData",A115,  "Bar",, "Close", "D",,,,,,"T"),"#.000")&amp;" "&amp;"L"</f>
        <v>.244 L</v>
      </c>
      <c r="O112" s="24" t="str">
        <f>TEXT(RTD("cqg.rtd",,"StudyData",A116,  "Bar",, "Close", "D",,,,,,"T"),"#.000")&amp;" "&amp;"L"</f>
        <v xml:space="preserve"> L</v>
      </c>
      <c r="P112" s="24" t="str">
        <f>TEXT(RTD("cqg.rtd",,"StudyData",A117,  "Bar",, "Close", "D",,,,,,"T"),"#.000")&amp;" "&amp;"L"</f>
        <v>-.041 L</v>
      </c>
      <c r="Q112" s="24" t="str">
        <f>TEXT(RTD("cqg.rtd",,"StudyData",A118,  "Bar",, "Close", "D",,,,,,"T"),"#.000")&amp;" "&amp;"L"</f>
        <v xml:space="preserve"> L</v>
      </c>
      <c r="R112" s="24" t="str">
        <f>TEXT(RTD("cqg.rtd",,"StudyData",A119,  "Bar",, "Close", "D",,,,,,"T"),"#.000")&amp;" "&amp;"L"</f>
        <v xml:space="preserve"> L</v>
      </c>
      <c r="S112" s="24" t="str">
        <f>TEXT(RTD("cqg.rtd",,"StudyData",A120,  "Bar",, "Close", "D",,,,,,"T"),"#.000")&amp;" "&amp;"L"</f>
        <v xml:space="preserve"> L</v>
      </c>
      <c r="T112" s="24" t="str">
        <f>TEXT(RTD("cqg.rtd",,"StudyData",A121,  "Bar",, "Close", "D",,,,,,"T"),"#.000")&amp;" "&amp;"L"</f>
        <v xml:space="preserve"> L</v>
      </c>
      <c r="U112" s="24" t="str">
        <f>TEXT(RTD("cqg.rtd",,"StudyData",A122,  "Bar",, "Close", "D",,,,,,"T"),"#.000")&amp;" "&amp;"L"</f>
        <v xml:space="preserve"> L</v>
      </c>
      <c r="V112" s="24" t="str">
        <f>TEXT(RTD("cqg.rtd",,"StudyData",A123,  "Bar",, "Close", "D",,,,,,"T"),"#.000")&amp;" "&amp;"L"</f>
        <v xml:space="preserve"> L</v>
      </c>
      <c r="W112" s="54"/>
      <c r="AB112" s="11">
        <f>RTD("cqg.rtd", ,"ContractData",AD112, "T_CVol")</f>
        <v>51</v>
      </c>
      <c r="AD112" s="11" t="str">
        <f>NGE!V8</f>
        <v>NGES1K8</v>
      </c>
      <c r="AE112" s="11" t="e">
        <f>RTD("cqg.rtd",,"StudyData",AG112, "Vol", "VolType=auto,CoCType=Contract", "Vol","D","0","ALL",,,"TRUE","T")</f>
        <v>#REF!</v>
      </c>
      <c r="AG112" s="11" t="e">
        <f>#REF!</f>
        <v>#REF!</v>
      </c>
    </row>
    <row r="113" spans="1:35" s="114" customFormat="1" ht="15" customHeight="1" x14ac:dyDescent="0.3">
      <c r="A113" s="8" t="str">
        <f>RTD("cqg.rtd",,"ContractData",'NGE6'!J17, "Symbol")</f>
        <v>NGES6Z7</v>
      </c>
      <c r="B113" s="78" t="str">
        <f>RIGHT(RTD("cqg.rtd",,"ContractData",A113, "LongDescription"),15)</f>
        <v xml:space="preserve"> Dec 17, Jun 18</v>
      </c>
      <c r="C113" s="118">
        <f>RTD("cqg.rtd", ,"ContractData",A113, "Open",,"T")</f>
        <v>0.14300000000000002</v>
      </c>
      <c r="D113" s="118">
        <f>RTD("cqg.rtd", ,"ContractData",A113, "High",,"T")</f>
        <v>0.14300000000000002</v>
      </c>
      <c r="E113" s="118">
        <f>RTD("cqg.rtd", ,"ContractData",A113, "Low",,"T")</f>
        <v>0.14300000000000002</v>
      </c>
      <c r="F113" s="118">
        <f>RTD("cqg.rtd", ,"ContractData",A113, "LastTradeorSettle",,"T")</f>
        <v>0.14300000000000002</v>
      </c>
      <c r="G113" s="119">
        <f>RTD("cqg.rtd",,"ContractData",A113,"NetLastTradeToday",,"T")</f>
        <v>-2.1000000000000001E-2</v>
      </c>
      <c r="H113" s="46">
        <f>RTD("cqg.rtd",,"ContractData",A113,"NetLastTradeToday",,"T")</f>
        <v>-2.1000000000000001E-2</v>
      </c>
      <c r="I113" s="47">
        <f>RTD("cqg.rtd", ,"ContractData",A113, "T_CVol")</f>
        <v>1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12"/>
      <c r="X113" s="112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</row>
    <row r="114" spans="1:35" ht="15" customHeight="1" x14ac:dyDescent="0.3">
      <c r="A114" s="8" t="str">
        <f>RTD("cqg.rtd",,"ContractData",'NGE6'!J18, "Symbol")</f>
        <v>NGES6F8</v>
      </c>
      <c r="B114" s="78" t="str">
        <f>RIGHT(RTD("cqg.rtd",,"ContractData",A114, "LongDescription"),15)</f>
        <v xml:space="preserve"> Jan 18, Jul 18</v>
      </c>
      <c r="C114" s="118">
        <f>RTD("cqg.rtd", ,"ContractData",A114, "Open",,"T")</f>
        <v>0.24199999999999999</v>
      </c>
      <c r="D114" s="118">
        <f>RTD("cqg.rtd", ,"ContractData",A114, "High",,"T")</f>
        <v>0.24299999999999999</v>
      </c>
      <c r="E114" s="118">
        <f>RTD("cqg.rtd", ,"ContractData",A114, "Low",,"T")</f>
        <v>0.24199999999999999</v>
      </c>
      <c r="F114" s="118">
        <f>RTD("cqg.rtd", ,"ContractData",A114, "LastTradeorSettle",,"T")</f>
        <v>0.24299999999999999</v>
      </c>
      <c r="G114" s="119">
        <f>RTD("cqg.rtd",,"ContractData",A114,"NetLastTradeToday",,"T")</f>
        <v>-2.1000000000000001E-2</v>
      </c>
      <c r="H114" s="46">
        <f>RTD("cqg.rtd",,"ContractData",A114,"NetLastTradeToday",,"T")</f>
        <v>-2.1000000000000001E-2</v>
      </c>
      <c r="I114" s="47">
        <f>RTD("cqg.rtd", ,"ContractData",A114, "T_CVol")</f>
        <v>2</v>
      </c>
    </row>
    <row r="115" spans="1:35" ht="15" customHeight="1" x14ac:dyDescent="0.3">
      <c r="A115" s="8" t="str">
        <f>RTD("cqg.rtd",,"ContractData",'NGE6'!J19, "Symbol")</f>
        <v>NGES6G8</v>
      </c>
      <c r="B115" s="78" t="str">
        <f>RIGHT(RTD("cqg.rtd",,"ContractData",A115, "LongDescription"),15)</f>
        <v xml:space="preserve"> Feb 18, Aug 18</v>
      </c>
      <c r="C115" s="118">
        <f>RTD("cqg.rtd", ,"ContractData",A115, "Open",,"T")</f>
        <v>0.24399999999999999</v>
      </c>
      <c r="D115" s="118">
        <f>RTD("cqg.rtd", ,"ContractData",A115, "High",,"T")</f>
        <v>0.24399999999999999</v>
      </c>
      <c r="E115" s="118">
        <f>RTD("cqg.rtd", ,"ContractData",A115, "Low",,"T")</f>
        <v>0.24399999999999999</v>
      </c>
      <c r="F115" s="118">
        <f>RTD("cqg.rtd", ,"ContractData",A115, "LastTradeorSettle",,"T")</f>
        <v>0.24399999999999999</v>
      </c>
      <c r="G115" s="119">
        <f>RTD("cqg.rtd",,"ContractData",A115,"NetLastTradeToday",,"T")</f>
        <v>-2.1999999999999999E-2</v>
      </c>
      <c r="H115" s="46">
        <f>RTD("cqg.rtd",,"ContractData",A115,"NetLastTradeToday",,"T")</f>
        <v>-2.1999999999999999E-2</v>
      </c>
      <c r="I115" s="47">
        <f>RTD("cqg.rtd", ,"ContractData",A115, "T_CVol")</f>
        <v>2</v>
      </c>
    </row>
    <row r="116" spans="1:35" ht="15" customHeight="1" x14ac:dyDescent="0.3">
      <c r="A116" s="8" t="str">
        <f>RTD("cqg.rtd",,"ContractData",'NGE6'!J20, "Symbol")</f>
        <v>NGES6H8</v>
      </c>
      <c r="B116" s="78" t="str">
        <f>RIGHT(RTD("cqg.rtd",,"ContractData",A116, "LongDescription"),15)</f>
        <v xml:space="preserve"> Mar 18, Sep 18</v>
      </c>
      <c r="C116" s="118" t="str">
        <f>RTD("cqg.rtd", ,"ContractData",A116, "Open",,"T")</f>
        <v/>
      </c>
      <c r="D116" s="118" t="str">
        <f>RTD("cqg.rtd", ,"ContractData",A116, "High",,"T")</f>
        <v/>
      </c>
      <c r="E116" s="118" t="str">
        <f>RTD("cqg.rtd", ,"ContractData",A116, "Low",,"T")</f>
        <v/>
      </c>
      <c r="F116" s="118" t="str">
        <f>RTD("cqg.rtd", ,"ContractData",A116, "LastTradeorSettle",,"T")</f>
        <v/>
      </c>
      <c r="G116" s="119" t="str">
        <f>RTD("cqg.rtd",,"ContractData",A116,"NetLastTradeToday",,"T")</f>
        <v/>
      </c>
      <c r="H116" s="46" t="str">
        <f>RTD("cqg.rtd",,"ContractData",A116,"NetLastTradeToday",,"T")</f>
        <v/>
      </c>
      <c r="I116" s="47">
        <f>RTD("cqg.rtd", ,"ContractData",A116, "T_CVol")</f>
        <v>0</v>
      </c>
    </row>
    <row r="117" spans="1:35" ht="15" customHeight="1" x14ac:dyDescent="0.3">
      <c r="A117" s="8" t="str">
        <f>RTD("cqg.rtd",,"ContractData",'NGE6'!J21, "Symbol")</f>
        <v>NGES6J8</v>
      </c>
      <c r="B117" s="87" t="str">
        <f>RIGHT(RTD("cqg.rtd",,"ContractData",A117, "LongDescription"),15)</f>
        <v xml:space="preserve"> Apr 18, Oct 18</v>
      </c>
      <c r="C117" s="120">
        <f>RTD("cqg.rtd", ,"ContractData",A117, "Open",,"T")</f>
        <v>-3.6999999999999998E-2</v>
      </c>
      <c r="D117" s="120">
        <f>RTD("cqg.rtd", ,"ContractData",A117, "High",,"T")</f>
        <v>-3.6000000000000004E-2</v>
      </c>
      <c r="E117" s="120">
        <f>RTD("cqg.rtd", ,"ContractData",A117, "Low",,"T")</f>
        <v>-4.1000000000000002E-2</v>
      </c>
      <c r="F117" s="120">
        <f>RTD("cqg.rtd", ,"ContractData",A117, "LastTradeorSettle",,"T")</f>
        <v>-4.1000000000000002E-2</v>
      </c>
      <c r="G117" s="119">
        <f>RTD("cqg.rtd",,"ContractData",A117,"NetLastTradeToday",,"T")</f>
        <v>-6.0000000000000001E-3</v>
      </c>
      <c r="H117" s="88">
        <f>RTD("cqg.rtd",,"ContractData",A117,"NetLastTradeToday",,"T")</f>
        <v>-6.0000000000000001E-3</v>
      </c>
      <c r="I117" s="47">
        <f>RTD("cqg.rtd", ,"ContractData",A117, "T_CVol")</f>
        <v>327</v>
      </c>
    </row>
    <row r="118" spans="1:35" ht="15" customHeight="1" x14ac:dyDescent="0.3">
      <c r="A118" s="8" t="str">
        <f>RTD("cqg.rtd",,"ContractData",'NGE6'!J22, "Symbol")</f>
        <v>NGES6K8</v>
      </c>
      <c r="B118" s="87" t="str">
        <f>RIGHT(RTD("cqg.rtd",,"ContractData",A118, "LongDescription"),15)</f>
        <v xml:space="preserve"> May 18, Nov 18</v>
      </c>
      <c r="C118" s="120" t="str">
        <f>RTD("cqg.rtd", ,"ContractData",A118, "Open",,"T")</f>
        <v/>
      </c>
      <c r="D118" s="120" t="str">
        <f>RTD("cqg.rtd", ,"ContractData",A118, "High",,"T")</f>
        <v/>
      </c>
      <c r="E118" s="120" t="str">
        <f>RTD("cqg.rtd", ,"ContractData",A118, "Low",,"T")</f>
        <v/>
      </c>
      <c r="F118" s="120" t="str">
        <f>RTD("cqg.rtd", ,"ContractData",A118, "LastTradeorSettle",,"T")</f>
        <v/>
      </c>
      <c r="G118" s="121" t="str">
        <f>RTD("cqg.rtd",,"ContractData",A118,"NetLastTradeToday",,"T")</f>
        <v/>
      </c>
      <c r="H118" s="88" t="str">
        <f>RTD("cqg.rtd",,"ContractData",A118,"NetLastTradeToday",,"T")</f>
        <v/>
      </c>
      <c r="I118" s="47">
        <f>RTD("cqg.rtd", ,"ContractData",A118, "T_CVol")</f>
        <v>0</v>
      </c>
    </row>
    <row r="119" spans="1:35" ht="15" customHeight="1" x14ac:dyDescent="0.3">
      <c r="A119" s="8" t="str">
        <f>RTD("cqg.rtd",,"ContractData",'NGE6'!J23, "Symbol")</f>
        <v>NGES6M8</v>
      </c>
      <c r="B119" s="87" t="str">
        <f>RIGHT(RTD("cqg.rtd",,"ContractData",A119, "LongDescription"),15)</f>
        <v xml:space="preserve"> Jun 18, Dec 18</v>
      </c>
      <c r="C119" s="120" t="str">
        <f>RTD("cqg.rtd", ,"ContractData",A119, "Open",,"T")</f>
        <v/>
      </c>
      <c r="D119" s="120" t="str">
        <f>RTD("cqg.rtd", ,"ContractData",A119, "High",,"T")</f>
        <v/>
      </c>
      <c r="E119" s="120" t="str">
        <f>RTD("cqg.rtd", ,"ContractData",A119, "Low",,"T")</f>
        <v/>
      </c>
      <c r="F119" s="120" t="str">
        <f>RTD("cqg.rtd", ,"ContractData",A119, "LastTradeorSettle",,"T")</f>
        <v/>
      </c>
      <c r="G119" s="119" t="str">
        <f>RTD("cqg.rtd",,"ContractData",A119,"NetLastTradeToday",,"T")</f>
        <v/>
      </c>
      <c r="H119" s="88" t="str">
        <f>RTD("cqg.rtd",,"ContractData",A119,"NetLastTradeToday",,"T")</f>
        <v/>
      </c>
      <c r="I119" s="47">
        <f>RTD("cqg.rtd", ,"ContractData",A119, "T_CVol")</f>
        <v>0</v>
      </c>
    </row>
    <row r="120" spans="1:35" ht="15" customHeight="1" x14ac:dyDescent="0.3">
      <c r="A120" s="8" t="str">
        <f>RTD("cqg.rtd",,"ContractData",'NGE6'!J24, "Symbol")</f>
        <v>NGES6N8</v>
      </c>
      <c r="B120" s="87" t="str">
        <f>RIGHT(RTD("cqg.rtd",,"ContractData",A120, "LongDescription"),15)</f>
        <v xml:space="preserve"> Jul 18, Jan 19</v>
      </c>
      <c r="C120" s="120" t="str">
        <f>RTD("cqg.rtd", ,"ContractData",A120, "Open",,"T")</f>
        <v/>
      </c>
      <c r="D120" s="120" t="str">
        <f>RTD("cqg.rtd", ,"ContractData",A120, "High",,"T")</f>
        <v/>
      </c>
      <c r="E120" s="120" t="str">
        <f>RTD("cqg.rtd", ,"ContractData",A120, "Low",,"T")</f>
        <v/>
      </c>
      <c r="F120" s="120" t="str">
        <f>RTD("cqg.rtd", ,"ContractData",A120, "LastTradeorSettle",,"T")</f>
        <v/>
      </c>
      <c r="G120" s="121" t="str">
        <f>RTD("cqg.rtd",,"ContractData",A120,"NetLastTradeToday",,"T")</f>
        <v/>
      </c>
      <c r="H120" s="88" t="str">
        <f>RTD("cqg.rtd",,"ContractData",A120,"NetLastTradeToday",,"T")</f>
        <v/>
      </c>
      <c r="I120" s="47">
        <f>RTD("cqg.rtd", ,"ContractData",A120, "T_CVol")</f>
        <v>0</v>
      </c>
    </row>
    <row r="121" spans="1:35" ht="15" customHeight="1" x14ac:dyDescent="0.3">
      <c r="A121" s="8" t="str">
        <f>RTD("cqg.rtd",,"ContractData",'NGE6'!J25, "Symbol")</f>
        <v>NGES6Q8</v>
      </c>
      <c r="B121" s="87" t="str">
        <f>RIGHT(RTD("cqg.rtd",,"ContractData",A121, "LongDescription"),15)</f>
        <v xml:space="preserve"> Aug 18, Feb 19</v>
      </c>
      <c r="C121" s="120" t="str">
        <f>RTD("cqg.rtd", ,"ContractData",A121, "Open",,"T")</f>
        <v/>
      </c>
      <c r="D121" s="120" t="str">
        <f>RTD("cqg.rtd", ,"ContractData",A121, "High",,"T")</f>
        <v/>
      </c>
      <c r="E121" s="120" t="str">
        <f>RTD("cqg.rtd", ,"ContractData",A121, "Low",,"T")</f>
        <v/>
      </c>
      <c r="F121" s="120" t="str">
        <f>RTD("cqg.rtd", ,"ContractData",A121, "LastTradeorSettle",,"T")</f>
        <v/>
      </c>
      <c r="G121" s="121" t="str">
        <f>RTD("cqg.rtd",,"ContractData",A121,"NetLastTradeToday",,"T")</f>
        <v/>
      </c>
      <c r="H121" s="88" t="str">
        <f>RTD("cqg.rtd",,"ContractData",A121,"NetLastTradeToday",,"T")</f>
        <v/>
      </c>
      <c r="I121" s="47">
        <f>RTD("cqg.rtd", ,"ContractData",A121, "T_CVol")</f>
        <v>0</v>
      </c>
    </row>
    <row r="122" spans="1:35" ht="15" customHeight="1" x14ac:dyDescent="0.3">
      <c r="A122" s="8" t="str">
        <f>RTD("cqg.rtd",,"ContractData",'NGE6'!J26, "Symbol")</f>
        <v>NGES6U8</v>
      </c>
      <c r="B122" s="87" t="str">
        <f>RIGHT(RTD("cqg.rtd",,"ContractData",A122, "LongDescription"),15)</f>
        <v xml:space="preserve"> Sep 18, Mar 19</v>
      </c>
      <c r="C122" s="120" t="str">
        <f>RTD("cqg.rtd", ,"ContractData",A122, "Open",,"T")</f>
        <v/>
      </c>
      <c r="D122" s="120" t="str">
        <f>RTD("cqg.rtd", ,"ContractData",A122, "High",,"T")</f>
        <v/>
      </c>
      <c r="E122" s="120" t="str">
        <f>RTD("cqg.rtd", ,"ContractData",A122, "Low",,"T")</f>
        <v/>
      </c>
      <c r="F122" s="120" t="str">
        <f>RTD("cqg.rtd", ,"ContractData",A122, "LastTradeorSettle",,"T")</f>
        <v/>
      </c>
      <c r="G122" s="121" t="str">
        <f>RTD("cqg.rtd",,"ContractData",A122,"NetLastTradeToday",,"T")</f>
        <v/>
      </c>
      <c r="H122" s="88" t="str">
        <f>RTD("cqg.rtd",,"ContractData",A122,"NetLastTradeToday",,"T")</f>
        <v/>
      </c>
      <c r="I122" s="47">
        <f>RTD("cqg.rtd", ,"ContractData",A122, "T_CVol")</f>
        <v>0</v>
      </c>
    </row>
    <row r="123" spans="1:35" ht="15" customHeight="1" x14ac:dyDescent="0.3">
      <c r="A123" s="8" t="str">
        <f>RTD("cqg.rtd",,"ContractData",'NGE6'!J27, "Symbol")</f>
        <v>NGES6V8</v>
      </c>
      <c r="B123" s="87" t="str">
        <f>RIGHT(RTD("cqg.rtd",,"ContractData",A123, "LongDescription"),15)</f>
        <v xml:space="preserve"> Oct 18, Apr 19</v>
      </c>
      <c r="C123" s="120" t="str">
        <f>RTD("cqg.rtd", ,"ContractData",A123, "Open",,"T")</f>
        <v/>
      </c>
      <c r="D123" s="120" t="str">
        <f>RTD("cqg.rtd", ,"ContractData",A123, "High",,"T")</f>
        <v/>
      </c>
      <c r="E123" s="120" t="str">
        <f>RTD("cqg.rtd", ,"ContractData",A123, "Low",,"T")</f>
        <v/>
      </c>
      <c r="F123" s="120" t="str">
        <f>RTD("cqg.rtd", ,"ContractData",A123, "LastTradeorSettle",,"T")</f>
        <v/>
      </c>
      <c r="G123" s="121" t="str">
        <f>RTD("cqg.rtd",,"ContractData",A123,"NetLastTradeToday",,"T")</f>
        <v/>
      </c>
      <c r="H123" s="88" t="str">
        <f>RTD("cqg.rtd",,"ContractData",A123,"NetLastTradeToday",,"T")</f>
        <v/>
      </c>
      <c r="I123" s="91">
        <f>RTD("cqg.rtd", ,"ContractData",A123, "T_CVol")</f>
        <v>0</v>
      </c>
    </row>
    <row r="124" spans="1:35" ht="12" customHeight="1" x14ac:dyDescent="0.3">
      <c r="B124" s="115"/>
      <c r="C124" s="116"/>
      <c r="D124" s="61"/>
      <c r="E124" s="62"/>
      <c r="F124" s="63"/>
      <c r="G124" s="62"/>
      <c r="H124" s="64"/>
      <c r="I124" s="62"/>
      <c r="J124" s="65"/>
    </row>
    <row r="125" spans="1:35" ht="16.5" x14ac:dyDescent="0.2">
      <c r="B125" s="109"/>
      <c r="C125" s="307" t="s">
        <v>17</v>
      </c>
      <c r="D125" s="307"/>
      <c r="E125" s="307"/>
      <c r="F125" s="307" t="s">
        <v>19</v>
      </c>
      <c r="G125" s="307"/>
      <c r="H125" s="307"/>
      <c r="I125" s="308"/>
      <c r="J125" s="308"/>
      <c r="K125" s="308"/>
      <c r="L125" s="110"/>
      <c r="M125" s="117"/>
      <c r="N125" s="299"/>
      <c r="O125" s="299"/>
      <c r="P125" s="309"/>
      <c r="Q125" s="309"/>
      <c r="R125" s="298"/>
      <c r="S125" s="298"/>
      <c r="T125" s="117"/>
      <c r="U125" s="299"/>
      <c r="V125" s="300"/>
    </row>
  </sheetData>
  <sheetProtection algorithmName="SHA-512" hashValue="FXGO55HPyeayspr7lB1WtL+OAosiUhscIUj4AVucKinRmYeA4/kwFTSGQ+aGG1dYlSTZhkPYvYwfflEEbr0aNQ==" saltValue="xLtTgghMLebvcxn1PeUYPg==" spinCount="100000" sheet="1" objects="1" scenarios="1" selectLockedCells="1"/>
  <mergeCells count="40">
    <mergeCell ref="U107:V107"/>
    <mergeCell ref="R107:S107"/>
    <mergeCell ref="I107:K107"/>
    <mergeCell ref="K13:K15"/>
    <mergeCell ref="P107:Q107"/>
    <mergeCell ref="N107:O107"/>
    <mergeCell ref="B74:I75"/>
    <mergeCell ref="C7:C8"/>
    <mergeCell ref="B26:I27"/>
    <mergeCell ref="B42:I43"/>
    <mergeCell ref="B58:I59"/>
    <mergeCell ref="B57:C57"/>
    <mergeCell ref="B9:B10"/>
    <mergeCell ref="D7:E8"/>
    <mergeCell ref="F7:I8"/>
    <mergeCell ref="J7:J10"/>
    <mergeCell ref="C107:E107"/>
    <mergeCell ref="F107:H107"/>
    <mergeCell ref="B3:J5"/>
    <mergeCell ref="U3:V5"/>
    <mergeCell ref="B73:C73"/>
    <mergeCell ref="B90:I91"/>
    <mergeCell ref="B89:C89"/>
    <mergeCell ref="B25:C25"/>
    <mergeCell ref="B41:C41"/>
    <mergeCell ref="N3:T5"/>
    <mergeCell ref="C9:C10"/>
    <mergeCell ref="D9:E10"/>
    <mergeCell ref="F9:G10"/>
    <mergeCell ref="H9:I10"/>
    <mergeCell ref="B7:B8"/>
    <mergeCell ref="R125:S125"/>
    <mergeCell ref="U125:V125"/>
    <mergeCell ref="B109:I110"/>
    <mergeCell ref="B108:C108"/>
    <mergeCell ref="C125:E125"/>
    <mergeCell ref="F125:H125"/>
    <mergeCell ref="I125:K125"/>
    <mergeCell ref="N125:O125"/>
    <mergeCell ref="P125:Q125"/>
  </mergeCells>
  <conditionalFormatting sqref="G13:G24">
    <cfRule type="colorScale" priority="53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G29:G40">
    <cfRule type="colorScale" priority="3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9:H40">
    <cfRule type="dataBar" priority="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45:G56">
    <cfRule type="colorScale" priority="25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{C63AFAC2-DD4F-4CA1-A31A-AF7FAFD34538}</x14:id>
        </ext>
      </extLst>
    </cfRule>
  </conditionalFormatting>
  <conditionalFormatting sqref="G61:G72">
    <cfRule type="colorScale" priority="23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61:H72">
    <cfRule type="dataBar" priority="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{720F7BB4-C23A-49AB-B89A-C11DD09D9862}</x14:id>
        </ext>
      </extLst>
    </cfRule>
  </conditionalFormatting>
  <conditionalFormatting sqref="G77:G88">
    <cfRule type="colorScale" priority="21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77:H88">
    <cfRule type="dataBar" priority="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{BBBE189C-C8DE-49AB-97E4-080C86FB9BE5}</x14:id>
        </ext>
      </extLst>
    </cfRule>
  </conditionalFormatting>
  <conditionalFormatting sqref="G93:G104">
    <cfRule type="colorScale" priority="19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93:H104">
    <cfRule type="dataBar" priority="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{E7BB656D-7733-4E7D-954D-75D96AF60F24}</x14:id>
        </ext>
      </extLst>
    </cfRule>
  </conditionalFormatting>
  <conditionalFormatting sqref="I13:J24">
    <cfRule type="colorScale" priority="14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29:J40">
    <cfRule type="colorScale" priority="12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45:J56">
    <cfRule type="colorScale" priority="11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61:J72">
    <cfRule type="colorScale" priority="10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77:J88">
    <cfRule type="colorScale" priority="9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93:J104">
    <cfRule type="colorScale" priority="8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G112:G123">
    <cfRule type="colorScale" priority="3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12:H123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{F8759985-4CDD-4EAC-A02C-737E686C7AB7}</x14:id>
        </ext>
      </extLst>
    </cfRule>
  </conditionalFormatting>
  <conditionalFormatting sqref="I112:I123">
    <cfRule type="colorScale" priority="1">
      <colorScale>
        <cfvo type="min"/>
        <cfvo type="percentile" val="50"/>
        <cfvo type="max"/>
        <color theme="1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C63AFAC2-DD4F-4CA1-A31A-AF7FAFD345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  <x14:conditionalFormatting xmlns:xm="http://schemas.microsoft.com/office/excel/2006/main">
          <x14:cfRule type="dataBar" id="{720F7BB4-C23A-49AB-B89A-C11DD09D98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H61:H72</xm:sqref>
        </x14:conditionalFormatting>
        <x14:conditionalFormatting xmlns:xm="http://schemas.microsoft.com/office/excel/2006/main">
          <x14:cfRule type="dataBar" id="{BBBE189C-C8DE-49AB-97E4-080C86FB9B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H77:H88</xm:sqref>
        </x14:conditionalFormatting>
        <x14:conditionalFormatting xmlns:xm="http://schemas.microsoft.com/office/excel/2006/main">
          <x14:cfRule type="dataBar" id="{E7BB656D-7733-4E7D-954D-75D96AF60F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H93:H104</xm:sqref>
        </x14:conditionalFormatting>
        <x14:conditionalFormatting xmlns:xm="http://schemas.microsoft.com/office/excel/2006/main">
          <x14:cfRule type="dataBar" id="{F8759985-4CDD-4EAC-A02C-737E686C7A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H112:H123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showGridLines="0" showRowColHeaders="0" workbookViewId="0">
      <selection activeCell="K3" sqref="K3"/>
    </sheetView>
  </sheetViews>
  <sheetFormatPr defaultRowHeight="16.5" x14ac:dyDescent="0.3"/>
  <cols>
    <col min="1" max="1" width="1.625" style="180" customWidth="1"/>
    <col min="2" max="2" width="13.625" style="180" customWidth="1"/>
    <col min="3" max="7" width="10.625" style="180" customWidth="1"/>
    <col min="8" max="8" width="6.625" style="180" customWidth="1"/>
    <col min="9" max="9" width="10.625" style="180" customWidth="1"/>
    <col min="10" max="10" width="5.625" style="180" customWidth="1"/>
    <col min="11" max="20" width="10.625" style="180" customWidth="1"/>
    <col min="21" max="22" width="19.625" style="180" customWidth="1"/>
    <col min="23" max="23" width="15.625" style="181" customWidth="1"/>
    <col min="24" max="29" width="9" style="181"/>
    <col min="30" max="16384" width="9" style="180"/>
  </cols>
  <sheetData>
    <row r="1" spans="1:30" ht="3.95" customHeight="1" x14ac:dyDescent="0.3"/>
    <row r="2" spans="1:30" ht="16.5" customHeight="1" x14ac:dyDescent="0.3">
      <c r="A2" s="195"/>
      <c r="B2" s="389" t="str">
        <f>"CQG "&amp;RTD("cqg.rtd",,"ContractData","NGE","LongDescription")&amp;"      "&amp;TEXT(RTD("cqg.rtd",,"ContractData","NGE","LastTradeToday"),"#.000")&amp;"   "&amp;IF(RTD("cqg.rtd",,"ContractData","NGE","NetLastTradeToday",,"T")&gt;0,"+"&amp;TEXT(RTD("cqg.rtd",,"ContractData","NGE","NetLastTradeToday",,"T"),"#.000"),TEXT(RTD("cqg.rtd",,"ContractData","NGE","NetLastTradeToday",,"T"),"#.000"))</f>
        <v>CQG Natural Gas (Globex), Nov 17      2.897   -.026</v>
      </c>
      <c r="C2" s="380"/>
      <c r="D2" s="380"/>
      <c r="E2" s="380"/>
      <c r="F2" s="380"/>
      <c r="G2" s="380"/>
      <c r="H2" s="380"/>
      <c r="I2" s="380"/>
      <c r="J2" s="390"/>
      <c r="K2" s="251" t="s">
        <v>20</v>
      </c>
      <c r="L2" s="251" t="s">
        <v>21</v>
      </c>
      <c r="M2" s="251" t="s">
        <v>22</v>
      </c>
      <c r="N2" s="380" t="str">
        <f ca="1">LEFT("CQG "&amp;RTD("cqg.rtd",,"ContractData",M5,"LongDescription"),24)&amp;" Strips"</f>
        <v>CQG Natural Gas (Globex) Strips</v>
      </c>
      <c r="O2" s="380"/>
      <c r="P2" s="380"/>
      <c r="Q2" s="380"/>
      <c r="R2" s="380"/>
      <c r="S2" s="380"/>
      <c r="T2" s="380"/>
      <c r="U2" s="383">
        <f>RTD("cqg.rtd", ,"SystemInfo", "Linetime")</f>
        <v>43014.385300925926</v>
      </c>
      <c r="V2" s="384"/>
      <c r="W2" s="393"/>
      <c r="X2" s="393"/>
      <c r="Y2" s="393"/>
      <c r="Z2" s="393"/>
      <c r="AA2" s="393"/>
      <c r="AB2" s="393"/>
      <c r="AC2" s="393"/>
      <c r="AD2" s="393"/>
    </row>
    <row r="3" spans="1:30" ht="16.5" customHeight="1" x14ac:dyDescent="0.3">
      <c r="A3" s="195"/>
      <c r="B3" s="391"/>
      <c r="C3" s="381"/>
      <c r="D3" s="381"/>
      <c r="E3" s="381"/>
      <c r="F3" s="381"/>
      <c r="G3" s="381"/>
      <c r="H3" s="381"/>
      <c r="I3" s="381"/>
      <c r="J3" s="392"/>
      <c r="K3" s="254">
        <v>9</v>
      </c>
      <c r="L3" s="254">
        <v>18</v>
      </c>
      <c r="M3" s="254">
        <v>2017</v>
      </c>
      <c r="N3" s="381"/>
      <c r="O3" s="381"/>
      <c r="P3" s="381"/>
      <c r="Q3" s="381"/>
      <c r="R3" s="381"/>
      <c r="S3" s="381"/>
      <c r="T3" s="381"/>
      <c r="U3" s="385"/>
      <c r="V3" s="386"/>
      <c r="W3" s="393"/>
      <c r="X3" s="393"/>
      <c r="Y3" s="393"/>
      <c r="Z3" s="393"/>
      <c r="AA3" s="393"/>
      <c r="AB3" s="393"/>
      <c r="AC3" s="393"/>
      <c r="AD3" s="393"/>
    </row>
    <row r="4" spans="1:30" ht="16.5" customHeight="1" x14ac:dyDescent="0.3">
      <c r="A4" s="195"/>
      <c r="B4" s="391"/>
      <c r="C4" s="381"/>
      <c r="D4" s="381"/>
      <c r="E4" s="381"/>
      <c r="F4" s="381"/>
      <c r="G4" s="381"/>
      <c r="H4" s="381"/>
      <c r="I4" s="381"/>
      <c r="J4" s="392"/>
      <c r="K4" s="253"/>
      <c r="L4" s="252" t="s">
        <v>23</v>
      </c>
      <c r="M4" s="251" t="s">
        <v>210</v>
      </c>
      <c r="N4" s="382"/>
      <c r="O4" s="382"/>
      <c r="P4" s="382"/>
      <c r="Q4" s="382"/>
      <c r="R4" s="382"/>
      <c r="S4" s="382"/>
      <c r="T4" s="382"/>
      <c r="U4" s="387"/>
      <c r="V4" s="388"/>
      <c r="W4" s="393"/>
      <c r="X4" s="393"/>
      <c r="Y4" s="393"/>
      <c r="Z4" s="393"/>
      <c r="AA4" s="393"/>
      <c r="AB4" s="393"/>
      <c r="AC4" s="393"/>
      <c r="AD4" s="393"/>
    </row>
    <row r="5" spans="1:30" ht="22.5" hidden="1" customHeight="1" x14ac:dyDescent="0.3">
      <c r="A5" s="195"/>
      <c r="B5" s="233"/>
      <c r="C5" s="231"/>
      <c r="D5" s="231"/>
      <c r="E5" s="231"/>
      <c r="F5" s="231"/>
      <c r="G5" s="231"/>
      <c r="H5" s="231"/>
      <c r="I5" s="232"/>
      <c r="J5" s="231"/>
      <c r="K5" s="230" t="str">
        <f ca="1">RTD("cqg.rtd",,"ContractData",A13, "Symbol")</f>
        <v>NGEX7</v>
      </c>
      <c r="L5" s="229" t="str">
        <f ca="1">RTD("cqg.rtd", ,"ContractData",A14, "Symbol")</f>
        <v>NGEZ7</v>
      </c>
      <c r="M5" s="229" t="str">
        <f ca="1">RTD("cqg.rtd", ,"ContractData",A15, "Symbol")</f>
        <v>NGEF8</v>
      </c>
      <c r="N5" s="229" t="str">
        <f ca="1">RTD("cqg.rtd", ,"ContractData",A16, "Symbol")</f>
        <v>NGEG8</v>
      </c>
      <c r="O5" s="229" t="str">
        <f ca="1">RTD("cqg.rtd", ,"ContractData",A17, "Symbol")</f>
        <v>NGEH8</v>
      </c>
      <c r="P5" s="229"/>
      <c r="Q5" s="228"/>
      <c r="R5" s="227"/>
      <c r="S5" s="227"/>
      <c r="T5" s="227"/>
      <c r="U5" s="227"/>
      <c r="V5" s="226"/>
      <c r="W5" s="394" t="str">
        <f ca="1">LEFT(RIGHT(K5,2),1)</f>
        <v>X</v>
      </c>
      <c r="X5" s="394" t="str">
        <f ca="1">LEFT(RIGHT(L5,2),1)</f>
        <v>Z</v>
      </c>
      <c r="Y5" s="394" t="str">
        <f ca="1">LEFT(RIGHT(M5,2),1)</f>
        <v>F</v>
      </c>
      <c r="Z5" s="394" t="str">
        <f ca="1">LEFT(RIGHT(N5,2),1)</f>
        <v>G</v>
      </c>
      <c r="AA5" s="394" t="str">
        <f ca="1">LEFT(RIGHT(O5,2),1)</f>
        <v>H</v>
      </c>
      <c r="AB5" s="393"/>
      <c r="AC5" s="393"/>
      <c r="AD5" s="393"/>
    </row>
    <row r="6" spans="1:30" ht="20.100000000000001" customHeight="1" x14ac:dyDescent="0.3">
      <c r="A6" s="195"/>
      <c r="B6" s="369" t="s">
        <v>1</v>
      </c>
      <c r="C6" s="371">
        <f ca="1">RTD("cqg.rtd", ,"ContractData",RollData!I11, "MT_LastAskVolume",, "T")</f>
        <v>3</v>
      </c>
      <c r="D6" s="373">
        <f ca="1">RTD("cqg.rtd", ,"ContractData", RollData!I11, "Ask",, "T")</f>
        <v>3.1070000000000002</v>
      </c>
      <c r="E6" s="374"/>
      <c r="F6" s="377" t="str">
        <f ca="1">B12&amp;"  Last Quote"</f>
        <v>Winter 17  Last Quote</v>
      </c>
      <c r="G6" s="378"/>
      <c r="H6" s="378"/>
      <c r="I6" s="378"/>
      <c r="J6" s="378"/>
      <c r="K6" s="225" t="str">
        <f ca="1">IF(W5="F","JAN",IF(W5="G","FEB",IF(W5="H","MAR",IF(W5="J","APR",IF(W5="K","MAY",IF(W5="M","JUN",IF(W5="N","JUL",IF(W5="Q","AUG",IF(W5="U","SEP",IF(W5="V","OCT",IF(W5="X","NOV",IF(W5="Z","DEC",))))))))))))</f>
        <v>NOV</v>
      </c>
      <c r="L6" s="225" t="str">
        <f ca="1">IF(X5="F","JAN",IF(X5="G","FEB",IF(X5="H","MAR",IF(X5="J","APR",IF(X5="K","MAY",IF(X5="M","JUN",IF(X5="N","JUL",IF(X5="Q","AUG",IF(X5="U","SEP",IF(X5="V","OCT",IF(X5="X","NOV",IF(X5="Z","DEC",))))))))))))</f>
        <v>DEC</v>
      </c>
      <c r="M6" s="225" t="str">
        <f ca="1">IF(Y5="F","JAN",IF(Y5="G","FEB",IF(Y5="H","MAR",IF(Y5="J","APR",IF(Y5="K","MAY",IF(Y5="M","JUN",IF(Y5="N","JUL",IF(Y5="Q","AUG",IF(Y5="U","SEP",IF(Y5="V","OCT",IF(Y5="X","NOV",IF(Y5="Z","DEC",))))))))))))</f>
        <v>JAN</v>
      </c>
      <c r="N6" s="225" t="str">
        <f ca="1">IF(Z5="F","JAN",IF(Z5="G","FEB",IF(Z5="H","MAR",IF(Z5="J","APR",IF(Z5="K","MAY",IF(Z5="M","JUN",IF(Z5="N","JUL",IF(Z5="Q","AUG",IF(Z5="U","SEP",IF(Z5="V","OCT",IF(Z5="X","NOV",IF(Z5="Z","DEC",))))))))))))</f>
        <v>FEB</v>
      </c>
      <c r="O6" s="225" t="str">
        <f ca="1">IF(AA5="F","JAN",IF(AA5="G","FEB",IF(AA5="H","MAR",IF(AA5="J","APR",IF(AA5="K","MAY",IF(AA5="M","JUN",IF(AA5="N","JUL",IF(AA5="Q","AUG",IF(AA5="U","SEP",IF(AA5="V","OCT",IF(AA5="X","NOV",IF(AA5="Z","DEC",))))))))))))</f>
        <v>MAR</v>
      </c>
      <c r="P6" s="365" t="str">
        <f ca="1">"CQG "&amp;B12&amp;" Strip"</f>
        <v>CQG Winter 17 Strip</v>
      </c>
      <c r="Q6" s="366"/>
      <c r="R6" s="366"/>
      <c r="S6" s="366"/>
      <c r="T6" s="366"/>
      <c r="U6" s="366"/>
      <c r="V6" s="367"/>
      <c r="W6" s="393"/>
      <c r="X6" s="393"/>
      <c r="Y6" s="393"/>
      <c r="Z6" s="393"/>
      <c r="AA6" s="393"/>
      <c r="AB6" s="393"/>
      <c r="AC6" s="393"/>
      <c r="AD6" s="393"/>
    </row>
    <row r="7" spans="1:30" ht="20.100000000000001" customHeight="1" x14ac:dyDescent="0.3">
      <c r="A7" s="195"/>
      <c r="B7" s="370"/>
      <c r="C7" s="372"/>
      <c r="D7" s="375"/>
      <c r="E7" s="376"/>
      <c r="F7" s="377"/>
      <c r="G7" s="378"/>
      <c r="H7" s="378"/>
      <c r="I7" s="378"/>
      <c r="J7" s="378"/>
      <c r="K7" s="224" t="str">
        <f ca="1">TEXT(RTD("cqg.rtd",,"ContractData",K5,"Ask",,"T"),"#.000")&amp;" "&amp;"A"</f>
        <v>2.897 A</v>
      </c>
      <c r="L7" s="224" t="str">
        <f ca="1">TEXT(RTD("cqg.rtd",,"ContractData",L5,"Ask",,"T"),"#.000")&amp;" "&amp;"A"</f>
        <v>3.071 A</v>
      </c>
      <c r="M7" s="224" t="str">
        <f ca="1">TEXT(RTD("cqg.rtd",,"ContractData",M5,"Ask",,"T"),"#.000")&amp;" "&amp;"A"</f>
        <v>3.197 A</v>
      </c>
      <c r="N7" s="224" t="str">
        <f ca="1">TEXT(RTD("cqg.rtd",,"ContractData",N5,"Ask",,"T"),"#.000")&amp;" "&amp;"A"</f>
        <v>3.203 A</v>
      </c>
      <c r="O7" s="224" t="str">
        <f ca="1">TEXT(RTD("cqg.rtd",,"ContractData",O5,"Ask",,"T"),"#.000")&amp;" "&amp;"A"</f>
        <v>3.163 A</v>
      </c>
      <c r="P7" s="250"/>
      <c r="Q7" s="223"/>
      <c r="R7" s="223"/>
      <c r="S7" s="223"/>
      <c r="T7" s="223"/>
      <c r="U7" s="223"/>
      <c r="V7" s="222"/>
      <c r="W7" s="395">
        <f ca="1">RTD("cqg.rtd",,"ContractData",K5,"Ask",,"T")</f>
        <v>2.8970000000000002</v>
      </c>
      <c r="X7" s="395">
        <f ca="1">RTD("cqg.rtd",,"ContractData",L5,"Ask",,"T")</f>
        <v>3.0710000000000002</v>
      </c>
      <c r="Y7" s="395">
        <f ca="1">RTD("cqg.rtd",,"ContractData",M5,"Ask",,"T")</f>
        <v>3.1970000000000001</v>
      </c>
      <c r="Z7" s="395">
        <f ca="1">RTD("cqg.rtd",,"ContractData",N5,"Ask",,"T")</f>
        <v>3.2029999999999998</v>
      </c>
      <c r="AA7" s="395">
        <f ca="1">RTD("cqg.rtd",,"ContractData",O5,"Ask",,"T")</f>
        <v>3.1630000000000003</v>
      </c>
      <c r="AB7" s="393"/>
      <c r="AC7" s="393"/>
      <c r="AD7" s="393"/>
    </row>
    <row r="8" spans="1:30" ht="20.100000000000001" customHeight="1" x14ac:dyDescent="0.3">
      <c r="A8" s="195"/>
      <c r="B8" s="353" t="s">
        <v>0</v>
      </c>
      <c r="C8" s="355">
        <f ca="1">RTD("cqg.rtd", ,"ContractData",RollData!I11, "MT_LastBidVolume",, "T")</f>
        <v>5</v>
      </c>
      <c r="D8" s="357">
        <f ca="1">RTD("cqg.rtd", ,"ContractData", RollData!I11, "Bid",, "T")</f>
        <v>3.1040000000000001</v>
      </c>
      <c r="E8" s="357"/>
      <c r="F8" s="359" t="str">
        <f ca="1">RTD("cqg.rtd", ,"ContractData", RollData!I11, "LastQuoteToday",, "B")</f>
        <v>3.107 A</v>
      </c>
      <c r="G8" s="360"/>
      <c r="H8" s="379" t="str">
        <f ca="1">IF(ChartData!F2-ChartData!F3&gt;0,"+"&amp;TEXT(ChartData!F2-ChartData!F3,"#.000"),TEXT(ChartData!F2-ChartData!F3,"#.000"))</f>
        <v>-.006</v>
      </c>
      <c r="I8" s="363"/>
      <c r="J8" s="352"/>
      <c r="K8" s="224" t="str">
        <f ca="1">TEXT(RTD("cqg.rtd",,"ContractData",K5,"Bid",,"T"),"#.000")&amp;" "&amp;"B"</f>
        <v>2.896 B</v>
      </c>
      <c r="L8" s="224" t="str">
        <f ca="1">TEXT(RTD("cqg.rtd",,"ContractData",L5,"Bid",,"T"),"#.000")&amp;" "&amp;"B"</f>
        <v>3.069 B</v>
      </c>
      <c r="M8" s="224" t="str">
        <f ca="1">TEXT(RTD("cqg.rtd",,"ContractData",M5,"Bid",,"T"),"#.000")&amp;" "&amp;"B"</f>
        <v>3.196 B</v>
      </c>
      <c r="N8" s="224" t="str">
        <f ca="1">TEXT(RTD("cqg.rtd",,"ContractData",N5,"Bid",,"T"),"#.000")&amp;" "&amp;"B"</f>
        <v>3.201 B</v>
      </c>
      <c r="O8" s="224" t="str">
        <f ca="1">TEXT(RTD("cqg.rtd",,"ContractData",O5,"Bid",,"T"),"#.000")&amp;" "&amp;"B"</f>
        <v>3.162 B</v>
      </c>
      <c r="P8" s="250"/>
      <c r="Q8" s="223"/>
      <c r="R8" s="223"/>
      <c r="S8" s="223"/>
      <c r="T8" s="223"/>
      <c r="U8" s="223"/>
      <c r="V8" s="222"/>
      <c r="W8" s="395">
        <f ca="1">RTD("cqg.rtd",,"ContractData",K5,"Bid",,"T")</f>
        <v>2.8959999999999999</v>
      </c>
      <c r="X8" s="395">
        <f ca="1">RTD("cqg.rtd",,"ContractData",L5,"Bid",,"T")</f>
        <v>3.069</v>
      </c>
      <c r="Y8" s="395">
        <f ca="1">RTD("cqg.rtd",,"ContractData",M5,"Bid",,"T")</f>
        <v>3.1960000000000002</v>
      </c>
      <c r="Z8" s="395">
        <f ca="1">RTD("cqg.rtd",,"ContractData",N5,"Bid",,"T")</f>
        <v>3.2010000000000001</v>
      </c>
      <c r="AA8" s="395">
        <f ca="1">RTD("cqg.rtd",,"ContractData",O5,"Bid",,"T")</f>
        <v>3.1619999999999999</v>
      </c>
      <c r="AB8" s="393"/>
      <c r="AC8" s="393"/>
      <c r="AD8" s="393"/>
    </row>
    <row r="9" spans="1:30" ht="20.100000000000001" customHeight="1" x14ac:dyDescent="0.3">
      <c r="A9" s="195"/>
      <c r="B9" s="354"/>
      <c r="C9" s="356"/>
      <c r="D9" s="358"/>
      <c r="E9" s="358"/>
      <c r="F9" s="361"/>
      <c r="G9" s="362"/>
      <c r="H9" s="364"/>
      <c r="I9" s="364"/>
      <c r="J9" s="352"/>
      <c r="K9" s="224" t="str">
        <f ca="1">TEXT(RTD("cqg.rtd", ,"ContractData",K5,"LastTradeorSettle",,"T"),"#.000")&amp;" "&amp;"L"</f>
        <v>2.897 L</v>
      </c>
      <c r="L9" s="224" t="str">
        <f ca="1">TEXT(RTD("cqg.rtd", ,"ContractData",L5,"LastTradeorSettle",,"T"),"#.000")&amp;" "&amp;"L"</f>
        <v>3.071 L</v>
      </c>
      <c r="M9" s="224" t="str">
        <f ca="1">TEXT(RTD("cqg.rtd", ,"ContractData",M5,"LastTradeorSettle",,"T"),"#.000")&amp;" "&amp;"L"</f>
        <v>3.197 L</v>
      </c>
      <c r="N9" s="224" t="str">
        <f ca="1">TEXT(RTD("cqg.rtd", ,"ContractData",N5,"LastTradeorSettle",,"T"),"#.000")&amp;" "&amp;"L"</f>
        <v>3.202 L</v>
      </c>
      <c r="O9" s="224" t="str">
        <f ca="1">TEXT(RTD("cqg.rtd", ,"ContractData",O5,"LastTradeorSettle",,"T"),"#.000")&amp;" "&amp;"L"</f>
        <v>3.164 L</v>
      </c>
      <c r="P9" s="250"/>
      <c r="Q9" s="223"/>
      <c r="R9" s="223"/>
      <c r="S9" s="223"/>
      <c r="T9" s="223"/>
      <c r="U9" s="223"/>
      <c r="V9" s="222"/>
      <c r="W9" s="395">
        <f ca="1">IF(RTD("cqg.rtd", ,"ContractData",K5,"LastTradeorSettle",,"T")="",MEDIAN(W7:W8),RTD("cqg.rtd", ,"ContractData",K5,"LastTradeorSettle",,"T"))</f>
        <v>2.8970000000000002</v>
      </c>
      <c r="X9" s="395">
        <f ca="1">IF(RTD("cqg.rtd", ,"ContractData",L5,"LastTradeorSettle",,"T")="",MEDIAN(X7:X8),RTD("cqg.rtd", ,"ContractData",L5,"LastTradeorSettle",,"T"))</f>
        <v>3.0710000000000002</v>
      </c>
      <c r="Y9" s="395">
        <f ca="1">IF(RTD("cqg.rtd", ,"ContractData",M5,"LastTradeorSettle",,"T")="",MEDIAN(Y7:Y8),RTD("cqg.rtd", ,"ContractData",M5,"LastTradeorSettle",,"T"))</f>
        <v>3.1970000000000001</v>
      </c>
      <c r="Z9" s="395">
        <f ca="1">IF(RTD("cqg.rtd", ,"ContractData",N5,"LastTradeorSettle",,"T")="",MEDIAN(Z7:Z8),RTD("cqg.rtd", ,"ContractData",N5,"LastTradeorSettle",,"T"))</f>
        <v>3.202</v>
      </c>
      <c r="AA9" s="395">
        <f ca="1">IF(RTD("cqg.rtd", ,"ContractData",O5,"LastTradeorSettle",,"T")="",MEDIAN(AA7:AA8),RTD("cqg.rtd", ,"ContractData",O5,"LastTradeorSettle",,"T"))</f>
        <v>3.1640000000000001</v>
      </c>
      <c r="AB9" s="393"/>
      <c r="AC9" s="393"/>
      <c r="AD9" s="393"/>
    </row>
    <row r="10" spans="1:30" ht="30" hidden="1" customHeight="1" x14ac:dyDescent="0.3">
      <c r="A10" s="195"/>
      <c r="B10" s="221"/>
      <c r="C10" s="220"/>
      <c r="D10" s="219"/>
      <c r="E10" s="219"/>
      <c r="F10" s="218"/>
      <c r="G10" s="218"/>
      <c r="H10" s="217"/>
      <c r="I10" s="217"/>
      <c r="J10" s="217"/>
      <c r="K10" s="249">
        <f ca="1">RTD("cqg.rtd", ,"ContractData",A13, "Y_Settlement",, "T")</f>
        <v>2.923</v>
      </c>
      <c r="L10" s="249">
        <f ca="1">RTD("cqg.rtd", ,"ContractData",A14, "Y_Settlement",, "T")</f>
        <v>3.1030000000000002</v>
      </c>
      <c r="M10" s="248">
        <f ca="1">RTD("cqg.rtd", ,"ContractData",A15, "Y_Settlement",, "T")</f>
        <v>3.23</v>
      </c>
      <c r="N10" s="248">
        <f ca="1">RTD("cqg.rtd", ,"ContractData",A16, "Y_Settlement",, "T")</f>
        <v>3.2349999999999999</v>
      </c>
      <c r="O10" s="248">
        <f ca="1">RTD("cqg.rtd", ,"ContractData",A17, "Y_Settlement",, "T")</f>
        <v>3.1930000000000001</v>
      </c>
      <c r="P10" s="247"/>
      <c r="Q10" s="214"/>
      <c r="R10" s="214"/>
      <c r="S10" s="214"/>
      <c r="T10" s="214"/>
      <c r="U10" s="214"/>
      <c r="V10" s="213"/>
      <c r="W10" s="393"/>
      <c r="X10" s="393"/>
      <c r="Y10" s="393"/>
      <c r="Z10" s="393"/>
      <c r="AA10" s="393"/>
      <c r="AB10" s="393"/>
      <c r="AC10" s="393"/>
      <c r="AD10" s="393"/>
    </row>
    <row r="11" spans="1:30" x14ac:dyDescent="0.3">
      <c r="A11" s="195"/>
      <c r="B11" s="212" t="s">
        <v>16</v>
      </c>
      <c r="C11" s="211" t="s">
        <v>9</v>
      </c>
      <c r="D11" s="211" t="s">
        <v>10</v>
      </c>
      <c r="E11" s="211" t="s">
        <v>11</v>
      </c>
      <c r="F11" s="211" t="s">
        <v>8</v>
      </c>
      <c r="G11" s="211" t="s">
        <v>12</v>
      </c>
      <c r="H11" s="210" t="s">
        <v>12</v>
      </c>
      <c r="I11" s="210" t="s">
        <v>13</v>
      </c>
      <c r="J11" s="209"/>
      <c r="K11" s="207"/>
      <c r="L11" s="207" t="s">
        <v>209</v>
      </c>
      <c r="M11" s="207">
        <f>DATE(M3,K3,L3)</f>
        <v>42996</v>
      </c>
      <c r="N11" s="206" t="str">
        <f ca="1">RollData!I9</f>
        <v>Winter 17</v>
      </c>
      <c r="O11" s="246">
        <f ca="1">RollData!E8</f>
        <v>3.3563999999999998</v>
      </c>
      <c r="P11" s="240"/>
      <c r="Q11" s="240"/>
      <c r="R11" s="240"/>
      <c r="S11" s="240"/>
      <c r="T11" s="240"/>
      <c r="U11" s="240"/>
      <c r="V11" s="240"/>
      <c r="W11" s="396"/>
      <c r="X11" s="393"/>
      <c r="Y11" s="393"/>
      <c r="Z11" s="393"/>
      <c r="AA11" s="393"/>
      <c r="AB11" s="393"/>
      <c r="AC11" s="393"/>
      <c r="AD11" s="393"/>
    </row>
    <row r="12" spans="1:30" ht="24" customHeight="1" x14ac:dyDescent="0.3">
      <c r="A12" s="195"/>
      <c r="B12" s="198" t="str">
        <f ca="1">RollData!I9</f>
        <v>Winter 17</v>
      </c>
      <c r="C12" s="200">
        <f ca="1" xml:space="preserve"> RTD("cqg.rtd",,"StudyData",RollData!I10,  "Bar",, "Open", "D","0",,,,,"T")</f>
        <v>3.1132</v>
      </c>
      <c r="D12" s="200">
        <f ca="1" xml:space="preserve"> RTD("cqg.rtd",,"StudyData",RollData!I10,  "Bar",, "High", "D","0",,,,,"T")</f>
        <v>3.1252</v>
      </c>
      <c r="E12" s="200">
        <f ca="1" xml:space="preserve"> RTD("cqg.rtd",,"StudyData",RollData!I10,  "Bar",, "Low", "D","0",,,,,"T")</f>
        <v>3.1006</v>
      </c>
      <c r="F12" s="200" t="str">
        <f ca="1">F8</f>
        <v>3.107 A</v>
      </c>
      <c r="G12" s="245" t="str">
        <f ca="1">H8</f>
        <v>-.006</v>
      </c>
      <c r="H12" s="244"/>
      <c r="I12" s="243"/>
      <c r="J12" s="242"/>
      <c r="K12" s="240"/>
      <c r="L12" s="240"/>
      <c r="M12" s="240"/>
      <c r="N12" s="240"/>
      <c r="O12" s="240"/>
      <c r="P12" s="241"/>
      <c r="Q12" s="240"/>
      <c r="R12" s="240"/>
      <c r="S12" s="240"/>
      <c r="T12" s="240"/>
      <c r="U12" s="240"/>
      <c r="V12" s="240"/>
      <c r="W12" s="396"/>
      <c r="X12" s="393"/>
      <c r="Y12" s="393"/>
      <c r="Z12" s="393"/>
      <c r="AA12" s="393"/>
      <c r="AB12" s="393"/>
      <c r="AC12" s="393"/>
      <c r="AD12" s="393"/>
    </row>
    <row r="13" spans="1:30" ht="24" customHeight="1" x14ac:dyDescent="0.3">
      <c r="A13" s="195" t="str">
        <f ca="1">RTD("cqg.rtd",,"ContractData",RollData!N3, "Symbol")</f>
        <v>NGEX7</v>
      </c>
      <c r="B13" s="198" t="str">
        <f ca="1">RIGHT(RTD("cqg.rtd",,"ContractData",A13, "LongDescription"),7)</f>
        <v xml:space="preserve"> Nov 17</v>
      </c>
      <c r="C13" s="197">
        <f ca="1">RTD("cqg.rtd", ,"ContractData",A13, "Open",,"T")</f>
        <v>2.895</v>
      </c>
      <c r="D13" s="197">
        <f ca="1">RTD("cqg.rtd", ,"ContractData",A13, "High",,"T")</f>
        <v>2.9170000000000003</v>
      </c>
      <c r="E13" s="197">
        <f ca="1">RTD("cqg.rtd", ,"ContractData",A13, "Low",,"T")</f>
        <v>2.887</v>
      </c>
      <c r="F13" s="197">
        <f ca="1">RTD("cqg.rtd", ,"ContractData",A13, "LastTradeorSettle",,"T")</f>
        <v>2.8970000000000002</v>
      </c>
      <c r="G13" s="197">
        <f ca="1">RTD("cqg.rtd",,"ContractData",A13,"NetLastTradeToday",,"T")</f>
        <v>-2.6000000000000002E-2</v>
      </c>
      <c r="H13" s="199">
        <f ca="1">RTD("cqg.rtd",,"ContractData",A13,"NetLastTradeToday",,"T")</f>
        <v>-2.6000000000000002E-2</v>
      </c>
      <c r="I13" s="196">
        <f ca="1">RTD("cqg.rtd", ,"ContractData",A13, "T_CVol")</f>
        <v>57846</v>
      </c>
      <c r="J13" s="191"/>
      <c r="K13" s="368"/>
      <c r="L13" s="238"/>
      <c r="M13" s="238"/>
      <c r="N13" s="238"/>
      <c r="O13" s="238"/>
      <c r="P13" s="239"/>
      <c r="Q13" s="238"/>
      <c r="R13" s="238"/>
      <c r="S13" s="238"/>
      <c r="T13" s="238"/>
      <c r="U13" s="238"/>
      <c r="V13" s="238"/>
      <c r="W13" s="396"/>
      <c r="X13" s="393"/>
      <c r="Y13" s="393"/>
      <c r="Z13" s="393"/>
      <c r="AA13" s="393"/>
      <c r="AB13" s="393"/>
      <c r="AC13" s="393"/>
      <c r="AD13" s="393"/>
    </row>
    <row r="14" spans="1:30" ht="24" customHeight="1" x14ac:dyDescent="0.3">
      <c r="A14" s="195" t="str">
        <f ca="1">RTD("cqg.rtd",,"ContractData",RollData!N4, "Symbol")</f>
        <v>NGEZ7</v>
      </c>
      <c r="B14" s="198" t="str">
        <f ca="1">RIGHT(RTD("cqg.rtd",,"ContractData",A14, "LongDescription"),7)</f>
        <v xml:space="preserve"> Dec 17</v>
      </c>
      <c r="C14" s="197">
        <f ca="1">RTD("cqg.rtd", ,"ContractData",A14, "Open",,"T")</f>
        <v>3.0790000000000002</v>
      </c>
      <c r="D14" s="197">
        <f ca="1">RTD("cqg.rtd", ,"ContractData",A14, "High",,"T")</f>
        <v>3.093</v>
      </c>
      <c r="E14" s="197">
        <f ca="1">RTD("cqg.rtd", ,"ContractData",A14, "Low",,"T")</f>
        <v>3.0640000000000001</v>
      </c>
      <c r="F14" s="197">
        <f ca="1">RTD("cqg.rtd", ,"ContractData",A14, "LastTradeorSettle",,"T")</f>
        <v>3.0710000000000002</v>
      </c>
      <c r="G14" s="197">
        <f ca="1">RTD("cqg.rtd",,"ContractData",A14,"NetLastTradeToday",,"T")</f>
        <v>-3.2000000000000001E-2</v>
      </c>
      <c r="H14" s="199">
        <f ca="1">RTD("cqg.rtd",,"ContractData",A14,"NetLastTradeToday",,"T")</f>
        <v>-3.2000000000000001E-2</v>
      </c>
      <c r="I14" s="196">
        <f ca="1">RTD("cqg.rtd", ,"ContractData",A14, "T_CVol")</f>
        <v>22483</v>
      </c>
      <c r="J14" s="191"/>
      <c r="K14" s="368"/>
      <c r="L14" s="238"/>
      <c r="M14" s="238"/>
      <c r="N14" s="238"/>
      <c r="O14" s="238"/>
      <c r="P14" s="239"/>
      <c r="Q14" s="238"/>
      <c r="R14" s="238"/>
      <c r="S14" s="238"/>
      <c r="T14" s="238"/>
      <c r="U14" s="238"/>
      <c r="V14" s="238"/>
      <c r="W14" s="396"/>
      <c r="X14" s="393"/>
      <c r="Y14" s="393"/>
      <c r="Z14" s="393"/>
      <c r="AA14" s="393"/>
      <c r="AB14" s="393"/>
      <c r="AC14" s="393"/>
      <c r="AD14" s="393"/>
    </row>
    <row r="15" spans="1:30" ht="24" customHeight="1" x14ac:dyDescent="0.3">
      <c r="A15" s="195" t="str">
        <f ca="1">RTD("cqg.rtd",,"ContractData",RollData!N5, "Symbol")</f>
        <v>NGEF8</v>
      </c>
      <c r="B15" s="198" t="str">
        <f ca="1">RIGHT(RTD("cqg.rtd",,"ContractData",A15, "LongDescription"),7)</f>
        <v xml:space="preserve"> Jan 18</v>
      </c>
      <c r="C15" s="197">
        <f ca="1">RTD("cqg.rtd", ,"ContractData",A15, "Open",,"T")</f>
        <v>3.2050000000000001</v>
      </c>
      <c r="D15" s="197">
        <f ca="1">RTD("cqg.rtd", ,"ContractData",A15, "High",,"T")</f>
        <v>3.2189999999999999</v>
      </c>
      <c r="E15" s="197">
        <f ca="1">RTD("cqg.rtd", ,"ContractData",A15, "Low",,"T")</f>
        <v>3.19</v>
      </c>
      <c r="F15" s="197">
        <f ca="1">RTD("cqg.rtd", ,"ContractData",A15, "LastTradeorSettle",,"T")</f>
        <v>3.1970000000000001</v>
      </c>
      <c r="G15" s="197">
        <f ca="1">RTD("cqg.rtd",,"ContractData",A15,"NetLastTradeToday",,"T")</f>
        <v>-3.3000000000000002E-2</v>
      </c>
      <c r="H15" s="199">
        <f ca="1">RTD("cqg.rtd",,"ContractData",A15,"NetLastTradeToday",,"T")</f>
        <v>-3.3000000000000002E-2</v>
      </c>
      <c r="I15" s="196">
        <f ca="1">RTD("cqg.rtd", ,"ContractData",A15, "T_CVol")</f>
        <v>14801</v>
      </c>
      <c r="J15" s="191"/>
      <c r="K15" s="368"/>
      <c r="L15" s="238"/>
      <c r="M15" s="238"/>
      <c r="N15" s="238"/>
      <c r="O15" s="238"/>
      <c r="P15" s="239"/>
      <c r="Q15" s="238"/>
      <c r="R15" s="238"/>
      <c r="S15" s="238"/>
      <c r="T15" s="238"/>
      <c r="U15" s="238"/>
      <c r="V15" s="238"/>
      <c r="W15" s="396"/>
      <c r="X15" s="393"/>
      <c r="Y15" s="393"/>
      <c r="Z15" s="393"/>
      <c r="AA15" s="393"/>
      <c r="AB15" s="393"/>
      <c r="AC15" s="393"/>
      <c r="AD15" s="393"/>
    </row>
    <row r="16" spans="1:30" ht="24" customHeight="1" x14ac:dyDescent="0.3">
      <c r="A16" s="195" t="str">
        <f ca="1">RTD("cqg.rtd",,"ContractData",RollData!N6, "Symbol")</f>
        <v>NGEG8</v>
      </c>
      <c r="B16" s="198" t="str">
        <f ca="1">RIGHT(RTD("cqg.rtd",,"ContractData",A16, "LongDescription"),7)</f>
        <v xml:space="preserve"> Feb 18</v>
      </c>
      <c r="C16" s="197">
        <f ca="1">RTD("cqg.rtd", ,"ContractData",A16, "Open",,"T")</f>
        <v>3.2160000000000002</v>
      </c>
      <c r="D16" s="197">
        <f ca="1">RTD("cqg.rtd", ,"ContractData",A16, "High",,"T")</f>
        <v>3.222</v>
      </c>
      <c r="E16" s="197">
        <f ca="1">RTD("cqg.rtd", ,"ContractData",A16, "Low",,"T")</f>
        <v>3.1960000000000002</v>
      </c>
      <c r="F16" s="197">
        <f ca="1">RTD("cqg.rtd", ,"ContractData",A16, "LastTradeorSettle",,"T")</f>
        <v>3.202</v>
      </c>
      <c r="G16" s="197">
        <f ca="1">RTD("cqg.rtd",,"ContractData",A16,"NetLastTradeToday",,"T")</f>
        <v>-3.3000000000000002E-2</v>
      </c>
      <c r="H16" s="199">
        <f ca="1">RTD("cqg.rtd",,"ContractData",A16,"NetLastTradeToday",,"T")</f>
        <v>-3.3000000000000002E-2</v>
      </c>
      <c r="I16" s="196">
        <f ca="1">RTD("cqg.rtd", ,"ContractData",A16, "T_CVol")</f>
        <v>5067</v>
      </c>
      <c r="J16" s="191"/>
      <c r="K16" s="236"/>
      <c r="L16" s="236"/>
      <c r="M16" s="236"/>
      <c r="N16" s="236"/>
      <c r="O16" s="236"/>
      <c r="P16" s="237"/>
      <c r="Q16" s="236"/>
      <c r="R16" s="236"/>
      <c r="S16" s="236"/>
      <c r="T16" s="236"/>
      <c r="U16" s="236"/>
      <c r="V16" s="236"/>
      <c r="W16" s="396"/>
      <c r="X16" s="393"/>
      <c r="Y16" s="393"/>
      <c r="Z16" s="393"/>
      <c r="AA16" s="393"/>
      <c r="AB16" s="393"/>
      <c r="AC16" s="393"/>
      <c r="AD16" s="393"/>
    </row>
    <row r="17" spans="1:30" ht="24" customHeight="1" x14ac:dyDescent="0.3">
      <c r="A17" s="195" t="str">
        <f ca="1">RTD("cqg.rtd",,"ContractData",RollData!N7, "Symbol")</f>
        <v>NGEH8</v>
      </c>
      <c r="B17" s="198" t="str">
        <f ca="1">RIGHT(RTD("cqg.rtd",,"ContractData",A17, "LongDescription"),7)</f>
        <v xml:space="preserve"> Mar 18</v>
      </c>
      <c r="C17" s="197">
        <f ca="1">RTD("cqg.rtd", ,"ContractData",A17, "Open",,"T")</f>
        <v>3.17</v>
      </c>
      <c r="D17" s="197">
        <f ca="1">RTD("cqg.rtd", ,"ContractData",A17, "High",,"T")</f>
        <v>3.1790000000000003</v>
      </c>
      <c r="E17" s="197">
        <f ca="1">RTD("cqg.rtd", ,"ContractData",A17, "Low",,"T")</f>
        <v>3.1560000000000001</v>
      </c>
      <c r="F17" s="197">
        <f ca="1">RTD("cqg.rtd", ,"ContractData",A17, "LastTradeorSettle",,"T")</f>
        <v>3.1640000000000001</v>
      </c>
      <c r="G17" s="197">
        <f ca="1">RTD("cqg.rtd",,"ContractData",A17,"NetLastTradeToday",,"T")</f>
        <v>-2.9000000000000001E-2</v>
      </c>
      <c r="H17" s="199">
        <f ca="1">RTD("cqg.rtd",,"ContractData",A17,"NetLastTradeToday",,"T")</f>
        <v>-2.9000000000000001E-2</v>
      </c>
      <c r="I17" s="196">
        <f ca="1">RTD("cqg.rtd", ,"ContractData",A17, "T_CVol")</f>
        <v>8085</v>
      </c>
      <c r="J17" s="191"/>
      <c r="K17" s="234"/>
      <c r="L17" s="234"/>
      <c r="M17" s="234"/>
      <c r="N17" s="234"/>
      <c r="O17" s="234"/>
      <c r="P17" s="235"/>
      <c r="Q17" s="234"/>
      <c r="R17" s="234"/>
      <c r="S17" s="234"/>
      <c r="T17" s="234"/>
      <c r="U17" s="234"/>
      <c r="V17" s="234"/>
      <c r="W17" s="396"/>
      <c r="X17" s="393"/>
      <c r="Y17" s="393"/>
      <c r="Z17" s="393"/>
      <c r="AA17" s="393"/>
      <c r="AB17" s="393"/>
      <c r="AC17" s="393"/>
      <c r="AD17" s="393"/>
    </row>
    <row r="18" spans="1:30" ht="24" hidden="1" customHeight="1" x14ac:dyDescent="0.3">
      <c r="A18" s="195"/>
      <c r="B18" s="233"/>
      <c r="C18" s="231"/>
      <c r="D18" s="231"/>
      <c r="E18" s="231"/>
      <c r="F18" s="231"/>
      <c r="G18" s="231"/>
      <c r="H18" s="231"/>
      <c r="I18" s="232"/>
      <c r="J18" s="231"/>
      <c r="K18" s="230" t="str">
        <f ca="1">RTD("cqg.rtd",,"ContractData",A26, "Symbol")</f>
        <v>NGEJ8</v>
      </c>
      <c r="L18" s="229" t="str">
        <f ca="1">RTD("cqg.rtd", ,"ContractData",A27, "Symbol")</f>
        <v>NGEK8</v>
      </c>
      <c r="M18" s="229" t="str">
        <f ca="1">RTD("cqg.rtd", ,"ContractData",A28, "Symbol")</f>
        <v>NGEM8</v>
      </c>
      <c r="N18" s="229" t="str">
        <f ca="1">RTD("cqg.rtd", ,"ContractData",A29, "Symbol")</f>
        <v>NGEN8</v>
      </c>
      <c r="O18" s="229" t="str">
        <f ca="1">RTD("cqg.rtd", ,"ContractData",A30, "Symbol")</f>
        <v>NGEQ8</v>
      </c>
      <c r="P18" s="229" t="str">
        <f ca="1">RTD("cqg.rtd", ,"ContractData",A31, "Symbol")</f>
        <v>NGEU8</v>
      </c>
      <c r="Q18" s="228" t="str">
        <f ca="1">RTD("cqg.rtd", ,"ContractData",A32, "Symbol")</f>
        <v>NGEV8</v>
      </c>
      <c r="R18" s="227"/>
      <c r="S18" s="227"/>
      <c r="T18" s="227"/>
      <c r="U18" s="227"/>
      <c r="V18" s="226"/>
      <c r="W18" s="394" t="str">
        <f t="shared" ref="W18:AC18" ca="1" si="0">LEFT(RIGHT(K18,2),1)</f>
        <v>J</v>
      </c>
      <c r="X18" s="394" t="str">
        <f t="shared" ca="1" si="0"/>
        <v>K</v>
      </c>
      <c r="Y18" s="394" t="str">
        <f t="shared" ca="1" si="0"/>
        <v>M</v>
      </c>
      <c r="Z18" s="394" t="str">
        <f t="shared" ca="1" si="0"/>
        <v>N</v>
      </c>
      <c r="AA18" s="394" t="str">
        <f t="shared" ca="1" si="0"/>
        <v>Q</v>
      </c>
      <c r="AB18" s="394" t="str">
        <f t="shared" ca="1" si="0"/>
        <v>U</v>
      </c>
      <c r="AC18" s="394" t="str">
        <f t="shared" ca="1" si="0"/>
        <v>V</v>
      </c>
      <c r="AD18" s="393"/>
    </row>
    <row r="19" spans="1:30" ht="20.100000000000001" customHeight="1" x14ac:dyDescent="0.3">
      <c r="A19" s="195"/>
      <c r="B19" s="369" t="s">
        <v>1</v>
      </c>
      <c r="C19" s="371">
        <f ca="1">RTD("cqg.rtd", ,"ContractData",RollData!I16, "MT_LastAskVolume",, "T")</f>
        <v>1</v>
      </c>
      <c r="D19" s="373">
        <f ca="1">RTD("cqg.rtd", ,"ContractData",RollData!I26, "Ask",, "T")</f>
        <v>2.9410000000000003</v>
      </c>
      <c r="E19" s="374"/>
      <c r="F19" s="377" t="str">
        <f ca="1">B25&amp;"  Last Quote"</f>
        <v>Summer 18  Last Quote</v>
      </c>
      <c r="G19" s="378"/>
      <c r="H19" s="378"/>
      <c r="I19" s="378"/>
      <c r="J19" s="378"/>
      <c r="K19" s="225" t="str">
        <f t="shared" ref="K19:Q19" ca="1" si="1">IF(W18="F","JAN",IF(W18="G","FEB",IF(W18="H","MAR",IF(W18="J","APR",IF(W18="K","MAY",IF(W18="M","JUN",IF(W18="N","JUL",IF(W18="Q","AUG",IF(W18="U","SEP",IF(W18="V","OCT",IF(W18="X","NOV",IF(W18="Z","DEC",))))))))))))</f>
        <v>APR</v>
      </c>
      <c r="L19" s="225" t="str">
        <f t="shared" ca="1" si="1"/>
        <v>MAY</v>
      </c>
      <c r="M19" s="225" t="str">
        <f t="shared" ca="1" si="1"/>
        <v>JUN</v>
      </c>
      <c r="N19" s="225" t="str">
        <f t="shared" ca="1" si="1"/>
        <v>JUL</v>
      </c>
      <c r="O19" s="225" t="str">
        <f t="shared" ca="1" si="1"/>
        <v>AUG</v>
      </c>
      <c r="P19" s="225" t="str">
        <f t="shared" ca="1" si="1"/>
        <v>SEP</v>
      </c>
      <c r="Q19" s="225" t="str">
        <f t="shared" ca="1" si="1"/>
        <v>OCT</v>
      </c>
      <c r="R19" s="365" t="str">
        <f ca="1">"CQG "&amp;B25&amp;" Strip"</f>
        <v>CQG Summer 18 Strip</v>
      </c>
      <c r="S19" s="366"/>
      <c r="T19" s="366"/>
      <c r="U19" s="366"/>
      <c r="V19" s="367"/>
      <c r="W19" s="393"/>
      <c r="X19" s="393"/>
      <c r="Y19" s="393"/>
      <c r="Z19" s="393"/>
      <c r="AA19" s="393"/>
      <c r="AB19" s="393"/>
      <c r="AC19" s="393"/>
      <c r="AD19" s="393"/>
    </row>
    <row r="20" spans="1:30" ht="20.100000000000001" customHeight="1" x14ac:dyDescent="0.3">
      <c r="A20" s="195"/>
      <c r="B20" s="370"/>
      <c r="C20" s="372"/>
      <c r="D20" s="375"/>
      <c r="E20" s="376"/>
      <c r="F20" s="377"/>
      <c r="G20" s="378"/>
      <c r="H20" s="378"/>
      <c r="I20" s="378"/>
      <c r="J20" s="378"/>
      <c r="K20" s="224" t="str">
        <f ca="1">TEXT(RTD("cqg.rtd",,"ContractData",K18,"Ask",,"T"),"#.000")&amp;" "&amp;"A"</f>
        <v>2.925 A</v>
      </c>
      <c r="L20" s="224" t="str">
        <f ca="1">TEXT(RTD("cqg.rtd",,"ContractData",L18,"Ask",,"T"),"#.000")&amp;" "&amp;"A"</f>
        <v>2.901 A</v>
      </c>
      <c r="M20" s="224" t="str">
        <f ca="1">TEXT(RTD("cqg.rtd",,"ContractData",M18,"Ask",,"T"),"#.000")&amp;" "&amp;"A"</f>
        <v>2.931 A</v>
      </c>
      <c r="N20" s="224" t="str">
        <f ca="1">TEXT(RTD("cqg.rtd",,"ContractData",N18,"Ask",,"T"),"#.000")&amp;" "&amp;"A"</f>
        <v>2.958 A</v>
      </c>
      <c r="O20" s="224" t="str">
        <f ca="1">TEXT(RTD("cqg.rtd",,"ContractData",O18,"Ask",,"T"),"#.000")&amp;" "&amp;"A"</f>
        <v>2.961 A</v>
      </c>
      <c r="P20" s="224" t="str">
        <f ca="1">TEXT(RTD("cqg.rtd",,"ContractData",P18,"Ask",,"T"),"#.000")&amp;" "&amp;"A"</f>
        <v>2.944 A</v>
      </c>
      <c r="Q20" s="224" t="str">
        <f ca="1">TEXT(RTD("cqg.rtd",,"ContractData",Q18,"Ask",,"T"),"#.000")&amp;" "&amp;"A"</f>
        <v>2.966 A</v>
      </c>
      <c r="R20" s="223"/>
      <c r="S20" s="223"/>
      <c r="T20" s="223"/>
      <c r="U20" s="223"/>
      <c r="V20" s="222"/>
      <c r="W20" s="395">
        <f ca="1">RTD("cqg.rtd",,"ContractData",K18,"Ask",,"T")</f>
        <v>2.9250000000000003</v>
      </c>
      <c r="X20" s="395">
        <f ca="1">RTD("cqg.rtd",,"ContractData",L18,"Ask",,"T")</f>
        <v>2.9010000000000002</v>
      </c>
      <c r="Y20" s="395">
        <f ca="1">RTD("cqg.rtd",,"ContractData",M18,"Ask",,"T")</f>
        <v>2.931</v>
      </c>
      <c r="Z20" s="395">
        <f ca="1">RTD("cqg.rtd",,"ContractData",N18,"Ask",,"T")</f>
        <v>2.9580000000000002</v>
      </c>
      <c r="AA20" s="395">
        <f ca="1">RTD("cqg.rtd",,"ContractData",O18,"Ask",,"T")</f>
        <v>2.9609999999999999</v>
      </c>
      <c r="AB20" s="395">
        <f ca="1">RTD("cqg.rtd",,"ContractData",P18,"Ask",,"T")</f>
        <v>2.944</v>
      </c>
      <c r="AC20" s="395">
        <f ca="1">RTD("cqg.rtd",,"ContractData",Q18,"Ask",,"T")</f>
        <v>2.9660000000000002</v>
      </c>
      <c r="AD20" s="393"/>
    </row>
    <row r="21" spans="1:30" ht="20.100000000000001" customHeight="1" x14ac:dyDescent="0.3">
      <c r="A21" s="195"/>
      <c r="B21" s="353" t="s">
        <v>0</v>
      </c>
      <c r="C21" s="355">
        <f ca="1">RTD("cqg.rtd", ,"ContractData",RollData!I16, "MT_LastBidVolume",, "T")</f>
        <v>15</v>
      </c>
      <c r="D21" s="357">
        <f ca="1">RTD("cqg.rtd", ,"ContractData",RollData!I26, "Bid",, "T")</f>
        <v>2.9390000000000001</v>
      </c>
      <c r="E21" s="357"/>
      <c r="F21" s="359" t="str">
        <f ca="1">RTD("cqg.rtd", ,"ContractData", RollData!I26, "LastQuoteToday",, "B")</f>
        <v>2.941 A</v>
      </c>
      <c r="G21" s="360"/>
      <c r="H21" s="363" t="str">
        <f ca="1">IF(ChartData!S2-ChartData!S3&gt;0,"+"&amp;TEXT(ChartData!S2-ChartData!S3,"#.000"),TEXT(ChartData!S2-ChartData!S3,"#.000"))</f>
        <v>-.003</v>
      </c>
      <c r="I21" s="363"/>
      <c r="J21" s="352"/>
      <c r="K21" s="224" t="str">
        <f ca="1">TEXT(RTD("cqg.rtd",,"ContractData",K18,"Bid",,"T"),"#.000")&amp;" "&amp;"B"</f>
        <v>2.924 B</v>
      </c>
      <c r="L21" s="224" t="str">
        <f ca="1">TEXT(RTD("cqg.rtd",,"ContractData",L18,"Bid",,"T"),"#.000")&amp;" "&amp;"B"</f>
        <v>2.900 B</v>
      </c>
      <c r="M21" s="224" t="str">
        <f ca="1">TEXT(RTD("cqg.rtd",,"ContractData",M18,"Bid",,"T"),"#.000")&amp;" "&amp;"B"</f>
        <v>2.929 B</v>
      </c>
      <c r="N21" s="224" t="str">
        <f ca="1">TEXT(RTD("cqg.rtd",,"ContractData",N18,"Bid",,"T"),"#.000")&amp;" "&amp;"B"</f>
        <v>2.956 B</v>
      </c>
      <c r="O21" s="224" t="str">
        <f ca="1">TEXT(RTD("cqg.rtd",,"ContractData",O18,"Bid",,"T"),"#.000")&amp;" "&amp;"B"</f>
        <v>2.959 B</v>
      </c>
      <c r="P21" s="224" t="str">
        <f ca="1">TEXT(RTD("cqg.rtd",,"ContractData",P18,"Bid",,"T"),"#.000")&amp;" "&amp;"B"</f>
        <v>2.942 B</v>
      </c>
      <c r="Q21" s="224" t="str">
        <f ca="1">TEXT(RTD("cqg.rtd",,"ContractData",Q18,"Bid",,"T"),"#.000")&amp;" "&amp;"B"</f>
        <v>2.964 B</v>
      </c>
      <c r="R21" s="223"/>
      <c r="S21" s="223"/>
      <c r="T21" s="223"/>
      <c r="U21" s="223"/>
      <c r="V21" s="222"/>
      <c r="W21" s="395">
        <f ca="1">RTD("cqg.rtd",,"ContractData",K18,"Bid",,"T")</f>
        <v>2.9239999999999999</v>
      </c>
      <c r="X21" s="395">
        <f ca="1">RTD("cqg.rtd",,"ContractData",L18,"Bid",,"T")</f>
        <v>2.9</v>
      </c>
      <c r="Y21" s="395">
        <f ca="1">RTD("cqg.rtd",,"ContractData",M18,"Bid",,"T")</f>
        <v>2.9290000000000003</v>
      </c>
      <c r="Z21" s="395">
        <f ca="1">RTD("cqg.rtd",,"ContractData",N18,"Bid",,"T")</f>
        <v>2.956</v>
      </c>
      <c r="AA21" s="395">
        <f ca="1">RTD("cqg.rtd",,"ContractData",O18,"Bid",,"T")</f>
        <v>2.9590000000000001</v>
      </c>
      <c r="AB21" s="395">
        <f ca="1">RTD("cqg.rtd",,"ContractData",P18,"Bid",,"T")</f>
        <v>2.9420000000000002</v>
      </c>
      <c r="AC21" s="395">
        <f ca="1">RTD("cqg.rtd",,"ContractData",Q18,"Bid",,"T")</f>
        <v>2.964</v>
      </c>
      <c r="AD21" s="393"/>
    </row>
    <row r="22" spans="1:30" ht="20.100000000000001" customHeight="1" x14ac:dyDescent="0.3">
      <c r="A22" s="195"/>
      <c r="B22" s="354"/>
      <c r="C22" s="356"/>
      <c r="D22" s="358"/>
      <c r="E22" s="358"/>
      <c r="F22" s="361"/>
      <c r="G22" s="362"/>
      <c r="H22" s="364"/>
      <c r="I22" s="364"/>
      <c r="J22" s="352"/>
      <c r="K22" s="224" t="str">
        <f ca="1">TEXT(RTD("cqg.rtd", ,"ContractData",K18,"LastTradeorSettle",,"T"),"#.000")&amp;" "&amp;"L"</f>
        <v>2.925 L</v>
      </c>
      <c r="L22" s="224" t="str">
        <f ca="1">TEXT(RTD("cqg.rtd", ,"ContractData",L18,"LastTradeorSettle",,"T"),"#.000")&amp;" "&amp;"L"</f>
        <v>2.902 L</v>
      </c>
      <c r="M22" s="224" t="str">
        <f ca="1">TEXT(RTD("cqg.rtd", ,"ContractData",M18,"LastTradeorSettle",,"T"),"#.000")&amp;" "&amp;"L"</f>
        <v>2.931 L</v>
      </c>
      <c r="N22" s="224" t="str">
        <f ca="1">TEXT(RTD("cqg.rtd", ,"ContractData",N18,"LastTradeorSettle",,"T"),"#.000")&amp;" "&amp;"L"</f>
        <v>2.958 L</v>
      </c>
      <c r="O22" s="224" t="str">
        <f ca="1">TEXT(RTD("cqg.rtd", ,"ContractData",O18,"LastTradeorSettle",,"T"),"#.000")&amp;" "&amp;"L"</f>
        <v>2.960 L</v>
      </c>
      <c r="P22" s="224" t="str">
        <f ca="1">TEXT(RTD("cqg.rtd", ,"ContractData",P18,"LastTradeorSettle",,"T"),"#.000")&amp;" "&amp;"L"</f>
        <v>2.942 L</v>
      </c>
      <c r="Q22" s="224" t="str">
        <f ca="1">TEXT(RTD("cqg.rtd", ,"ContractData",Q18,"LastTradeorSettle",,"T"),"#.000")&amp;" "&amp;"L"</f>
        <v>2.967 L</v>
      </c>
      <c r="R22" s="223"/>
      <c r="S22" s="223"/>
      <c r="T22" s="223"/>
      <c r="U22" s="223"/>
      <c r="V22" s="222"/>
      <c r="W22" s="395">
        <f ca="1">IF(RTD("cqg.rtd", ,"ContractData",K18,"LastTradeorSettle",,"T")="",MEDIAN(W20:W21),RTD("cqg.rtd", ,"ContractData",K18,"LastTradeorSettle",,"T"))</f>
        <v>2.9250000000000003</v>
      </c>
      <c r="X22" s="395">
        <f ca="1">IF(RTD("cqg.rtd", ,"ContractData",L18,"LastTradeorSettle",,"T")="",MEDIAN(X20:X21),RTD("cqg.rtd", ,"ContractData",L18,"LastTradeorSettle",,"T"))</f>
        <v>2.9020000000000001</v>
      </c>
      <c r="Y22" s="395">
        <f ca="1">IF(RTD("cqg.rtd", ,"ContractData",M18,"LastTradeorSettle",,"T")="",MEDIAN(Y20:Y21),RTD("cqg.rtd", ,"ContractData",M18,"LastTradeorSettle",,"T"))</f>
        <v>2.931</v>
      </c>
      <c r="Z22" s="395">
        <f ca="1">IF(RTD("cqg.rtd", ,"ContractData",N18,"LastTradeorSettle",,"T")="",MEDIAN(Z20:Z21),RTD("cqg.rtd", ,"ContractData",N18,"LastTradeorSettle",,"T"))</f>
        <v>2.9580000000000002</v>
      </c>
      <c r="AA22" s="395">
        <f ca="1">IF(RTD("cqg.rtd", ,"ContractData",O18,"LastTradeorSettle",,"T")="",MEDIAN(AA20:AA21),RTD("cqg.rtd", ,"ContractData",O18,"LastTradeorSettle",,"T"))</f>
        <v>2.96</v>
      </c>
      <c r="AB22" s="395">
        <f ca="1">IF(RTD("cqg.rtd", ,"ContractData",P18,"LastTradeorSettle",,"T")="",MEDIAN(AB20:AB21),RTD("cqg.rtd", ,"ContractData",P18,"LastTradeorSettle",,"T"))</f>
        <v>2.9420000000000002</v>
      </c>
      <c r="AC22" s="395">
        <f ca="1">IF(RTD("cqg.rtd", ,"ContractData",Q18,"LastTradeorSettle",,"T")="",MEDIAN(AC20:AC21),RTD("cqg.rtd", ,"ContractData",Q18,"LastTradeorSettle",,"T"))</f>
        <v>2.9670000000000001</v>
      </c>
      <c r="AD22" s="393"/>
    </row>
    <row r="23" spans="1:30" ht="24" hidden="1" customHeight="1" x14ac:dyDescent="0.3">
      <c r="A23" s="195"/>
      <c r="B23" s="221"/>
      <c r="C23" s="220"/>
      <c r="D23" s="219"/>
      <c r="E23" s="219"/>
      <c r="F23" s="218"/>
      <c r="G23" s="218"/>
      <c r="H23" s="217"/>
      <c r="I23" s="217"/>
      <c r="J23" s="217"/>
      <c r="K23" s="216">
        <f ca="1">RTD("cqg.rtd", ,"ContractData",A26, "Y_Settlement",, "T")</f>
        <v>2.9390000000000001</v>
      </c>
      <c r="L23" s="216">
        <f ca="1">RTD("cqg.rtd", ,"ContractData",A27, "Y_Settlement",, "T")</f>
        <v>2.911</v>
      </c>
      <c r="M23" s="215">
        <f ca="1">RTD("cqg.rtd", ,"ContractData",A28, "Y_Settlement",, "T")</f>
        <v>2.9390000000000001</v>
      </c>
      <c r="N23" s="215">
        <f ca="1">RTD("cqg.rtd", ,"ContractData",A29, "Y_Settlement",, "T")</f>
        <v>2.9660000000000002</v>
      </c>
      <c r="O23" s="215">
        <f ca="1">RTD("cqg.rtd", ,"ContractData",A30, "Y_Settlement",, "T")</f>
        <v>2.9689999999999999</v>
      </c>
      <c r="P23" s="215">
        <f ca="1">RTD("cqg.rtd", ,"ContractData",A31, "Y_Settlement",, "T")</f>
        <v>2.9510000000000001</v>
      </c>
      <c r="Q23" s="215">
        <f ca="1">RTD("cqg.rtd", ,"ContractData",A32, "Y_Settlement",, "T")</f>
        <v>2.9740000000000002</v>
      </c>
      <c r="R23" s="214"/>
      <c r="S23" s="214"/>
      <c r="T23" s="214"/>
      <c r="U23" s="214"/>
      <c r="V23" s="213"/>
      <c r="W23" s="393"/>
      <c r="X23" s="393"/>
      <c r="Y23" s="393"/>
      <c r="Z23" s="393"/>
      <c r="AA23" s="393"/>
      <c r="AB23" s="393"/>
      <c r="AC23" s="393"/>
      <c r="AD23" s="393"/>
    </row>
    <row r="24" spans="1:30" x14ac:dyDescent="0.3">
      <c r="A24" s="195"/>
      <c r="B24" s="212" t="s">
        <v>16</v>
      </c>
      <c r="C24" s="211" t="s">
        <v>9</v>
      </c>
      <c r="D24" s="211" t="s">
        <v>10</v>
      </c>
      <c r="E24" s="211" t="s">
        <v>11</v>
      </c>
      <c r="F24" s="211" t="s">
        <v>8</v>
      </c>
      <c r="G24" s="211" t="s">
        <v>12</v>
      </c>
      <c r="H24" s="210" t="s">
        <v>12</v>
      </c>
      <c r="I24" s="210" t="s">
        <v>13</v>
      </c>
      <c r="J24" s="209"/>
      <c r="K24" s="208"/>
      <c r="L24" s="208"/>
      <c r="M24" s="207" t="s">
        <v>209</v>
      </c>
      <c r="N24" s="207">
        <f>DATE(M3,K3,L3)</f>
        <v>42996</v>
      </c>
      <c r="O24" s="206" t="str">
        <f ca="1">RollData!I24</f>
        <v>Summer 18</v>
      </c>
      <c r="P24" s="205">
        <f ca="1">RollData!E23</f>
        <v>2.9800000000000004</v>
      </c>
      <c r="Q24" s="204"/>
      <c r="R24" s="203"/>
      <c r="S24" s="202"/>
      <c r="T24" s="202"/>
      <c r="U24" s="202"/>
      <c r="V24" s="202"/>
      <c r="W24" s="396"/>
      <c r="X24" s="393"/>
      <c r="Y24" s="393"/>
      <c r="Z24" s="393"/>
      <c r="AA24" s="393"/>
      <c r="AB24" s="393"/>
      <c r="AC24" s="393"/>
      <c r="AD24" s="393"/>
    </row>
    <row r="25" spans="1:30" s="185" customFormat="1" ht="24" customHeight="1" x14ac:dyDescent="0.2">
      <c r="A25" s="201"/>
      <c r="B25" s="198" t="str">
        <f ca="1">RollData!I24</f>
        <v>Summer 18</v>
      </c>
      <c r="C25" s="197">
        <f ca="1" xml:space="preserve"> RTD("cqg.rtd",,"StudyData",RollData!I25,  "Bar",, "Open", "D","0",,,,,"T")</f>
        <v>2.9404285699999999</v>
      </c>
      <c r="D25" s="197">
        <f ca="1" xml:space="preserve"> RTD("cqg.rtd",,"StudyData",RollData!I25,  "Bar",, "High", "D","0",,,,,"T")</f>
        <v>2.9427142900000001</v>
      </c>
      <c r="E25" s="197">
        <f ca="1" xml:space="preserve"> RTD("cqg.rtd",,"StudyData",RollData!I25,  "Bar",, "Low", "D","0",,,,,"T")</f>
        <v>2.9347142900000001</v>
      </c>
      <c r="F25" s="200" t="str">
        <f ca="1">F21</f>
        <v>2.941 A</v>
      </c>
      <c r="G25" s="200" t="str">
        <f ca="1">H21</f>
        <v>-.003</v>
      </c>
      <c r="H25" s="199"/>
      <c r="I25" s="196"/>
      <c r="J25" s="191"/>
      <c r="K25" s="189"/>
      <c r="L25" s="189"/>
      <c r="M25" s="189"/>
      <c r="N25" s="189"/>
      <c r="O25" s="189"/>
      <c r="P25" s="189"/>
      <c r="Q25" s="190"/>
      <c r="R25" s="189"/>
      <c r="S25" s="189"/>
      <c r="T25" s="189"/>
      <c r="U25" s="189"/>
      <c r="V25" s="189"/>
      <c r="W25" s="397"/>
      <c r="X25" s="398"/>
      <c r="Y25" s="398"/>
      <c r="Z25" s="398"/>
      <c r="AA25" s="398"/>
      <c r="AB25" s="398"/>
      <c r="AC25" s="398"/>
      <c r="AD25" s="398"/>
    </row>
    <row r="26" spans="1:30" s="185" customFormat="1" ht="24" customHeight="1" x14ac:dyDescent="0.2">
      <c r="A26" s="201" t="str">
        <f ca="1">RollData!N16</f>
        <v>NGEJ18</v>
      </c>
      <c r="B26" s="198" t="str">
        <f ca="1">RIGHT(RTD("cqg.rtd",,"ContractData",A26, "LongDescription"),7)</f>
        <v xml:space="preserve"> Apr 18</v>
      </c>
      <c r="C26" s="197">
        <f ca="1">RTD("cqg.rtd", ,"ContractData",A26, "Open",,"T")</f>
        <v>2.927</v>
      </c>
      <c r="D26" s="197">
        <f ca="1">RTD("cqg.rtd", ,"ContractData",A26, "High",,"T")</f>
        <v>2.9319999999999999</v>
      </c>
      <c r="E26" s="197">
        <f ca="1">RTD("cqg.rtd", ,"ContractData",A26, "Low",,"T")</f>
        <v>2.9180000000000001</v>
      </c>
      <c r="F26" s="197">
        <f ca="1">RTD("cqg.rtd", ,"ContractData",A26, "LastTradeorSettle",,"T")</f>
        <v>2.9250000000000003</v>
      </c>
      <c r="G26" s="197">
        <f ca="1">RTD("cqg.rtd",,"ContractData",A26,"NetLastTradeToday",,"T")</f>
        <v>-1.4E-2</v>
      </c>
      <c r="H26" s="197">
        <f ca="1">RTD("cqg.rtd",,"ContractData",A26,"NetLastTradeToday",,"T")</f>
        <v>-1.4E-2</v>
      </c>
      <c r="I26" s="196">
        <f ca="1">RTD("cqg.rtd", ,"ContractData",A26, "T_CVol")</f>
        <v>5093</v>
      </c>
      <c r="J26" s="191"/>
      <c r="K26" s="189"/>
      <c r="L26" s="189"/>
      <c r="M26" s="189"/>
      <c r="N26" s="189"/>
      <c r="O26" s="189"/>
      <c r="P26" s="189"/>
      <c r="Q26" s="190"/>
      <c r="R26" s="189"/>
      <c r="S26" s="188"/>
      <c r="T26" s="188"/>
      <c r="U26" s="188"/>
      <c r="V26" s="188"/>
      <c r="W26" s="397"/>
      <c r="X26" s="398"/>
      <c r="Y26" s="398"/>
      <c r="Z26" s="398"/>
      <c r="AA26" s="398"/>
      <c r="AB26" s="398"/>
      <c r="AC26" s="398"/>
      <c r="AD26" s="398"/>
    </row>
    <row r="27" spans="1:30" s="185" customFormat="1" ht="24" customHeight="1" x14ac:dyDescent="0.2">
      <c r="A27" s="201" t="str">
        <f ca="1">RollData!N17</f>
        <v>NGEK18</v>
      </c>
      <c r="B27" s="198" t="str">
        <f ca="1">RIGHT(RTD("cqg.rtd",,"ContractData",A27, "LongDescription"),7)</f>
        <v xml:space="preserve"> May 18</v>
      </c>
      <c r="C27" s="197">
        <f ca="1">RTD("cqg.rtd", ,"ContractData",A27, "Open",,"T")</f>
        <v>2.8970000000000002</v>
      </c>
      <c r="D27" s="197">
        <f ca="1">RTD("cqg.rtd", ,"ContractData",A27, "High",,"T")</f>
        <v>2.9039999999999999</v>
      </c>
      <c r="E27" s="197">
        <f ca="1">RTD("cqg.rtd", ,"ContractData",A27, "Low",,"T")</f>
        <v>2.8940000000000001</v>
      </c>
      <c r="F27" s="197">
        <f ca="1">RTD("cqg.rtd", ,"ContractData",A27, "LastTradeorSettle",,"T")</f>
        <v>2.9020000000000001</v>
      </c>
      <c r="G27" s="197">
        <f ca="1">RTD("cqg.rtd",,"ContractData",A27,"NetLastTradeToday",,"T")</f>
        <v>-9.0000000000000011E-3</v>
      </c>
      <c r="H27" s="197">
        <f ca="1">RTD("cqg.rtd",,"ContractData",A27,"NetLastTradeToday",,"T")</f>
        <v>-9.0000000000000011E-3</v>
      </c>
      <c r="I27" s="196">
        <f ca="1">RTD("cqg.rtd", ,"ContractData",A27, "T_CVol")</f>
        <v>1940</v>
      </c>
      <c r="J27" s="191"/>
      <c r="K27" s="189"/>
      <c r="L27" s="189"/>
      <c r="M27" s="189"/>
      <c r="N27" s="189"/>
      <c r="O27" s="189"/>
      <c r="P27" s="189"/>
      <c r="Q27" s="190"/>
      <c r="R27" s="189"/>
      <c r="S27" s="188"/>
      <c r="T27" s="188"/>
      <c r="U27" s="188"/>
      <c r="V27" s="188"/>
      <c r="W27" s="397"/>
      <c r="X27" s="398"/>
      <c r="Y27" s="398"/>
      <c r="Z27" s="398"/>
      <c r="AA27" s="398"/>
      <c r="AB27" s="398"/>
      <c r="AC27" s="398"/>
      <c r="AD27" s="398"/>
    </row>
    <row r="28" spans="1:30" s="185" customFormat="1" ht="24" customHeight="1" x14ac:dyDescent="0.2">
      <c r="A28" s="201" t="str">
        <f ca="1">RollData!N18</f>
        <v>NGEM18</v>
      </c>
      <c r="B28" s="198" t="str">
        <f ca="1">RIGHT(RTD("cqg.rtd",,"ContractData",A28, "LongDescription"),7)</f>
        <v xml:space="preserve"> Jun 18</v>
      </c>
      <c r="C28" s="197">
        <f ca="1">RTD("cqg.rtd", ,"ContractData",A28, "Open",,"T")</f>
        <v>2.927</v>
      </c>
      <c r="D28" s="197">
        <f ca="1">RTD("cqg.rtd", ,"ContractData",A28, "High",,"T")</f>
        <v>2.931</v>
      </c>
      <c r="E28" s="197">
        <f ca="1">RTD("cqg.rtd", ,"ContractData",A28, "Low",,"T")</f>
        <v>2.9260000000000002</v>
      </c>
      <c r="F28" s="197">
        <f ca="1">RTD("cqg.rtd", ,"ContractData",A28, "LastTradeorSettle",,"T")</f>
        <v>2.931</v>
      </c>
      <c r="G28" s="197">
        <f ca="1">RTD("cqg.rtd",,"ContractData",A28,"NetLastTradeToday",,"T")</f>
        <v>-8.0000000000000002E-3</v>
      </c>
      <c r="H28" s="197">
        <f ca="1">RTD("cqg.rtd",,"ContractData",A28,"NetLastTradeToday",,"T")</f>
        <v>-8.0000000000000002E-3</v>
      </c>
      <c r="I28" s="196">
        <f ca="1">RTD("cqg.rtd", ,"ContractData",A28, "T_CVol")</f>
        <v>243</v>
      </c>
      <c r="J28" s="191"/>
      <c r="K28" s="189"/>
      <c r="L28" s="189"/>
      <c r="M28" s="189"/>
      <c r="N28" s="189"/>
      <c r="O28" s="189"/>
      <c r="P28" s="189"/>
      <c r="Q28" s="190"/>
      <c r="R28" s="188"/>
      <c r="S28" s="188"/>
      <c r="T28" s="188"/>
      <c r="U28" s="188"/>
      <c r="V28" s="188"/>
      <c r="W28" s="397"/>
      <c r="X28" s="398"/>
      <c r="Y28" s="398"/>
      <c r="Z28" s="398"/>
      <c r="AA28" s="398"/>
      <c r="AB28" s="398"/>
      <c r="AC28" s="398"/>
      <c r="AD28" s="398"/>
    </row>
    <row r="29" spans="1:30" s="185" customFormat="1" ht="24" customHeight="1" x14ac:dyDescent="0.2">
      <c r="A29" s="201" t="str">
        <f ca="1">RollData!N19</f>
        <v>NGEN18</v>
      </c>
      <c r="B29" s="198" t="str">
        <f ca="1">RIGHT(RTD("cqg.rtd",,"ContractData",A29, "LongDescription"),7)</f>
        <v xml:space="preserve"> Jul 18</v>
      </c>
      <c r="C29" s="197">
        <f ca="1">RTD("cqg.rtd", ,"ContractData",A29, "Open",,"T")</f>
        <v>2.9550000000000001</v>
      </c>
      <c r="D29" s="197">
        <f ca="1">RTD("cqg.rtd", ,"ContractData",A29, "High",,"T")</f>
        <v>2.96</v>
      </c>
      <c r="E29" s="197">
        <f ca="1">RTD("cqg.rtd", ,"ContractData",A29, "Low",,"T")</f>
        <v>2.9510000000000001</v>
      </c>
      <c r="F29" s="197">
        <f ca="1">RTD("cqg.rtd", ,"ContractData",A29, "LastTradeorSettle",,"T")</f>
        <v>2.9580000000000002</v>
      </c>
      <c r="G29" s="197">
        <f ca="1">RTD("cqg.rtd",,"ContractData",A29,"NetLastTradeToday",,"T")</f>
        <v>-8.0000000000000002E-3</v>
      </c>
      <c r="H29" s="197">
        <f ca="1">RTD("cqg.rtd",,"ContractData",A29,"NetLastTradeToday",,"T")</f>
        <v>-8.0000000000000002E-3</v>
      </c>
      <c r="I29" s="196">
        <f ca="1">RTD("cqg.rtd", ,"ContractData",A29, "T_CVol")</f>
        <v>942</v>
      </c>
      <c r="J29" s="191"/>
      <c r="K29" s="189"/>
      <c r="L29" s="189"/>
      <c r="M29" s="189"/>
      <c r="N29" s="189"/>
      <c r="O29" s="189"/>
      <c r="P29" s="189"/>
      <c r="Q29" s="190"/>
      <c r="R29" s="189"/>
      <c r="S29" s="188"/>
      <c r="T29" s="188"/>
      <c r="U29" s="188"/>
      <c r="V29" s="188"/>
      <c r="W29" s="397"/>
      <c r="X29" s="398"/>
      <c r="Y29" s="398"/>
      <c r="Z29" s="398"/>
      <c r="AA29" s="398"/>
      <c r="AB29" s="398"/>
      <c r="AC29" s="398"/>
      <c r="AD29" s="398"/>
    </row>
    <row r="30" spans="1:30" s="185" customFormat="1" ht="24" customHeight="1" x14ac:dyDescent="0.2">
      <c r="A30" s="201" t="str">
        <f ca="1">RollData!N20</f>
        <v>NGEQ18</v>
      </c>
      <c r="B30" s="198" t="str">
        <f ca="1">RIGHT(RTD("cqg.rtd",,"ContractData",A30, "LongDescription"),7)</f>
        <v xml:space="preserve"> Aug 18</v>
      </c>
      <c r="C30" s="197">
        <f ca="1">RTD("cqg.rtd", ,"ContractData",A30, "Open",,"T")</f>
        <v>2.9550000000000001</v>
      </c>
      <c r="D30" s="197">
        <f ca="1">RTD("cqg.rtd", ,"ContractData",A30, "High",,"T")</f>
        <v>2.9620000000000002</v>
      </c>
      <c r="E30" s="197">
        <f ca="1">RTD("cqg.rtd", ,"ContractData",A30, "Low",,"T")</f>
        <v>2.9529999999999998</v>
      </c>
      <c r="F30" s="197">
        <f ca="1">RTD("cqg.rtd", ,"ContractData",A30, "LastTradeorSettle",,"T")</f>
        <v>2.96</v>
      </c>
      <c r="G30" s="197">
        <f ca="1">RTD("cqg.rtd",,"ContractData",A30,"NetLastTradeToday",,"T")</f>
        <v>-9.0000000000000011E-3</v>
      </c>
      <c r="H30" s="197">
        <f ca="1">RTD("cqg.rtd",,"ContractData",A30,"NetLastTradeToday",,"T")</f>
        <v>-9.0000000000000011E-3</v>
      </c>
      <c r="I30" s="196">
        <f ca="1">RTD("cqg.rtd", ,"ContractData",A30, "T_CVol")</f>
        <v>951</v>
      </c>
      <c r="J30" s="191"/>
      <c r="K30" s="189"/>
      <c r="L30" s="189"/>
      <c r="M30" s="189"/>
      <c r="N30" s="189"/>
      <c r="O30" s="189"/>
      <c r="P30" s="189"/>
      <c r="Q30" s="190"/>
      <c r="R30" s="189"/>
      <c r="S30" s="188"/>
      <c r="T30" s="188"/>
      <c r="U30" s="188"/>
      <c r="V30" s="188"/>
      <c r="W30" s="397"/>
      <c r="X30" s="398"/>
      <c r="Y30" s="398"/>
      <c r="Z30" s="398"/>
      <c r="AA30" s="398"/>
      <c r="AB30" s="398"/>
      <c r="AC30" s="398"/>
      <c r="AD30" s="398"/>
    </row>
    <row r="31" spans="1:30" s="185" customFormat="1" ht="24" customHeight="1" x14ac:dyDescent="0.2">
      <c r="A31" s="201" t="str">
        <f ca="1">RollData!N21</f>
        <v>NGEU18</v>
      </c>
      <c r="B31" s="198" t="str">
        <f ca="1">RIGHT(RTD("cqg.rtd",,"ContractData",A31, "LongDescription"),7)</f>
        <v xml:space="preserve"> Sep 18</v>
      </c>
      <c r="C31" s="197">
        <f ca="1">RTD("cqg.rtd", ,"ContractData",A31, "Open",,"T")</f>
        <v>2.944</v>
      </c>
      <c r="D31" s="197">
        <f ca="1">RTD("cqg.rtd", ,"ContractData",A31, "High",,"T")</f>
        <v>2.944</v>
      </c>
      <c r="E31" s="197">
        <f ca="1">RTD("cqg.rtd", ,"ContractData",A31, "Low",,"T")</f>
        <v>2.9350000000000001</v>
      </c>
      <c r="F31" s="197">
        <f ca="1">RTD("cqg.rtd", ,"ContractData",A31, "LastTradeorSettle",,"T")</f>
        <v>2.9420000000000002</v>
      </c>
      <c r="G31" s="197">
        <f ca="1">RTD("cqg.rtd",,"ContractData",A31,"NetLastTradeToday",,"T")</f>
        <v>-9.0000000000000011E-3</v>
      </c>
      <c r="H31" s="197">
        <f ca="1">RTD("cqg.rtd",,"ContractData",A31,"NetLastTradeToday",,"T")</f>
        <v>-9.0000000000000011E-3</v>
      </c>
      <c r="I31" s="196">
        <f ca="1">RTD("cqg.rtd", ,"ContractData",A31, "T_CVol")</f>
        <v>744</v>
      </c>
      <c r="J31" s="191"/>
      <c r="K31" s="189"/>
      <c r="L31" s="189"/>
      <c r="M31" s="189"/>
      <c r="N31" s="189"/>
      <c r="O31" s="189"/>
      <c r="P31" s="189"/>
      <c r="Q31" s="190"/>
      <c r="R31" s="189"/>
      <c r="S31" s="188"/>
      <c r="T31" s="188"/>
      <c r="U31" s="188"/>
      <c r="V31" s="187"/>
      <c r="W31" s="398"/>
      <c r="X31" s="398"/>
      <c r="Y31" s="398"/>
      <c r="Z31" s="398"/>
      <c r="AA31" s="398"/>
      <c r="AB31" s="398"/>
      <c r="AC31" s="398"/>
      <c r="AD31" s="398"/>
    </row>
    <row r="32" spans="1:30" s="185" customFormat="1" ht="24" customHeight="1" x14ac:dyDescent="0.2">
      <c r="A32" s="201" t="str">
        <f ca="1">RollData!N22</f>
        <v>NGEV18</v>
      </c>
      <c r="B32" s="198" t="str">
        <f ca="1">RIGHT(RTD("cqg.rtd",,"ContractData",A32, "LongDescription"),7)</f>
        <v xml:space="preserve"> Oct 18</v>
      </c>
      <c r="C32" s="197">
        <f ca="1">RTD("cqg.rtd", ,"ContractData",A32, "Open",,"T")</f>
        <v>2.9660000000000002</v>
      </c>
      <c r="D32" s="197">
        <f ca="1">RTD("cqg.rtd", ,"ContractData",A32, "High",,"T")</f>
        <v>2.968</v>
      </c>
      <c r="E32" s="197">
        <f ca="1">RTD("cqg.rtd", ,"ContractData",A32, "Low",,"T")</f>
        <v>2.9580000000000002</v>
      </c>
      <c r="F32" s="197">
        <f ca="1">RTD("cqg.rtd", ,"ContractData",A32, "LastTradeorSettle",,"T")</f>
        <v>2.9670000000000001</v>
      </c>
      <c r="G32" s="197">
        <f ca="1">RTD("cqg.rtd",,"ContractData",A32,"NetLastTradeToday",,"T")</f>
        <v>-7.0000000000000001E-3</v>
      </c>
      <c r="H32" s="197">
        <f ca="1">RTD("cqg.rtd",,"ContractData",A32,"NetLastTradeToday",,"T")</f>
        <v>-7.0000000000000001E-3</v>
      </c>
      <c r="I32" s="196">
        <f ca="1">RTD("cqg.rtd", ,"ContractData",A32, "T_CVol")</f>
        <v>1142</v>
      </c>
      <c r="J32" s="191"/>
      <c r="K32" s="189"/>
      <c r="L32" s="189"/>
      <c r="M32" s="189"/>
      <c r="N32" s="189"/>
      <c r="O32" s="189"/>
      <c r="P32" s="189"/>
      <c r="Q32" s="190"/>
      <c r="R32" s="189"/>
      <c r="S32" s="188"/>
      <c r="T32" s="188"/>
      <c r="U32" s="188"/>
      <c r="V32" s="187"/>
      <c r="W32" s="398"/>
      <c r="X32" s="398"/>
      <c r="Y32" s="398"/>
      <c r="Z32" s="398"/>
      <c r="AA32" s="398"/>
      <c r="AB32" s="398"/>
      <c r="AC32" s="398"/>
      <c r="AD32" s="398"/>
    </row>
    <row r="33" spans="1:30" ht="22.5" hidden="1" customHeight="1" x14ac:dyDescent="0.3">
      <c r="A33" s="195"/>
      <c r="B33" s="233"/>
      <c r="C33" s="231"/>
      <c r="D33" s="231"/>
      <c r="E33" s="231"/>
      <c r="F33" s="231"/>
      <c r="G33" s="231"/>
      <c r="H33" s="231"/>
      <c r="I33" s="232"/>
      <c r="J33" s="231"/>
      <c r="K33" s="230" t="str">
        <f ca="1">RTD("cqg.rtd",,"ContractData",A41, "Symbol")</f>
        <v>NGEX8</v>
      </c>
      <c r="L33" s="229" t="str">
        <f ca="1">RTD("cqg.rtd", ,"ContractData",A42, "Symbol")</f>
        <v>NGEZ8</v>
      </c>
      <c r="M33" s="229" t="str">
        <f ca="1">RTD("cqg.rtd", ,"ContractData",A43, "Symbol")</f>
        <v>NGEF9</v>
      </c>
      <c r="N33" s="229" t="str">
        <f ca="1">RTD("cqg.rtd", ,"ContractData",A44, "Symbol")</f>
        <v>NGEG9</v>
      </c>
      <c r="O33" s="229" t="str">
        <f ca="1">RTD("cqg.rtd", ,"ContractData",A45, "Symbol")</f>
        <v>NGEH9</v>
      </c>
      <c r="P33" s="229"/>
      <c r="Q33" s="228"/>
      <c r="R33" s="227"/>
      <c r="S33" s="227"/>
      <c r="T33" s="227"/>
      <c r="U33" s="227"/>
      <c r="V33" s="226"/>
      <c r="W33" s="394" t="str">
        <f ca="1">LEFT(RIGHT(K33,2),1)</f>
        <v>X</v>
      </c>
      <c r="X33" s="394" t="str">
        <f ca="1">LEFT(RIGHT(L33,2),1)</f>
        <v>Z</v>
      </c>
      <c r="Y33" s="394" t="str">
        <f ca="1">LEFT(RIGHT(M33,2),1)</f>
        <v>F</v>
      </c>
      <c r="Z33" s="394" t="str">
        <f ca="1">LEFT(RIGHT(N33,2),1)</f>
        <v>G</v>
      </c>
      <c r="AA33" s="394" t="str">
        <f ca="1">LEFT(RIGHT(O33,2),1)</f>
        <v>H</v>
      </c>
      <c r="AB33" s="393"/>
      <c r="AC33" s="393"/>
      <c r="AD33" s="393"/>
    </row>
    <row r="34" spans="1:30" ht="20.100000000000001" customHeight="1" x14ac:dyDescent="0.3">
      <c r="A34" s="195"/>
      <c r="B34" s="369" t="s">
        <v>1</v>
      </c>
      <c r="C34" s="371">
        <f ca="1">RTD("cqg.rtd", ,"ContractData",RollData!I36, "MT_LastAskVolume",, "T")</f>
        <v>2</v>
      </c>
      <c r="D34" s="373">
        <f ca="1">RTD("cqg.rtd", ,"ContractData", RollData!I36, "Ask",, "T")</f>
        <v>3.157</v>
      </c>
      <c r="E34" s="374"/>
      <c r="F34" s="377" t="str">
        <f ca="1">B40&amp;"  Last Quote"</f>
        <v>Winter 18  Last Quote</v>
      </c>
      <c r="G34" s="378"/>
      <c r="H34" s="378"/>
      <c r="I34" s="378"/>
      <c r="J34" s="378"/>
      <c r="K34" s="225" t="str">
        <f ca="1">IF(W33="F","JAN",IF(W33="G","FEB",IF(W33="H","MAR",IF(W33="J","APR",IF(W33="K","MAY",IF(W33="M","JUN",IF(W33="N","JUL",IF(W33="Q","AUG",IF(W33="U","SEP",IF(W33="V","OCT",IF(W33="X","NOV",IF(W33="Z","DEC",))))))))))))</f>
        <v>NOV</v>
      </c>
      <c r="L34" s="225" t="str">
        <f ca="1">IF(X33="F","JAN",IF(X33="G","FEB",IF(X33="H","MAR",IF(X33="J","APR",IF(X33="K","MAY",IF(X33="M","JUN",IF(X33="N","JUL",IF(X33="Q","AUG",IF(X33="U","SEP",IF(X33="V","OCT",IF(X33="X","NOV",IF(X33="Z","DEC",))))))))))))</f>
        <v>DEC</v>
      </c>
      <c r="M34" s="225" t="str">
        <f ca="1">IF(Y33="F","JAN",IF(Y33="G","FEB",IF(Y33="H","MAR",IF(Y33="J","APR",IF(Y33="K","MAY",IF(Y33="M","JUN",IF(Y33="N","JUL",IF(Y33="Q","AUG",IF(Y33="U","SEP",IF(Y33="V","OCT",IF(Y33="X","NOV",IF(Y33="Z","DEC",))))))))))))</f>
        <v>JAN</v>
      </c>
      <c r="N34" s="225" t="str">
        <f ca="1">IF(Z33="F","JAN",IF(Z33="G","FEB",IF(Z33="H","MAR",IF(Z33="J","APR",IF(Z33="K","MAY",IF(Z33="M","JUN",IF(Z33="N","JUL",IF(Z33="Q","AUG",IF(Z33="U","SEP",IF(Z33="V","OCT",IF(Z33="X","NOV",IF(Z33="Z","DEC",))))))))))))</f>
        <v>FEB</v>
      </c>
      <c r="O34" s="225" t="str">
        <f ca="1">IF(AA33="F","JAN",IF(AA33="G","FEB",IF(AA33="H","MAR",IF(AA33="J","APR",IF(AA33="K","MAY",IF(AA33="M","JUN",IF(AA33="N","JUL",IF(AA33="Q","AUG",IF(AA33="U","SEP",IF(AA33="V","OCT",IF(AA33="X","NOV",IF(AA33="Z","DEC",))))))))))))</f>
        <v>MAR</v>
      </c>
      <c r="P34" s="365" t="str">
        <f ca="1">"CQG "&amp;B40&amp;" Strip"</f>
        <v>CQG Winter 18 Strip</v>
      </c>
      <c r="Q34" s="366"/>
      <c r="R34" s="366"/>
      <c r="S34" s="366"/>
      <c r="T34" s="366"/>
      <c r="U34" s="366"/>
      <c r="V34" s="367"/>
      <c r="W34" s="393"/>
      <c r="X34" s="393"/>
      <c r="Y34" s="393"/>
      <c r="Z34" s="393"/>
      <c r="AA34" s="393"/>
      <c r="AB34" s="393"/>
      <c r="AC34" s="393"/>
      <c r="AD34" s="393"/>
    </row>
    <row r="35" spans="1:30" ht="20.100000000000001" customHeight="1" x14ac:dyDescent="0.3">
      <c r="A35" s="195"/>
      <c r="B35" s="370"/>
      <c r="C35" s="372"/>
      <c r="D35" s="375"/>
      <c r="E35" s="376"/>
      <c r="F35" s="377"/>
      <c r="G35" s="378"/>
      <c r="H35" s="378"/>
      <c r="I35" s="378"/>
      <c r="J35" s="378"/>
      <c r="K35" s="224" t="str">
        <f ca="1">TEXT(RTD("cqg.rtd",,"ContractData",K33,"Ask",,"T"),"#.000")&amp;" "&amp;"A"</f>
        <v>3.020 A</v>
      </c>
      <c r="L35" s="224" t="str">
        <f ca="1">TEXT(RTD("cqg.rtd",,"ContractData",L33,"Ask",,"T"),"#.000")&amp;" "&amp;"A"</f>
        <v>3.157 A</v>
      </c>
      <c r="M35" s="224" t="str">
        <f ca="1">TEXT(RTD("cqg.rtd",,"ContractData",M33,"Ask",,"T"),"#.000")&amp;" "&amp;"A"</f>
        <v>3.242 A</v>
      </c>
      <c r="N35" s="224" t="str">
        <f ca="1">TEXT(RTD("cqg.rtd",,"ContractData",N33,"Ask",,"T"),"#.000")&amp;" "&amp;"A"</f>
        <v>3.219 A</v>
      </c>
      <c r="O35" s="224" t="str">
        <f ca="1">TEXT(RTD("cqg.rtd",,"ContractData",O33,"Ask",,"T"),"#.000")&amp;" "&amp;"A"</f>
        <v>3.147 A</v>
      </c>
      <c r="P35" s="250"/>
      <c r="Q35" s="223"/>
      <c r="R35" s="223"/>
      <c r="S35" s="223"/>
      <c r="T35" s="223"/>
      <c r="U35" s="223"/>
      <c r="V35" s="222"/>
      <c r="W35" s="395">
        <f ca="1">RTD("cqg.rtd",,"ContractData",K33,"Ask",,"T")</f>
        <v>3.02</v>
      </c>
      <c r="X35" s="395">
        <f ca="1">RTD("cqg.rtd",,"ContractData",L33,"Ask",,"T")</f>
        <v>3.157</v>
      </c>
      <c r="Y35" s="395">
        <f ca="1">RTD("cqg.rtd",,"ContractData",M33,"Ask",,"T")</f>
        <v>3.242</v>
      </c>
      <c r="Z35" s="395">
        <f ca="1">RTD("cqg.rtd",,"ContractData",N33,"Ask",,"T")</f>
        <v>3.2189999999999999</v>
      </c>
      <c r="AA35" s="395">
        <f ca="1">RTD("cqg.rtd",,"ContractData",O33,"Ask",,"T")</f>
        <v>3.1470000000000002</v>
      </c>
      <c r="AB35" s="393"/>
      <c r="AC35" s="393"/>
      <c r="AD35" s="393"/>
    </row>
    <row r="36" spans="1:30" ht="20.100000000000001" customHeight="1" x14ac:dyDescent="0.3">
      <c r="A36" s="195"/>
      <c r="B36" s="353" t="s">
        <v>0</v>
      </c>
      <c r="C36" s="355">
        <f ca="1">RTD("cqg.rtd", ,"ContractData",RollData!I36, "MT_LastBidVolume",, "T")</f>
        <v>2</v>
      </c>
      <c r="D36" s="357">
        <f ca="1">RTD("cqg.rtd", ,"ContractData", RollData!I36, "Bid",, "T")</f>
        <v>3.1520000000000001</v>
      </c>
      <c r="E36" s="357"/>
      <c r="F36" s="359" t="str">
        <f ca="1">RTD("cqg.rtd", ,"ContractData", RollData!I36, "LastQuoteToday",, "B")</f>
        <v>3.157 A</v>
      </c>
      <c r="G36" s="360"/>
      <c r="H36" s="379" t="str">
        <f ca="1">IF(ChartData!AA2-ChartData!SAA3&gt;0,"+"&amp;TEXT(ChartData!AA2-ChartData!AA3,"#.000"),TEXT(ChartData!AA2-ChartData!AA3,"#.000"))</f>
        <v>+-.006</v>
      </c>
      <c r="I36" s="363"/>
      <c r="J36" s="352"/>
      <c r="K36" s="224" t="str">
        <f ca="1">TEXT(RTD("cqg.rtd",,"ContractData",K33,"Bid",,"T"),"#.000")&amp;" "&amp;"B"</f>
        <v>3.017 B</v>
      </c>
      <c r="L36" s="224" t="str">
        <f ca="1">TEXT(RTD("cqg.rtd",,"ContractData",L33,"Bid",,"T"),"#.000")&amp;" "&amp;"B"</f>
        <v>3.153 B</v>
      </c>
      <c r="M36" s="224" t="str">
        <f ca="1">TEXT(RTD("cqg.rtd",,"ContractData",M33,"Bid",,"T"),"#.000")&amp;" "&amp;"B"</f>
        <v>3.238 B</v>
      </c>
      <c r="N36" s="224" t="str">
        <f ca="1">TEXT(RTD("cqg.rtd",,"ContractData",N33,"Bid",,"T"),"#.000")&amp;" "&amp;"B"</f>
        <v>3.212 B</v>
      </c>
      <c r="O36" s="224" t="str">
        <f ca="1">TEXT(RTD("cqg.rtd",,"ContractData",O33,"Bid",,"T"),"#.000")&amp;" "&amp;"B"</f>
        <v>3.140 B</v>
      </c>
      <c r="P36" s="250"/>
      <c r="Q36" s="223"/>
      <c r="R36" s="223"/>
      <c r="S36" s="223"/>
      <c r="T36" s="223"/>
      <c r="U36" s="223"/>
      <c r="V36" s="222"/>
      <c r="W36" s="395">
        <f ca="1">RTD("cqg.rtd",,"ContractData",K33,"Bid",,"T")</f>
        <v>3.0169999999999999</v>
      </c>
      <c r="X36" s="395">
        <f ca="1">RTD("cqg.rtd",,"ContractData",L33,"Bid",,"T")</f>
        <v>3.153</v>
      </c>
      <c r="Y36" s="395">
        <f ca="1">RTD("cqg.rtd",,"ContractData",M33,"Bid",,"T")</f>
        <v>3.238</v>
      </c>
      <c r="Z36" s="395">
        <f ca="1">RTD("cqg.rtd",,"ContractData",N33,"Bid",,"T")</f>
        <v>3.2120000000000002</v>
      </c>
      <c r="AA36" s="395">
        <f ca="1">RTD("cqg.rtd",,"ContractData",O33,"Bid",,"T")</f>
        <v>3.14</v>
      </c>
      <c r="AB36" s="393"/>
      <c r="AC36" s="393"/>
      <c r="AD36" s="393"/>
    </row>
    <row r="37" spans="1:30" ht="20.100000000000001" customHeight="1" x14ac:dyDescent="0.3">
      <c r="A37" s="195"/>
      <c r="B37" s="354"/>
      <c r="C37" s="356"/>
      <c r="D37" s="358"/>
      <c r="E37" s="358"/>
      <c r="F37" s="361"/>
      <c r="G37" s="362"/>
      <c r="H37" s="364"/>
      <c r="I37" s="364"/>
      <c r="J37" s="352"/>
      <c r="K37" s="224" t="str">
        <f ca="1">TEXT(RTD("cqg.rtd", ,"ContractData",K33,"LastTradeorSettle",,"T"),"#.000")&amp;" "&amp;"L"</f>
        <v>3.021 L</v>
      </c>
      <c r="L37" s="224" t="str">
        <f ca="1">TEXT(RTD("cqg.rtd", ,"ContractData",L33,"LastTradeorSettle",,"T"),"#.000")&amp;" "&amp;"L"</f>
        <v>3.150 L</v>
      </c>
      <c r="M37" s="224" t="str">
        <f ca="1">TEXT(RTD("cqg.rtd", ,"ContractData",M33,"LastTradeorSettle",,"T"),"#.000")&amp;" "&amp;"L"</f>
        <v>3.241 L</v>
      </c>
      <c r="N37" s="224" t="str">
        <f ca="1">TEXT(RTD("cqg.rtd", ,"ContractData",N33,"LastTradeorSettle",,"T"),"#.000")&amp;" "&amp;"L"</f>
        <v xml:space="preserve"> L</v>
      </c>
      <c r="O37" s="224" t="str">
        <f ca="1">TEXT(RTD("cqg.rtd", ,"ContractData",O33,"LastTradeorSettle",,"T"),"#.000")&amp;" "&amp;"L"</f>
        <v xml:space="preserve"> L</v>
      </c>
      <c r="P37" s="250"/>
      <c r="Q37" s="223"/>
      <c r="R37" s="223"/>
      <c r="S37" s="223"/>
      <c r="T37" s="223"/>
      <c r="U37" s="223"/>
      <c r="V37" s="222"/>
      <c r="W37" s="395">
        <f ca="1">IF(RTD("cqg.rtd", ,"ContractData",K33,"LastTradeorSettle",,"T")="",MEDIAN(W35:W36),RTD("cqg.rtd", ,"ContractData",K33,"LastTradeorSettle",,"T"))</f>
        <v>3.0209999999999999</v>
      </c>
      <c r="X37" s="395">
        <f ca="1">IF(RTD("cqg.rtd", ,"ContractData",L33,"LastTradeorSettle",,"T")="",MEDIAN(X35:X36),RTD("cqg.rtd", ,"ContractData",L33,"LastTradeorSettle",,"T"))</f>
        <v>3.15</v>
      </c>
      <c r="Y37" s="395">
        <f ca="1">IF(RTD("cqg.rtd", ,"ContractData",M33,"LastTradeorSettle",,"T")="",MEDIAN(Y35:Y36),RTD("cqg.rtd", ,"ContractData",M33,"LastTradeorSettle",,"T"))</f>
        <v>3.2410000000000001</v>
      </c>
      <c r="Z37" s="395">
        <f ca="1">IF(RTD("cqg.rtd", ,"ContractData",N33,"LastTradeorSettle",,"T")="",MEDIAN(Z35:Z36),RTD("cqg.rtd", ,"ContractData",N33,"LastTradeorSettle",,"T"))</f>
        <v>3.2155</v>
      </c>
      <c r="AA37" s="395">
        <f ca="1">IF(RTD("cqg.rtd", ,"ContractData",O33,"LastTradeorSettle",,"T")="",MEDIAN(AA35:AA36),RTD("cqg.rtd", ,"ContractData",O33,"LastTradeorSettle",,"T"))</f>
        <v>3.1435000000000004</v>
      </c>
      <c r="AB37" s="393"/>
      <c r="AC37" s="393"/>
      <c r="AD37" s="393"/>
    </row>
    <row r="38" spans="1:30" ht="30" hidden="1" customHeight="1" x14ac:dyDescent="0.3">
      <c r="A38" s="195"/>
      <c r="B38" s="221"/>
      <c r="C38" s="220"/>
      <c r="D38" s="219"/>
      <c r="E38" s="219"/>
      <c r="F38" s="218"/>
      <c r="G38" s="218"/>
      <c r="H38" s="217"/>
      <c r="I38" s="217"/>
      <c r="J38" s="217"/>
      <c r="K38" s="249">
        <f ca="1">RTD("cqg.rtd", ,"ContractData",A41, "Y_Settlement",, "T")</f>
        <v>3.028</v>
      </c>
      <c r="L38" s="249">
        <f ca="1">RTD("cqg.rtd", ,"ContractData",A42, "Y_Settlement",, "T")</f>
        <v>3.1640000000000001</v>
      </c>
      <c r="M38" s="248">
        <f ca="1">RTD("cqg.rtd", ,"ContractData",A43, "Y_Settlement",, "T")</f>
        <v>3.2480000000000002</v>
      </c>
      <c r="N38" s="248">
        <f ca="1">RTD("cqg.rtd", ,"ContractData",A44, "Y_Settlement",, "T")</f>
        <v>3.2250000000000001</v>
      </c>
      <c r="O38" s="248">
        <f ca="1">RTD("cqg.rtd", ,"ContractData",A45, "Y_Settlement",, "T")</f>
        <v>3.153</v>
      </c>
      <c r="P38" s="247"/>
      <c r="Q38" s="214"/>
      <c r="R38" s="214"/>
      <c r="S38" s="214"/>
      <c r="T38" s="214"/>
      <c r="U38" s="214"/>
      <c r="V38" s="213"/>
      <c r="W38" s="393"/>
      <c r="X38" s="393"/>
      <c r="Y38" s="393"/>
      <c r="Z38" s="393"/>
      <c r="AA38" s="393"/>
      <c r="AB38" s="393"/>
      <c r="AC38" s="393"/>
      <c r="AD38" s="393"/>
    </row>
    <row r="39" spans="1:30" x14ac:dyDescent="0.3">
      <c r="A39" s="195"/>
      <c r="B39" s="212" t="s">
        <v>16</v>
      </c>
      <c r="C39" s="211" t="s">
        <v>9</v>
      </c>
      <c r="D39" s="211" t="s">
        <v>10</v>
      </c>
      <c r="E39" s="211" t="s">
        <v>11</v>
      </c>
      <c r="F39" s="211" t="s">
        <v>8</v>
      </c>
      <c r="G39" s="211" t="s">
        <v>12</v>
      </c>
      <c r="H39" s="210" t="s">
        <v>12</v>
      </c>
      <c r="I39" s="210" t="s">
        <v>13</v>
      </c>
      <c r="J39" s="209"/>
      <c r="K39" s="207"/>
      <c r="L39" s="207" t="s">
        <v>209</v>
      </c>
      <c r="M39" s="207">
        <f>DATE(M3,K3,L3)</f>
        <v>42996</v>
      </c>
      <c r="N39" s="206" t="str">
        <f ca="1">RollData!I34</f>
        <v>Winter 18</v>
      </c>
      <c r="O39" s="246">
        <f ca="1">RollData!E33</f>
        <v>3.1816</v>
      </c>
      <c r="P39" s="240"/>
      <c r="Q39" s="240"/>
      <c r="R39" s="240"/>
      <c r="S39" s="240"/>
      <c r="T39" s="240"/>
      <c r="U39" s="240"/>
      <c r="V39" s="240"/>
      <c r="W39" s="396"/>
      <c r="X39" s="393"/>
      <c r="Y39" s="393"/>
      <c r="Z39" s="393"/>
      <c r="AA39" s="393"/>
      <c r="AB39" s="393"/>
      <c r="AC39" s="393"/>
      <c r="AD39" s="393"/>
    </row>
    <row r="40" spans="1:30" ht="24" customHeight="1" x14ac:dyDescent="0.3">
      <c r="A40" s="195"/>
      <c r="B40" s="198" t="str">
        <f ca="1">RollData!I34</f>
        <v>Winter 18</v>
      </c>
      <c r="C40" s="200">
        <f ca="1" xml:space="preserve"> RTD("cqg.rtd",,"StudyData",RollData!I35,  "Bar",, "Open", "D","0",,,,,"T")</f>
        <v>3.1614</v>
      </c>
      <c r="D40" s="200">
        <f ca="1" xml:space="preserve"> RTD("cqg.rtd",,"StudyData",RollData!I35,  "Bar",, "High", "D","0",,,,,"T")</f>
        <v>3.1614</v>
      </c>
      <c r="E40" s="200">
        <f ca="1" xml:space="preserve"> RTD("cqg.rtd",,"StudyData",RollData!I35,  "Bar",, "Low", "D","0",,,,,"T")</f>
        <v>3.1558000000000002</v>
      </c>
      <c r="F40" s="200" t="str">
        <f ca="1">F36</f>
        <v>3.157 A</v>
      </c>
      <c r="G40" s="245" t="str">
        <f ca="1">H36</f>
        <v>+-.006</v>
      </c>
      <c r="H40" s="244"/>
      <c r="I40" s="243"/>
      <c r="J40" s="242"/>
      <c r="K40" s="240"/>
      <c r="L40" s="240"/>
      <c r="M40" s="240"/>
      <c r="N40" s="240"/>
      <c r="O40" s="240"/>
      <c r="P40" s="241"/>
      <c r="Q40" s="240"/>
      <c r="R40" s="240"/>
      <c r="S40" s="240"/>
      <c r="T40" s="240"/>
      <c r="U40" s="240"/>
      <c r="V40" s="240"/>
      <c r="W40" s="396"/>
      <c r="X40" s="393"/>
      <c r="Y40" s="393"/>
      <c r="Z40" s="393"/>
      <c r="AA40" s="393"/>
      <c r="AB40" s="393"/>
      <c r="AC40" s="393"/>
      <c r="AD40" s="393"/>
    </row>
    <row r="41" spans="1:30" ht="24" customHeight="1" x14ac:dyDescent="0.3">
      <c r="A41" s="195" t="str">
        <f ca="1">RTD("cqg.rtd",,"ContractData",RollData!N28, "Symbol")</f>
        <v>NGEX8</v>
      </c>
      <c r="B41" s="198" t="str">
        <f ca="1">RIGHT(RTD("cqg.rtd",,"ContractData",A41, "LongDescription"),7)</f>
        <v xml:space="preserve"> Nov 18</v>
      </c>
      <c r="C41" s="197">
        <f ca="1">RTD("cqg.rtd", ,"ContractData",A41, "Open",,"T")</f>
        <v>3.016</v>
      </c>
      <c r="D41" s="197">
        <f ca="1">RTD("cqg.rtd", ,"ContractData",A41, "High",,"T")</f>
        <v>3.0209999999999999</v>
      </c>
      <c r="E41" s="197">
        <f ca="1">RTD("cqg.rtd", ,"ContractData",A41, "Low",,"T")</f>
        <v>3.016</v>
      </c>
      <c r="F41" s="197">
        <f ca="1">RTD("cqg.rtd", ,"ContractData",A41, "LastTradeorSettle",,"T")</f>
        <v>3.0209999999999999</v>
      </c>
      <c r="G41" s="197">
        <f ca="1">RTD("cqg.rtd",,"ContractData",A41,"NetLastTradeToday",,"T")</f>
        <v>-7.0000000000000001E-3</v>
      </c>
      <c r="H41" s="199">
        <f ca="1">RTD("cqg.rtd",,"ContractData",A41,"NetLastTradeToday",,"T")</f>
        <v>-7.0000000000000001E-3</v>
      </c>
      <c r="I41" s="196">
        <f ca="1">RTD("cqg.rtd", ,"ContractData",A41, "T_CVol")</f>
        <v>120</v>
      </c>
      <c r="J41" s="191"/>
      <c r="K41" s="368"/>
      <c r="L41" s="238"/>
      <c r="M41" s="238"/>
      <c r="N41" s="238"/>
      <c r="O41" s="238"/>
      <c r="P41" s="239"/>
      <c r="Q41" s="238"/>
      <c r="R41" s="238"/>
      <c r="S41" s="238"/>
      <c r="T41" s="238"/>
      <c r="U41" s="238"/>
      <c r="V41" s="238"/>
      <c r="W41" s="396"/>
      <c r="X41" s="393"/>
      <c r="Y41" s="393"/>
      <c r="Z41" s="393"/>
      <c r="AA41" s="393"/>
      <c r="AB41" s="393"/>
      <c r="AC41" s="393"/>
      <c r="AD41" s="393"/>
    </row>
    <row r="42" spans="1:30" ht="24" customHeight="1" x14ac:dyDescent="0.3">
      <c r="A42" s="195" t="str">
        <f ca="1">RTD("cqg.rtd",,"ContractData",RollData!N29, "Symbol")</f>
        <v>NGEZ8</v>
      </c>
      <c r="B42" s="198" t="str">
        <f ca="1">RIGHT(RTD("cqg.rtd",,"ContractData",A42, "LongDescription"),7)</f>
        <v xml:space="preserve"> Dec 18</v>
      </c>
      <c r="C42" s="197">
        <f ca="1">RTD("cqg.rtd", ,"ContractData",A42, "Open",,"T")</f>
        <v>3.1550000000000002</v>
      </c>
      <c r="D42" s="197">
        <f ca="1">RTD("cqg.rtd", ,"ContractData",A42, "High",,"T")</f>
        <v>3.1560000000000001</v>
      </c>
      <c r="E42" s="197">
        <f ca="1">RTD("cqg.rtd", ,"ContractData",A42, "Low",,"T")</f>
        <v>3.15</v>
      </c>
      <c r="F42" s="197">
        <f ca="1">RTD("cqg.rtd", ,"ContractData",A42, "LastTradeorSettle",,"T")</f>
        <v>3.15</v>
      </c>
      <c r="G42" s="197">
        <f ca="1">RTD("cqg.rtd",,"ContractData",A42,"NetLastTradeToday",,"T")</f>
        <v>-1.4E-2</v>
      </c>
      <c r="H42" s="199">
        <f ca="1">RTD("cqg.rtd",,"ContractData",A42,"NetLastTradeToday",,"T")</f>
        <v>-1.4E-2</v>
      </c>
      <c r="I42" s="196">
        <f ca="1">RTD("cqg.rtd", ,"ContractData",A42, "T_CVol")</f>
        <v>66</v>
      </c>
      <c r="J42" s="191"/>
      <c r="K42" s="368"/>
      <c r="L42" s="238"/>
      <c r="M42" s="238"/>
      <c r="N42" s="238"/>
      <c r="O42" s="238"/>
      <c r="P42" s="239"/>
      <c r="Q42" s="238"/>
      <c r="R42" s="238"/>
      <c r="S42" s="238"/>
      <c r="T42" s="238"/>
      <c r="U42" s="238"/>
      <c r="V42" s="238"/>
      <c r="W42" s="396"/>
      <c r="X42" s="393"/>
      <c r="Y42" s="393"/>
      <c r="Z42" s="393"/>
      <c r="AA42" s="393"/>
      <c r="AB42" s="393"/>
      <c r="AC42" s="393"/>
      <c r="AD42" s="393"/>
    </row>
    <row r="43" spans="1:30" ht="24" customHeight="1" x14ac:dyDescent="0.3">
      <c r="A43" s="195" t="str">
        <f ca="1">RTD("cqg.rtd",,"ContractData",RollData!N30, "Symbol")</f>
        <v>NGEF9</v>
      </c>
      <c r="B43" s="198" t="str">
        <f ca="1">RIGHT(RTD("cqg.rtd",,"ContractData",A43, "LongDescription"),7)</f>
        <v xml:space="preserve"> Jan 19</v>
      </c>
      <c r="C43" s="197">
        <f ca="1">RTD("cqg.rtd", ,"ContractData",A43, "Open",,"T")</f>
        <v>3.2360000000000002</v>
      </c>
      <c r="D43" s="197">
        <f ca="1">RTD("cqg.rtd", ,"ContractData",A43, "High",,"T")</f>
        <v>3.242</v>
      </c>
      <c r="E43" s="197">
        <f ca="1">RTD("cqg.rtd", ,"ContractData",A43, "Low",,"T")</f>
        <v>3.234</v>
      </c>
      <c r="F43" s="197">
        <f ca="1">RTD("cqg.rtd", ,"ContractData",A43, "LastTradeorSettle",,"T")</f>
        <v>3.2410000000000001</v>
      </c>
      <c r="G43" s="197">
        <f ca="1">RTD("cqg.rtd",,"ContractData",A43,"NetLastTradeToday",,"T")</f>
        <v>-7.0000000000000001E-3</v>
      </c>
      <c r="H43" s="199">
        <f ca="1">RTD("cqg.rtd",,"ContractData",A43,"NetLastTradeToday",,"T")</f>
        <v>-7.0000000000000001E-3</v>
      </c>
      <c r="I43" s="196">
        <f ca="1">RTD("cqg.rtd", ,"ContractData",A43, "T_CVol")</f>
        <v>263</v>
      </c>
      <c r="J43" s="191"/>
      <c r="K43" s="368"/>
      <c r="L43" s="238"/>
      <c r="M43" s="238"/>
      <c r="N43" s="238"/>
      <c r="O43" s="238"/>
      <c r="P43" s="239"/>
      <c r="Q43" s="238"/>
      <c r="R43" s="238"/>
      <c r="S43" s="238"/>
      <c r="T43" s="238"/>
      <c r="U43" s="238"/>
      <c r="V43" s="238"/>
      <c r="W43" s="396"/>
      <c r="X43" s="393"/>
      <c r="Y43" s="393"/>
      <c r="Z43" s="393"/>
      <c r="AA43" s="393"/>
      <c r="AB43" s="393"/>
      <c r="AC43" s="393"/>
      <c r="AD43" s="393"/>
    </row>
    <row r="44" spans="1:30" ht="24" customHeight="1" x14ac:dyDescent="0.3">
      <c r="A44" s="195" t="str">
        <f ca="1">RTD("cqg.rtd",,"ContractData",RollData!N31, "Symbol")</f>
        <v>NGEG9</v>
      </c>
      <c r="B44" s="198" t="str">
        <f ca="1">RIGHT(RTD("cqg.rtd",,"ContractData",A44, "LongDescription"),7)</f>
        <v xml:space="preserve"> Feb 19</v>
      </c>
      <c r="C44" s="197" t="str">
        <f ca="1">RTD("cqg.rtd", ,"ContractData",A44, "Open",,"T")</f>
        <v/>
      </c>
      <c r="D44" s="197" t="str">
        <f ca="1">RTD("cqg.rtd", ,"ContractData",A44, "High",,"T")</f>
        <v/>
      </c>
      <c r="E44" s="197" t="str">
        <f ca="1">RTD("cqg.rtd", ,"ContractData",A44, "Low",,"T")</f>
        <v/>
      </c>
      <c r="F44" s="197" t="str">
        <f ca="1">RTD("cqg.rtd", ,"ContractData",A44, "LastTradeorSettle",,"T")</f>
        <v/>
      </c>
      <c r="G44" s="197" t="str">
        <f ca="1">RTD("cqg.rtd",,"ContractData",A44,"NetLastTradeToday",,"T")</f>
        <v/>
      </c>
      <c r="H44" s="199" t="str">
        <f ca="1">RTD("cqg.rtd",,"ContractData",A44,"NetLastTradeToday",,"T")</f>
        <v/>
      </c>
      <c r="I44" s="196">
        <f ca="1">RTD("cqg.rtd", ,"ContractData",A44, "T_CVol")</f>
        <v>23</v>
      </c>
      <c r="J44" s="191"/>
      <c r="K44" s="236"/>
      <c r="L44" s="236"/>
      <c r="M44" s="236"/>
      <c r="N44" s="236"/>
      <c r="O44" s="236"/>
      <c r="P44" s="237"/>
      <c r="Q44" s="236"/>
      <c r="R44" s="236"/>
      <c r="S44" s="236"/>
      <c r="T44" s="236"/>
      <c r="U44" s="236"/>
      <c r="V44" s="236"/>
      <c r="W44" s="396"/>
      <c r="X44" s="393"/>
      <c r="Y44" s="393"/>
      <c r="Z44" s="393"/>
      <c r="AA44" s="393"/>
      <c r="AB44" s="393"/>
      <c r="AC44" s="393"/>
      <c r="AD44" s="393"/>
    </row>
    <row r="45" spans="1:30" ht="24" customHeight="1" x14ac:dyDescent="0.3">
      <c r="A45" s="195" t="str">
        <f ca="1">RTD("cqg.rtd",,"ContractData",RollData!N32, "Symbol")</f>
        <v>NGEH9</v>
      </c>
      <c r="B45" s="198" t="str">
        <f ca="1">RIGHT(RTD("cqg.rtd",,"ContractData",A45, "LongDescription"),7)</f>
        <v xml:space="preserve"> Mar 19</v>
      </c>
      <c r="C45" s="197" t="str">
        <f ca="1">RTD("cqg.rtd", ,"ContractData",A45, "Open",,"T")</f>
        <v/>
      </c>
      <c r="D45" s="197" t="str">
        <f ca="1">RTD("cqg.rtd", ,"ContractData",A45, "High",,"T")</f>
        <v/>
      </c>
      <c r="E45" s="197" t="str">
        <f ca="1">RTD("cqg.rtd", ,"ContractData",A45, "Low",,"T")</f>
        <v/>
      </c>
      <c r="F45" s="197" t="str">
        <f ca="1">RTD("cqg.rtd", ,"ContractData",A45, "LastTradeorSettle",,"T")</f>
        <v/>
      </c>
      <c r="G45" s="197" t="str">
        <f ca="1">RTD("cqg.rtd",,"ContractData",A45,"NetLastTradeToday",,"T")</f>
        <v/>
      </c>
      <c r="H45" s="199" t="str">
        <f ca="1">RTD("cqg.rtd",,"ContractData",A45,"NetLastTradeToday",,"T")</f>
        <v/>
      </c>
      <c r="I45" s="196">
        <f ca="1">RTD("cqg.rtd", ,"ContractData",A45, "T_CVol")</f>
        <v>27</v>
      </c>
      <c r="J45" s="191"/>
      <c r="K45" s="234"/>
      <c r="L45" s="234"/>
      <c r="M45" s="234"/>
      <c r="N45" s="234"/>
      <c r="O45" s="234"/>
      <c r="P45" s="235"/>
      <c r="Q45" s="234"/>
      <c r="R45" s="234"/>
      <c r="S45" s="234"/>
      <c r="T45" s="234"/>
      <c r="U45" s="234"/>
      <c r="V45" s="234"/>
      <c r="W45" s="396"/>
      <c r="X45" s="393"/>
      <c r="Y45" s="393"/>
      <c r="Z45" s="393"/>
      <c r="AA45" s="393"/>
      <c r="AB45" s="393"/>
      <c r="AC45" s="393"/>
      <c r="AD45" s="393"/>
    </row>
    <row r="46" spans="1:30" ht="24" hidden="1" customHeight="1" x14ac:dyDescent="0.3">
      <c r="A46" s="195"/>
      <c r="B46" s="233"/>
      <c r="C46" s="231"/>
      <c r="D46" s="231"/>
      <c r="E46" s="231"/>
      <c r="F46" s="231"/>
      <c r="G46" s="231"/>
      <c r="H46" s="231"/>
      <c r="I46" s="232"/>
      <c r="J46" s="231"/>
      <c r="K46" s="230" t="str">
        <f ca="1">RTD("cqg.rtd",,"ContractData",A54, "Symbol")</f>
        <v>NGEJ9</v>
      </c>
      <c r="L46" s="229" t="str">
        <f ca="1">RTD("cqg.rtd", ,"ContractData",A55, "Symbol")</f>
        <v>NGEK9</v>
      </c>
      <c r="M46" s="229" t="str">
        <f ca="1">RTD("cqg.rtd", ,"ContractData",A56, "Symbol")</f>
        <v>NGEM9</v>
      </c>
      <c r="N46" s="229" t="str">
        <f ca="1">RTD("cqg.rtd", ,"ContractData",A57, "Symbol")</f>
        <v>NGEN9</v>
      </c>
      <c r="O46" s="229" t="str">
        <f ca="1">RTD("cqg.rtd", ,"ContractData",A58, "Symbol")</f>
        <v>NGEQ9</v>
      </c>
      <c r="P46" s="229" t="str">
        <f ca="1">RTD("cqg.rtd", ,"ContractData",A59, "Symbol")</f>
        <v>NGEU9</v>
      </c>
      <c r="Q46" s="228" t="str">
        <f ca="1">RTD("cqg.rtd", ,"ContractData",A60, "Symbol")</f>
        <v>NGEV9</v>
      </c>
      <c r="R46" s="227"/>
      <c r="S46" s="227"/>
      <c r="T46" s="227"/>
      <c r="U46" s="227"/>
      <c r="V46" s="226"/>
      <c r="W46" s="394" t="str">
        <f t="shared" ref="W46:AC46" ca="1" si="2">LEFT(RIGHT(K46,2),1)</f>
        <v>J</v>
      </c>
      <c r="X46" s="394" t="str">
        <f t="shared" ca="1" si="2"/>
        <v>K</v>
      </c>
      <c r="Y46" s="394" t="str">
        <f t="shared" ca="1" si="2"/>
        <v>M</v>
      </c>
      <c r="Z46" s="394" t="str">
        <f t="shared" ca="1" si="2"/>
        <v>N</v>
      </c>
      <c r="AA46" s="394" t="str">
        <f t="shared" ca="1" si="2"/>
        <v>Q</v>
      </c>
      <c r="AB46" s="394" t="str">
        <f t="shared" ca="1" si="2"/>
        <v>U</v>
      </c>
      <c r="AC46" s="394" t="str">
        <f t="shared" ca="1" si="2"/>
        <v>V</v>
      </c>
      <c r="AD46" s="393"/>
    </row>
    <row r="47" spans="1:30" ht="20.100000000000001" customHeight="1" x14ac:dyDescent="0.3">
      <c r="A47" s="195"/>
      <c r="B47" s="369" t="s">
        <v>1</v>
      </c>
      <c r="C47" s="371">
        <f ca="1">RTD("cqg.rtd", ,"ContractData",RollData!I48, "MT_LastAskVolume",, "T")</f>
        <v>1</v>
      </c>
      <c r="D47" s="373">
        <f ca="1">RTD("cqg.rtd", ,"ContractData",RollData!I48, "Ask",, "T")</f>
        <v>2.7589999999999999</v>
      </c>
      <c r="E47" s="374"/>
      <c r="F47" s="377" t="str">
        <f ca="1">B53&amp;"  Last Quote"</f>
        <v>Summer 19  Last Quote</v>
      </c>
      <c r="G47" s="378"/>
      <c r="H47" s="378"/>
      <c r="I47" s="378"/>
      <c r="J47" s="378"/>
      <c r="K47" s="225" t="str">
        <f t="shared" ref="K47:Q47" ca="1" si="3">IF(W46="F","JAN",IF(W46="G","FEB",IF(W46="H","MAR",IF(W46="J","APR",IF(W46="K","MAY",IF(W46="M","JUN",IF(W46="N","JUL",IF(W46="Q","AUG",IF(W46="U","SEP",IF(W46="V","OCT",IF(W46="X","NOV",IF(W46="Z","DEC",))))))))))))</f>
        <v>APR</v>
      </c>
      <c r="L47" s="225" t="str">
        <f t="shared" ca="1" si="3"/>
        <v>MAY</v>
      </c>
      <c r="M47" s="225" t="str">
        <f t="shared" ca="1" si="3"/>
        <v>JUN</v>
      </c>
      <c r="N47" s="225" t="str">
        <f t="shared" ca="1" si="3"/>
        <v>JUL</v>
      </c>
      <c r="O47" s="225" t="str">
        <f t="shared" ca="1" si="3"/>
        <v>AUG</v>
      </c>
      <c r="P47" s="225" t="str">
        <f t="shared" ca="1" si="3"/>
        <v>SEP</v>
      </c>
      <c r="Q47" s="225" t="str">
        <f t="shared" ca="1" si="3"/>
        <v>OCT</v>
      </c>
      <c r="R47" s="365" t="str">
        <f ca="1">"CQG "&amp;B53&amp;" Strip"</f>
        <v>CQG Summer 19 Strip</v>
      </c>
      <c r="S47" s="366"/>
      <c r="T47" s="366"/>
      <c r="U47" s="366"/>
      <c r="V47" s="367"/>
      <c r="W47" s="393"/>
      <c r="X47" s="393"/>
      <c r="Y47" s="393"/>
      <c r="Z47" s="393"/>
      <c r="AA47" s="393"/>
      <c r="AB47" s="393"/>
      <c r="AC47" s="393"/>
      <c r="AD47" s="393"/>
    </row>
    <row r="48" spans="1:30" ht="20.100000000000001" customHeight="1" x14ac:dyDescent="0.3">
      <c r="A48" s="195"/>
      <c r="B48" s="370"/>
      <c r="C48" s="372"/>
      <c r="D48" s="375"/>
      <c r="E48" s="376"/>
      <c r="F48" s="377"/>
      <c r="G48" s="378"/>
      <c r="H48" s="378"/>
      <c r="I48" s="378"/>
      <c r="J48" s="378"/>
      <c r="K48" s="224" t="str">
        <f ca="1">TEXT(RTD("cqg.rtd",,"ContractData",K46,"Ask",,"T"),"#.000")&amp;" "&amp;"A"</f>
        <v>2.761 A</v>
      </c>
      <c r="L48" s="224" t="str">
        <f ca="1">TEXT(RTD("cqg.rtd",,"ContractData",L46,"Ask",,"T"),"#.000")&amp;" "&amp;"A"</f>
        <v>2.725 A</v>
      </c>
      <c r="M48" s="224" t="str">
        <f ca="1">TEXT(RTD("cqg.rtd",,"ContractData",M46,"Ask",,"T"),"#.000")&amp;" "&amp;"A"</f>
        <v>2.748 A</v>
      </c>
      <c r="N48" s="224" t="str">
        <f ca="1">TEXT(RTD("cqg.rtd",,"ContractData",N46,"Ask",,"T"),"#.000")&amp;" "&amp;"A"</f>
        <v>2.771 A</v>
      </c>
      <c r="O48" s="224" t="str">
        <f ca="1">TEXT(RTD("cqg.rtd",,"ContractData",O46,"Ask",,"T"),"#.000")&amp;" "&amp;"A"</f>
        <v>2.776 A</v>
      </c>
      <c r="P48" s="224" t="str">
        <f ca="1">TEXT(RTD("cqg.rtd",,"ContractData",P46,"Ask",,"T"),"#.000")&amp;" "&amp;"A"</f>
        <v>2.753 A</v>
      </c>
      <c r="Q48" s="224" t="str">
        <f ca="1">TEXT(RTD("cqg.rtd",,"ContractData",Q46,"Ask",,"T"),"#.000")&amp;" "&amp;"A"</f>
        <v>2.775 A</v>
      </c>
      <c r="R48" s="223"/>
      <c r="S48" s="223"/>
      <c r="T48" s="223"/>
      <c r="U48" s="223"/>
      <c r="V48" s="222"/>
      <c r="W48" s="395">
        <f ca="1">RTD("cqg.rtd",,"ContractData",K46,"Ask",,"T")</f>
        <v>2.7610000000000001</v>
      </c>
      <c r="X48" s="395">
        <f ca="1">RTD("cqg.rtd",,"ContractData",L46,"Ask",,"T")</f>
        <v>2.7250000000000001</v>
      </c>
      <c r="Y48" s="395">
        <f ca="1">RTD("cqg.rtd",,"ContractData",M46,"Ask",,"T")</f>
        <v>2.7480000000000002</v>
      </c>
      <c r="Z48" s="395">
        <f ca="1">RTD("cqg.rtd",,"ContractData",N46,"Ask",,"T")</f>
        <v>2.7709999999999999</v>
      </c>
      <c r="AA48" s="395">
        <f ca="1">RTD("cqg.rtd",,"ContractData",O46,"Ask",,"T")</f>
        <v>2.7760000000000002</v>
      </c>
      <c r="AB48" s="395">
        <f ca="1">RTD("cqg.rtd",,"ContractData",P46,"Ask",,"T")</f>
        <v>2.7530000000000001</v>
      </c>
      <c r="AC48" s="395">
        <f ca="1">RTD("cqg.rtd",,"ContractData",Q46,"Ask",,"T")</f>
        <v>2.7749999999999999</v>
      </c>
      <c r="AD48" s="393"/>
    </row>
    <row r="49" spans="1:30" ht="20.100000000000001" customHeight="1" x14ac:dyDescent="0.3">
      <c r="A49" s="195"/>
      <c r="B49" s="353" t="s">
        <v>0</v>
      </c>
      <c r="C49" s="355">
        <f ca="1">RTD("cqg.rtd", ,"ContractData",RollData!I48, "MT_LastBidVolume",, "T")</f>
        <v>1</v>
      </c>
      <c r="D49" s="357">
        <f ca="1">RTD("cqg.rtd", ,"ContractData",RollData!I48, "Bid",, "T")</f>
        <v>2.7360000000000002</v>
      </c>
      <c r="E49" s="357"/>
      <c r="F49" s="359" t="str">
        <f ca="1">RTD("cqg.rtd", ,"ContractData", RollData!I48, "LastQuoteToday",, "B")</f>
        <v>2.759 A</v>
      </c>
      <c r="G49" s="360"/>
      <c r="H49" s="363" t="str">
        <f ca="1">IF(ChartData!S30-ChartData!S31&gt;0,"+"&amp;TEXT(ChartData!S30-ChartData!S31,"#.000"),TEXT(ChartData!S30-ChartData!S31,"#.000"))</f>
        <v>+.015</v>
      </c>
      <c r="I49" s="363"/>
      <c r="J49" s="352"/>
      <c r="K49" s="224" t="str">
        <f ca="1">TEXT(RTD("cqg.rtd",,"ContractData",K46,"Bid",,"T"),"#.000")&amp;" "&amp;"B"</f>
        <v>2.745 B</v>
      </c>
      <c r="L49" s="224" t="str">
        <f ca="1">TEXT(RTD("cqg.rtd",,"ContractData",L46,"Bid",,"T"),"#.000")&amp;" "&amp;"B"</f>
        <v>2.702 B</v>
      </c>
      <c r="M49" s="224" t="str">
        <f ca="1">TEXT(RTD("cqg.rtd",,"ContractData",M46,"Bid",,"T"),"#.000")&amp;" "&amp;"B"</f>
        <v>2.723 B</v>
      </c>
      <c r="N49" s="224" t="str">
        <f ca="1">TEXT(RTD("cqg.rtd",,"ContractData",N46,"Bid",,"T"),"#.000")&amp;" "&amp;"B"</f>
        <v>2.743 B</v>
      </c>
      <c r="O49" s="224" t="str">
        <f ca="1">TEXT(RTD("cqg.rtd",,"ContractData",O46,"Bid",,"T"),"#.000")&amp;" "&amp;"B"</f>
        <v>2.747 B</v>
      </c>
      <c r="P49" s="224" t="str">
        <f ca="1">TEXT(RTD("cqg.rtd",,"ContractData",P46,"Bid",,"T"),"#.000")&amp;" "&amp;"B"</f>
        <v>2.731 B</v>
      </c>
      <c r="Q49" s="224" t="str">
        <f ca="1">TEXT(RTD("cqg.rtd",,"ContractData",Q46,"Bid",,"T"),"#.000")&amp;" "&amp;"B"</f>
        <v>2.762 B</v>
      </c>
      <c r="R49" s="223"/>
      <c r="S49" s="223"/>
      <c r="T49" s="223"/>
      <c r="U49" s="223"/>
      <c r="V49" s="222"/>
      <c r="W49" s="395">
        <f ca="1">RTD("cqg.rtd",,"ContractData",K46,"Bid",,"T")</f>
        <v>2.7450000000000001</v>
      </c>
      <c r="X49" s="395">
        <f ca="1">RTD("cqg.rtd",,"ContractData",L46,"Bid",,"T")</f>
        <v>2.702</v>
      </c>
      <c r="Y49" s="395">
        <f ca="1">RTD("cqg.rtd",,"ContractData",M46,"Bid",,"T")</f>
        <v>2.7229999999999999</v>
      </c>
      <c r="Z49" s="395">
        <f ca="1">RTD("cqg.rtd",,"ContractData",N46,"Bid",,"T")</f>
        <v>2.7429999999999999</v>
      </c>
      <c r="AA49" s="395">
        <f ca="1">RTD("cqg.rtd",,"ContractData",O46,"Bid",,"T")</f>
        <v>2.7469999999999999</v>
      </c>
      <c r="AB49" s="395">
        <f ca="1">RTD("cqg.rtd",,"ContractData",P46,"Bid",,"T")</f>
        <v>2.7309999999999999</v>
      </c>
      <c r="AC49" s="395">
        <f ca="1">RTD("cqg.rtd",,"ContractData",Q46,"Bid",,"T")</f>
        <v>2.762</v>
      </c>
      <c r="AD49" s="393"/>
    </row>
    <row r="50" spans="1:30" ht="20.100000000000001" customHeight="1" x14ac:dyDescent="0.3">
      <c r="A50" s="195"/>
      <c r="B50" s="354"/>
      <c r="C50" s="356"/>
      <c r="D50" s="358"/>
      <c r="E50" s="358"/>
      <c r="F50" s="361"/>
      <c r="G50" s="362"/>
      <c r="H50" s="364"/>
      <c r="I50" s="364"/>
      <c r="J50" s="352"/>
      <c r="K50" s="224" t="str">
        <f ca="1">TEXT(RTD("cqg.rtd", ,"ContractData",K46,"LastTradeorSettle",,"T"),"#.000")&amp;" "&amp;"L"</f>
        <v xml:space="preserve"> L</v>
      </c>
      <c r="L50" s="224" t="str">
        <f ca="1">TEXT(RTD("cqg.rtd", ,"ContractData",L46,"LastTradeorSettle",,"T"),"#.000")&amp;" "&amp;"L"</f>
        <v xml:space="preserve"> L</v>
      </c>
      <c r="M50" s="224" t="str">
        <f ca="1">TEXT(RTD("cqg.rtd", ,"ContractData",M46,"LastTradeorSettle",,"T"),"#.000")&amp;" "&amp;"L"</f>
        <v xml:space="preserve"> L</v>
      </c>
      <c r="N50" s="224" t="str">
        <f ca="1">TEXT(RTD("cqg.rtd", ,"ContractData",N46,"LastTradeorSettle",,"T"),"#.000")&amp;" "&amp;"L"</f>
        <v xml:space="preserve"> L</v>
      </c>
      <c r="O50" s="224" t="str">
        <f ca="1">TEXT(RTD("cqg.rtd", ,"ContractData",O46,"LastTradeorSettle",,"T"),"#.000")&amp;" "&amp;"L"</f>
        <v xml:space="preserve"> L</v>
      </c>
      <c r="P50" s="224" t="str">
        <f ca="1">TEXT(RTD("cqg.rtd", ,"ContractData",P46,"LastTradeorSettle",,"T"),"#.000")&amp;" "&amp;"L"</f>
        <v xml:space="preserve"> L</v>
      </c>
      <c r="Q50" s="224" t="str">
        <f ca="1">TEXT(RTD("cqg.rtd", ,"ContractData",Q46,"LastTradeorSettle",,"T"),"#.000")&amp;" "&amp;"L"</f>
        <v xml:space="preserve"> L</v>
      </c>
      <c r="R50" s="223"/>
      <c r="S50" s="223"/>
      <c r="T50" s="223"/>
      <c r="U50" s="223"/>
      <c r="V50" s="222"/>
      <c r="W50" s="395">
        <f ca="1">IF(RTD("cqg.rtd", ,"ContractData",K46,"LastTradeorSettle",,"T")="",MEDIAN(W48:W49),RTD("cqg.rtd", ,"ContractData",K46,"LastTradeorSettle",,"T"))</f>
        <v>2.7530000000000001</v>
      </c>
      <c r="X50" s="395">
        <f ca="1">IF(RTD("cqg.rtd", ,"ContractData",L46,"LastTradeorSettle",,"T")="",MEDIAN(X48:X49),RTD("cqg.rtd", ,"ContractData",L46,"LastTradeorSettle",,"T"))</f>
        <v>2.7134999999999998</v>
      </c>
      <c r="Y50" s="395">
        <f ca="1">IF(RTD("cqg.rtd", ,"ContractData",M46,"LastTradeorSettle",,"T")="",MEDIAN(Y48:Y49),RTD("cqg.rtd", ,"ContractData",M46,"LastTradeorSettle",,"T"))</f>
        <v>2.7355</v>
      </c>
      <c r="Z50" s="395">
        <f ca="1">IF(RTD("cqg.rtd", ,"ContractData",N46,"LastTradeorSettle",,"T")="",MEDIAN(Z48:Z49),RTD("cqg.rtd", ,"ContractData",N46,"LastTradeorSettle",,"T"))</f>
        <v>2.7569999999999997</v>
      </c>
      <c r="AA50" s="395">
        <f ca="1">IF(RTD("cqg.rtd", ,"ContractData",O46,"LastTradeorSettle",,"T")="",MEDIAN(AA48:AA49),RTD("cqg.rtd", ,"ContractData",O46,"LastTradeorSettle",,"T"))</f>
        <v>2.7614999999999998</v>
      </c>
      <c r="AB50" s="395">
        <f ca="1">IF(RTD("cqg.rtd", ,"ContractData",P46,"LastTradeorSettle",,"T")="",MEDIAN(AB48:AB49),RTD("cqg.rtd", ,"ContractData",P46,"LastTradeorSettle",,"T"))</f>
        <v>2.742</v>
      </c>
      <c r="AC50" s="395">
        <f ca="1">IF(RTD("cqg.rtd", ,"ContractData",Q46,"LastTradeorSettle",,"T")="",MEDIAN(AC48:AC49),RTD("cqg.rtd", ,"ContractData",Q46,"LastTradeorSettle",,"T"))</f>
        <v>2.7685</v>
      </c>
      <c r="AD50" s="393"/>
    </row>
    <row r="51" spans="1:30" ht="24" hidden="1" customHeight="1" x14ac:dyDescent="0.3">
      <c r="A51" s="195"/>
      <c r="B51" s="221"/>
      <c r="C51" s="220"/>
      <c r="D51" s="219"/>
      <c r="E51" s="219"/>
      <c r="F51" s="218"/>
      <c r="G51" s="218"/>
      <c r="H51" s="217"/>
      <c r="I51" s="217"/>
      <c r="J51" s="217"/>
      <c r="K51" s="216">
        <f ca="1">RTD("cqg.rtd", ,"ContractData",A54, "Y_Settlement",, "T")</f>
        <v>2.758</v>
      </c>
      <c r="L51" s="216">
        <f ca="1">RTD("cqg.rtd", ,"ContractData",A55, "Y_Settlement",, "T")</f>
        <v>2.7189999999999999</v>
      </c>
      <c r="M51" s="215">
        <f ca="1">RTD("cqg.rtd", ,"ContractData",A56, "Y_Settlement",, "T")</f>
        <v>2.7410000000000001</v>
      </c>
      <c r="N51" s="215">
        <f ca="1">RTD("cqg.rtd", ,"ContractData",A57, "Y_Settlement",, "T")</f>
        <v>2.7629999999999999</v>
      </c>
      <c r="O51" s="215">
        <f ca="1">RTD("cqg.rtd", ,"ContractData",A58, "Y_Settlement",, "T")</f>
        <v>2.7669999999999999</v>
      </c>
      <c r="P51" s="215">
        <f ca="1">RTD("cqg.rtd", ,"ContractData",A59, "Y_Settlement",, "T")</f>
        <v>2.7530000000000001</v>
      </c>
      <c r="Q51" s="215">
        <f ca="1">RTD("cqg.rtd", ,"ContractData",A60, "Y_Settlement",, "T")</f>
        <v>2.7760000000000002</v>
      </c>
      <c r="R51" s="214"/>
      <c r="S51" s="214"/>
      <c r="T51" s="214"/>
      <c r="U51" s="214"/>
      <c r="V51" s="213"/>
      <c r="W51" s="393"/>
      <c r="X51" s="393"/>
      <c r="Y51" s="393"/>
      <c r="Z51" s="393"/>
      <c r="AA51" s="393"/>
      <c r="AB51" s="393"/>
      <c r="AC51" s="393"/>
      <c r="AD51" s="393"/>
    </row>
    <row r="52" spans="1:30" x14ac:dyDescent="0.3">
      <c r="A52" s="195"/>
      <c r="B52" s="212" t="s">
        <v>16</v>
      </c>
      <c r="C52" s="211" t="s">
        <v>9</v>
      </c>
      <c r="D52" s="211" t="s">
        <v>10</v>
      </c>
      <c r="E52" s="211" t="s">
        <v>11</v>
      </c>
      <c r="F52" s="211" t="s">
        <v>8</v>
      </c>
      <c r="G52" s="211" t="s">
        <v>12</v>
      </c>
      <c r="H52" s="210" t="s">
        <v>12</v>
      </c>
      <c r="I52" s="210" t="s">
        <v>13</v>
      </c>
      <c r="J52" s="209"/>
      <c r="K52" s="208"/>
      <c r="L52" s="208"/>
      <c r="M52" s="207" t="s">
        <v>209</v>
      </c>
      <c r="N52" s="207">
        <f>DATE(M3,K3,L3)</f>
        <v>42996</v>
      </c>
      <c r="O52" s="206" t="str">
        <f ca="1">RollData!I46</f>
        <v>Summer 19</v>
      </c>
      <c r="P52" s="205">
        <f ca="1">RollData!E45</f>
        <v>2.7850000000000001</v>
      </c>
      <c r="Q52" s="204"/>
      <c r="R52" s="203"/>
      <c r="S52" s="202"/>
      <c r="T52" s="202"/>
      <c r="U52" s="202"/>
      <c r="V52" s="202"/>
      <c r="W52" s="396"/>
      <c r="X52" s="393"/>
      <c r="Y52" s="393"/>
      <c r="Z52" s="393"/>
      <c r="AA52" s="393"/>
      <c r="AB52" s="393"/>
      <c r="AC52" s="393"/>
      <c r="AD52" s="393"/>
    </row>
    <row r="53" spans="1:30" s="185" customFormat="1" ht="24" customHeight="1" x14ac:dyDescent="0.2">
      <c r="A53" s="201"/>
      <c r="B53" s="198" t="str">
        <f ca="1">RollData!I46</f>
        <v>Summer 19</v>
      </c>
      <c r="C53" s="197">
        <f ca="1" xml:space="preserve"> RTD("cqg.rtd",,"StudyData",RollData!I47,  "Bar",, "Open", "D","0",,,,,"T")</f>
        <v>2.7532857100000001</v>
      </c>
      <c r="D53" s="197">
        <f ca="1" xml:space="preserve"> RTD("cqg.rtd",,"StudyData",RollData!I47,  "Bar",, "High", "D","0",,,,,"T")</f>
        <v>2.7532857100000001</v>
      </c>
      <c r="E53" s="197">
        <f ca="1" xml:space="preserve"> RTD("cqg.rtd",,"StudyData",RollData!I47,  "Bar",, "Low", "D","0",,,,,"T")</f>
        <v>2.7532857100000001</v>
      </c>
      <c r="F53" s="200" t="str">
        <f ca="1">F49</f>
        <v>2.759 A</v>
      </c>
      <c r="G53" s="200" t="str">
        <f ca="1">H49</f>
        <v>+.015</v>
      </c>
      <c r="H53" s="199"/>
      <c r="I53" s="196"/>
      <c r="J53" s="191"/>
      <c r="K53" s="189"/>
      <c r="L53" s="189"/>
      <c r="M53" s="189"/>
      <c r="N53" s="189"/>
      <c r="O53" s="189"/>
      <c r="P53" s="189"/>
      <c r="Q53" s="190"/>
      <c r="R53" s="189"/>
      <c r="S53" s="189"/>
      <c r="T53" s="189"/>
      <c r="U53" s="189"/>
      <c r="V53" s="189"/>
      <c r="W53" s="397"/>
      <c r="X53" s="398"/>
      <c r="Y53" s="398"/>
      <c r="Z53" s="398"/>
      <c r="AA53" s="398"/>
      <c r="AB53" s="398"/>
      <c r="AC53" s="398"/>
      <c r="AD53" s="398"/>
    </row>
    <row r="54" spans="1:30" s="185" customFormat="1" ht="24" customHeight="1" x14ac:dyDescent="0.2">
      <c r="A54" s="195" t="str">
        <f ca="1">RTD("cqg.rtd",,"ContractData",RollData!N38, "Symbol")</f>
        <v>NGEJ9</v>
      </c>
      <c r="B54" s="198" t="str">
        <f ca="1">RIGHT(RTD("cqg.rtd",,"ContractData",A54, "LongDescription"),7)</f>
        <v xml:space="preserve"> Apr 19</v>
      </c>
      <c r="C54" s="197" t="str">
        <f ca="1">RTD("cqg.rtd", ,"ContractData",A54, "Open",,"T")</f>
        <v/>
      </c>
      <c r="D54" s="197" t="str">
        <f ca="1">RTD("cqg.rtd", ,"ContractData",A54, "High",,"T")</f>
        <v/>
      </c>
      <c r="E54" s="197" t="str">
        <f ca="1">RTD("cqg.rtd", ,"ContractData",A54, "Low",,"T")</f>
        <v/>
      </c>
      <c r="F54" s="197" t="str">
        <f ca="1">RTD("cqg.rtd", ,"ContractData",A54, "LastTradeorSettle",,"T")</f>
        <v/>
      </c>
      <c r="G54" s="197" t="str">
        <f ca="1">RTD("cqg.rtd",,"ContractData",A54,"NetLastTradeToday",,"T")</f>
        <v/>
      </c>
      <c r="H54" s="197" t="str">
        <f ca="1">RTD("cqg.rtd",,"ContractData",A54,"NetLastTradeToday",,"T")</f>
        <v/>
      </c>
      <c r="I54" s="196">
        <f ca="1">RTD("cqg.rtd", ,"ContractData",A54, "T_CVol")</f>
        <v>5</v>
      </c>
      <c r="J54" s="191"/>
      <c r="K54" s="189"/>
      <c r="L54" s="189"/>
      <c r="M54" s="189"/>
      <c r="N54" s="189"/>
      <c r="O54" s="189"/>
      <c r="P54" s="189"/>
      <c r="Q54" s="190"/>
      <c r="R54" s="189"/>
      <c r="S54" s="188"/>
      <c r="T54" s="188"/>
      <c r="U54" s="188"/>
      <c r="V54" s="188"/>
      <c r="W54" s="397"/>
      <c r="X54" s="398"/>
      <c r="Y54" s="398"/>
      <c r="Z54" s="398"/>
      <c r="AA54" s="398"/>
      <c r="AB54" s="398"/>
      <c r="AC54" s="398"/>
      <c r="AD54" s="398"/>
    </row>
    <row r="55" spans="1:30" s="185" customFormat="1" ht="24" customHeight="1" x14ac:dyDescent="0.2">
      <c r="A55" s="195" t="str">
        <f ca="1">RTD("cqg.rtd",,"ContractData",RollData!N39, "Symbol")</f>
        <v>NGEK9</v>
      </c>
      <c r="B55" s="198" t="str">
        <f ca="1">RIGHT(RTD("cqg.rtd",,"ContractData",A55, "LongDescription"),7)</f>
        <v xml:space="preserve"> May 19</v>
      </c>
      <c r="C55" s="197" t="str">
        <f ca="1">RTD("cqg.rtd", ,"ContractData",A55, "Open",,"T")</f>
        <v/>
      </c>
      <c r="D55" s="197" t="str">
        <f ca="1">RTD("cqg.rtd", ,"ContractData",A55, "High",,"T")</f>
        <v/>
      </c>
      <c r="E55" s="197" t="str">
        <f ca="1">RTD("cqg.rtd", ,"ContractData",A55, "Low",,"T")</f>
        <v/>
      </c>
      <c r="F55" s="197" t="str">
        <f ca="1">RTD("cqg.rtd", ,"ContractData",A55, "LastTradeorSettle",,"T")</f>
        <v/>
      </c>
      <c r="G55" s="197" t="str">
        <f ca="1">RTD("cqg.rtd",,"ContractData",A55,"NetLastTradeToday",,"T")</f>
        <v/>
      </c>
      <c r="H55" s="197" t="str">
        <f ca="1">RTD("cqg.rtd",,"ContractData",A55,"NetLastTradeToday",,"T")</f>
        <v/>
      </c>
      <c r="I55" s="196">
        <f ca="1">RTD("cqg.rtd", ,"ContractData",A55, "T_CVol")</f>
        <v>0</v>
      </c>
      <c r="J55" s="191"/>
      <c r="K55" s="189"/>
      <c r="L55" s="189"/>
      <c r="M55" s="189"/>
      <c r="N55" s="189"/>
      <c r="O55" s="189"/>
      <c r="P55" s="189"/>
      <c r="Q55" s="190"/>
      <c r="R55" s="189"/>
      <c r="S55" s="188"/>
      <c r="T55" s="188"/>
      <c r="U55" s="188"/>
      <c r="V55" s="188"/>
      <c r="W55" s="397"/>
      <c r="X55" s="398"/>
      <c r="Y55" s="398"/>
      <c r="Z55" s="398"/>
      <c r="AA55" s="398"/>
      <c r="AB55" s="398"/>
      <c r="AC55" s="398"/>
      <c r="AD55" s="398"/>
    </row>
    <row r="56" spans="1:30" s="185" customFormat="1" ht="24" customHeight="1" x14ac:dyDescent="0.2">
      <c r="A56" s="195" t="str">
        <f ca="1">RTD("cqg.rtd",,"ContractData",RollData!N40, "Symbol")</f>
        <v>NGEM9</v>
      </c>
      <c r="B56" s="198" t="str">
        <f ca="1">RIGHT(RTD("cqg.rtd",,"ContractData",A56, "LongDescription"),7)</f>
        <v xml:space="preserve"> Jun 19</v>
      </c>
      <c r="C56" s="197" t="str">
        <f ca="1">RTD("cqg.rtd", ,"ContractData",A56, "Open",,"T")</f>
        <v/>
      </c>
      <c r="D56" s="197" t="str">
        <f ca="1">RTD("cqg.rtd", ,"ContractData",A56, "High",,"T")</f>
        <v/>
      </c>
      <c r="E56" s="197" t="str">
        <f ca="1">RTD("cqg.rtd", ,"ContractData",A56, "Low",,"T")</f>
        <v/>
      </c>
      <c r="F56" s="197" t="str">
        <f ca="1">RTD("cqg.rtd", ,"ContractData",A56, "LastTradeorSettle",,"T")</f>
        <v/>
      </c>
      <c r="G56" s="197" t="str">
        <f ca="1">RTD("cqg.rtd",,"ContractData",A56,"NetLastTradeToday",,"T")</f>
        <v/>
      </c>
      <c r="H56" s="197" t="str">
        <f ca="1">RTD("cqg.rtd",,"ContractData",A56,"NetLastTradeToday",,"T")</f>
        <v/>
      </c>
      <c r="I56" s="196">
        <f ca="1">RTD("cqg.rtd", ,"ContractData",A56, "T_CVol")</f>
        <v>0</v>
      </c>
      <c r="J56" s="191"/>
      <c r="K56" s="189"/>
      <c r="L56" s="189"/>
      <c r="M56" s="189"/>
      <c r="N56" s="189"/>
      <c r="O56" s="189"/>
      <c r="P56" s="189"/>
      <c r="Q56" s="190"/>
      <c r="R56" s="188"/>
      <c r="S56" s="188"/>
      <c r="T56" s="188"/>
      <c r="U56" s="188"/>
      <c r="V56" s="188"/>
      <c r="W56" s="397"/>
      <c r="X56" s="398"/>
      <c r="Y56" s="398"/>
      <c r="Z56" s="398"/>
      <c r="AA56" s="398"/>
      <c r="AB56" s="398"/>
      <c r="AC56" s="398"/>
      <c r="AD56" s="398"/>
    </row>
    <row r="57" spans="1:30" s="185" customFormat="1" ht="24" customHeight="1" x14ac:dyDescent="0.2">
      <c r="A57" s="195" t="str">
        <f ca="1">RTD("cqg.rtd",,"ContractData",RollData!N41, "Symbol")</f>
        <v>NGEN9</v>
      </c>
      <c r="B57" s="198" t="str">
        <f ca="1">RIGHT(RTD("cqg.rtd",,"ContractData",A57, "LongDescription"),7)</f>
        <v xml:space="preserve"> Jul 19</v>
      </c>
      <c r="C57" s="197" t="str">
        <f ca="1">RTD("cqg.rtd", ,"ContractData",A57, "Open",,"T")</f>
        <v/>
      </c>
      <c r="D57" s="197" t="str">
        <f ca="1">RTD("cqg.rtd", ,"ContractData",A57, "High",,"T")</f>
        <v/>
      </c>
      <c r="E57" s="197" t="str">
        <f ca="1">RTD("cqg.rtd", ,"ContractData",A57, "Low",,"T")</f>
        <v/>
      </c>
      <c r="F57" s="197" t="str">
        <f ca="1">RTD("cqg.rtd", ,"ContractData",A57, "LastTradeorSettle",,"T")</f>
        <v/>
      </c>
      <c r="G57" s="197" t="str">
        <f ca="1">RTD("cqg.rtd",,"ContractData",A57,"NetLastTradeToday",,"T")</f>
        <v/>
      </c>
      <c r="H57" s="197" t="str">
        <f ca="1">RTD("cqg.rtd",,"ContractData",A57,"NetLastTradeToday",,"T")</f>
        <v/>
      </c>
      <c r="I57" s="196">
        <f ca="1">RTD("cqg.rtd", ,"ContractData",A57, "T_CVol")</f>
        <v>10</v>
      </c>
      <c r="J57" s="191"/>
      <c r="K57" s="189"/>
      <c r="L57" s="189"/>
      <c r="M57" s="189"/>
      <c r="N57" s="189"/>
      <c r="O57" s="189"/>
      <c r="P57" s="189"/>
      <c r="Q57" s="190"/>
      <c r="R57" s="189"/>
      <c r="S57" s="188"/>
      <c r="T57" s="188"/>
      <c r="U57" s="188"/>
      <c r="V57" s="188"/>
      <c r="W57" s="397"/>
      <c r="X57" s="398"/>
      <c r="Y57" s="398"/>
      <c r="Z57" s="398"/>
      <c r="AA57" s="398"/>
      <c r="AB57" s="398"/>
      <c r="AC57" s="398"/>
      <c r="AD57" s="398"/>
    </row>
    <row r="58" spans="1:30" s="185" customFormat="1" ht="24" customHeight="1" x14ac:dyDescent="0.2">
      <c r="A58" s="195" t="str">
        <f ca="1">RTD("cqg.rtd",,"ContractData",RollData!N42, "Symbol")</f>
        <v>NGEQ9</v>
      </c>
      <c r="B58" s="198" t="str">
        <f ca="1">RIGHT(RTD("cqg.rtd",,"ContractData",A58, "LongDescription"),7)</f>
        <v xml:space="preserve"> Aug 19</v>
      </c>
      <c r="C58" s="197" t="str">
        <f ca="1">RTD("cqg.rtd", ,"ContractData",A58, "Open",,"T")</f>
        <v/>
      </c>
      <c r="D58" s="197" t="str">
        <f ca="1">RTD("cqg.rtd", ,"ContractData",A58, "High",,"T")</f>
        <v/>
      </c>
      <c r="E58" s="197" t="str">
        <f ca="1">RTD("cqg.rtd", ,"ContractData",A58, "Low",,"T")</f>
        <v/>
      </c>
      <c r="F58" s="197" t="str">
        <f ca="1">RTD("cqg.rtd", ,"ContractData",A58, "LastTradeorSettle",,"T")</f>
        <v/>
      </c>
      <c r="G58" s="197" t="str">
        <f ca="1">RTD("cqg.rtd",,"ContractData",A58,"NetLastTradeToday",,"T")</f>
        <v/>
      </c>
      <c r="H58" s="197" t="str">
        <f ca="1">RTD("cqg.rtd",,"ContractData",A58,"NetLastTradeToday",,"T")</f>
        <v/>
      </c>
      <c r="I58" s="196">
        <f ca="1">RTD("cqg.rtd", ,"ContractData",A58, "T_CVol")</f>
        <v>0</v>
      </c>
      <c r="J58" s="191"/>
      <c r="K58" s="189"/>
      <c r="L58" s="189"/>
      <c r="M58" s="189"/>
      <c r="N58" s="189"/>
      <c r="O58" s="189"/>
      <c r="P58" s="189"/>
      <c r="Q58" s="190"/>
      <c r="R58" s="189"/>
      <c r="S58" s="188"/>
      <c r="T58" s="188"/>
      <c r="U58" s="188"/>
      <c r="V58" s="188"/>
      <c r="W58" s="397"/>
      <c r="X58" s="398"/>
      <c r="Y58" s="398"/>
      <c r="Z58" s="398"/>
      <c r="AA58" s="398"/>
      <c r="AB58" s="398"/>
      <c r="AC58" s="398"/>
      <c r="AD58" s="398"/>
    </row>
    <row r="59" spans="1:30" s="185" customFormat="1" ht="24" customHeight="1" x14ac:dyDescent="0.2">
      <c r="A59" s="195" t="str">
        <f ca="1">RTD("cqg.rtd",,"ContractData",RollData!N43, "Symbol")</f>
        <v>NGEU9</v>
      </c>
      <c r="B59" s="198" t="str">
        <f ca="1">RIGHT(RTD("cqg.rtd",,"ContractData",A59, "LongDescription"),7)</f>
        <v xml:space="preserve"> Sep 19</v>
      </c>
      <c r="C59" s="197" t="str">
        <f ca="1">RTD("cqg.rtd", ,"ContractData",A59, "Open",,"T")</f>
        <v/>
      </c>
      <c r="D59" s="197" t="str">
        <f ca="1">RTD("cqg.rtd", ,"ContractData",A59, "High",,"T")</f>
        <v/>
      </c>
      <c r="E59" s="197" t="str">
        <f ca="1">RTD("cqg.rtd", ,"ContractData",A59, "Low",,"T")</f>
        <v/>
      </c>
      <c r="F59" s="197" t="str">
        <f ca="1">RTD("cqg.rtd", ,"ContractData",A59, "LastTradeorSettle",,"T")</f>
        <v/>
      </c>
      <c r="G59" s="197" t="str">
        <f ca="1">RTD("cqg.rtd",,"ContractData",A59,"NetLastTradeToday",,"T")</f>
        <v/>
      </c>
      <c r="H59" s="197" t="str">
        <f ca="1">RTD("cqg.rtd",,"ContractData",A59,"NetLastTradeToday",,"T")</f>
        <v/>
      </c>
      <c r="I59" s="196">
        <f ca="1">RTD("cqg.rtd", ,"ContractData",A59, "T_CVol")</f>
        <v>0</v>
      </c>
      <c r="J59" s="191"/>
      <c r="K59" s="189"/>
      <c r="L59" s="189"/>
      <c r="M59" s="189"/>
      <c r="N59" s="189"/>
      <c r="O59" s="189"/>
      <c r="P59" s="189"/>
      <c r="Q59" s="190"/>
      <c r="R59" s="189"/>
      <c r="S59" s="188"/>
      <c r="T59" s="188"/>
      <c r="U59" s="188"/>
      <c r="V59" s="187"/>
      <c r="W59" s="398"/>
      <c r="X59" s="398"/>
      <c r="Y59" s="398"/>
      <c r="Z59" s="398"/>
      <c r="AA59" s="398"/>
      <c r="AB59" s="398"/>
      <c r="AC59" s="398"/>
      <c r="AD59" s="398"/>
    </row>
    <row r="60" spans="1:30" s="185" customFormat="1" ht="24" customHeight="1" x14ac:dyDescent="0.2">
      <c r="A60" s="195" t="str">
        <f ca="1">RTD("cqg.rtd",,"ContractData",RollData!N44, "Symbol")</f>
        <v>NGEV9</v>
      </c>
      <c r="B60" s="194" t="str">
        <f ca="1">RIGHT(RTD("cqg.rtd",,"ContractData",A60, "LongDescription"),7)</f>
        <v xml:space="preserve"> Oct 19</v>
      </c>
      <c r="C60" s="193" t="str">
        <f ca="1">RTD("cqg.rtd", ,"ContractData",A60, "Open",,"T")</f>
        <v/>
      </c>
      <c r="D60" s="193" t="str">
        <f ca="1">RTD("cqg.rtd", ,"ContractData",A60, "High",,"T")</f>
        <v/>
      </c>
      <c r="E60" s="193" t="str">
        <f ca="1">RTD("cqg.rtd", ,"ContractData",A60, "Low",,"T")</f>
        <v/>
      </c>
      <c r="F60" s="193" t="str">
        <f ca="1">RTD("cqg.rtd", ,"ContractData",A60, "LastTradeorSettle",,"T")</f>
        <v/>
      </c>
      <c r="G60" s="193" t="str">
        <f ca="1">RTD("cqg.rtd",,"ContractData",A60,"NetLastTradeToday",,"T")</f>
        <v/>
      </c>
      <c r="H60" s="193" t="str">
        <f ca="1">RTD("cqg.rtd",,"ContractData",A60,"NetLastTradeToday",,"T")</f>
        <v/>
      </c>
      <c r="I60" s="192">
        <f ca="1">RTD("cqg.rtd", ,"ContractData",A60, "T_CVol")</f>
        <v>0</v>
      </c>
      <c r="J60" s="191"/>
      <c r="K60" s="189"/>
      <c r="L60" s="189"/>
      <c r="M60" s="189"/>
      <c r="N60" s="189"/>
      <c r="O60" s="189"/>
      <c r="P60" s="189"/>
      <c r="Q60" s="190"/>
      <c r="R60" s="189"/>
      <c r="S60" s="188"/>
      <c r="T60" s="188"/>
      <c r="U60" s="188"/>
      <c r="V60" s="187"/>
      <c r="W60" s="186"/>
      <c r="X60" s="186"/>
      <c r="Y60" s="186"/>
      <c r="Z60" s="186"/>
      <c r="AA60" s="186"/>
      <c r="AB60" s="186"/>
      <c r="AC60" s="186"/>
    </row>
    <row r="61" spans="1:30" x14ac:dyDescent="0.3">
      <c r="B61" s="350" t="s">
        <v>43</v>
      </c>
      <c r="C61" s="351"/>
      <c r="D61" s="351"/>
      <c r="E61" s="351"/>
      <c r="F61" s="274"/>
      <c r="G61" s="274"/>
      <c r="H61" s="274" t="s">
        <v>19</v>
      </c>
      <c r="I61" s="274"/>
      <c r="J61" s="274"/>
      <c r="K61" s="275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3"/>
    </row>
    <row r="63" spans="1:30" x14ac:dyDescent="0.3">
      <c r="I63" s="182"/>
    </row>
  </sheetData>
  <sheetProtection algorithmName="SHA-512" hashValue="hHeXXeIVv+vwXnTH6NNREdGWFYZCW0ntgGKNMQmOiyOqObzySkltUg3dzwHs3I7iNxbxws8Vf8V6ZOeVGjywlA==" saltValue="AFJglmrcynSuP5RPiRdlWA==" spinCount="100000" sheet="1" objects="1" scenarios="1" selectLockedCells="1"/>
  <mergeCells count="50">
    <mergeCell ref="K13:K15"/>
    <mergeCell ref="J8:J9"/>
    <mergeCell ref="B19:B20"/>
    <mergeCell ref="C19:C20"/>
    <mergeCell ref="D19:E20"/>
    <mergeCell ref="F19:J20"/>
    <mergeCell ref="B8:B9"/>
    <mergeCell ref="C8:C9"/>
    <mergeCell ref="D8:E9"/>
    <mergeCell ref="F8:G9"/>
    <mergeCell ref="H8:I9"/>
    <mergeCell ref="F34:J35"/>
    <mergeCell ref="J21:J22"/>
    <mergeCell ref="N2:T4"/>
    <mergeCell ref="U2:V4"/>
    <mergeCell ref="B6:B7"/>
    <mergeCell ref="C6:C7"/>
    <mergeCell ref="D6:E7"/>
    <mergeCell ref="P6:V6"/>
    <mergeCell ref="B2:J4"/>
    <mergeCell ref="F6:J7"/>
    <mergeCell ref="B21:B22"/>
    <mergeCell ref="C21:C22"/>
    <mergeCell ref="D21:E22"/>
    <mergeCell ref="F21:G22"/>
    <mergeCell ref="H21:I22"/>
    <mergeCell ref="R19:V19"/>
    <mergeCell ref="P34:V34"/>
    <mergeCell ref="J36:J37"/>
    <mergeCell ref="K41:K43"/>
    <mergeCell ref="B47:B48"/>
    <mergeCell ref="C47:C48"/>
    <mergeCell ref="D47:E48"/>
    <mergeCell ref="F47:J48"/>
    <mergeCell ref="B36:B37"/>
    <mergeCell ref="C36:C37"/>
    <mergeCell ref="D36:E37"/>
    <mergeCell ref="F36:G37"/>
    <mergeCell ref="R47:V47"/>
    <mergeCell ref="H36:I37"/>
    <mergeCell ref="B34:B35"/>
    <mergeCell ref="C34:C35"/>
    <mergeCell ref="D34:E35"/>
    <mergeCell ref="B61:E61"/>
    <mergeCell ref="J49:J50"/>
    <mergeCell ref="B49:B50"/>
    <mergeCell ref="C49:C50"/>
    <mergeCell ref="D49:E50"/>
    <mergeCell ref="F49:G50"/>
    <mergeCell ref="H49:I50"/>
  </mergeCells>
  <conditionalFormatting sqref="G13:G17">
    <cfRule type="colorScale" priority="12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H13:H17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{08D71863-4F19-43A3-B466-7ADFDD18A18E}</x14:id>
        </ext>
      </extLst>
    </cfRule>
  </conditionalFormatting>
  <conditionalFormatting sqref="I13:J17">
    <cfRule type="colorScale" priority="10">
      <colorScale>
        <cfvo type="min"/>
        <cfvo type="max"/>
        <color theme="1"/>
        <color rgb="FF00B050"/>
      </colorScale>
    </cfRule>
  </conditionalFormatting>
  <conditionalFormatting sqref="H26:H32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{7A48C7B9-AF14-4F68-B971-06DBDC013097}</x14:id>
        </ext>
      </extLst>
    </cfRule>
  </conditionalFormatting>
  <conditionalFormatting sqref="G26:G32">
    <cfRule type="colorScale" priority="8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I26:I32">
    <cfRule type="colorScale" priority="7">
      <colorScale>
        <cfvo type="min"/>
        <cfvo type="max"/>
        <color rgb="FF00000F"/>
        <color rgb="FF00B050"/>
      </colorScale>
    </cfRule>
  </conditionalFormatting>
  <conditionalFormatting sqref="G41:G45">
    <cfRule type="colorScale" priority="6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H41:H45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{F35D88CB-DE84-4EE1-B6F1-E02DBCACD9F5}</x14:id>
        </ext>
      </extLst>
    </cfRule>
  </conditionalFormatting>
  <conditionalFormatting sqref="I41:J45">
    <cfRule type="colorScale" priority="4">
      <colorScale>
        <cfvo type="min"/>
        <cfvo type="max"/>
        <color theme="1"/>
        <color rgb="FF00B050"/>
      </colorScale>
    </cfRule>
  </conditionalFormatting>
  <conditionalFormatting sqref="H54:H60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{E221D8D0-A911-461B-BC5D-7C67B5CF00FF}</x14:id>
        </ext>
      </extLst>
    </cfRule>
  </conditionalFormatting>
  <conditionalFormatting sqref="G54:G60">
    <cfRule type="colorScale" priority="2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I54:I60">
    <cfRule type="colorScale" priority="1">
      <colorScale>
        <cfvo type="min"/>
        <cfvo type="max"/>
        <color rgb="FF00000F"/>
        <color rgb="FF00B050"/>
      </colorScale>
    </cfRule>
  </conditionalFormatting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D71863-4F19-43A3-B466-7ADFDD18A1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H13:H17</xm:sqref>
        </x14:conditionalFormatting>
        <x14:conditionalFormatting xmlns:xm="http://schemas.microsoft.com/office/excel/2006/main">
          <x14:cfRule type="dataBar" id="{7A48C7B9-AF14-4F68-B971-06DBDC0130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H26:H32</xm:sqref>
        </x14:conditionalFormatting>
        <x14:conditionalFormatting xmlns:xm="http://schemas.microsoft.com/office/excel/2006/main">
          <x14:cfRule type="dataBar" id="{F35D88CB-DE84-4EE1-B6F1-E02DBCACD9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H41:H45</xm:sqref>
        </x14:conditionalFormatting>
        <x14:conditionalFormatting xmlns:xm="http://schemas.microsoft.com/office/excel/2006/main">
          <x14:cfRule type="dataBar" id="{E221D8D0-A911-461B-BC5D-7C67B5CF00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H54:H60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workbookViewId="0"/>
  </sheetViews>
  <sheetFormatPr defaultRowHeight="16.5" x14ac:dyDescent="0.3"/>
  <cols>
    <col min="1" max="10" width="9" style="269"/>
    <col min="11" max="11" width="10" style="269" customWidth="1"/>
    <col min="12" max="13" width="9" style="269"/>
    <col min="14" max="14" width="10.625" style="269" bestFit="1" customWidth="1"/>
    <col min="15" max="15" width="9" style="269"/>
    <col min="16" max="16" width="10.625" style="269" customWidth="1"/>
    <col min="17" max="18" width="9" style="269"/>
    <col min="19" max="19" width="10.625" style="269" customWidth="1"/>
    <col min="20" max="20" width="9" style="269"/>
    <col min="21" max="21" width="13" style="269" customWidth="1"/>
    <col min="22" max="16384" width="9" style="269"/>
  </cols>
  <sheetData>
    <row r="1" spans="1:21" x14ac:dyDescent="0.3">
      <c r="P1" s="270">
        <f t="shared" ref="P1:P9" ca="1" si="0">TODAY()</f>
        <v>43014</v>
      </c>
      <c r="Q1" s="269" t="str">
        <f>IF(S1="","",IF(ISERROR(P1-S1),"",IF(S1-P1&lt;0,"",16)))</f>
        <v/>
      </c>
      <c r="R1" s="269" t="s">
        <v>242</v>
      </c>
      <c r="S1" s="270" t="str">
        <f>IFERROR(RTD("cqg.rtd", ,"ContractData",R1, "ExpirationDate",, "T")-1,"")</f>
        <v/>
      </c>
    </row>
    <row r="2" spans="1:21" x14ac:dyDescent="0.3">
      <c r="A2" s="271"/>
      <c r="B2" s="271"/>
      <c r="C2" s="271"/>
      <c r="D2" s="271"/>
      <c r="E2" s="271" t="b">
        <v>0</v>
      </c>
      <c r="F2" s="271" t="s">
        <v>24</v>
      </c>
      <c r="G2" s="271" t="s">
        <v>26</v>
      </c>
      <c r="P2" s="270">
        <f t="shared" ca="1" si="0"/>
        <v>43014</v>
      </c>
      <c r="Q2" s="269">
        <f ca="1">IF(S2="","",IF(ISERROR(P2-S2),"",IF(S2-P2&lt;0,"",17)))</f>
        <v>17</v>
      </c>
      <c r="R2" s="269" t="s">
        <v>241</v>
      </c>
      <c r="S2" s="270">
        <f>IFERROR(RTD("cqg.rtd", ,"ContractData",R2, "ExpirationDate",, "T")-1,"")</f>
        <v>43034</v>
      </c>
    </row>
    <row r="3" spans="1:21" x14ac:dyDescent="0.3">
      <c r="A3" s="271">
        <f>'NGE Winter Summer Strps'!$K$3</f>
        <v>9</v>
      </c>
      <c r="B3" s="271">
        <f>'NGE Winter Summer Strps'!$L$3</f>
        <v>18</v>
      </c>
      <c r="C3" s="271">
        <f>'NGE Winter Summer Strps'!$M$3</f>
        <v>2017</v>
      </c>
      <c r="D3" s="271" t="s">
        <v>210</v>
      </c>
      <c r="E3" s="272">
        <f ca="1" xml:space="preserve"> RTD("cqg.rtd",,"StudyData", "Close("&amp;$I3&amp;")when (LocalMonth("&amp;$I3&amp;")="&amp;$A$3&amp;" and LocalDay("&amp;$I3&amp;")="&amp;$B$3&amp;" and LocalYear("&amp;$I3&amp;")="&amp;$C$3&amp;")", "Bar", "", "Close",$D$3, "0","ALL","", "",$E$2,$F$2)</f>
        <v>3.1949999999999998</v>
      </c>
      <c r="F3" s="271">
        <f ca="1">'NGE Winter Summer Strps'!F13</f>
        <v>2.8970000000000002</v>
      </c>
      <c r="G3" s="273">
        <f ca="1">IFERROR(F3-E3,"")</f>
        <v>-0.2979999999999996</v>
      </c>
      <c r="I3" s="269" t="str">
        <f ca="1">N3</f>
        <v>NGEX17</v>
      </c>
      <c r="K3" s="269" t="s">
        <v>30</v>
      </c>
      <c r="L3" s="269" t="s">
        <v>224</v>
      </c>
      <c r="M3" s="269">
        <f ca="1">IF(ISNUMBER(Q1),Q1,IF(ISNUMBER(Q2),Q2,IF(ISNUMBER(Q3),Q3,IF(ISNUMBER(Q4),Q4,IF(ISNUMBER(Q5),Q5,IF(ISNUMBER(Q6),Q6,IF(ISNUMBER(Q7),Q7,IF(ISNUMBER(Q8),Q8,IF(ISNUMBER(Q9),Q9)))))))))</f>
        <v>17</v>
      </c>
      <c r="N3" s="269" t="str">
        <f ca="1">K3&amp;L3&amp;M3</f>
        <v>NGEX17</v>
      </c>
      <c r="P3" s="270">
        <f t="shared" ca="1" si="0"/>
        <v>43014</v>
      </c>
      <c r="Q3" s="269">
        <f ca="1">IF(S3="","",IF(ISERROR(P3-S3),"",IF(S3-P3&lt;0,"",18)))</f>
        <v>18</v>
      </c>
      <c r="R3" s="269" t="s">
        <v>240</v>
      </c>
      <c r="S3" s="270">
        <f>IFERROR(RTD("cqg.rtd", ,"ContractData",R3, "ExpirationDate",, "T")-1,"")</f>
        <v>43401</v>
      </c>
    </row>
    <row r="4" spans="1:21" x14ac:dyDescent="0.3">
      <c r="A4" s="271"/>
      <c r="B4" s="271"/>
      <c r="C4" s="271"/>
      <c r="D4" s="271"/>
      <c r="E4" s="272">
        <f ca="1" xml:space="preserve"> RTD("cqg.rtd",,"StudyData", "Close("&amp;$I4&amp;")when (LocalMonth("&amp;$I4&amp;")="&amp;$A$3&amp;" and LocalDay("&amp;$I4&amp;")="&amp;$B$3&amp;" and LocalYear("&amp;$I4&amp;")="&amp;$C$3&amp;")", "Bar", "", "Close",$D$3, "0","ALL","", "",$E$2,$F$2)</f>
        <v>3.3370000000000002</v>
      </c>
      <c r="F4" s="271">
        <f ca="1">'NGE Winter Summer Strps'!F14</f>
        <v>3.0710000000000002</v>
      </c>
      <c r="G4" s="273">
        <f ca="1">IFERROR(F4-E4,"")</f>
        <v>-0.26600000000000001</v>
      </c>
      <c r="I4" s="269" t="str">
        <f ca="1">N4</f>
        <v>NGEZ17</v>
      </c>
      <c r="K4" s="269" t="s">
        <v>30</v>
      </c>
      <c r="L4" s="269" t="s">
        <v>223</v>
      </c>
      <c r="M4" s="269">
        <f ca="1">IF(ISNUMBER(Q1),Q1,IF(ISNUMBER(Q2),Q2,IF(ISNUMBER(Q3),Q3,IF(ISNUMBER(Q4),Q4,IF(ISNUMBER(Q5),Q5,IF(ISNUMBER(Q6),Q6,IF(ISNUMBER(Q7),Q7,IF(ISNUMBER(Q8),Q8,IF(ISNUMBER(Q9),Q9)))))))))</f>
        <v>17</v>
      </c>
      <c r="N4" s="269" t="str">
        <f ca="1">K4&amp;L4&amp;M4</f>
        <v>NGEZ17</v>
      </c>
      <c r="P4" s="270">
        <f t="shared" ca="1" si="0"/>
        <v>43014</v>
      </c>
      <c r="Q4" s="269">
        <f ca="1">IF(S4="","",IF(ISERROR(P4-S4),"",IF(S4-P4&lt;0,"",19)))</f>
        <v>19</v>
      </c>
      <c r="R4" s="269" t="s">
        <v>239</v>
      </c>
      <c r="S4" s="270">
        <f>IFERROR(RTD("cqg.rtd", ,"ContractData",R4, "ExpirationDate",, "T")-1,"")</f>
        <v>43766</v>
      </c>
    </row>
    <row r="5" spans="1:21" x14ac:dyDescent="0.3">
      <c r="A5" s="271"/>
      <c r="B5" s="271"/>
      <c r="C5" s="271"/>
      <c r="D5" s="271"/>
      <c r="E5" s="272">
        <f ca="1" xml:space="preserve"> RTD("cqg.rtd",,"StudyData", "Close("&amp;$I5&amp;")when (LocalMonth("&amp;$I5&amp;")="&amp;$A$3&amp;" and LocalDay("&amp;$I5&amp;")="&amp;$B$3&amp;" and LocalYear("&amp;$I5&amp;")="&amp;$C$3&amp;")", "Bar", "", "Close",$D$3, "0","ALL","", "",$E$2,$F$2)</f>
        <v>3.4359999999999999</v>
      </c>
      <c r="F5" s="271">
        <f ca="1">'NGE Winter Summer Strps'!F15</f>
        <v>3.1970000000000001</v>
      </c>
      <c r="G5" s="273">
        <f ca="1">IFERROR(F5-E5,"")</f>
        <v>-0.23899999999999988</v>
      </c>
      <c r="I5" s="269" t="str">
        <f ca="1">N5</f>
        <v>NGEF18</v>
      </c>
      <c r="K5" s="269" t="s">
        <v>30</v>
      </c>
      <c r="L5" s="269" t="s">
        <v>222</v>
      </c>
      <c r="M5" s="269">
        <f ca="1">IF(ISNUMBER(Q1),Q1,IF(ISNUMBER(Q2),Q2,IF(ISNUMBER(Q3),Q3,IF(ISNUMBER(Q4),Q4,IF(ISNUMBER(Q5),Q5,IF(ISNUMBER(Q6),Q6,IF(ISNUMBER(Q7),Q7,IF(ISNUMBER(Q8),Q8,IF(ISNUMBER(Q9),Q9)))))))))+1</f>
        <v>18</v>
      </c>
      <c r="N5" s="269" t="str">
        <f ca="1">K5&amp;L5&amp;M5</f>
        <v>NGEF18</v>
      </c>
      <c r="P5" s="270">
        <f t="shared" ca="1" si="0"/>
        <v>43014</v>
      </c>
      <c r="Q5" s="269">
        <f ca="1">IF(S5="","",IF(ISERROR(P5-S5),"",IF(S5-P5&lt;0,"",20)))</f>
        <v>20</v>
      </c>
      <c r="R5" s="269" t="s">
        <v>238</v>
      </c>
      <c r="S5" s="270">
        <f>IFERROR(RTD("cqg.rtd", ,"ContractData",R5, "ExpirationDate",, "T")-1,"")</f>
        <v>44131</v>
      </c>
    </row>
    <row r="6" spans="1:21" x14ac:dyDescent="0.3">
      <c r="A6" s="271"/>
      <c r="B6" s="271"/>
      <c r="C6" s="271"/>
      <c r="D6" s="271"/>
      <c r="E6" s="272">
        <f ca="1" xml:space="preserve"> RTD("cqg.rtd",,"StudyData", "Close("&amp;$I6&amp;")when (LocalMonth("&amp;$I6&amp;")="&amp;$A$3&amp;" and LocalDay("&amp;$I6&amp;")="&amp;$B$3&amp;" and LocalYear("&amp;$I6&amp;")="&amp;$C$3&amp;")", "Bar", "", "Close",$D$3, "0","ALL","", "",$E$2,$F$2)</f>
        <v>3.4329999999999998</v>
      </c>
      <c r="F6" s="271">
        <f ca="1">'NGE Winter Summer Strps'!F16</f>
        <v>3.202</v>
      </c>
      <c r="G6" s="273">
        <f ca="1">IFERROR(F6-E6,"")</f>
        <v>-0.23099999999999987</v>
      </c>
      <c r="I6" s="269" t="str">
        <f ca="1">N6</f>
        <v>NGEG18</v>
      </c>
      <c r="K6" s="269" t="s">
        <v>30</v>
      </c>
      <c r="L6" s="269" t="s">
        <v>221</v>
      </c>
      <c r="M6" s="269">
        <f ca="1">IF(ISNUMBER(Q1),Q1,IF(ISNUMBER(Q2),Q2,IF(ISNUMBER(Q3),Q3,IF(ISNUMBER(Q4),Q4,IF(ISNUMBER(Q5),Q5,IF(ISNUMBER(Q6),Q6,IF(ISNUMBER(Q7),Q7,IF(ISNUMBER(Q8),Q8,IF(ISNUMBER(Q9),Q9)))))))))+1</f>
        <v>18</v>
      </c>
      <c r="N6" s="269" t="str">
        <f ca="1">K6&amp;L6&amp;M6</f>
        <v>NGEG18</v>
      </c>
      <c r="P6" s="270">
        <f t="shared" ca="1" si="0"/>
        <v>43014</v>
      </c>
      <c r="Q6" s="269">
        <f ca="1">IF(S6="","",IF(ISERROR(P6-S6),"",IF(S6-P6&lt;0,"",21)))</f>
        <v>21</v>
      </c>
      <c r="R6" s="269" t="s">
        <v>237</v>
      </c>
      <c r="S6" s="270">
        <f>IFERROR(RTD("cqg.rtd", ,"ContractData",R6, "ExpirationDate",, "T")-1,"")</f>
        <v>44495</v>
      </c>
    </row>
    <row r="7" spans="1:21" x14ac:dyDescent="0.3">
      <c r="A7" s="271"/>
      <c r="B7" s="271"/>
      <c r="C7" s="271"/>
      <c r="D7" s="271"/>
      <c r="E7" s="272">
        <f ca="1" xml:space="preserve"> RTD("cqg.rtd",,"StudyData", "Close("&amp;$I7&amp;")when (LocalMonth("&amp;$I7&amp;")="&amp;$A$3&amp;" and LocalDay("&amp;$I7&amp;")="&amp;$B$3&amp;" and LocalYear("&amp;$I7&amp;")="&amp;$C$3&amp;")", "Bar", "", "Close",$D$3, "0","ALL","", "",$E$2,$F$2)</f>
        <v>3.3809999999999998</v>
      </c>
      <c r="F7" s="271">
        <f ca="1">'NGE Winter Summer Strps'!F17</f>
        <v>3.1640000000000001</v>
      </c>
      <c r="G7" s="273">
        <f ca="1">IFERROR(F7-E7,"")</f>
        <v>-0.21699999999999964</v>
      </c>
      <c r="I7" s="269" t="str">
        <f ca="1">N7</f>
        <v>NGEH18</v>
      </c>
      <c r="K7" s="269" t="s">
        <v>30</v>
      </c>
      <c r="L7" s="269" t="s">
        <v>220</v>
      </c>
      <c r="M7" s="269">
        <f ca="1">IF(ISNUMBER(Q1),Q1,IF(ISNUMBER(Q2),Q2,IF(ISNUMBER(Q3),Q3,IF(ISNUMBER(Q4),Q4,IF(ISNUMBER(Q5),Q5,IF(ISNUMBER(Q6),Q6,IF(ISNUMBER(Q7),Q7,IF(ISNUMBER(Q8),Q8,IF(ISNUMBER(Q9),Q9)))))))))+1</f>
        <v>18</v>
      </c>
      <c r="N7" s="269" t="str">
        <f ca="1">K7&amp;L7&amp;M7</f>
        <v>NGEH18</v>
      </c>
      <c r="P7" s="270">
        <f t="shared" ca="1" si="0"/>
        <v>43014</v>
      </c>
      <c r="Q7" s="269">
        <f ca="1">IF(S7="","",IF(ISERROR(P7-S7),"",IF(S7-P7&lt;0,"",22)))</f>
        <v>22</v>
      </c>
      <c r="R7" s="269" t="s">
        <v>236</v>
      </c>
      <c r="S7" s="270">
        <f>IFERROR(RTD("cqg.rtd", ,"ContractData",R7, "ExpirationDate",, "T")-1,"")</f>
        <v>44860</v>
      </c>
    </row>
    <row r="8" spans="1:21" x14ac:dyDescent="0.3">
      <c r="A8" s="271"/>
      <c r="B8" s="271"/>
      <c r="C8" s="271"/>
      <c r="D8" s="271"/>
      <c r="E8" s="272">
        <f ca="1">SUM(E3:E7)/5</f>
        <v>3.3563999999999998</v>
      </c>
      <c r="F8" s="272">
        <f ca="1">SUM(F3:F7)/5</f>
        <v>3.1061999999999999</v>
      </c>
      <c r="G8" s="273"/>
      <c r="P8" s="270">
        <f t="shared" ca="1" si="0"/>
        <v>43014</v>
      </c>
      <c r="Q8" s="269">
        <f ca="1">IF(S8="","",IF(ISERROR(P8-S8),"",IF(S8-P8&lt;0,"",23)))</f>
        <v>23</v>
      </c>
      <c r="R8" s="269" t="s">
        <v>235</v>
      </c>
      <c r="S8" s="270">
        <f>IFERROR(RTD("cqg.rtd", ,"ContractData",R8, "ExpirationDate",, "T")-1,"")</f>
        <v>45225</v>
      </c>
    </row>
    <row r="9" spans="1:21" x14ac:dyDescent="0.3">
      <c r="A9" s="271"/>
      <c r="B9" s="271"/>
      <c r="C9" s="271"/>
      <c r="D9" s="271"/>
      <c r="E9" s="273" t="s">
        <v>212</v>
      </c>
      <c r="F9" s="271" t="s">
        <v>211</v>
      </c>
      <c r="G9" s="273"/>
      <c r="I9" s="269" t="str">
        <f ca="1">"Winter "&amp;M3</f>
        <v>Winter 17</v>
      </c>
      <c r="P9" s="270">
        <f t="shared" ca="1" si="0"/>
        <v>43014</v>
      </c>
      <c r="Q9" s="269">
        <f ca="1">IF(S9="","",IF(ISERROR(P9-S9),"",IF(S9-P9&lt;0,"",24)))</f>
        <v>24</v>
      </c>
      <c r="R9" s="269" t="s">
        <v>234</v>
      </c>
      <c r="S9" s="270">
        <f>IFERROR(RTD("cqg.rtd", ,"ContractData",R9, "ExpirationDate",, "T")-1,"")</f>
        <v>45593</v>
      </c>
    </row>
    <row r="10" spans="1:21" x14ac:dyDescent="0.3">
      <c r="A10" s="271"/>
      <c r="B10" s="271"/>
      <c r="C10" s="271"/>
      <c r="D10" s="271"/>
      <c r="E10" s="273"/>
      <c r="F10" s="271"/>
      <c r="G10" s="273"/>
      <c r="I10" s="269" t="str">
        <f ca="1">"Bar((("&amp;N3&amp;"+"&amp;N4&amp;"+"&amp;N5&amp;"+"&amp;N6&amp;"+"&amp;N7&amp;")/5),1)"</f>
        <v>Bar(((NGEX17+NGEZ17+NGEF18+NGEG18+NGEH18)/5),1)</v>
      </c>
    </row>
    <row r="11" spans="1:21" x14ac:dyDescent="0.3">
      <c r="A11" s="271"/>
      <c r="B11" s="271"/>
      <c r="C11" s="271"/>
      <c r="D11" s="271"/>
      <c r="E11" s="273"/>
      <c r="F11" s="271"/>
      <c r="G11" s="273"/>
      <c r="I11" s="269" t="str">
        <f ca="1">"SPREAD(("&amp;N3&amp;"+"&amp;N4&amp;"+"&amp;N5&amp;"+"&amp;N6&amp;"+"&amp;N7&amp;")/5)"</f>
        <v>SPREAD((NGEX17+NGEZ17+NGEF18+NGEG18+NGEH18)/5)</v>
      </c>
      <c r="U11" s="270"/>
    </row>
    <row r="12" spans="1:21" x14ac:dyDescent="0.3">
      <c r="A12" s="271"/>
      <c r="B12" s="271"/>
      <c r="C12" s="271"/>
      <c r="D12" s="271"/>
      <c r="E12" s="273"/>
      <c r="F12" s="271"/>
      <c r="G12" s="273"/>
    </row>
    <row r="13" spans="1:21" x14ac:dyDescent="0.3">
      <c r="A13" s="271"/>
      <c r="B13" s="271"/>
      <c r="C13" s="271"/>
      <c r="D13" s="271"/>
      <c r="E13" s="273"/>
      <c r="F13" s="271"/>
      <c r="G13" s="273"/>
    </row>
    <row r="14" spans="1:21" x14ac:dyDescent="0.3">
      <c r="P14" s="270">
        <f t="shared" ref="P14:P22" ca="1" si="1">TODAY()</f>
        <v>43014</v>
      </c>
      <c r="Q14" s="269" t="str">
        <f>IF(S14="","",IF(ISERROR(P14-S14),"",IF(S14-P14&lt;0,"",17)))</f>
        <v/>
      </c>
      <c r="R14" s="269" t="s">
        <v>233</v>
      </c>
      <c r="S14" s="270" t="str">
        <f>IFERROR(RTD("cqg.rtd", ,"ContractData",R14, "ExpirationDate",, "T")-1,"")</f>
        <v/>
      </c>
    </row>
    <row r="15" spans="1:21" x14ac:dyDescent="0.3">
      <c r="A15" s="271"/>
      <c r="B15" s="271"/>
      <c r="C15" s="271"/>
      <c r="D15" s="271"/>
      <c r="E15" s="271" t="b">
        <v>0</v>
      </c>
      <c r="F15" s="271" t="s">
        <v>24</v>
      </c>
      <c r="G15" s="271" t="s">
        <v>26</v>
      </c>
      <c r="P15" s="270">
        <f t="shared" ca="1" si="1"/>
        <v>43014</v>
      </c>
      <c r="Q15" s="269">
        <f ca="1">IF(S15="","",IF(ISERROR(P15-S15),"",IF(S15-P15&lt;0,"",18)))</f>
        <v>18</v>
      </c>
      <c r="R15" s="269" t="s">
        <v>232</v>
      </c>
      <c r="S15" s="270">
        <f>IFERROR(RTD("cqg.rtd", ,"ContractData",R15, "ExpirationDate",, "T")-1,"")</f>
        <v>43185</v>
      </c>
    </row>
    <row r="16" spans="1:21" x14ac:dyDescent="0.3">
      <c r="A16" s="271">
        <f>'NGE Winter Summer Strps'!$K$3</f>
        <v>9</v>
      </c>
      <c r="B16" s="271">
        <f>'NGE Winter Summer Strps'!$L$3</f>
        <v>18</v>
      </c>
      <c r="C16" s="271">
        <f>'NGE Winter Summer Strps'!$M$3</f>
        <v>2017</v>
      </c>
      <c r="D16" s="271" t="s">
        <v>210</v>
      </c>
      <c r="E16" s="272">
        <f ca="1" xml:space="preserve"> RTD("cqg.rtd",,"StudyData", "Close("&amp;$I16&amp;")when (LocalMonth("&amp;$I16&amp;")="&amp;$A$3&amp;" and LocalDay("&amp;$I16&amp;")="&amp;$B$3&amp;" and LocalYear("&amp;$I16&amp;")="&amp;$C$3&amp;")", "Bar", "", "Close",$D$3, "0","ALL","", "",$E$2,$F$2)</f>
        <v>2.9860000000000002</v>
      </c>
      <c r="F16" s="271">
        <f ca="1">'NGE Winter Summer Strps'!F26</f>
        <v>2.9250000000000003</v>
      </c>
      <c r="G16" s="273">
        <f t="shared" ref="G16:G22" ca="1" si="2">IFERROR(F16-E16,"")</f>
        <v>-6.0999999999999943E-2</v>
      </c>
      <c r="I16" s="269" t="str">
        <f t="shared" ref="I16:I22" ca="1" si="3">N16</f>
        <v>NGEJ18</v>
      </c>
      <c r="K16" s="269" t="s">
        <v>30</v>
      </c>
      <c r="L16" s="269" t="s">
        <v>219</v>
      </c>
      <c r="M16" s="269">
        <f ca="1">IF(ISNUMBER(Q14),Q14,IF(ISNUMBER(Q15),Q15,IF(ISNUMBER(Q16),Q16,IF(ISNUMBER(Q17),Q17,IF(ISNUMBER(Q18),Q18,IF(ISNUMBER(Q19),Q19,IF(ISNUMBER(Q20),Q20,IF(ISNUMBER(Q21),Q21,IF(ISNUMBER(Q22),Q22)))))))))</f>
        <v>18</v>
      </c>
      <c r="N16" s="269" t="str">
        <f t="shared" ref="N16:N22" ca="1" si="4">K16&amp;L16&amp;M16</f>
        <v>NGEJ18</v>
      </c>
      <c r="P16" s="270">
        <f t="shared" ca="1" si="1"/>
        <v>43014</v>
      </c>
      <c r="Q16" s="269">
        <f ca="1">IF(S16="","",IF(ISERROR(P16-S16),"",IF(S16-P16&lt;0,"",19)))</f>
        <v>19</v>
      </c>
      <c r="R16" s="269" t="s">
        <v>231</v>
      </c>
      <c r="S16" s="270">
        <f>IFERROR(RTD("cqg.rtd", ,"ContractData",R16, "ExpirationDate",, "T")-1,"")</f>
        <v>43550</v>
      </c>
    </row>
    <row r="17" spans="1:19" x14ac:dyDescent="0.3">
      <c r="A17" s="271"/>
      <c r="B17" s="271"/>
      <c r="C17" s="271"/>
      <c r="D17" s="271"/>
      <c r="E17" s="272">
        <f ca="1" xml:space="preserve"> RTD("cqg.rtd",,"StudyData", "Close("&amp;$I17&amp;")when (LocalMonth("&amp;$I17&amp;")="&amp;$A$3&amp;" and LocalDay("&amp;$I17&amp;")="&amp;$B$3&amp;" and LocalYear("&amp;$I17&amp;")="&amp;$C$3&amp;")", "Bar", "", "Close",$D$3, "0","ALL","", "",$E$2,$F$2)</f>
        <v>2.9470000000000001</v>
      </c>
      <c r="F17" s="271">
        <f ca="1">'NGE Winter Summer Strps'!F27</f>
        <v>2.9020000000000001</v>
      </c>
      <c r="G17" s="273">
        <f t="shared" ca="1" si="2"/>
        <v>-4.4999999999999929E-2</v>
      </c>
      <c r="I17" s="269" t="str">
        <f t="shared" ca="1" si="3"/>
        <v>NGEK18</v>
      </c>
      <c r="K17" s="269" t="s">
        <v>30</v>
      </c>
      <c r="L17" s="269" t="s">
        <v>218</v>
      </c>
      <c r="M17" s="269">
        <f ca="1">IF(ISNUMBER(Q14),Q14,IF(ISNUMBER(Q15),Q15,IF(ISNUMBER(Q16),Q16,IF(ISNUMBER(Q17),Q17,IF(ISNUMBER(Q18),Q18,IF(ISNUMBER(Q19),Q19,IF(ISNUMBER(Q20),Q20,IF(ISNUMBER(Q21),Q21,IF(ISNUMBER(Q22),Q22)))))))))</f>
        <v>18</v>
      </c>
      <c r="N17" s="269" t="str">
        <f t="shared" ca="1" si="4"/>
        <v>NGEK18</v>
      </c>
      <c r="P17" s="270">
        <f t="shared" ca="1" si="1"/>
        <v>43014</v>
      </c>
      <c r="Q17" s="269">
        <f ca="1">IF(S17="","",IF(ISERROR(P17-S17),"",IF(S17-P17&lt;0,"",20)))</f>
        <v>20</v>
      </c>
      <c r="R17" s="269" t="s">
        <v>230</v>
      </c>
      <c r="S17" s="270">
        <f>IFERROR(RTD("cqg.rtd", ,"ContractData",R17, "ExpirationDate",, "T")-1,"")</f>
        <v>43916</v>
      </c>
    </row>
    <row r="18" spans="1:19" x14ac:dyDescent="0.3">
      <c r="A18" s="271"/>
      <c r="B18" s="271"/>
      <c r="C18" s="271"/>
      <c r="D18" s="271"/>
      <c r="E18" s="272">
        <f ca="1" xml:space="preserve"> RTD("cqg.rtd",,"StudyData", "Close("&amp;$I18&amp;")when (LocalMonth("&amp;$I18&amp;")="&amp;$A$3&amp;" and LocalDay("&amp;$I18&amp;")="&amp;$B$3&amp;" and LocalYear("&amp;$I18&amp;")="&amp;$C$3&amp;")", "Bar", "", "Close",$D$3, "0","ALL","", "",$E$2,$F$2)</f>
        <v>2.97</v>
      </c>
      <c r="F18" s="271">
        <f ca="1">'NGE Winter Summer Strps'!F28</f>
        <v>2.931</v>
      </c>
      <c r="G18" s="273">
        <f t="shared" ca="1" si="2"/>
        <v>-3.9000000000000146E-2</v>
      </c>
      <c r="I18" s="269" t="str">
        <f t="shared" ca="1" si="3"/>
        <v>NGEM18</v>
      </c>
      <c r="K18" s="269" t="s">
        <v>30</v>
      </c>
      <c r="L18" s="269" t="s">
        <v>217</v>
      </c>
      <c r="M18" s="269">
        <f ca="1">IF(ISNUMBER(Q14),Q14,IF(ISNUMBER(Q15),Q15,IF(ISNUMBER(Q16),Q16,IF(ISNUMBER(Q17),Q17,IF(ISNUMBER(Q18),Q18,IF(ISNUMBER(Q19),Q19,IF(ISNUMBER(Q20),Q20,IF(ISNUMBER(Q21),Q21,IF(ISNUMBER(Q22),Q22)))))))))</f>
        <v>18</v>
      </c>
      <c r="N18" s="269" t="str">
        <f t="shared" ca="1" si="4"/>
        <v>NGEM18</v>
      </c>
      <c r="P18" s="270">
        <f t="shared" ca="1" si="1"/>
        <v>43014</v>
      </c>
      <c r="Q18" s="269">
        <f ca="1">IF(S18="","",IF(ISERROR(P18-S18),"",IF(S18-P18&lt;0,"",21)))</f>
        <v>21</v>
      </c>
      <c r="R18" s="269" t="s">
        <v>229</v>
      </c>
      <c r="S18" s="270">
        <f>IFERROR(RTD("cqg.rtd", ,"ContractData",R18, "ExpirationDate",, "T")-1,"")</f>
        <v>44283</v>
      </c>
    </row>
    <row r="19" spans="1:19" x14ac:dyDescent="0.3">
      <c r="A19" s="271"/>
      <c r="B19" s="271"/>
      <c r="C19" s="271"/>
      <c r="D19" s="271"/>
      <c r="E19" s="272">
        <f ca="1" xml:space="preserve"> RTD("cqg.rtd",,"StudyData", "Close("&amp;$I19&amp;")when (LocalMonth("&amp;$I19&amp;")="&amp;$A$3&amp;" and LocalDay("&amp;$I19&amp;")="&amp;$B$3&amp;" and LocalYear("&amp;$I19&amp;")="&amp;$C$3&amp;")", "Bar", "", "Close",$D$3, "0","ALL","", "",$E$2,$F$2)</f>
        <v>2.9929999999999999</v>
      </c>
      <c r="F19" s="271">
        <f ca="1">'NGE Winter Summer Strps'!F29</f>
        <v>2.9580000000000002</v>
      </c>
      <c r="G19" s="273">
        <f t="shared" ca="1" si="2"/>
        <v>-3.4999999999999698E-2</v>
      </c>
      <c r="I19" s="269" t="str">
        <f t="shared" ca="1" si="3"/>
        <v>NGEN18</v>
      </c>
      <c r="K19" s="269" t="s">
        <v>30</v>
      </c>
      <c r="L19" s="269" t="s">
        <v>216</v>
      </c>
      <c r="M19" s="269">
        <f ca="1">IF(ISNUMBER(Q14),Q14,IF(ISNUMBER(Q15),Q15,IF(ISNUMBER(Q16),Q16,IF(ISNUMBER(Q17),Q17,IF(ISNUMBER(Q18),Q18,IF(ISNUMBER(Q19),Q19,IF(ISNUMBER(Q20),Q20,IF(ISNUMBER(Q21),Q21,IF(ISNUMBER(Q22),Q22)))))))))</f>
        <v>18</v>
      </c>
      <c r="N19" s="269" t="str">
        <f t="shared" ca="1" si="4"/>
        <v>NGEN18</v>
      </c>
      <c r="P19" s="270">
        <f t="shared" ca="1" si="1"/>
        <v>43014</v>
      </c>
      <c r="Q19" s="269">
        <f ca="1">IF(S19="","",IF(ISERROR(P19-S19),"",IF(S19-P19&lt;0,"",22)))</f>
        <v>22</v>
      </c>
      <c r="R19" s="269" t="s">
        <v>228</v>
      </c>
      <c r="S19" s="270">
        <f>IFERROR(RTD("cqg.rtd", ,"ContractData",R19, "ExpirationDate",, "T")-1,"")</f>
        <v>44648</v>
      </c>
    </row>
    <row r="20" spans="1:19" x14ac:dyDescent="0.3">
      <c r="A20" s="271"/>
      <c r="B20" s="271"/>
      <c r="C20" s="271"/>
      <c r="D20" s="271"/>
      <c r="E20" s="272">
        <f ca="1" xml:space="preserve"> RTD("cqg.rtd",,"StudyData", "Close("&amp;$I20&amp;")when (LocalMonth("&amp;$I20&amp;")="&amp;$A$3&amp;" and LocalDay("&amp;$I20&amp;")="&amp;$B$3&amp;" and LocalYear("&amp;$I20&amp;")="&amp;$C$3&amp;")", "Bar", "", "Close",$D$3, "0","ALL","", "",$E$2,$F$2)</f>
        <v>2.9950000000000001</v>
      </c>
      <c r="F20" s="271">
        <f ca="1">'NGE Winter Summer Strps'!F30</f>
        <v>2.96</v>
      </c>
      <c r="G20" s="273">
        <f t="shared" ca="1" si="2"/>
        <v>-3.5000000000000142E-2</v>
      </c>
      <c r="I20" s="269" t="str">
        <f t="shared" ca="1" si="3"/>
        <v>NGEQ18</v>
      </c>
      <c r="K20" s="269" t="s">
        <v>30</v>
      </c>
      <c r="L20" s="269" t="s">
        <v>215</v>
      </c>
      <c r="M20" s="269">
        <f ca="1">IF(ISNUMBER(Q14),Q14,IF(ISNUMBER(Q15),Q15,IF(ISNUMBER(Q16),Q16,IF(ISNUMBER(Q17),Q17,IF(ISNUMBER(Q18),Q18,IF(ISNUMBER(Q19),Q19,IF(ISNUMBER(Q20),Q20,IF(ISNUMBER(Q21),Q21,IF(ISNUMBER(Q22),Q22)))))))))</f>
        <v>18</v>
      </c>
      <c r="N20" s="269" t="str">
        <f t="shared" ca="1" si="4"/>
        <v>NGEQ18</v>
      </c>
      <c r="P20" s="270">
        <f t="shared" ca="1" si="1"/>
        <v>43014</v>
      </c>
      <c r="Q20" s="269">
        <f ca="1">IF(S20="","",IF(ISERROR(P20-S20),"",IF(S20-P20&lt;0,"",23)))</f>
        <v>23</v>
      </c>
      <c r="R20" s="269" t="s">
        <v>227</v>
      </c>
      <c r="S20" s="270">
        <f>IFERROR(RTD("cqg.rtd", ,"ContractData",R20, "ExpirationDate",, "T")-1,"")</f>
        <v>45013</v>
      </c>
    </row>
    <row r="21" spans="1:19" x14ac:dyDescent="0.3">
      <c r="A21" s="271"/>
      <c r="B21" s="271"/>
      <c r="C21" s="271"/>
      <c r="D21" s="271"/>
      <c r="E21" s="272">
        <f ca="1" xml:space="preserve"> RTD("cqg.rtd",,"StudyData", "Close("&amp;$I21&amp;")when (LocalMonth("&amp;$I21&amp;")="&amp;$A$3&amp;" and LocalDay("&amp;$I21&amp;")="&amp;$B$3&amp;" and LocalYear("&amp;$I21&amp;")="&amp;$C$3&amp;")", "Bar", "", "Close",$D$3, "0","ALL","", "",$E$2,$F$2)</f>
        <v>2.9740000000000002</v>
      </c>
      <c r="F21" s="271">
        <f ca="1">'NGE Winter Summer Strps'!F31</f>
        <v>2.9420000000000002</v>
      </c>
      <c r="G21" s="273">
        <f t="shared" ca="1" si="2"/>
        <v>-3.2000000000000028E-2</v>
      </c>
      <c r="I21" s="269" t="str">
        <f t="shared" ca="1" si="3"/>
        <v>NGEU18</v>
      </c>
      <c r="K21" s="269" t="s">
        <v>30</v>
      </c>
      <c r="L21" s="269" t="s">
        <v>214</v>
      </c>
      <c r="M21" s="269">
        <f ca="1">IF(ISNUMBER(Q14),Q14,IF(ISNUMBER(Q15),Q15,IF(ISNUMBER(Q16),Q16,IF(ISNUMBER(Q17),Q17,IF(ISNUMBER(Q18),Q18,IF(ISNUMBER(Q19),Q19,IF(ISNUMBER(Q20),Q20,IF(ISNUMBER(Q21),Q21,IF(ISNUMBER(Q22),Q22)))))))))</f>
        <v>18</v>
      </c>
      <c r="N21" s="269" t="str">
        <f t="shared" ca="1" si="4"/>
        <v>NGEU18</v>
      </c>
      <c r="P21" s="270">
        <f t="shared" ca="1" si="1"/>
        <v>43014</v>
      </c>
      <c r="Q21" s="269">
        <f ca="1">IF(S21="","",IF(ISERROR(P21-S21),"",IF(S21-P21&lt;0,"",24)))</f>
        <v>24</v>
      </c>
      <c r="R21" s="269" t="s">
        <v>226</v>
      </c>
      <c r="S21" s="270">
        <f>IFERROR(RTD("cqg.rtd", ,"ContractData",R21, "ExpirationDate",, "T")-1,"")</f>
        <v>45377</v>
      </c>
    </row>
    <row r="22" spans="1:19" x14ac:dyDescent="0.3">
      <c r="A22" s="271"/>
      <c r="B22" s="271"/>
      <c r="C22" s="271"/>
      <c r="D22" s="271"/>
      <c r="E22" s="272">
        <f ca="1" xml:space="preserve"> RTD("cqg.rtd",,"StudyData", "Close("&amp;$I22&amp;")when (LocalMonth("&amp;$I22&amp;")="&amp;$A$3&amp;" and LocalDay("&amp;$I22&amp;")="&amp;$B$3&amp;" and LocalYear("&amp;$I22&amp;")="&amp;$C$3&amp;")", "Bar", "", "Close",$D$3, "0","ALL","", "",$E$2,$F$2)</f>
        <v>2.9950000000000001</v>
      </c>
      <c r="F22" s="271">
        <f ca="1">'NGE Winter Summer Strps'!F32</f>
        <v>2.9670000000000001</v>
      </c>
      <c r="G22" s="273">
        <f t="shared" ca="1" si="2"/>
        <v>-2.8000000000000025E-2</v>
      </c>
      <c r="I22" s="269" t="str">
        <f t="shared" ca="1" si="3"/>
        <v>NGEV18</v>
      </c>
      <c r="K22" s="269" t="s">
        <v>30</v>
      </c>
      <c r="L22" s="269" t="s">
        <v>213</v>
      </c>
      <c r="M22" s="269">
        <f ca="1">IF(ISNUMBER(Q14),Q14,IF(ISNUMBER(Q15),Q15,IF(ISNUMBER(Q16),Q16,IF(ISNUMBER(Q17),Q17,IF(ISNUMBER(Q18),Q18,IF(ISNUMBER(Q19),Q19,IF(ISNUMBER(Q20),Q20,IF(ISNUMBER(Q21),Q21,IF(ISNUMBER(Q22),Q22)))))))))</f>
        <v>18</v>
      </c>
      <c r="N22" s="269" t="str">
        <f t="shared" ca="1" si="4"/>
        <v>NGEV18</v>
      </c>
      <c r="P22" s="270">
        <f t="shared" ca="1" si="1"/>
        <v>43014</v>
      </c>
      <c r="Q22" s="269">
        <f ca="1">IF(S22="","",IF(ISERROR(P22-S22),"",IF(S22-P22&lt;0,"",25)))</f>
        <v>25</v>
      </c>
      <c r="R22" s="269" t="s">
        <v>225</v>
      </c>
      <c r="S22" s="270">
        <f>IFERROR(RTD("cqg.rtd", ,"ContractData",R22, "ExpirationDate",, "T")-1,"")</f>
        <v>45742</v>
      </c>
    </row>
    <row r="23" spans="1:19" x14ac:dyDescent="0.3">
      <c r="A23" s="271"/>
      <c r="B23" s="271"/>
      <c r="C23" s="271"/>
      <c r="D23" s="271"/>
      <c r="E23" s="272">
        <f ca="1">SUM(E16:E22)/7</f>
        <v>2.9800000000000004</v>
      </c>
      <c r="F23" s="272">
        <f ca="1">SUM(F16:F22)/7</f>
        <v>2.9407142857142854</v>
      </c>
      <c r="G23" s="273"/>
    </row>
    <row r="24" spans="1:19" x14ac:dyDescent="0.3">
      <c r="A24" s="271"/>
      <c r="B24" s="271"/>
      <c r="C24" s="271"/>
      <c r="D24" s="271"/>
      <c r="E24" s="273" t="s">
        <v>212</v>
      </c>
      <c r="F24" s="271" t="s">
        <v>211</v>
      </c>
      <c r="G24" s="273"/>
      <c r="I24" s="269" t="str">
        <f ca="1">"Summer "&amp;M16</f>
        <v>Summer 18</v>
      </c>
    </row>
    <row r="25" spans="1:19" x14ac:dyDescent="0.3">
      <c r="A25" s="271"/>
      <c r="B25" s="271"/>
      <c r="C25" s="271"/>
      <c r="D25" s="271"/>
      <c r="E25" s="273"/>
      <c r="F25" s="271"/>
      <c r="G25" s="273"/>
      <c r="I25" s="269" t="str">
        <f ca="1">"Bar((("&amp;N16&amp;"+"&amp;N17&amp;"+"&amp;N18&amp;"+"&amp;N19&amp;"+"&amp;N20&amp;"+"&amp;N21&amp;"+"&amp;N22&amp;")/7),1)"</f>
        <v>Bar(((NGEJ18+NGEK18+NGEM18+NGEN18+NGEQ18+NGEU18+NGEV18)/7),1)</v>
      </c>
    </row>
    <row r="26" spans="1:19" x14ac:dyDescent="0.3">
      <c r="E26" s="273"/>
      <c r="F26" s="271"/>
      <c r="G26" s="273"/>
      <c r="I26" s="269" t="str">
        <f ca="1">"SPREAD(("&amp;N16&amp;"+"&amp;N17&amp;"+"&amp;N18&amp;"+"&amp;N19&amp;"+"&amp;N20&amp;"+"&amp;N21&amp;"+"&amp;N22&amp;")/7)"</f>
        <v>SPREAD((NGEJ18+NGEK18+NGEM18+NGEN18+NGEQ18+NGEU18+NGEV18)/7)</v>
      </c>
    </row>
    <row r="27" spans="1:19" x14ac:dyDescent="0.3">
      <c r="A27" s="271"/>
      <c r="B27" s="271"/>
      <c r="C27" s="271"/>
      <c r="D27" s="271"/>
      <c r="E27" s="271" t="b">
        <v>0</v>
      </c>
      <c r="F27" s="271" t="s">
        <v>24</v>
      </c>
      <c r="G27" s="271" t="s">
        <v>26</v>
      </c>
    </row>
    <row r="28" spans="1:19" x14ac:dyDescent="0.3">
      <c r="A28" s="271">
        <f>'NGE Winter Summer Strps'!$K$3</f>
        <v>9</v>
      </c>
      <c r="B28" s="271">
        <f>'NGE Winter Summer Strps'!$L$3</f>
        <v>18</v>
      </c>
      <c r="C28" s="271">
        <f>'NGE Winter Summer Strps'!$M$3</f>
        <v>2017</v>
      </c>
      <c r="D28" s="271" t="s">
        <v>210</v>
      </c>
      <c r="E28" s="272">
        <f ca="1" xml:space="preserve"> RTD("cqg.rtd",,"StudyData", "Close("&amp;$I28&amp;")when (LocalMonth("&amp;$I28&amp;")="&amp;$A$3&amp;" and LocalDay("&amp;$I28&amp;")="&amp;$B$3&amp;" and LocalYear("&amp;$I28&amp;")="&amp;$C$3&amp;")", "Bar", "", "Close",$D$3, "0","ALL","", "",$E$2,$F$2)</f>
        <v>3.044</v>
      </c>
      <c r="F28" s="271">
        <f ca="1">'NGE Winter Summer Strps'!F41</f>
        <v>3.0209999999999999</v>
      </c>
      <c r="G28" s="273">
        <f ca="1">IFERROR(F28-E28,"")</f>
        <v>-2.3000000000000131E-2</v>
      </c>
      <c r="I28" s="269" t="str">
        <f ca="1">N28</f>
        <v>NGEX18</v>
      </c>
      <c r="K28" s="269" t="s">
        <v>30</v>
      </c>
      <c r="L28" s="269" t="s">
        <v>224</v>
      </c>
      <c r="M28" s="269">
        <f ca="1">M3+1</f>
        <v>18</v>
      </c>
      <c r="N28" s="269" t="str">
        <f ca="1">K28&amp;L28&amp;M28</f>
        <v>NGEX18</v>
      </c>
    </row>
    <row r="29" spans="1:19" x14ac:dyDescent="0.3">
      <c r="A29" s="271"/>
      <c r="B29" s="271"/>
      <c r="C29" s="271"/>
      <c r="D29" s="271"/>
      <c r="E29" s="272">
        <f ca="1" xml:space="preserve"> RTD("cqg.rtd",,"StudyData", "Close("&amp;$I29&amp;")when (LocalMonth("&amp;$I29&amp;")="&amp;$A$3&amp;" and LocalDay("&amp;$I29&amp;")="&amp;$B$3&amp;" and LocalYear("&amp;$I29&amp;")="&amp;$C$3&amp;")", "Bar", "", "Close",$D$3, "0","ALL","", "",$E$2,$F$2)</f>
        <v>3.177</v>
      </c>
      <c r="F29" s="271">
        <f ca="1">'NGE Winter Summer Strps'!F42</f>
        <v>3.15</v>
      </c>
      <c r="G29" s="273">
        <f ca="1">IFERROR(F29-E29,"")</f>
        <v>-2.7000000000000135E-2</v>
      </c>
      <c r="I29" s="269" t="str">
        <f ca="1">N29</f>
        <v>NGEZ18</v>
      </c>
      <c r="K29" s="269" t="s">
        <v>30</v>
      </c>
      <c r="L29" s="269" t="s">
        <v>223</v>
      </c>
      <c r="M29" s="269">
        <f ca="1">M4+1</f>
        <v>18</v>
      </c>
      <c r="N29" s="269" t="str">
        <f ca="1">K29&amp;L29&amp;M29</f>
        <v>NGEZ18</v>
      </c>
    </row>
    <row r="30" spans="1:19" x14ac:dyDescent="0.3">
      <c r="A30" s="271"/>
      <c r="B30" s="271"/>
      <c r="C30" s="271"/>
      <c r="D30" s="271"/>
      <c r="E30" s="272">
        <f ca="1" xml:space="preserve"> RTD("cqg.rtd",,"StudyData", "Close("&amp;$I30&amp;")when (LocalMonth("&amp;$I30&amp;")="&amp;$A$3&amp;" and LocalDay("&amp;$I30&amp;")="&amp;$B$3&amp;" and LocalYear("&amp;$I30&amp;")="&amp;$C$3&amp;")", "Bar", "", "Close",$D$3, "0","ALL","", "",$E$2,$F$2)</f>
        <v>3.2639999999999998</v>
      </c>
      <c r="F30" s="271">
        <f ca="1">'NGE Winter Summer Strps'!F43</f>
        <v>3.2410000000000001</v>
      </c>
      <c r="G30" s="273">
        <f ca="1">IFERROR(F30-E30,"")</f>
        <v>-2.2999999999999687E-2</v>
      </c>
      <c r="I30" s="269" t="str">
        <f ca="1">N30</f>
        <v>NGEF19</v>
      </c>
      <c r="K30" s="269" t="s">
        <v>30</v>
      </c>
      <c r="L30" s="269" t="s">
        <v>222</v>
      </c>
      <c r="M30" s="269">
        <f ca="1">M5+1</f>
        <v>19</v>
      </c>
      <c r="N30" s="269" t="str">
        <f ca="1">K30&amp;L30&amp;M30</f>
        <v>NGEF19</v>
      </c>
    </row>
    <row r="31" spans="1:19" x14ac:dyDescent="0.3">
      <c r="A31" s="271"/>
      <c r="B31" s="271"/>
      <c r="C31" s="271"/>
      <c r="D31" s="271"/>
      <c r="E31" s="272">
        <f ca="1" xml:space="preserve"> RTD("cqg.rtd",,"StudyData", "Close("&amp;$I31&amp;")when (LocalMonth("&amp;$I31&amp;")="&amp;$A$3&amp;" and LocalDay("&amp;$I31&amp;")="&amp;$B$3&amp;" and LocalYear("&amp;$I31&amp;")="&amp;$C$3&amp;")", "Bar", "", "Close",$D$3, "0","ALL","", "",$E$2,$F$2)</f>
        <v>3.2440000000000002</v>
      </c>
      <c r="F31" s="271" t="str">
        <f ca="1">'NGE Winter Summer Strps'!F44</f>
        <v/>
      </c>
      <c r="G31" s="273" t="str">
        <f ca="1">IFERROR(F31-E31,"")</f>
        <v/>
      </c>
      <c r="I31" s="269" t="str">
        <f ca="1">N31</f>
        <v>NGEG19</v>
      </c>
      <c r="K31" s="269" t="s">
        <v>30</v>
      </c>
      <c r="L31" s="269" t="s">
        <v>221</v>
      </c>
      <c r="M31" s="269">
        <f ca="1">M6+1</f>
        <v>19</v>
      </c>
      <c r="N31" s="269" t="str">
        <f ca="1">K31&amp;L31&amp;M31</f>
        <v>NGEG19</v>
      </c>
    </row>
    <row r="32" spans="1:19" x14ac:dyDescent="0.3">
      <c r="A32" s="271"/>
      <c r="B32" s="271"/>
      <c r="C32" s="271"/>
      <c r="D32" s="271"/>
      <c r="E32" s="272">
        <f ca="1" xml:space="preserve"> RTD("cqg.rtd",,"StudyData", "Close("&amp;$I32&amp;")when (LocalMonth("&amp;$I32&amp;")="&amp;$A$3&amp;" and LocalDay("&amp;$I32&amp;")="&amp;$B$3&amp;" and LocalYear("&amp;$I32&amp;")="&amp;$C$3&amp;")", "Bar", "", "Close",$D$3, "0","ALL","", "",$E$2,$F$2)</f>
        <v>3.1789999999999998</v>
      </c>
      <c r="F32" s="271" t="str">
        <f ca="1">'NGE Winter Summer Strps'!F45</f>
        <v/>
      </c>
      <c r="G32" s="273" t="str">
        <f ca="1">IFERROR(F32-E32,"")</f>
        <v/>
      </c>
      <c r="I32" s="269" t="str">
        <f ca="1">N32</f>
        <v>NGEH19</v>
      </c>
      <c r="K32" s="269" t="s">
        <v>30</v>
      </c>
      <c r="L32" s="269" t="s">
        <v>220</v>
      </c>
      <c r="M32" s="269">
        <f ca="1">M7+1</f>
        <v>19</v>
      </c>
      <c r="N32" s="269" t="str">
        <f ca="1">K32&amp;L32&amp;M32</f>
        <v>NGEH19</v>
      </c>
    </row>
    <row r="33" spans="1:14" x14ac:dyDescent="0.3">
      <c r="A33" s="271"/>
      <c r="B33" s="271"/>
      <c r="C33" s="271"/>
      <c r="D33" s="271"/>
      <c r="E33" s="272">
        <f ca="1">SUM(E28:E32)/5</f>
        <v>3.1816</v>
      </c>
      <c r="F33" s="272">
        <f ca="1">SUM(F28:F32)/5</f>
        <v>1.8823999999999999</v>
      </c>
      <c r="G33" s="273"/>
    </row>
    <row r="34" spans="1:14" x14ac:dyDescent="0.3">
      <c r="A34" s="271"/>
      <c r="B34" s="271"/>
      <c r="C34" s="271"/>
      <c r="D34" s="271"/>
      <c r="E34" s="273" t="s">
        <v>212</v>
      </c>
      <c r="F34" s="271" t="s">
        <v>211</v>
      </c>
      <c r="G34" s="273"/>
      <c r="I34" s="269" t="str">
        <f ca="1">"Winter "&amp;M28</f>
        <v>Winter 18</v>
      </c>
    </row>
    <row r="35" spans="1:14" x14ac:dyDescent="0.3">
      <c r="I35" s="269" t="str">
        <f ca="1">"Bar((("&amp;N28&amp;"+"&amp;N29&amp;"+"&amp;N30&amp;"+"&amp;N31&amp;"+"&amp;N32&amp;")/5),1)"</f>
        <v>Bar(((NGEX18+NGEZ18+NGEF19+NGEG19+NGEH19)/5),1)</v>
      </c>
    </row>
    <row r="36" spans="1:14" x14ac:dyDescent="0.3">
      <c r="I36" s="269" t="str">
        <f ca="1">"SPREAD(("&amp;N28&amp;"+"&amp;N29&amp;"+"&amp;N30&amp;"+"&amp;N31&amp;"+"&amp;N32&amp;")/5)"</f>
        <v>SPREAD((NGEX18+NGEZ18+NGEF19+NGEG19+NGEH19)/5)</v>
      </c>
    </row>
    <row r="37" spans="1:14" x14ac:dyDescent="0.3">
      <c r="A37" s="271"/>
      <c r="B37" s="271"/>
      <c r="C37" s="271"/>
      <c r="D37" s="271"/>
      <c r="E37" s="271" t="b">
        <v>0</v>
      </c>
      <c r="F37" s="271" t="s">
        <v>24</v>
      </c>
      <c r="G37" s="271" t="s">
        <v>26</v>
      </c>
    </row>
    <row r="38" spans="1:14" x14ac:dyDescent="0.3">
      <c r="A38" s="271">
        <f>'NGE Winter Summer Strps'!$K$3</f>
        <v>9</v>
      </c>
      <c r="B38" s="271">
        <f>'NGE Winter Summer Strps'!$L$3</f>
        <v>18</v>
      </c>
      <c r="C38" s="271">
        <f>'NGE Winter Summer Strps'!$M$3</f>
        <v>2017</v>
      </c>
      <c r="D38" s="271" t="s">
        <v>210</v>
      </c>
      <c r="E38" s="272">
        <f ca="1" xml:space="preserve"> RTD("cqg.rtd",,"StudyData", "Close("&amp;$I38&amp;")when (LocalMonth("&amp;$I38&amp;")="&amp;$A$3&amp;" and LocalDay("&amp;$I38&amp;")="&amp;$B$3&amp;" and LocalYear("&amp;$I38&amp;")="&amp;$C$3&amp;")", "Bar", "", "Close",$D$3, "0","ALL","", "",$E$2,$F$2)</f>
        <v>2.7850000000000001</v>
      </c>
      <c r="F38" s="271" t="str">
        <f ca="1">'NGE Winter Summer Strps'!F54</f>
        <v/>
      </c>
      <c r="G38" s="273" t="str">
        <f t="shared" ref="G38:G44" ca="1" si="5">IFERROR(F38-E38,"")</f>
        <v/>
      </c>
      <c r="I38" s="269" t="str">
        <f t="shared" ref="I38:I44" ca="1" si="6">N38</f>
        <v>NGEJ19</v>
      </c>
      <c r="K38" s="269" t="s">
        <v>30</v>
      </c>
      <c r="L38" s="269" t="s">
        <v>219</v>
      </c>
      <c r="M38" s="269">
        <f t="shared" ref="M38:M44" ca="1" si="7">M16+1</f>
        <v>19</v>
      </c>
      <c r="N38" s="269" t="str">
        <f t="shared" ref="N38:N44" ca="1" si="8">K38&amp;L38&amp;M38</f>
        <v>NGEJ19</v>
      </c>
    </row>
    <row r="39" spans="1:14" x14ac:dyDescent="0.3">
      <c r="A39" s="271"/>
      <c r="B39" s="271"/>
      <c r="C39" s="271"/>
      <c r="D39" s="271"/>
      <c r="E39" s="272">
        <f ca="1" xml:space="preserve"> RTD("cqg.rtd",,"StudyData", "Close("&amp;$I39&amp;")when (LocalMonth("&amp;$I39&amp;")="&amp;$A$3&amp;" and LocalDay("&amp;$I39&amp;")="&amp;$B$3&amp;" and LocalYear("&amp;$I39&amp;")="&amp;$C$3&amp;")", "Bar", "", "Close",$D$3, "0","ALL","", "",$E$2,$F$2)</f>
        <v>2.7490000000000001</v>
      </c>
      <c r="F39" s="271" t="str">
        <f ca="1">'NGE Winter Summer Strps'!F55</f>
        <v/>
      </c>
      <c r="G39" s="273" t="str">
        <f t="shared" ca="1" si="5"/>
        <v/>
      </c>
      <c r="I39" s="269" t="str">
        <f t="shared" ca="1" si="6"/>
        <v>NGEK19</v>
      </c>
      <c r="K39" s="269" t="s">
        <v>30</v>
      </c>
      <c r="L39" s="269" t="s">
        <v>218</v>
      </c>
      <c r="M39" s="269">
        <f t="shared" ca="1" si="7"/>
        <v>19</v>
      </c>
      <c r="N39" s="269" t="str">
        <f t="shared" ca="1" si="8"/>
        <v>NGEK19</v>
      </c>
    </row>
    <row r="40" spans="1:14" x14ac:dyDescent="0.3">
      <c r="A40" s="271"/>
      <c r="B40" s="271"/>
      <c r="C40" s="271"/>
      <c r="D40" s="271"/>
      <c r="E40" s="272">
        <f ca="1" xml:space="preserve"> RTD("cqg.rtd",,"StudyData", "Close("&amp;$I40&amp;")when (LocalMonth("&amp;$I40&amp;")="&amp;$A$3&amp;" and LocalDay("&amp;$I40&amp;")="&amp;$B$3&amp;" and LocalYear("&amp;$I40&amp;")="&amp;$C$3&amp;")", "Bar", "", "Close",$D$3, "0","ALL","", "",$E$2,$F$2)</f>
        <v>2.7719999999999998</v>
      </c>
      <c r="F40" s="271" t="str">
        <f ca="1">'NGE Winter Summer Strps'!F56</f>
        <v/>
      </c>
      <c r="G40" s="273" t="str">
        <f t="shared" ca="1" si="5"/>
        <v/>
      </c>
      <c r="I40" s="269" t="str">
        <f t="shared" ca="1" si="6"/>
        <v>NGEM19</v>
      </c>
      <c r="K40" s="269" t="s">
        <v>30</v>
      </c>
      <c r="L40" s="269" t="s">
        <v>217</v>
      </c>
      <c r="M40" s="269">
        <f t="shared" ca="1" si="7"/>
        <v>19</v>
      </c>
      <c r="N40" s="269" t="str">
        <f t="shared" ca="1" si="8"/>
        <v>NGEM19</v>
      </c>
    </row>
    <row r="41" spans="1:14" x14ac:dyDescent="0.3">
      <c r="A41" s="271"/>
      <c r="B41" s="271"/>
      <c r="C41" s="271"/>
      <c r="D41" s="271"/>
      <c r="E41" s="272">
        <f ca="1" xml:space="preserve"> RTD("cqg.rtd",,"StudyData", "Close("&amp;$I41&amp;")when (LocalMonth("&amp;$I41&amp;")="&amp;$A$3&amp;" and LocalDay("&amp;$I41&amp;")="&amp;$B$3&amp;" and LocalYear("&amp;$I41&amp;")="&amp;$C$3&amp;")", "Bar", "", "Close",$D$3, "0","ALL","", "",$E$2,$F$2)</f>
        <v>2.7949999999999999</v>
      </c>
      <c r="F41" s="271" t="str">
        <f ca="1">'NGE Winter Summer Strps'!F57</f>
        <v/>
      </c>
      <c r="G41" s="273" t="str">
        <f t="shared" ca="1" si="5"/>
        <v/>
      </c>
      <c r="I41" s="269" t="str">
        <f t="shared" ca="1" si="6"/>
        <v>NGEN19</v>
      </c>
      <c r="K41" s="269" t="s">
        <v>30</v>
      </c>
      <c r="L41" s="269" t="s">
        <v>216</v>
      </c>
      <c r="M41" s="269">
        <f t="shared" ca="1" si="7"/>
        <v>19</v>
      </c>
      <c r="N41" s="269" t="str">
        <f t="shared" ca="1" si="8"/>
        <v>NGEN19</v>
      </c>
    </row>
    <row r="42" spans="1:14" x14ac:dyDescent="0.3">
      <c r="A42" s="271"/>
      <c r="B42" s="271"/>
      <c r="C42" s="271"/>
      <c r="D42" s="271"/>
      <c r="E42" s="272">
        <f ca="1" xml:space="preserve"> RTD("cqg.rtd",,"StudyData", "Close("&amp;$I42&amp;")when (LocalMonth("&amp;$I42&amp;")="&amp;$A$3&amp;" and LocalDay("&amp;$I42&amp;")="&amp;$B$3&amp;" and LocalYear("&amp;$I42&amp;")="&amp;$C$3&amp;")", "Bar", "", "Close",$D$3, "0","ALL","", "",$E$2,$F$2)</f>
        <v>2.7989999999999999</v>
      </c>
      <c r="F42" s="271" t="str">
        <f ca="1">'NGE Winter Summer Strps'!F58</f>
        <v/>
      </c>
      <c r="G42" s="273" t="str">
        <f t="shared" ca="1" si="5"/>
        <v/>
      </c>
      <c r="I42" s="269" t="str">
        <f t="shared" ca="1" si="6"/>
        <v>NGEQ19</v>
      </c>
      <c r="K42" s="269" t="s">
        <v>30</v>
      </c>
      <c r="L42" s="269" t="s">
        <v>215</v>
      </c>
      <c r="M42" s="269">
        <f t="shared" ca="1" si="7"/>
        <v>19</v>
      </c>
      <c r="N42" s="269" t="str">
        <f t="shared" ca="1" si="8"/>
        <v>NGEQ19</v>
      </c>
    </row>
    <row r="43" spans="1:14" x14ac:dyDescent="0.3">
      <c r="A43" s="271"/>
      <c r="B43" s="271"/>
      <c r="C43" s="271"/>
      <c r="D43" s="271"/>
      <c r="E43" s="272">
        <f ca="1" xml:space="preserve"> RTD("cqg.rtd",,"StudyData", "Close("&amp;$I43&amp;")when (LocalMonth("&amp;$I43&amp;")="&amp;$A$3&amp;" and LocalDay("&amp;$I43&amp;")="&amp;$B$3&amp;" and LocalYear("&amp;$I43&amp;")="&amp;$C$3&amp;")", "Bar", "", "Close",$D$3, "0","ALL","", "",$E$2,$F$2)</f>
        <v>2.7850000000000001</v>
      </c>
      <c r="F43" s="271" t="str">
        <f ca="1">'NGE Winter Summer Strps'!F59</f>
        <v/>
      </c>
      <c r="G43" s="273" t="str">
        <f t="shared" ca="1" si="5"/>
        <v/>
      </c>
      <c r="I43" s="269" t="str">
        <f t="shared" ca="1" si="6"/>
        <v>NGEU19</v>
      </c>
      <c r="K43" s="269" t="s">
        <v>30</v>
      </c>
      <c r="L43" s="269" t="s">
        <v>214</v>
      </c>
      <c r="M43" s="269">
        <f t="shared" ca="1" si="7"/>
        <v>19</v>
      </c>
      <c r="N43" s="269" t="str">
        <f t="shared" ca="1" si="8"/>
        <v>NGEU19</v>
      </c>
    </row>
    <row r="44" spans="1:14" x14ac:dyDescent="0.3">
      <c r="A44" s="271"/>
      <c r="B44" s="271"/>
      <c r="C44" s="271"/>
      <c r="D44" s="271"/>
      <c r="E44" s="272">
        <f ca="1" xml:space="preserve"> RTD("cqg.rtd",,"StudyData", "Close("&amp;$I44&amp;")when (LocalMonth("&amp;$I44&amp;")="&amp;$A$3&amp;" and LocalDay("&amp;$I44&amp;")="&amp;$B$3&amp;" and LocalYear("&amp;$I44&amp;")="&amp;$C$3&amp;")", "Bar", "", "Close",$D$3, "0","ALL","", "",$E$2,$F$2)</f>
        <v>2.81</v>
      </c>
      <c r="F44" s="271" t="str">
        <f ca="1">'NGE Winter Summer Strps'!F60</f>
        <v/>
      </c>
      <c r="G44" s="273" t="str">
        <f t="shared" ca="1" si="5"/>
        <v/>
      </c>
      <c r="I44" s="269" t="str">
        <f t="shared" ca="1" si="6"/>
        <v>NGEV19</v>
      </c>
      <c r="K44" s="269" t="s">
        <v>30</v>
      </c>
      <c r="L44" s="269" t="s">
        <v>213</v>
      </c>
      <c r="M44" s="269">
        <f t="shared" ca="1" si="7"/>
        <v>19</v>
      </c>
      <c r="N44" s="269" t="str">
        <f t="shared" ca="1" si="8"/>
        <v>NGEV19</v>
      </c>
    </row>
    <row r="45" spans="1:14" x14ac:dyDescent="0.3">
      <c r="A45" s="271"/>
      <c r="B45" s="271"/>
      <c r="C45" s="271"/>
      <c r="D45" s="271"/>
      <c r="E45" s="272">
        <f ca="1">SUM(E38:E44)/7</f>
        <v>2.7850000000000001</v>
      </c>
      <c r="F45" s="272">
        <f ca="1">SUM(F38:F44)/7</f>
        <v>0</v>
      </c>
      <c r="G45" s="273"/>
    </row>
    <row r="46" spans="1:14" x14ac:dyDescent="0.3">
      <c r="A46" s="271"/>
      <c r="B46" s="271"/>
      <c r="C46" s="271"/>
      <c r="D46" s="271"/>
      <c r="E46" s="273" t="s">
        <v>212</v>
      </c>
      <c r="F46" s="271" t="s">
        <v>211</v>
      </c>
      <c r="G46" s="273"/>
      <c r="I46" s="269" t="str">
        <f ca="1">"Summer "&amp;M38</f>
        <v>Summer 19</v>
      </c>
    </row>
    <row r="47" spans="1:14" x14ac:dyDescent="0.3">
      <c r="I47" s="269" t="str">
        <f ca="1">"Bar((("&amp;N38&amp;"+"&amp;N39&amp;"+"&amp;N40&amp;"+"&amp;N41&amp;"+"&amp;N42&amp;"+"&amp;N43&amp;"+"&amp;N44&amp;")/7),1)"</f>
        <v>Bar(((NGEJ19+NGEK19+NGEM19+NGEN19+NGEQ19+NGEU19+NGEV19)/7),1)</v>
      </c>
    </row>
    <row r="48" spans="1:14" x14ac:dyDescent="0.3">
      <c r="I48" s="269" t="str">
        <f ca="1">"SPREAD(("&amp;N38&amp;"+"&amp;N39&amp;"+"&amp;N40&amp;"+"&amp;N41&amp;"+"&amp;N42&amp;"+"&amp;N43&amp;"+"&amp;N44&amp;")/7)"</f>
        <v>SPREAD((NGEJ19+NGEK19+NGEM19+NGEN19+NGEQ19+NGEU19+NGEV19)/7)</v>
      </c>
    </row>
  </sheetData>
  <sheetProtection algorithmName="SHA-512" hashValue="keCUvGoVrw2waj2UvCD9ka4uujqazhRAANjEzCwhIK4B2RCwxBWzySDVGSwZZP+nCK0y7Xias9vSebhpm4YXjw==" saltValue="oVJ5BIMkhY90CbNO7RlODA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workbookViewId="0">
      <selection sqref="A1:XFD1048576"/>
    </sheetView>
  </sheetViews>
  <sheetFormatPr defaultRowHeight="16.5" x14ac:dyDescent="0.3"/>
  <cols>
    <col min="1" max="1" width="9" style="266"/>
    <col min="2" max="2" width="9.625" style="266" bestFit="1" customWidth="1"/>
    <col min="3" max="14" width="9" style="266"/>
    <col min="15" max="15" width="13" style="266" customWidth="1"/>
    <col min="16" max="22" width="9" style="266"/>
    <col min="23" max="23" width="9.625" style="266" bestFit="1" customWidth="1"/>
    <col min="24" max="35" width="9" style="266"/>
    <col min="36" max="36" width="13" style="266" customWidth="1"/>
    <col min="37" max="16384" width="9" style="266"/>
  </cols>
  <sheetData>
    <row r="1" spans="1:42" x14ac:dyDescent="0.3">
      <c r="H1" s="266" t="str">
        <f ca="1">RollData!I10</f>
        <v>Bar(((NGEX17+NGEZ17+NGEF18+NGEG18+NGEH18)/5),1)</v>
      </c>
      <c r="N1" s="266" t="str">
        <f ca="1">RollData!I25</f>
        <v>Bar(((NGEJ18+NGEK18+NGEM18+NGEN18+NGEQ18+NGEU18+NGEV18)/7),1)</v>
      </c>
      <c r="AC1" s="266" t="str">
        <f ca="1">RollData!I35</f>
        <v>Bar(((NGEX18+NGEZ18+NGEF19+NGEG19+NGEH19)/5),1)</v>
      </c>
      <c r="AI1" s="266">
        <f>RollData!AD25</f>
        <v>0</v>
      </c>
      <c r="AP1" s="266" t="str">
        <f ca="1">RollData!I47</f>
        <v>Bar(((NGEJ19+NGEK19+NGEM19+NGEN19+NGEQ19+NGEU19+NGEV19)/7),1)</v>
      </c>
    </row>
    <row r="2" spans="1:42" x14ac:dyDescent="0.3">
      <c r="A2" s="266">
        <v>0</v>
      </c>
      <c r="B2" s="267">
        <f ca="1" xml:space="preserve"> RTD("cqg.rtd",,"StudyData",$H$1,  "Bar",, "Time", "D",A2,,,,,"T")</f>
        <v>43014</v>
      </c>
      <c r="C2" s="268">
        <f ca="1" xml:space="preserve"> RTD("cqg.rtd",,"StudyData",$H$1,  "Bar",, "Open", "D",A2,,,,,"T")</f>
        <v>3.1132</v>
      </c>
      <c r="D2" s="268">
        <f ca="1" xml:space="preserve"> RTD("cqg.rtd",,"StudyData",$H$1,  "Bar",, "High", "D",A2,,,,,"T")</f>
        <v>3.1252</v>
      </c>
      <c r="E2" s="268">
        <f ca="1" xml:space="preserve"> RTD("cqg.rtd",,"StudyData",$H$1,  "Bar",, "LOw", "D",A2,,,,,"T")</f>
        <v>3.1006</v>
      </c>
      <c r="F2" s="268">
        <f ca="1" xml:space="preserve"> RTD("cqg.rtd",,"StudyData",$H$1,  "Bar",, "Close", "D",A2,,,,,"T")</f>
        <v>3.1048</v>
      </c>
      <c r="N2" s="266">
        <v>0</v>
      </c>
      <c r="O2" s="267">
        <f ca="1" xml:space="preserve"> RTD("cqg.rtd",,"StudyData",$N$1,  "Bar",, "Time", "D",N2,,,,,"T")</f>
        <v>43014</v>
      </c>
      <c r="P2" s="268">
        <f ca="1" xml:space="preserve"> RTD("cqg.rtd",,"StudyData",$N$1,  "Bar",, "Open", "D",N2,,,,,"T")</f>
        <v>2.9404285699999999</v>
      </c>
      <c r="Q2" s="268">
        <f ca="1" xml:space="preserve"> RTD("cqg.rtd",,"StudyData",$N$1,  "Bar",, "High", "D",N2,,,,,"T")</f>
        <v>2.9427142900000001</v>
      </c>
      <c r="R2" s="268">
        <f ca="1" xml:space="preserve"> RTD("cqg.rtd",,"StudyData",$N$1,  "Bar",, "LOw", "D",N2,,,,,"T")</f>
        <v>2.9347142900000001</v>
      </c>
      <c r="S2" s="268">
        <f ca="1" xml:space="preserve"> RTD("cqg.rtd",,"StudyData",$N$1,  "Bar",, "Close", "D",N2,,,,,"T")</f>
        <v>2.9378571400000002</v>
      </c>
      <c r="V2" s="266">
        <v>0</v>
      </c>
      <c r="W2" s="267">
        <f ca="1" xml:space="preserve"> RTD("cqg.rtd",,"StudyData",$AC$1,  "Bar",, "Time", "D",V2,,,,,"T")</f>
        <v>43014</v>
      </c>
      <c r="X2" s="268">
        <f ca="1" xml:space="preserve"> RTD("cqg.rtd",,"StudyData",$AC$1,  "Bar",, "Open", "D",V2,,,,,"T")</f>
        <v>3.1614</v>
      </c>
      <c r="Y2" s="268">
        <f ca="1" xml:space="preserve"> RTD("cqg.rtd",,"StudyData",$AC$1,  "Bar",, "High", "D",V2,,,,,"T")</f>
        <v>3.1614</v>
      </c>
      <c r="Z2" s="268">
        <f ca="1" xml:space="preserve"> RTD("cqg.rtd",,"StudyData",$AC$1,  "Bar",, "LOw", "D",V2,,,,,"T")</f>
        <v>3.1558000000000002</v>
      </c>
      <c r="AA2" s="268">
        <f ca="1" xml:space="preserve"> RTD("cqg.rtd",,"StudyData",$AC$1,  "Bar",, "Close", "D",V2,,,,,"T")</f>
        <v>3.1558000000000002</v>
      </c>
      <c r="AI2" s="266">
        <v>0</v>
      </c>
      <c r="AJ2" s="267">
        <f ca="1" xml:space="preserve"> RTD("cqg.rtd",,"StudyData",$AP$1,  "Bar",, "Time", "D",AI2,,,,,"T")</f>
        <v>43014</v>
      </c>
      <c r="AK2" s="268">
        <f ca="1" xml:space="preserve"> RTD("cqg.rtd",,"StudyData",$AP$1,  "Bar",, "Open", "D",AI2,,,,,"T")</f>
        <v>2.7532857100000001</v>
      </c>
      <c r="AL2" s="268">
        <f ca="1" xml:space="preserve"> RTD("cqg.rtd",,"StudyData",$AP$1,  "Bar",, "High", "D",AI2,,,,,"T")</f>
        <v>2.7532857100000001</v>
      </c>
      <c r="AM2" s="268">
        <f ca="1" xml:space="preserve"> RTD("cqg.rtd",,"StudyData",$AP$1,  "Bar",, "LOw", "D",AI2,,,,,"T")</f>
        <v>2.7532857100000001</v>
      </c>
      <c r="AN2" s="268">
        <f ca="1" xml:space="preserve"> RTD("cqg.rtd",,"StudyData",$AP$1,  "Bar",, "Close", "D",AI2,,,,,"T")</f>
        <v>2.7532857100000001</v>
      </c>
    </row>
    <row r="3" spans="1:42" x14ac:dyDescent="0.3">
      <c r="A3" s="266">
        <f t="shared" ref="A3:A46" si="0">A2-1</f>
        <v>-1</v>
      </c>
      <c r="B3" s="267">
        <f ca="1" xml:space="preserve"> RTD("cqg.rtd",,"StudyData",$H$1,  "Bar",, "Time", "D",A3,,,,,"T")</f>
        <v>43013</v>
      </c>
      <c r="C3" s="268">
        <f ca="1" xml:space="preserve"> RTD("cqg.rtd",,"StudyData",$H$1,  "Bar",, "Open", "D",A3,,,,,"T")</f>
        <v>3.1520000000000001</v>
      </c>
      <c r="D3" s="268">
        <f ca="1" xml:space="preserve"> RTD("cqg.rtd",,"StudyData",$H$1,  "Bar",, "High", "D",A3,,,,,"T")</f>
        <v>3.1743999999999999</v>
      </c>
      <c r="E3" s="268">
        <f ca="1" xml:space="preserve"> RTD("cqg.rtd",,"StudyData",$H$1,  "Bar",, "LOw", "D",A3,,,,,"T")</f>
        <v>3.109</v>
      </c>
      <c r="F3" s="268">
        <f ca="1" xml:space="preserve"> RTD("cqg.rtd",,"StudyData",$H$1,  "Bar",, "Close", "D",A3,,,,,"T")</f>
        <v>3.1107999999999998</v>
      </c>
      <c r="G3" s="268"/>
      <c r="N3" s="266">
        <f t="shared" ref="N3:N46" si="1">N2-1</f>
        <v>-1</v>
      </c>
      <c r="O3" s="267">
        <f ca="1" xml:space="preserve"> RTD("cqg.rtd",,"StudyData",$N$1,  "Bar",, "Time", "D",N3,,,,,"T")</f>
        <v>43013</v>
      </c>
      <c r="P3" s="268">
        <f ca="1" xml:space="preserve"> RTD("cqg.rtd",,"StudyData",$N$1,  "Bar",, "Open", "D",N3,,,,,"T")</f>
        <v>2.9444285699999999</v>
      </c>
      <c r="Q3" s="268">
        <f ca="1" xml:space="preserve"> RTD("cqg.rtd",,"StudyData",$N$1,  "Bar",, "High", "D",N3,,,,,"T")</f>
        <v>2.96428571</v>
      </c>
      <c r="R3" s="268">
        <f ca="1" xml:space="preserve"> RTD("cqg.rtd",,"StudyData",$N$1,  "Bar",, "LOw", "D",N3,,,,,"T")</f>
        <v>2.9402857099999999</v>
      </c>
      <c r="S3" s="268">
        <f ca="1" xml:space="preserve"> RTD("cqg.rtd",,"StudyData",$N$1,  "Bar",, "Close", "D",N3,,,,,"T")</f>
        <v>2.9404285699999999</v>
      </c>
      <c r="V3" s="266">
        <f t="shared" ref="V3:V46" si="2">V2-1</f>
        <v>-1</v>
      </c>
      <c r="W3" s="267">
        <f ca="1" xml:space="preserve"> RTD("cqg.rtd",,"StudyData",$AC$1,  "Bar",, "Time", "D",V3,,,,,"T")</f>
        <v>43013</v>
      </c>
      <c r="X3" s="268">
        <f ca="1" xml:space="preserve"> RTD("cqg.rtd",,"StudyData",$AC$1,  "Bar",, "Open", "D",V3,,,,,"T")</f>
        <v>3.1623999999999999</v>
      </c>
      <c r="Y3" s="268">
        <f ca="1" xml:space="preserve"> RTD("cqg.rtd",,"StudyData",$AC$1,  "Bar",, "High", "D",V3,,,,,"T")</f>
        <v>3.1793999999999998</v>
      </c>
      <c r="Z3" s="268">
        <f ca="1" xml:space="preserve"> RTD("cqg.rtd",,"StudyData",$AC$1,  "Bar",, "LOw", "D",V3,,,,,"T")</f>
        <v>3.1608000000000001</v>
      </c>
      <c r="AA3" s="268">
        <f ca="1" xml:space="preserve"> RTD("cqg.rtd",,"StudyData",$AC$1,  "Bar",, "Close", "D",V3,,,,,"T")</f>
        <v>3.1614</v>
      </c>
      <c r="AB3" s="268"/>
      <c r="AI3" s="266">
        <f t="shared" ref="AI3:AI46" si="3">AI2-1</f>
        <v>-1</v>
      </c>
      <c r="AJ3" s="267">
        <f ca="1" xml:space="preserve"> RTD("cqg.rtd",,"StudyData",$AP$1,  "Bar",, "Time", "D",AI3,,,,,"T")</f>
        <v>43013</v>
      </c>
      <c r="AK3" s="268">
        <f ca="1" xml:space="preserve"> RTD("cqg.rtd",,"StudyData",$AP$1,  "Bar",, "Open", "D",AI3,,,,,"T")</f>
        <v>2.7518571399999998</v>
      </c>
      <c r="AL3" s="268">
        <f ca="1" xml:space="preserve"> RTD("cqg.rtd",,"StudyData",$AP$1,  "Bar",, "High", "D",AI3,,,,,"T")</f>
        <v>2.7589999999999999</v>
      </c>
      <c r="AM3" s="268">
        <f ca="1" xml:space="preserve"> RTD("cqg.rtd",,"StudyData",$AP$1,  "Bar",, "LOw", "D",AI3,,,,,"T")</f>
        <v>2.7518571399999998</v>
      </c>
      <c r="AN3" s="268">
        <f ca="1" xml:space="preserve"> RTD("cqg.rtd",,"StudyData",$AP$1,  "Bar",, "Close", "D",AI3,,,,,"T")</f>
        <v>2.7532857100000001</v>
      </c>
    </row>
    <row r="4" spans="1:42" x14ac:dyDescent="0.3">
      <c r="A4" s="266">
        <f t="shared" si="0"/>
        <v>-2</v>
      </c>
      <c r="B4" s="267">
        <f ca="1" xml:space="preserve"> RTD("cqg.rtd",,"StudyData",$H$1,  "Bar",, "Time", "D",A4,,,,,"T")</f>
        <v>43012</v>
      </c>
      <c r="C4" s="268">
        <f ca="1" xml:space="preserve"> RTD("cqg.rtd",,"StudyData",$H$1,  "Bar",, "Open", "D",A4,,,,,"T")</f>
        <v>3.1263999999999998</v>
      </c>
      <c r="D4" s="268">
        <f ca="1" xml:space="preserve"> RTD("cqg.rtd",,"StudyData",$H$1,  "Bar",, "High", "D",A4,,,,,"T")</f>
        <v>3.1858</v>
      </c>
      <c r="E4" s="268">
        <f ca="1" xml:space="preserve"> RTD("cqg.rtd",,"StudyData",$H$1,  "Bar",, "LOw", "D",A4,,,,,"T")</f>
        <v>3.1221999999999999</v>
      </c>
      <c r="F4" s="268">
        <f ca="1" xml:space="preserve"> RTD("cqg.rtd",,"StudyData",$H$1,  "Bar",, "Close", "D",A4,,,,,"T")</f>
        <v>3.1503999999999999</v>
      </c>
      <c r="N4" s="266">
        <f t="shared" si="1"/>
        <v>-2</v>
      </c>
      <c r="O4" s="267">
        <f ca="1" xml:space="preserve"> RTD("cqg.rtd",,"StudyData",$N$1,  "Bar",, "Time", "D",N4,,,,,"T")</f>
        <v>43012</v>
      </c>
      <c r="P4" s="268">
        <f ca="1" xml:space="preserve"> RTD("cqg.rtd",,"StudyData",$N$1,  "Bar",, "Open", "D",N4,,,,,"T")</f>
        <v>2.91471429</v>
      </c>
      <c r="Q4" s="268">
        <f ca="1" xml:space="preserve"> RTD("cqg.rtd",,"StudyData",$N$1,  "Bar",, "High", "D",N4,,,,,"T")</f>
        <v>2.9561428599999999</v>
      </c>
      <c r="R4" s="268">
        <f ca="1" xml:space="preserve"> RTD("cqg.rtd",,"StudyData",$N$1,  "Bar",, "LOw", "D",N4,,,,,"T")</f>
        <v>2.91471429</v>
      </c>
      <c r="S4" s="268">
        <f ca="1" xml:space="preserve"> RTD("cqg.rtd",,"StudyData",$N$1,  "Bar",, "Close", "D",N4,,,,,"T")</f>
        <v>2.9444285699999999</v>
      </c>
      <c r="V4" s="266">
        <f t="shared" si="2"/>
        <v>-2</v>
      </c>
      <c r="W4" s="267">
        <f ca="1" xml:space="preserve"> RTD("cqg.rtd",,"StudyData",$AC$1,  "Bar",, "Time", "D",V4,,,,,"T")</f>
        <v>43012</v>
      </c>
      <c r="X4" s="268">
        <f ca="1" xml:space="preserve"> RTD("cqg.rtd",,"StudyData",$AC$1,  "Bar",, "Open", "D",V4,,,,,"T")</f>
        <v>3.1301999999999999</v>
      </c>
      <c r="Y4" s="268">
        <f ca="1" xml:space="preserve"> RTD("cqg.rtd",,"StudyData",$AC$1,  "Bar",, "High", "D",V4,,,,,"T")</f>
        <v>3.1634000000000002</v>
      </c>
      <c r="Z4" s="268">
        <f ca="1" xml:space="preserve"> RTD("cqg.rtd",,"StudyData",$AC$1,  "Bar",, "LOw", "D",V4,,,,,"T")</f>
        <v>3.1301999999999999</v>
      </c>
      <c r="AA4" s="268">
        <f ca="1" xml:space="preserve"> RTD("cqg.rtd",,"StudyData",$AC$1,  "Bar",, "Close", "D",V4,,,,,"T")</f>
        <v>3.1623999999999999</v>
      </c>
      <c r="AI4" s="266">
        <f t="shared" si="3"/>
        <v>-2</v>
      </c>
      <c r="AJ4" s="267">
        <f ca="1" xml:space="preserve"> RTD("cqg.rtd",,"StudyData",$AP$1,  "Bar",, "Time", "D",AI4,,,,,"T")</f>
        <v>43012</v>
      </c>
      <c r="AK4" s="268">
        <f ca="1" xml:space="preserve"> RTD("cqg.rtd",,"StudyData",$AP$1,  "Bar",, "Open", "D",AI4,,,,,"T")</f>
        <v>2.7524285700000002</v>
      </c>
      <c r="AL4" s="268">
        <f ca="1" xml:space="preserve"> RTD("cqg.rtd",,"StudyData",$AP$1,  "Bar",, "High", "D",AI4,,,,,"T")</f>
        <v>2.7557142899999998</v>
      </c>
      <c r="AM4" s="268">
        <f ca="1" xml:space="preserve"> RTD("cqg.rtd",,"StudyData",$AP$1,  "Bar",, "LOw", "D",AI4,,,,,"T")</f>
        <v>2.7512857099999999</v>
      </c>
      <c r="AN4" s="268">
        <f ca="1" xml:space="preserve"> RTD("cqg.rtd",,"StudyData",$AP$1,  "Bar",, "Close", "D",AI4,,,,,"T")</f>
        <v>2.7518571399999998</v>
      </c>
    </row>
    <row r="5" spans="1:42" x14ac:dyDescent="0.3">
      <c r="A5" s="266">
        <f t="shared" si="0"/>
        <v>-3</v>
      </c>
      <c r="B5" s="267">
        <f ca="1" xml:space="preserve"> RTD("cqg.rtd",,"StudyData",$H$1,  "Bar",, "Time", "D",A5,,,,,"T")</f>
        <v>43011</v>
      </c>
      <c r="C5" s="268">
        <f ca="1" xml:space="preserve"> RTD("cqg.rtd",,"StudyData",$H$1,  "Bar",, "Open", "D",A5,,,,,"T")</f>
        <v>3.1432000000000002</v>
      </c>
      <c r="D5" s="268">
        <f ca="1" xml:space="preserve"> RTD("cqg.rtd",,"StudyData",$H$1,  "Bar",, "High", "D",A5,,,,,"T")</f>
        <v>3.1486000000000001</v>
      </c>
      <c r="E5" s="268">
        <f ca="1" xml:space="preserve"> RTD("cqg.rtd",,"StudyData",$H$1,  "Bar",, "LOw", "D",A5,,,,,"T")</f>
        <v>3.109</v>
      </c>
      <c r="F5" s="268">
        <f ca="1" xml:space="preserve"> RTD("cqg.rtd",,"StudyData",$H$1,  "Bar",, "Close", "D",A5,,,,,"T")</f>
        <v>3.1219999999999999</v>
      </c>
      <c r="N5" s="266">
        <f t="shared" si="1"/>
        <v>-3</v>
      </c>
      <c r="O5" s="267">
        <f ca="1" xml:space="preserve"> RTD("cqg.rtd",,"StudyData",$N$1,  "Bar",, "Time", "D",N5,,,,,"T")</f>
        <v>43011</v>
      </c>
      <c r="P5" s="268">
        <f ca="1" xml:space="preserve"> RTD("cqg.rtd",,"StudyData",$N$1,  "Bar",, "Open", "D",N5,,,,,"T")</f>
        <v>2.9148571400000001</v>
      </c>
      <c r="Q5" s="268">
        <f ca="1" xml:space="preserve"> RTD("cqg.rtd",,"StudyData",$N$1,  "Bar",, "High", "D",N5,,,,,"T")</f>
        <v>2.9217142900000002</v>
      </c>
      <c r="R5" s="268">
        <f ca="1" xml:space="preserve"> RTD("cqg.rtd",,"StudyData",$N$1,  "Bar",, "LOw", "D",N5,,,,,"T")</f>
        <v>2.9009999999999998</v>
      </c>
      <c r="S5" s="268">
        <f ca="1" xml:space="preserve"> RTD("cqg.rtd",,"StudyData",$N$1,  "Bar",, "Close", "D",N5,,,,,"T")</f>
        <v>2.91471429</v>
      </c>
      <c r="V5" s="266">
        <f t="shared" si="2"/>
        <v>-3</v>
      </c>
      <c r="W5" s="267">
        <f ca="1" xml:space="preserve"> RTD("cqg.rtd",,"StudyData",$AC$1,  "Bar",, "Time", "D",V5,,,,,"T")</f>
        <v>43011</v>
      </c>
      <c r="X5" s="268">
        <f ca="1" xml:space="preserve"> RTD("cqg.rtd",,"StudyData",$AC$1,  "Bar",, "Open", "D",V5,,,,,"T")</f>
        <v>3.1269999999999998</v>
      </c>
      <c r="Y5" s="268">
        <f ca="1" xml:space="preserve"> RTD("cqg.rtd",,"StudyData",$AC$1,  "Bar",, "High", "D",V5,,,,,"T")</f>
        <v>3.1312000000000002</v>
      </c>
      <c r="Z5" s="268">
        <f ca="1" xml:space="preserve"> RTD("cqg.rtd",,"StudyData",$AC$1,  "Bar",, "LOw", "D",V5,,,,,"T")</f>
        <v>3.1181999999999999</v>
      </c>
      <c r="AA5" s="268">
        <f ca="1" xml:space="preserve"> RTD("cqg.rtd",,"StudyData",$AC$1,  "Bar",, "Close", "D",V5,,,,,"T")</f>
        <v>3.1301999999999999</v>
      </c>
      <c r="AI5" s="266">
        <f t="shared" si="3"/>
        <v>-3</v>
      </c>
      <c r="AJ5" s="267">
        <f ca="1" xml:space="preserve"> RTD("cqg.rtd",,"StudyData",$AP$1,  "Bar",, "Time", "D",AI5,,,,,"T")</f>
        <v>43011</v>
      </c>
      <c r="AK5" s="268">
        <f ca="1" xml:space="preserve"> RTD("cqg.rtd",,"StudyData",$AP$1,  "Bar",, "Open", "D",AI5,,,,,"T")</f>
        <v>2.7491428600000001</v>
      </c>
      <c r="AL5" s="268">
        <f ca="1" xml:space="preserve"> RTD("cqg.rtd",,"StudyData",$AP$1,  "Bar",, "High", "D",AI5,,,,,"T")</f>
        <v>2.7524285700000002</v>
      </c>
      <c r="AM5" s="268">
        <f ca="1" xml:space="preserve"> RTD("cqg.rtd",,"StudyData",$AP$1,  "Bar",, "LOw", "D",AI5,,,,,"T")</f>
        <v>2.7425714299999999</v>
      </c>
      <c r="AN5" s="268">
        <f ca="1" xml:space="preserve"> RTD("cqg.rtd",,"StudyData",$AP$1,  "Bar",, "Close", "D",AI5,,,,,"T")</f>
        <v>2.7524285700000002</v>
      </c>
    </row>
    <row r="6" spans="1:42" x14ac:dyDescent="0.3">
      <c r="A6" s="266">
        <f t="shared" si="0"/>
        <v>-4</v>
      </c>
      <c r="B6" s="267">
        <f ca="1" xml:space="preserve"> RTD("cqg.rtd",,"StudyData",$H$1,  "Bar",, "Time", "D",A6,,,,,"T")</f>
        <v>43010</v>
      </c>
      <c r="C6" s="268">
        <f ca="1" xml:space="preserve"> RTD("cqg.rtd",,"StudyData",$H$1,  "Bar",, "Open", "D",A6,,,,,"T")</f>
        <v>3.2168000000000001</v>
      </c>
      <c r="D6" s="268">
        <f ca="1" xml:space="preserve"> RTD("cqg.rtd",,"StudyData",$H$1,  "Bar",, "High", "D",A6,,,,,"T")</f>
        <v>3.2168000000000001</v>
      </c>
      <c r="E6" s="268">
        <f ca="1" xml:space="preserve"> RTD("cqg.rtd",,"StudyData",$H$1,  "Bar",, "LOw", "D",A6,,,,,"T")</f>
        <v>3.1103999999999998</v>
      </c>
      <c r="F6" s="268">
        <f ca="1" xml:space="preserve"> RTD("cqg.rtd",,"StudyData",$H$1,  "Bar",, "Close", "D",A6,,,,,"T")</f>
        <v>3.1402000000000001</v>
      </c>
      <c r="N6" s="266">
        <f t="shared" si="1"/>
        <v>-4</v>
      </c>
      <c r="O6" s="267">
        <f ca="1" xml:space="preserve"> RTD("cqg.rtd",,"StudyData",$N$1,  "Bar",, "Time", "D",N6,,,,,"T")</f>
        <v>43010</v>
      </c>
      <c r="P6" s="268">
        <f ca="1" xml:space="preserve"> RTD("cqg.rtd",,"StudyData",$N$1,  "Bar",, "Open", "D",N6,,,,,"T")</f>
        <v>2.9342857100000002</v>
      </c>
      <c r="Q6" s="268">
        <f ca="1" xml:space="preserve"> RTD("cqg.rtd",,"StudyData",$N$1,  "Bar",, "High", "D",N6,,,,,"T")</f>
        <v>2.9367142899999998</v>
      </c>
      <c r="R6" s="268">
        <f ca="1" xml:space="preserve"> RTD("cqg.rtd",,"StudyData",$N$1,  "Bar",, "LOw", "D",N6,,,,,"T")</f>
        <v>2.8958571399999999</v>
      </c>
      <c r="S6" s="268">
        <f ca="1" xml:space="preserve"> RTD("cqg.rtd",,"StudyData",$N$1,  "Bar",, "Close", "D",N6,,,,,"T")</f>
        <v>2.9148571400000001</v>
      </c>
      <c r="V6" s="266">
        <f t="shared" si="2"/>
        <v>-4</v>
      </c>
      <c r="W6" s="267">
        <f ca="1" xml:space="preserve"> RTD("cqg.rtd",,"StudyData",$AC$1,  "Bar",, "Time", "D",V6,,,,,"T")</f>
        <v>43010</v>
      </c>
      <c r="X6" s="268">
        <f ca="1" xml:space="preserve"> RTD("cqg.rtd",,"StudyData",$AC$1,  "Bar",, "Open", "D",V6,,,,,"T")</f>
        <v>3.1394000000000002</v>
      </c>
      <c r="Y6" s="268">
        <f ca="1" xml:space="preserve"> RTD("cqg.rtd",,"StudyData",$AC$1,  "Bar",, "High", "D",V6,,,,,"T")</f>
        <v>3.1394000000000002</v>
      </c>
      <c r="Z6" s="268">
        <f ca="1" xml:space="preserve"> RTD("cqg.rtd",,"StudyData",$AC$1,  "Bar",, "LOw", "D",V6,,,,,"T")</f>
        <v>3.1042000000000001</v>
      </c>
      <c r="AA6" s="268">
        <f ca="1" xml:space="preserve"> RTD("cqg.rtd",,"StudyData",$AC$1,  "Bar",, "Close", "D",V6,,,,,"T")</f>
        <v>3.1269999999999998</v>
      </c>
      <c r="AI6" s="266">
        <f t="shared" si="3"/>
        <v>-4</v>
      </c>
      <c r="AJ6" s="267">
        <f ca="1" xml:space="preserve"> RTD("cqg.rtd",,"StudyData",$AP$1,  "Bar",, "Time", "D",AI6,,,,,"T")</f>
        <v>43010</v>
      </c>
      <c r="AK6" s="268">
        <f ca="1" xml:space="preserve"> RTD("cqg.rtd",,"StudyData",$AP$1,  "Bar",, "Open", "D",AI6,,,,,"T")</f>
        <v>2.7425714299999999</v>
      </c>
      <c r="AL6" s="268">
        <f ca="1" xml:space="preserve"> RTD("cqg.rtd",,"StudyData",$AP$1,  "Bar",, "High", "D",AI6,,,,,"T")</f>
        <v>2.7491428600000001</v>
      </c>
      <c r="AM6" s="268">
        <f ca="1" xml:space="preserve"> RTD("cqg.rtd",,"StudyData",$AP$1,  "Bar",, "LOw", "D",AI6,,,,,"T")</f>
        <v>2.73771429</v>
      </c>
      <c r="AN6" s="268">
        <f ca="1" xml:space="preserve"> RTD("cqg.rtd",,"StudyData",$AP$1,  "Bar",, "Close", "D",AI6,,,,,"T")</f>
        <v>2.7491428600000001</v>
      </c>
    </row>
    <row r="7" spans="1:42" x14ac:dyDescent="0.3">
      <c r="A7" s="266">
        <f t="shared" si="0"/>
        <v>-5</v>
      </c>
      <c r="B7" s="267">
        <f ca="1" xml:space="preserve"> RTD("cqg.rtd",,"StudyData",$H$1,  "Bar",, "Time", "D",A7,,,,,"T")</f>
        <v>43007</v>
      </c>
      <c r="C7" s="268">
        <f ca="1" xml:space="preserve"> RTD("cqg.rtd",,"StudyData",$H$1,  "Bar",, "Open", "D",A7,,,,,"T")</f>
        <v>3.2198000000000002</v>
      </c>
      <c r="D7" s="268">
        <f ca="1" xml:space="preserve"> RTD("cqg.rtd",,"StudyData",$H$1,  "Bar",, "High", "D",A7,,,,,"T")</f>
        <v>3.2307999999999999</v>
      </c>
      <c r="E7" s="268">
        <f ca="1" xml:space="preserve"> RTD("cqg.rtd",,"StudyData",$H$1,  "Bar",, "LOw", "D",A7,,,,,"T")</f>
        <v>3.1922000000000001</v>
      </c>
      <c r="F7" s="268">
        <f ca="1" xml:space="preserve"> RTD("cqg.rtd",,"StudyData",$H$1,  "Bar",, "Close", "D",A7,,,,,"T")</f>
        <v>3.2176</v>
      </c>
      <c r="N7" s="266">
        <f t="shared" si="1"/>
        <v>-5</v>
      </c>
      <c r="O7" s="267">
        <f ca="1" xml:space="preserve"> RTD("cqg.rtd",,"StudyData",$N$1,  "Bar",, "Time", "D",N7,,,,,"T")</f>
        <v>43007</v>
      </c>
      <c r="P7" s="268">
        <f ca="1" xml:space="preserve"> RTD("cqg.rtd",,"StudyData",$N$1,  "Bar",, "Open", "D",N7,,,,,"T")</f>
        <v>2.94385714</v>
      </c>
      <c r="Q7" s="268">
        <f ca="1" xml:space="preserve"> RTD("cqg.rtd",,"StudyData",$N$1,  "Bar",, "High", "D",N7,,,,,"T")</f>
        <v>2.944</v>
      </c>
      <c r="R7" s="268">
        <f ca="1" xml:space="preserve"> RTD("cqg.rtd",,"StudyData",$N$1,  "Bar",, "LOw", "D",N7,,,,,"T")</f>
        <v>2.9302857100000002</v>
      </c>
      <c r="S7" s="268">
        <f ca="1" xml:space="preserve"> RTD("cqg.rtd",,"StudyData",$N$1,  "Bar",, "Close", "D",N7,,,,,"T")</f>
        <v>2.93142857</v>
      </c>
      <c r="V7" s="266">
        <f t="shared" si="2"/>
        <v>-5</v>
      </c>
      <c r="W7" s="267">
        <f ca="1" xml:space="preserve"> RTD("cqg.rtd",,"StudyData",$AC$1,  "Bar",, "Time", "D",V7,,,,,"T")</f>
        <v>43007</v>
      </c>
      <c r="X7" s="268">
        <f ca="1" xml:space="preserve"> RTD("cqg.rtd",,"StudyData",$AC$1,  "Bar",, "Open", "D",V7,,,,,"T")</f>
        <v>3.1427999999999998</v>
      </c>
      <c r="Y7" s="268">
        <f ca="1" xml:space="preserve"> RTD("cqg.rtd",,"StudyData",$AC$1,  "Bar",, "High", "D",V7,,,,,"T")</f>
        <v>3.1444000000000001</v>
      </c>
      <c r="Z7" s="268">
        <f ca="1" xml:space="preserve"> RTD("cqg.rtd",,"StudyData",$AC$1,  "Bar",, "LOw", "D",V7,,,,,"T")</f>
        <v>3.1356000000000002</v>
      </c>
      <c r="AA7" s="268">
        <f ca="1" xml:space="preserve"> RTD("cqg.rtd",,"StudyData",$AC$1,  "Bar",, "Close", "D",V7,,,,,"T")</f>
        <v>3.1394000000000002</v>
      </c>
      <c r="AI7" s="266">
        <f t="shared" si="3"/>
        <v>-5</v>
      </c>
      <c r="AJ7" s="267">
        <f ca="1" xml:space="preserve"> RTD("cqg.rtd",,"StudyData",$AP$1,  "Bar",, "Time", "D",AI7,,,,,"T")</f>
        <v>43007</v>
      </c>
      <c r="AK7" s="268">
        <f ca="1" xml:space="preserve"> RTD("cqg.rtd",,"StudyData",$AP$1,  "Bar",, "Open", "D",AI7,,,,,"T")</f>
        <v>2.7492857100000001</v>
      </c>
      <c r="AL7" s="268">
        <f ca="1" xml:space="preserve"> RTD("cqg.rtd",,"StudyData",$AP$1,  "Bar",, "High", "D",AI7,,,,,"T")</f>
        <v>2.75</v>
      </c>
      <c r="AM7" s="268">
        <f ca="1" xml:space="preserve"> RTD("cqg.rtd",,"StudyData",$AP$1,  "Bar",, "LOw", "D",AI7,,,,,"T")</f>
        <v>2.7425714299999999</v>
      </c>
      <c r="AN7" s="268">
        <f ca="1" xml:space="preserve"> RTD("cqg.rtd",,"StudyData",$AP$1,  "Bar",, "Close", "D",AI7,,,,,"T")</f>
        <v>2.7425714299999999</v>
      </c>
    </row>
    <row r="8" spans="1:42" x14ac:dyDescent="0.3">
      <c r="A8" s="266">
        <f t="shared" si="0"/>
        <v>-6</v>
      </c>
      <c r="B8" s="267">
        <f ca="1" xml:space="preserve"> RTD("cqg.rtd",,"StudyData",$H$1,  "Bar",, "Time", "D",A8,,,,,"T")</f>
        <v>43006</v>
      </c>
      <c r="C8" s="268">
        <f ca="1" xml:space="preserve"> RTD("cqg.rtd",,"StudyData",$H$1,  "Bar",, "Open", "D",A8,,,,,"T")</f>
        <v>3.2465999999999999</v>
      </c>
      <c r="D8" s="268">
        <f ca="1" xml:space="preserve"> RTD("cqg.rtd",,"StudyData",$H$1,  "Bar",, "High", "D",A8,,,,,"T")</f>
        <v>3.2549999999999999</v>
      </c>
      <c r="E8" s="268">
        <f ca="1" xml:space="preserve"> RTD("cqg.rtd",,"StudyData",$H$1,  "Bar",, "LOw", "D",A8,,,,,"T")</f>
        <v>3.2029999999999998</v>
      </c>
      <c r="F8" s="268">
        <f ca="1" xml:space="preserve"> RTD("cqg.rtd",,"StudyData",$H$1,  "Bar",, "Close", "D",A8,,,,,"T")</f>
        <v>3.2143999999999999</v>
      </c>
      <c r="N8" s="266">
        <f t="shared" si="1"/>
        <v>-6</v>
      </c>
      <c r="O8" s="267">
        <f ca="1" xml:space="preserve"> RTD("cqg.rtd",,"StudyData",$N$1,  "Bar",, "Time", "D",N8,,,,,"T")</f>
        <v>43006</v>
      </c>
      <c r="P8" s="268">
        <f ca="1" xml:space="preserve"> RTD("cqg.rtd",,"StudyData",$N$1,  "Bar",, "Open", "D",N8,,,,,"T")</f>
        <v>2.9504285700000001</v>
      </c>
      <c r="Q8" s="268">
        <f ca="1" xml:space="preserve"> RTD("cqg.rtd",,"StudyData",$N$1,  "Bar",, "High", "D",N8,,,,,"T")</f>
        <v>2.9604285699999999</v>
      </c>
      <c r="R8" s="268">
        <f ca="1" xml:space="preserve"> RTD("cqg.rtd",,"StudyData",$N$1,  "Bar",, "LOw", "D",N8,,,,,"T")</f>
        <v>2.9368571399999999</v>
      </c>
      <c r="S8" s="268">
        <f ca="1" xml:space="preserve"> RTD("cqg.rtd",,"StudyData",$N$1,  "Bar",, "Close", "D",N8,,,,,"T")</f>
        <v>2.9407142899999998</v>
      </c>
      <c r="V8" s="266">
        <f t="shared" si="2"/>
        <v>-6</v>
      </c>
      <c r="W8" s="267">
        <f ca="1" xml:space="preserve"> RTD("cqg.rtd",,"StudyData",$AC$1,  "Bar",, "Time", "D",V8,,,,,"T")</f>
        <v>43006</v>
      </c>
      <c r="X8" s="268">
        <f ca="1" xml:space="preserve"> RTD("cqg.rtd",,"StudyData",$AC$1,  "Bar",, "Open", "D",V8,,,,,"T")</f>
        <v>3.1496</v>
      </c>
      <c r="Y8" s="268">
        <f ca="1" xml:space="preserve"> RTD("cqg.rtd",,"StudyData",$AC$1,  "Bar",, "High", "D",V8,,,,,"T")</f>
        <v>3.1534</v>
      </c>
      <c r="Z8" s="268">
        <f ca="1" xml:space="preserve"> RTD("cqg.rtd",,"StudyData",$AC$1,  "Bar",, "LOw", "D",V8,,,,,"T")</f>
        <v>3.1414</v>
      </c>
      <c r="AA8" s="268">
        <f ca="1" xml:space="preserve"> RTD("cqg.rtd",,"StudyData",$AC$1,  "Bar",, "Close", "D",V8,,,,,"T")</f>
        <v>3.1427999999999998</v>
      </c>
      <c r="AI8" s="266">
        <f t="shared" si="3"/>
        <v>-6</v>
      </c>
      <c r="AJ8" s="267">
        <f ca="1" xml:space="preserve"> RTD("cqg.rtd",,"StudyData",$AP$1,  "Bar",, "Time", "D",AI8,,,,,"T")</f>
        <v>43006</v>
      </c>
      <c r="AK8" s="268">
        <f ca="1" xml:space="preserve"> RTD("cqg.rtd",,"StudyData",$AP$1,  "Bar",, "Open", "D",AI8,,,,,"T")</f>
        <v>2.7709999999999999</v>
      </c>
      <c r="AL8" s="268">
        <f ca="1" xml:space="preserve"> RTD("cqg.rtd",,"StudyData",$AP$1,  "Bar",, "High", "D",AI8,,,,,"T")</f>
        <v>2.7709999999999999</v>
      </c>
      <c r="AM8" s="268">
        <f ca="1" xml:space="preserve"> RTD("cqg.rtd",,"StudyData",$AP$1,  "Bar",, "LOw", "D",AI8,,,,,"T")</f>
        <v>2.7471428599999999</v>
      </c>
      <c r="AN8" s="268">
        <f ca="1" xml:space="preserve"> RTD("cqg.rtd",,"StudyData",$AP$1,  "Bar",, "Close", "D",AI8,,,,,"T")</f>
        <v>2.7492857100000001</v>
      </c>
    </row>
    <row r="9" spans="1:42" x14ac:dyDescent="0.3">
      <c r="A9" s="266">
        <f t="shared" si="0"/>
        <v>-7</v>
      </c>
      <c r="B9" s="267">
        <f ca="1" xml:space="preserve"> RTD("cqg.rtd",,"StudyData",$H$1,  "Bar",, "Time", "D",A9,,,,,"T")</f>
        <v>43005</v>
      </c>
      <c r="C9" s="268">
        <f ca="1" xml:space="preserve"> RTD("cqg.rtd",,"StudyData",$H$1,  "Bar",, "Open", "D",A9,,,,,"T")</f>
        <v>3.19</v>
      </c>
      <c r="D9" s="268">
        <f ca="1" xml:space="preserve"> RTD("cqg.rtd",,"StudyData",$H$1,  "Bar",, "High", "D",A9,,,,,"T")</f>
        <v>3.2578</v>
      </c>
      <c r="E9" s="268">
        <f ca="1" xml:space="preserve"> RTD("cqg.rtd",,"StudyData",$H$1,  "Bar",, "LOw", "D",A9,,,,,"T")</f>
        <v>3.19</v>
      </c>
      <c r="F9" s="268">
        <f ca="1" xml:space="preserve"> RTD("cqg.rtd",,"StudyData",$H$1,  "Bar",, "Close", "D",A9,,,,,"T")</f>
        <v>3.2450000000000001</v>
      </c>
      <c r="N9" s="266">
        <f t="shared" si="1"/>
        <v>-7</v>
      </c>
      <c r="O9" s="267">
        <f ca="1" xml:space="preserve"> RTD("cqg.rtd",,"StudyData",$N$1,  "Bar",, "Time", "D",N9,,,,,"T")</f>
        <v>43005</v>
      </c>
      <c r="P9" s="268">
        <f ca="1" xml:space="preserve"> RTD("cqg.rtd",,"StudyData",$N$1,  "Bar",, "Open", "D",N9,,,,,"T")</f>
        <v>2.9374285699999998</v>
      </c>
      <c r="Q9" s="268">
        <f ca="1" xml:space="preserve"> RTD("cqg.rtd",,"StudyData",$N$1,  "Bar",, "High", "D",N9,,,,,"T")</f>
        <v>2.95914286</v>
      </c>
      <c r="R9" s="268">
        <f ca="1" xml:space="preserve"> RTD("cqg.rtd",,"StudyData",$N$1,  "Bar",, "LOw", "D",N9,,,,,"T")</f>
        <v>2.93542857</v>
      </c>
      <c r="S9" s="268">
        <f ca="1" xml:space="preserve"> RTD("cqg.rtd",,"StudyData",$N$1,  "Bar",, "Close", "D",N9,,,,,"T")</f>
        <v>2.9504285700000001</v>
      </c>
      <c r="V9" s="266">
        <f t="shared" si="2"/>
        <v>-7</v>
      </c>
      <c r="W9" s="267">
        <f ca="1" xml:space="preserve"> RTD("cqg.rtd",,"StudyData",$AC$1,  "Bar",, "Time", "D",V9,,,,,"T")</f>
        <v>43005</v>
      </c>
      <c r="X9" s="268">
        <f ca="1" xml:space="preserve"> RTD("cqg.rtd",,"StudyData",$AC$1,  "Bar",, "Open", "D",V9,,,,,"T")</f>
        <v>3.141</v>
      </c>
      <c r="Y9" s="268">
        <f ca="1" xml:space="preserve"> RTD("cqg.rtd",,"StudyData",$AC$1,  "Bar",, "High", "D",V9,,,,,"T")</f>
        <v>3.1583999999999999</v>
      </c>
      <c r="Z9" s="268">
        <f ca="1" xml:space="preserve"> RTD("cqg.rtd",,"StudyData",$AC$1,  "Bar",, "LOw", "D",V9,,,,,"T")</f>
        <v>3.141</v>
      </c>
      <c r="AA9" s="268">
        <f ca="1" xml:space="preserve"> RTD("cqg.rtd",,"StudyData",$AC$1,  "Bar",, "Close", "D",V9,,,,,"T")</f>
        <v>3.1496</v>
      </c>
      <c r="AI9" s="266">
        <f t="shared" si="3"/>
        <v>-7</v>
      </c>
      <c r="AJ9" s="267">
        <f ca="1" xml:space="preserve"> RTD("cqg.rtd",,"StudyData",$AP$1,  "Bar",, "Time", "D",AI9,,,,,"T")</f>
        <v>43005</v>
      </c>
      <c r="AK9" s="268">
        <f ca="1" xml:space="preserve"> RTD("cqg.rtd",,"StudyData",$AP$1,  "Bar",, "Open", "D",AI9,,,,,"T")</f>
        <v>2.77042857</v>
      </c>
      <c r="AL9" s="268">
        <f ca="1" xml:space="preserve"> RTD("cqg.rtd",,"StudyData",$AP$1,  "Bar",, "High", "D",AI9,,,,,"T")</f>
        <v>2.7798571399999998</v>
      </c>
      <c r="AM9" s="268">
        <f ca="1" xml:space="preserve"> RTD("cqg.rtd",,"StudyData",$AP$1,  "Bar",, "LOw", "D",AI9,,,,,"T")</f>
        <v>2.77042857</v>
      </c>
      <c r="AN9" s="268">
        <f ca="1" xml:space="preserve"> RTD("cqg.rtd",,"StudyData",$AP$1,  "Bar",, "Close", "D",AI9,,,,,"T")</f>
        <v>2.7709999999999999</v>
      </c>
    </row>
    <row r="10" spans="1:42" x14ac:dyDescent="0.3">
      <c r="A10" s="266">
        <f t="shared" si="0"/>
        <v>-8</v>
      </c>
      <c r="B10" s="267">
        <f ca="1" xml:space="preserve"> RTD("cqg.rtd",,"StudyData",$H$1,  "Bar",, "Time", "D",A10,,,,,"T")</f>
        <v>43004</v>
      </c>
      <c r="C10" s="268">
        <f ca="1" xml:space="preserve"> RTD("cqg.rtd",,"StudyData",$H$1,  "Bar",, "Open", "D",A10,,,,,"T")</f>
        <v>3.1836000000000002</v>
      </c>
      <c r="D10" s="268">
        <f ca="1" xml:space="preserve"> RTD("cqg.rtd",,"StudyData",$H$1,  "Bar",, "High", "D",A10,,,,,"T")</f>
        <v>3.2111999999999998</v>
      </c>
      <c r="E10" s="268">
        <f ca="1" xml:space="preserve"> RTD("cqg.rtd",,"StudyData",$H$1,  "Bar",, "LOw", "D",A10,,,,,"T")</f>
        <v>3.1722000000000001</v>
      </c>
      <c r="F10" s="268">
        <f ca="1" xml:space="preserve"> RTD("cqg.rtd",,"StudyData",$H$1,  "Bar",, "Close", "D",A10,,,,,"T")</f>
        <v>3.1898</v>
      </c>
      <c r="N10" s="266">
        <f t="shared" si="1"/>
        <v>-8</v>
      </c>
      <c r="O10" s="267">
        <f ca="1" xml:space="preserve"> RTD("cqg.rtd",,"StudyData",$N$1,  "Bar",, "Time", "D",N10,,,,,"T")</f>
        <v>43004</v>
      </c>
      <c r="P10" s="268">
        <f ca="1" xml:space="preserve"> RTD("cqg.rtd",,"StudyData",$N$1,  "Bar",, "Open", "D",N10,,,,,"T")</f>
        <v>2.9331428599999998</v>
      </c>
      <c r="Q10" s="268">
        <f ca="1" xml:space="preserve"> RTD("cqg.rtd",,"StudyData",$N$1,  "Bar",, "High", "D",N10,,,,,"T")</f>
        <v>2.9428571400000001</v>
      </c>
      <c r="R10" s="268">
        <f ca="1" xml:space="preserve"> RTD("cqg.rtd",,"StudyData",$N$1,  "Bar",, "LOw", "D",N10,,,,,"T")</f>
        <v>2.9245714299999999</v>
      </c>
      <c r="S10" s="268">
        <f ca="1" xml:space="preserve"> RTD("cqg.rtd",,"StudyData",$N$1,  "Bar",, "Close", "D",N10,,,,,"T")</f>
        <v>2.9374285699999998</v>
      </c>
      <c r="V10" s="266">
        <f t="shared" si="2"/>
        <v>-8</v>
      </c>
      <c r="W10" s="267">
        <f ca="1" xml:space="preserve"> RTD("cqg.rtd",,"StudyData",$AC$1,  "Bar",, "Time", "D",V10,,,,,"T")</f>
        <v>43004</v>
      </c>
      <c r="X10" s="268">
        <f ca="1" xml:space="preserve"> RTD("cqg.rtd",,"StudyData",$AC$1,  "Bar",, "Open", "D",V10,,,,,"T")</f>
        <v>3.1345999999999998</v>
      </c>
      <c r="Y10" s="268">
        <f ca="1" xml:space="preserve"> RTD("cqg.rtd",,"StudyData",$AC$1,  "Bar",, "High", "D",V10,,,,,"T")</f>
        <v>3.141</v>
      </c>
      <c r="Z10" s="268">
        <f ca="1" xml:space="preserve"> RTD("cqg.rtd",,"StudyData",$AC$1,  "Bar",, "LOw", "D",V10,,,,,"T")</f>
        <v>3.1261999999999999</v>
      </c>
      <c r="AA10" s="268">
        <f ca="1" xml:space="preserve"> RTD("cqg.rtd",,"StudyData",$AC$1,  "Bar",, "Close", "D",V10,,,,,"T")</f>
        <v>3.141</v>
      </c>
      <c r="AI10" s="266">
        <f t="shared" si="3"/>
        <v>-8</v>
      </c>
      <c r="AJ10" s="267">
        <f ca="1" xml:space="preserve"> RTD("cqg.rtd",,"StudyData",$AP$1,  "Bar",, "Time", "D",AI10,,,,,"T")</f>
        <v>43004</v>
      </c>
      <c r="AK10" s="268">
        <f ca="1" xml:space="preserve"> RTD("cqg.rtd",,"StudyData",$AP$1,  "Bar",, "Open", "D",AI10,,,,,"T")</f>
        <v>2.766</v>
      </c>
      <c r="AL10" s="268">
        <f ca="1" xml:space="preserve"> RTD("cqg.rtd",,"StudyData",$AP$1,  "Bar",, "High", "D",AI10,,,,,"T")</f>
        <v>2.7730000000000001</v>
      </c>
      <c r="AM10" s="268">
        <f ca="1" xml:space="preserve"> RTD("cqg.rtd",,"StudyData",$AP$1,  "Bar",, "LOw", "D",AI10,,,,,"T")</f>
        <v>2.7644285700000002</v>
      </c>
      <c r="AN10" s="268">
        <f ca="1" xml:space="preserve"> RTD("cqg.rtd",,"StudyData",$AP$1,  "Bar",, "Close", "D",AI10,,,,,"T")</f>
        <v>2.77042857</v>
      </c>
    </row>
    <row r="11" spans="1:42" x14ac:dyDescent="0.3">
      <c r="A11" s="266">
        <f t="shared" si="0"/>
        <v>-9</v>
      </c>
      <c r="B11" s="267">
        <f ca="1" xml:space="preserve"> RTD("cqg.rtd",,"StudyData",$H$1,  "Bar",, "Time", "D",A11,,,,,"T")</f>
        <v>43003</v>
      </c>
      <c r="C11" s="268">
        <f ca="1" xml:space="preserve"> RTD("cqg.rtd",,"StudyData",$H$1,  "Bar",, "Open", "D",A11,,,,,"T")</f>
        <v>3.1993999999999998</v>
      </c>
      <c r="D11" s="268">
        <f ca="1" xml:space="preserve"> RTD("cqg.rtd",,"StudyData",$H$1,  "Bar",, "High", "D",A11,,,,,"T")</f>
        <v>3.2313999999999998</v>
      </c>
      <c r="E11" s="268">
        <f ca="1" xml:space="preserve"> RTD("cqg.rtd",,"StudyData",$H$1,  "Bar",, "LOw", "D",A11,,,,,"T")</f>
        <v>3.1753999999999998</v>
      </c>
      <c r="F11" s="268">
        <f ca="1" xml:space="preserve"> RTD("cqg.rtd",,"StudyData",$H$1,  "Bar",, "Close", "D",A11,,,,,"T")</f>
        <v>3.1821999999999999</v>
      </c>
      <c r="N11" s="266">
        <f t="shared" si="1"/>
        <v>-9</v>
      </c>
      <c r="O11" s="267">
        <f ca="1" xml:space="preserve"> RTD("cqg.rtd",,"StudyData",$N$1,  "Bar",, "Time", "D",N11,,,,,"T")</f>
        <v>43003</v>
      </c>
      <c r="P11" s="268">
        <f ca="1" xml:space="preserve"> RTD("cqg.rtd",,"StudyData",$N$1,  "Bar",, "Open", "D",N11,,,,,"T")</f>
        <v>2.9411428599999998</v>
      </c>
      <c r="Q11" s="268">
        <f ca="1" xml:space="preserve"> RTD("cqg.rtd",,"StudyData",$N$1,  "Bar",, "High", "D",N11,,,,,"T")</f>
        <v>2.9535714300000002</v>
      </c>
      <c r="R11" s="268">
        <f ca="1" xml:space="preserve"> RTD("cqg.rtd",,"StudyData",$N$1,  "Bar",, "LOw", "D",N11,,,,,"T")</f>
        <v>2.9292857099999998</v>
      </c>
      <c r="S11" s="268">
        <f ca="1" xml:space="preserve"> RTD("cqg.rtd",,"StudyData",$N$1,  "Bar",, "Close", "D",N11,,,,,"T")</f>
        <v>2.9331428599999998</v>
      </c>
      <c r="V11" s="266">
        <f t="shared" si="2"/>
        <v>-9</v>
      </c>
      <c r="W11" s="267">
        <f ca="1" xml:space="preserve"> RTD("cqg.rtd",,"StudyData",$AC$1,  "Bar",, "Time", "D",V11,,,,,"T")</f>
        <v>43003</v>
      </c>
      <c r="X11" s="268">
        <f ca="1" xml:space="preserve"> RTD("cqg.rtd",,"StudyData",$AC$1,  "Bar",, "Open", "D",V11,,,,,"T")</f>
        <v>3.1514000000000002</v>
      </c>
      <c r="Y11" s="268">
        <f ca="1" xml:space="preserve"> RTD("cqg.rtd",,"StudyData",$AC$1,  "Bar",, "High", "D",V11,,,,,"T")</f>
        <v>3.1514000000000002</v>
      </c>
      <c r="Z11" s="268">
        <f ca="1" xml:space="preserve"> RTD("cqg.rtd",,"StudyData",$AC$1,  "Bar",, "LOw", "D",V11,,,,,"T")</f>
        <v>3.1328</v>
      </c>
      <c r="AA11" s="268">
        <f ca="1" xml:space="preserve"> RTD("cqg.rtd",,"StudyData",$AC$1,  "Bar",, "Close", "D",V11,,,,,"T")</f>
        <v>3.1345999999999998</v>
      </c>
      <c r="AI11" s="266">
        <f t="shared" si="3"/>
        <v>-9</v>
      </c>
      <c r="AJ11" s="267">
        <f ca="1" xml:space="preserve"> RTD("cqg.rtd",,"StudyData",$AP$1,  "Bar",, "Time", "D",AI11,,,,,"T")</f>
        <v>43003</v>
      </c>
      <c r="AK11" s="268">
        <f ca="1" xml:space="preserve"> RTD("cqg.rtd",,"StudyData",$AP$1,  "Bar",, "Open", "D",AI11,,,,,"T")</f>
        <v>2.79485714</v>
      </c>
      <c r="AL11" s="268">
        <f ca="1" xml:space="preserve"> RTD("cqg.rtd",,"StudyData",$AP$1,  "Bar",, "High", "D",AI11,,,,,"T")</f>
        <v>2.79485714</v>
      </c>
      <c r="AM11" s="268">
        <f ca="1" xml:space="preserve"> RTD("cqg.rtd",,"StudyData",$AP$1,  "Bar",, "LOw", "D",AI11,,,,,"T")</f>
        <v>2.766</v>
      </c>
      <c r="AN11" s="268">
        <f ca="1" xml:space="preserve"> RTD("cqg.rtd",,"StudyData",$AP$1,  "Bar",, "Close", "D",AI11,,,,,"T")</f>
        <v>2.766</v>
      </c>
    </row>
    <row r="12" spans="1:42" x14ac:dyDescent="0.3">
      <c r="A12" s="266">
        <f t="shared" si="0"/>
        <v>-10</v>
      </c>
      <c r="B12" s="267">
        <f ca="1" xml:space="preserve"> RTD("cqg.rtd",,"StudyData",$H$1,  "Bar",, "Time", "D",A12,,,,,"T")</f>
        <v>43000</v>
      </c>
      <c r="C12" s="268">
        <f ca="1" xml:space="preserve"> RTD("cqg.rtd",,"StudyData",$H$1,  "Bar",, "Open", "D",A12,,,,,"T")</f>
        <v>3.2082000000000002</v>
      </c>
      <c r="D12" s="268">
        <f ca="1" xml:space="preserve"> RTD("cqg.rtd",,"StudyData",$H$1,  "Bar",, "High", "D",A12,,,,,"T")</f>
        <v>3.2178</v>
      </c>
      <c r="E12" s="268">
        <f ca="1" xml:space="preserve"> RTD("cqg.rtd",,"StudyData",$H$1,  "Bar",, "LOw", "D",A12,,,,,"T")</f>
        <v>3.1913999999999998</v>
      </c>
      <c r="F12" s="268">
        <f ca="1" xml:space="preserve"> RTD("cqg.rtd",,"StudyData",$H$1,  "Bar",, "Close", "D",A12,,,,,"T")</f>
        <v>3.1996000000000002</v>
      </c>
      <c r="N12" s="266">
        <f t="shared" si="1"/>
        <v>-10</v>
      </c>
      <c r="O12" s="267">
        <f ca="1" xml:space="preserve"> RTD("cqg.rtd",,"StudyData",$N$1,  "Bar",, "Time", "D",N12,,,,,"T")</f>
        <v>43000</v>
      </c>
      <c r="P12" s="268">
        <f ca="1" xml:space="preserve"> RTD("cqg.rtd",,"StudyData",$N$1,  "Bar",, "Open", "D",N12,,,,,"T")</f>
        <v>2.9365714299999999</v>
      </c>
      <c r="Q12" s="268">
        <f ca="1" xml:space="preserve"> RTD("cqg.rtd",,"StudyData",$N$1,  "Bar",, "High", "D",N12,,,,,"T")</f>
        <v>2.9521428599999999</v>
      </c>
      <c r="R12" s="268">
        <f ca="1" xml:space="preserve"> RTD("cqg.rtd",,"StudyData",$N$1,  "Bar",, "LOw", "D",N12,,,,,"T")</f>
        <v>2.9344285700000001</v>
      </c>
      <c r="S12" s="268">
        <f ca="1" xml:space="preserve"> RTD("cqg.rtd",,"StudyData",$N$1,  "Bar",, "Close", "D",N12,,,,,"T")</f>
        <v>2.9420000000000002</v>
      </c>
      <c r="V12" s="266">
        <f t="shared" si="2"/>
        <v>-10</v>
      </c>
      <c r="W12" s="267">
        <f ca="1" xml:space="preserve"> RTD("cqg.rtd",,"StudyData",$AC$1,  "Bar",, "Time", "D",V12,,,,,"T")</f>
        <v>43000</v>
      </c>
      <c r="X12" s="268">
        <f ca="1" xml:space="preserve"> RTD("cqg.rtd",,"StudyData",$AC$1,  "Bar",, "Open", "D",V12,,,,,"T")</f>
        <v>3.1432000000000002</v>
      </c>
      <c r="Y12" s="268">
        <f ca="1" xml:space="preserve"> RTD("cqg.rtd",,"StudyData",$AC$1,  "Bar",, "High", "D",V12,,,,,"T")</f>
        <v>3.1596000000000002</v>
      </c>
      <c r="Z12" s="268">
        <f ca="1" xml:space="preserve"> RTD("cqg.rtd",,"StudyData",$AC$1,  "Bar",, "LOw", "D",V12,,,,,"T")</f>
        <v>3.1419999999999999</v>
      </c>
      <c r="AA12" s="268">
        <f ca="1" xml:space="preserve"> RTD("cqg.rtd",,"StudyData",$AC$1,  "Bar",, "Close", "D",V12,,,,,"T")</f>
        <v>3.1514000000000002</v>
      </c>
      <c r="AI12" s="266">
        <f t="shared" si="3"/>
        <v>-10</v>
      </c>
      <c r="AJ12" s="267">
        <f ca="1" xml:space="preserve"> RTD("cqg.rtd",,"StudyData",$AP$1,  "Bar",, "Time", "D",AI12,,,,,"T")</f>
        <v>43000</v>
      </c>
      <c r="AK12" s="268">
        <f ca="1" xml:space="preserve"> RTD("cqg.rtd",,"StudyData",$AP$1,  "Bar",, "Open", "D",AI12,,,,,"T")</f>
        <v>2.7715714299999998</v>
      </c>
      <c r="AL12" s="268">
        <f ca="1" xml:space="preserve"> RTD("cqg.rtd",,"StudyData",$AP$1,  "Bar",, "High", "D",AI12,,,,,"T")</f>
        <v>2.79485714</v>
      </c>
      <c r="AM12" s="268">
        <f ca="1" xml:space="preserve"> RTD("cqg.rtd",,"StudyData",$AP$1,  "Bar",, "LOw", "D",AI12,,,,,"T")</f>
        <v>2.7715714299999998</v>
      </c>
      <c r="AN12" s="268">
        <f ca="1" xml:space="preserve"> RTD("cqg.rtd",,"StudyData",$AP$1,  "Bar",, "Close", "D",AI12,,,,,"T")</f>
        <v>2.79485714</v>
      </c>
    </row>
    <row r="13" spans="1:42" x14ac:dyDescent="0.3">
      <c r="A13" s="266">
        <f t="shared" si="0"/>
        <v>-11</v>
      </c>
      <c r="B13" s="267">
        <f ca="1" xml:space="preserve"> RTD("cqg.rtd",,"StudyData",$H$1,  "Bar",, "Time", "D",A13,,,,,"T")</f>
        <v>42999</v>
      </c>
      <c r="C13" s="268">
        <f ca="1" xml:space="preserve"> RTD("cqg.rtd",,"StudyData",$H$1,  "Bar",, "Open", "D",A13,,,,,"T")</f>
        <v>3.3071999999999999</v>
      </c>
      <c r="D13" s="268">
        <f ca="1" xml:space="preserve"> RTD("cqg.rtd",,"StudyData",$H$1,  "Bar",, "High", "D",A13,,,,,"T")</f>
        <v>3.3146</v>
      </c>
      <c r="E13" s="268">
        <f ca="1" xml:space="preserve"> RTD("cqg.rtd",,"StudyData",$H$1,  "Bar",, "LOw", "D",A13,,,,,"T")</f>
        <v>3.1909999999999998</v>
      </c>
      <c r="F13" s="268">
        <f ca="1" xml:space="preserve"> RTD("cqg.rtd",,"StudyData",$H$1,  "Bar",, "Close", "D",A13,,,,,"T")</f>
        <v>3.2021999999999999</v>
      </c>
      <c r="N13" s="266">
        <f t="shared" si="1"/>
        <v>-11</v>
      </c>
      <c r="O13" s="267">
        <f ca="1" xml:space="preserve"> RTD("cqg.rtd",,"StudyData",$N$1,  "Bar",, "Time", "D",N13,,,,,"T")</f>
        <v>42999</v>
      </c>
      <c r="P13" s="268">
        <f ca="1" xml:space="preserve"> RTD("cqg.rtd",,"StudyData",$N$1,  "Bar",, "Open", "D",N13,,,,,"T")</f>
        <v>2.9767142899999999</v>
      </c>
      <c r="Q13" s="268">
        <f ca="1" xml:space="preserve"> RTD("cqg.rtd",,"StudyData",$N$1,  "Bar",, "High", "D",N13,,,,,"T")</f>
        <v>2.9767142899999999</v>
      </c>
      <c r="R13" s="268">
        <f ca="1" xml:space="preserve"> RTD("cqg.rtd",,"StudyData",$N$1,  "Bar",, "LOw", "D",N13,,,,,"T")</f>
        <v>2.9317142899999999</v>
      </c>
      <c r="S13" s="268">
        <f ca="1" xml:space="preserve"> RTD("cqg.rtd",,"StudyData",$N$1,  "Bar",, "Close", "D",N13,,,,,"T")</f>
        <v>2.9365714299999999</v>
      </c>
      <c r="V13" s="266">
        <f t="shared" si="2"/>
        <v>-11</v>
      </c>
      <c r="W13" s="267">
        <f ca="1" xml:space="preserve"> RTD("cqg.rtd",,"StudyData",$AC$1,  "Bar",, "Time", "D",V13,,,,,"T")</f>
        <v>42999</v>
      </c>
      <c r="X13" s="268">
        <f ca="1" xml:space="preserve"> RTD("cqg.rtd",,"StudyData",$AC$1,  "Bar",, "Open", "D",V13,,,,,"T")</f>
        <v>3.1829999999999998</v>
      </c>
      <c r="Y13" s="268">
        <f ca="1" xml:space="preserve"> RTD("cqg.rtd",,"StudyData",$AC$1,  "Bar",, "High", "D",V13,,,,,"T")</f>
        <v>3.1829999999999998</v>
      </c>
      <c r="Z13" s="268">
        <f ca="1" xml:space="preserve"> RTD("cqg.rtd",,"StudyData",$AC$1,  "Bar",, "LOw", "D",V13,,,,,"T")</f>
        <v>3.1362000000000001</v>
      </c>
      <c r="AA13" s="268">
        <f ca="1" xml:space="preserve"> RTD("cqg.rtd",,"StudyData",$AC$1,  "Bar",, "Close", "D",V13,,,,,"T")</f>
        <v>3.1432000000000002</v>
      </c>
      <c r="AI13" s="266">
        <f t="shared" si="3"/>
        <v>-11</v>
      </c>
      <c r="AJ13" s="267">
        <f ca="1" xml:space="preserve"> RTD("cqg.rtd",,"StudyData",$AP$1,  "Bar",, "Time", "D",AI13,,,,,"T")</f>
        <v>42999</v>
      </c>
      <c r="AK13" s="268">
        <f ca="1" xml:space="preserve"> RTD("cqg.rtd",,"StudyData",$AP$1,  "Bar",, "Open", "D",AI13,,,,,"T")</f>
        <v>2.7837142899999998</v>
      </c>
      <c r="AL13" s="268">
        <f ca="1" xml:space="preserve"> RTD("cqg.rtd",,"StudyData",$AP$1,  "Bar",, "High", "D",AI13,,,,,"T")</f>
        <v>2.7837142899999998</v>
      </c>
      <c r="AM13" s="268">
        <f ca="1" xml:space="preserve"> RTD("cqg.rtd",,"StudyData",$AP$1,  "Bar",, "LOw", "D",AI13,,,,,"T")</f>
        <v>2.7715714299999998</v>
      </c>
      <c r="AN13" s="268">
        <f ca="1" xml:space="preserve"> RTD("cqg.rtd",,"StudyData",$AP$1,  "Bar",, "Close", "D",AI13,,,,,"T")</f>
        <v>2.7715714299999998</v>
      </c>
    </row>
    <row r="14" spans="1:42" x14ac:dyDescent="0.3">
      <c r="A14" s="266">
        <f t="shared" si="0"/>
        <v>-12</v>
      </c>
      <c r="B14" s="267">
        <f ca="1" xml:space="preserve"> RTD("cqg.rtd",,"StudyData",$H$1,  "Bar",, "Time", "D",A14,,,,,"T")</f>
        <v>42998</v>
      </c>
      <c r="C14" s="268">
        <f ca="1" xml:space="preserve"> RTD("cqg.rtd",,"StudyData",$H$1,  "Bar",, "Open", "D",A14,,,,,"T")</f>
        <v>3.3353999999999999</v>
      </c>
      <c r="D14" s="268">
        <f ca="1" xml:space="preserve"> RTD("cqg.rtd",,"StudyData",$H$1,  "Bar",, "High", "D",A14,,,,,"T")</f>
        <v>3.3584000000000001</v>
      </c>
      <c r="E14" s="268">
        <f ca="1" xml:space="preserve"> RTD("cqg.rtd",,"StudyData",$H$1,  "Bar",, "LOw", "D",A14,,,,,"T")</f>
        <v>3.3037999999999998</v>
      </c>
      <c r="F14" s="268">
        <f ca="1" xml:space="preserve"> RTD("cqg.rtd",,"StudyData",$H$1,  "Bar",, "Close", "D",A14,,,,,"T")</f>
        <v>3.3068</v>
      </c>
      <c r="N14" s="266">
        <f t="shared" si="1"/>
        <v>-12</v>
      </c>
      <c r="O14" s="267">
        <f ca="1" xml:space="preserve"> RTD("cqg.rtd",,"StudyData",$N$1,  "Bar",, "Time", "D",N14,,,,,"T")</f>
        <v>42998</v>
      </c>
      <c r="P14" s="268">
        <f ca="1" xml:space="preserve"> RTD("cqg.rtd",,"StudyData",$N$1,  "Bar",, "Open", "D",N14,,,,,"T")</f>
        <v>2.9742857100000002</v>
      </c>
      <c r="Q14" s="268">
        <f ca="1" xml:space="preserve"> RTD("cqg.rtd",,"StudyData",$N$1,  "Bar",, "High", "D",N14,,,,,"T")</f>
        <v>2.984</v>
      </c>
      <c r="R14" s="268">
        <f ca="1" xml:space="preserve"> RTD("cqg.rtd",,"StudyData",$N$1,  "Bar",, "LOw", "D",N14,,,,,"T")</f>
        <v>2.9731428599999998</v>
      </c>
      <c r="S14" s="268">
        <f ca="1" xml:space="preserve"> RTD("cqg.rtd",,"StudyData",$N$1,  "Bar",, "Close", "D",N14,,,,,"T")</f>
        <v>2.9767142899999999</v>
      </c>
      <c r="V14" s="266">
        <f t="shared" si="2"/>
        <v>-12</v>
      </c>
      <c r="W14" s="267">
        <f ca="1" xml:space="preserve"> RTD("cqg.rtd",,"StudyData",$AC$1,  "Bar",, "Time", "D",V14,,,,,"T")</f>
        <v>42998</v>
      </c>
      <c r="X14" s="268">
        <f ca="1" xml:space="preserve"> RTD("cqg.rtd",,"StudyData",$AC$1,  "Bar",, "Open", "D",V14,,,,,"T")</f>
        <v>3.1796000000000002</v>
      </c>
      <c r="Y14" s="268">
        <f ca="1" xml:space="preserve"> RTD("cqg.rtd",,"StudyData",$AC$1,  "Bar",, "High", "D",V14,,,,,"T")</f>
        <v>3.1829999999999998</v>
      </c>
      <c r="Z14" s="268">
        <f ca="1" xml:space="preserve"> RTD("cqg.rtd",,"StudyData",$AC$1,  "Bar",, "LOw", "D",V14,,,,,"T")</f>
        <v>3.1774</v>
      </c>
      <c r="AA14" s="268">
        <f ca="1" xml:space="preserve"> RTD("cqg.rtd",,"StudyData",$AC$1,  "Bar",, "Close", "D",V14,,,,,"T")</f>
        <v>3.1829999999999998</v>
      </c>
      <c r="AI14" s="266">
        <f t="shared" si="3"/>
        <v>-12</v>
      </c>
      <c r="AJ14" s="267">
        <f ca="1" xml:space="preserve"> RTD("cqg.rtd",,"StudyData",$AP$1,  "Bar",, "Time", "D",AI14,,,,,"T")</f>
        <v>42998</v>
      </c>
      <c r="AK14" s="268">
        <f ca="1" xml:space="preserve"> RTD("cqg.rtd",,"StudyData",$AP$1,  "Bar",, "Open", "D",AI14,,,,,"T")</f>
        <v>2.7844285700000002</v>
      </c>
      <c r="AL14" s="268">
        <f ca="1" xml:space="preserve"> RTD("cqg.rtd",,"StudyData",$AP$1,  "Bar",, "High", "D",AI14,,,,,"T")</f>
        <v>2.7844285700000002</v>
      </c>
      <c r="AM14" s="268">
        <f ca="1" xml:space="preserve"> RTD("cqg.rtd",,"StudyData",$AP$1,  "Bar",, "LOw", "D",AI14,,,,,"T")</f>
        <v>2.7837142899999998</v>
      </c>
      <c r="AN14" s="268">
        <f ca="1" xml:space="preserve"> RTD("cqg.rtd",,"StudyData",$AP$1,  "Bar",, "Close", "D",AI14,,,,,"T")</f>
        <v>2.7837142899999998</v>
      </c>
    </row>
    <row r="15" spans="1:42" x14ac:dyDescent="0.3">
      <c r="A15" s="266">
        <f t="shared" si="0"/>
        <v>-13</v>
      </c>
      <c r="B15" s="267">
        <f ca="1" xml:space="preserve"> RTD("cqg.rtd",,"StudyData",$H$1,  "Bar",, "Time", "D",A15,,,,,"T")</f>
        <v>42997</v>
      </c>
      <c r="C15" s="268">
        <f ca="1" xml:space="preserve"> RTD("cqg.rtd",,"StudyData",$H$1,  "Bar",, "Open", "D",A15,,,,,"T")</f>
        <v>3.3540000000000001</v>
      </c>
      <c r="D15" s="268">
        <f ca="1" xml:space="preserve"> RTD("cqg.rtd",,"StudyData",$H$1,  "Bar",, "High", "D",A15,,,,,"T")</f>
        <v>3.3696000000000002</v>
      </c>
      <c r="E15" s="268">
        <f ca="1" xml:space="preserve"> RTD("cqg.rtd",,"StudyData",$H$1,  "Bar",, "LOw", "D",A15,,,,,"T")</f>
        <v>3.3355999999999999</v>
      </c>
      <c r="F15" s="268">
        <f ca="1" xml:space="preserve"> RTD("cqg.rtd",,"StudyData",$H$1,  "Bar",, "Close", "D",A15,,,,,"T")</f>
        <v>3.3359999999999999</v>
      </c>
      <c r="N15" s="266">
        <f t="shared" si="1"/>
        <v>-13</v>
      </c>
      <c r="O15" s="267">
        <f ca="1" xml:space="preserve"> RTD("cqg.rtd",,"StudyData",$N$1,  "Bar",, "Time", "D",N15,,,,,"T")</f>
        <v>42997</v>
      </c>
      <c r="P15" s="268">
        <f ca="1" xml:space="preserve"> RTD("cqg.rtd",,"StudyData",$N$1,  "Bar",, "Open", "D",N15,,,,,"T")</f>
        <v>2.9754285700000001</v>
      </c>
      <c r="Q15" s="268">
        <f ca="1" xml:space="preserve"> RTD("cqg.rtd",,"StudyData",$N$1,  "Bar",, "High", "D",N15,,,,,"T")</f>
        <v>2.9809999999999999</v>
      </c>
      <c r="R15" s="268">
        <f ca="1" xml:space="preserve"> RTD("cqg.rtd",,"StudyData",$N$1,  "Bar",, "LOw", "D",N15,,,,,"T")</f>
        <v>2.9651428599999998</v>
      </c>
      <c r="S15" s="268">
        <f ca="1" xml:space="preserve"> RTD("cqg.rtd",,"StudyData",$N$1,  "Bar",, "Close", "D",N15,,,,,"T")</f>
        <v>2.9742857100000002</v>
      </c>
      <c r="V15" s="266">
        <f t="shared" si="2"/>
        <v>-13</v>
      </c>
      <c r="W15" s="267">
        <f ca="1" xml:space="preserve"> RTD("cqg.rtd",,"StudyData",$AC$1,  "Bar",, "Time", "D",V15,,,,,"T")</f>
        <v>42997</v>
      </c>
      <c r="X15" s="268">
        <f ca="1" xml:space="preserve"> RTD("cqg.rtd",,"StudyData",$AC$1,  "Bar",, "Open", "D",V15,,,,,"T")</f>
        <v>3.1804000000000001</v>
      </c>
      <c r="Y15" s="268">
        <f ca="1" xml:space="preserve"> RTD("cqg.rtd",,"StudyData",$AC$1,  "Bar",, "High", "D",V15,,,,,"T")</f>
        <v>3.1838000000000002</v>
      </c>
      <c r="Z15" s="268">
        <f ca="1" xml:space="preserve"> RTD("cqg.rtd",,"StudyData",$AC$1,  "Bar",, "LOw", "D",V15,,,,,"T")</f>
        <v>3.1692</v>
      </c>
      <c r="AA15" s="268">
        <f ca="1" xml:space="preserve"> RTD("cqg.rtd",,"StudyData",$AC$1,  "Bar",, "Close", "D",V15,,,,,"T")</f>
        <v>3.1796000000000002</v>
      </c>
      <c r="AI15" s="266">
        <f t="shared" si="3"/>
        <v>-13</v>
      </c>
      <c r="AJ15" s="267">
        <f ca="1" xml:space="preserve"> RTD("cqg.rtd",,"StudyData",$AP$1,  "Bar",, "Time", "D",AI15,,,,,"T")</f>
        <v>42997</v>
      </c>
      <c r="AK15" s="268">
        <f ca="1" xml:space="preserve"> RTD("cqg.rtd",,"StudyData",$AP$1,  "Bar",, "Open", "D",AI15,,,,,"T")</f>
        <v>2.7850000000000001</v>
      </c>
      <c r="AL15" s="268">
        <f ca="1" xml:space="preserve"> RTD("cqg.rtd",,"StudyData",$AP$1,  "Bar",, "High", "D",AI15,,,,,"T")</f>
        <v>2.7872857099999999</v>
      </c>
      <c r="AM15" s="268">
        <f ca="1" xml:space="preserve"> RTD("cqg.rtd",,"StudyData",$AP$1,  "Bar",, "LOw", "D",AI15,,,,,"T")</f>
        <v>2.7814285700000001</v>
      </c>
      <c r="AN15" s="268">
        <f ca="1" xml:space="preserve"> RTD("cqg.rtd",,"StudyData",$AP$1,  "Bar",, "Close", "D",AI15,,,,,"T")</f>
        <v>2.7844285700000002</v>
      </c>
    </row>
    <row r="16" spans="1:42" x14ac:dyDescent="0.3">
      <c r="A16" s="266">
        <f t="shared" si="0"/>
        <v>-14</v>
      </c>
      <c r="B16" s="267">
        <f ca="1" xml:space="preserve"> RTD("cqg.rtd",,"StudyData",$H$1,  "Bar",, "Time", "D",A16,,,,,"T")</f>
        <v>42996</v>
      </c>
      <c r="C16" s="268">
        <f ca="1" xml:space="preserve"> RTD("cqg.rtd",,"StudyData",$H$1,  "Bar",, "Open", "D",A16,,,,,"T")</f>
        <v>3.2934000000000001</v>
      </c>
      <c r="D16" s="268">
        <f ca="1" xml:space="preserve"> RTD("cqg.rtd",,"StudyData",$H$1,  "Bar",, "High", "D",A16,,,,,"T")</f>
        <v>3.3639999999999999</v>
      </c>
      <c r="E16" s="268">
        <f ca="1" xml:space="preserve"> RTD("cqg.rtd",,"StudyData",$H$1,  "Bar",, "LOw", "D",A16,,,,,"T")</f>
        <v>3.2869999999999999</v>
      </c>
      <c r="F16" s="268">
        <f ca="1" xml:space="preserve"> RTD("cqg.rtd",,"StudyData",$H$1,  "Bar",, "Close", "D",A16,,,,,"T")</f>
        <v>3.3618000000000001</v>
      </c>
      <c r="N16" s="266">
        <f t="shared" si="1"/>
        <v>-14</v>
      </c>
      <c r="O16" s="267">
        <f ca="1" xml:space="preserve"> RTD("cqg.rtd",,"StudyData",$N$1,  "Bar",, "Time", "D",N16,,,,,"T")</f>
        <v>42996</v>
      </c>
      <c r="P16" s="268">
        <f ca="1" xml:space="preserve"> RTD("cqg.rtd",,"StudyData",$N$1,  "Bar",, "Open", "D",N16,,,,,"T")</f>
        <v>2.9648571399999999</v>
      </c>
      <c r="Q16" s="268">
        <f ca="1" xml:space="preserve"> RTD("cqg.rtd",,"StudyData",$N$1,  "Bar",, "High", "D",N16,,,,,"T")</f>
        <v>2.9861428600000002</v>
      </c>
      <c r="R16" s="268">
        <f ca="1" xml:space="preserve"> RTD("cqg.rtd",,"StudyData",$N$1,  "Bar",, "LOw", "D",N16,,,,,"T")</f>
        <v>2.9648571399999999</v>
      </c>
      <c r="S16" s="268">
        <f ca="1" xml:space="preserve"> RTD("cqg.rtd",,"StudyData",$N$1,  "Bar",, "Close", "D",N16,,,,,"T")</f>
        <v>2.9754285700000001</v>
      </c>
      <c r="V16" s="266">
        <f t="shared" si="2"/>
        <v>-14</v>
      </c>
      <c r="W16" s="267">
        <f ca="1" xml:space="preserve"> RTD("cqg.rtd",,"StudyData",$AC$1,  "Bar",, "Time", "D",V16,,,,,"T")</f>
        <v>42996</v>
      </c>
      <c r="X16" s="268">
        <f ca="1" xml:space="preserve"> RTD("cqg.rtd",,"StudyData",$AC$1,  "Bar",, "Open", "D",V16,,,,,"T")</f>
        <v>3.1692</v>
      </c>
      <c r="Y16" s="268">
        <f ca="1" xml:space="preserve"> RTD("cqg.rtd",,"StudyData",$AC$1,  "Bar",, "High", "D",V16,,,,,"T")</f>
        <v>3.1848000000000001</v>
      </c>
      <c r="Z16" s="268">
        <f ca="1" xml:space="preserve"> RTD("cqg.rtd",,"StudyData",$AC$1,  "Bar",, "LOw", "D",V16,,,,,"T")</f>
        <v>3.1692</v>
      </c>
      <c r="AA16" s="268">
        <f ca="1" xml:space="preserve"> RTD("cqg.rtd",,"StudyData",$AC$1,  "Bar",, "Close", "D",V16,,,,,"T")</f>
        <v>3.1804000000000001</v>
      </c>
      <c r="AI16" s="266">
        <f t="shared" si="3"/>
        <v>-14</v>
      </c>
      <c r="AJ16" s="267">
        <f ca="1" xml:space="preserve"> RTD("cqg.rtd",,"StudyData",$AP$1,  "Bar",, "Time", "D",AI16,,,,,"T")</f>
        <v>42996</v>
      </c>
      <c r="AK16" s="268">
        <f ca="1" xml:space="preserve"> RTD("cqg.rtd",,"StudyData",$AP$1,  "Bar",, "Open", "D",AI16,,,,,"T")</f>
        <v>2.7775714300000001</v>
      </c>
      <c r="AL16" s="268">
        <f ca="1" xml:space="preserve"> RTD("cqg.rtd",,"StudyData",$AP$1,  "Bar",, "High", "D",AI16,,,,,"T")</f>
        <v>2.7850000000000001</v>
      </c>
      <c r="AM16" s="268">
        <f ca="1" xml:space="preserve"> RTD("cqg.rtd",,"StudyData",$AP$1,  "Bar",, "LOw", "D",AI16,,,,,"T")</f>
        <v>2.7771428600000001</v>
      </c>
      <c r="AN16" s="268">
        <f ca="1" xml:space="preserve"> RTD("cqg.rtd",,"StudyData",$AP$1,  "Bar",, "Close", "D",AI16,,,,,"T")</f>
        <v>2.7850000000000001</v>
      </c>
    </row>
    <row r="17" spans="1:40" x14ac:dyDescent="0.3">
      <c r="A17" s="266">
        <f t="shared" si="0"/>
        <v>-15</v>
      </c>
      <c r="B17" s="267">
        <f ca="1" xml:space="preserve"> RTD("cqg.rtd",,"StudyData",$H$1,  "Bar",, "Time", "D",A17,,,,,"T")</f>
        <v>42993</v>
      </c>
      <c r="C17" s="268">
        <f ca="1" xml:space="preserve"> RTD("cqg.rtd",,"StudyData",$H$1,  "Bar",, "Open", "D",A17,,,,,"T")</f>
        <v>3.2871999999999999</v>
      </c>
      <c r="D17" s="268">
        <f ca="1" xml:space="preserve"> RTD("cqg.rtd",,"StudyData",$H$1,  "Bar",, "High", "D",A17,,,,,"T")</f>
        <v>3.2955999999999999</v>
      </c>
      <c r="E17" s="268">
        <f ca="1" xml:space="preserve"> RTD("cqg.rtd",,"StudyData",$H$1,  "Bar",, "LOw", "D",A17,,,,,"T")</f>
        <v>3.2444000000000002</v>
      </c>
      <c r="F17" s="268">
        <f ca="1" xml:space="preserve"> RTD("cqg.rtd",,"StudyData",$H$1,  "Bar",, "Close", "D",A17,,,,,"T")</f>
        <v>3.2665999999999999</v>
      </c>
      <c r="N17" s="266">
        <f t="shared" si="1"/>
        <v>-15</v>
      </c>
      <c r="O17" s="267">
        <f ca="1" xml:space="preserve"> RTD("cqg.rtd",,"StudyData",$N$1,  "Bar",, "Time", "D",N17,,,,,"T")</f>
        <v>42993</v>
      </c>
      <c r="P17" s="268">
        <f ca="1" xml:space="preserve"> RTD("cqg.rtd",,"StudyData",$N$1,  "Bar",, "Open", "D",N17,,,,,"T")</f>
        <v>2.9532857099999998</v>
      </c>
      <c r="Q17" s="268">
        <f ca="1" xml:space="preserve"> RTD("cqg.rtd",,"StudyData",$N$1,  "Bar",, "High", "D",N17,,,,,"T")</f>
        <v>2.9620000000000002</v>
      </c>
      <c r="R17" s="268">
        <f ca="1" xml:space="preserve"> RTD("cqg.rtd",,"StudyData",$N$1,  "Bar",, "LOw", "D",N17,,,,,"T")</f>
        <v>2.9421428600000001</v>
      </c>
      <c r="S17" s="268">
        <f ca="1" xml:space="preserve"> RTD("cqg.rtd",,"StudyData",$N$1,  "Bar",, "Close", "D",N17,,,,,"T")</f>
        <v>2.9604285699999999</v>
      </c>
      <c r="V17" s="266">
        <f t="shared" si="2"/>
        <v>-15</v>
      </c>
      <c r="W17" s="267">
        <f ca="1" xml:space="preserve"> RTD("cqg.rtd",,"StudyData",$AC$1,  "Bar",, "Time", "D",V17,,,,,"T")</f>
        <v>42993</v>
      </c>
      <c r="X17" s="268">
        <f ca="1" xml:space="preserve"> RTD("cqg.rtd",,"StudyData",$AC$1,  "Bar",, "Open", "D",V17,,,,,"T")</f>
        <v>3.1509999999999998</v>
      </c>
      <c r="Y17" s="268">
        <f ca="1" xml:space="preserve"> RTD("cqg.rtd",,"StudyData",$AC$1,  "Bar",, "High", "D",V17,,,,,"T")</f>
        <v>3.1692</v>
      </c>
      <c r="Z17" s="268">
        <f ca="1" xml:space="preserve"> RTD("cqg.rtd",,"StudyData",$AC$1,  "Bar",, "LOw", "D",V17,,,,,"T")</f>
        <v>3.1421999999999999</v>
      </c>
      <c r="AA17" s="268">
        <f ca="1" xml:space="preserve"> RTD("cqg.rtd",,"StudyData",$AC$1,  "Bar",, "Close", "D",V17,,,,,"T")</f>
        <v>3.1692</v>
      </c>
      <c r="AI17" s="266">
        <f t="shared" si="3"/>
        <v>-15</v>
      </c>
      <c r="AJ17" s="267">
        <f ca="1" xml:space="preserve"> RTD("cqg.rtd",,"StudyData",$AP$1,  "Bar",, "Time", "D",AI17,,,,,"T")</f>
        <v>42993</v>
      </c>
      <c r="AK17" s="268">
        <f ca="1" xml:space="preserve"> RTD("cqg.rtd",,"StudyData",$AP$1,  "Bar",, "Open", "D",AI17,,,,,"T")</f>
        <v>2.7724285700000002</v>
      </c>
      <c r="AL17" s="268">
        <f ca="1" xml:space="preserve"> RTD("cqg.rtd",,"StudyData",$AP$1,  "Bar",, "High", "D",AI17,,,,,"T")</f>
        <v>2.7775714300000001</v>
      </c>
      <c r="AM17" s="268">
        <f ca="1" xml:space="preserve"> RTD("cqg.rtd",,"StudyData",$AP$1,  "Bar",, "LOw", "D",AI17,,,,,"T")</f>
        <v>2.7724285700000002</v>
      </c>
      <c r="AN17" s="268">
        <f ca="1" xml:space="preserve"> RTD("cqg.rtd",,"StudyData",$AP$1,  "Bar",, "Close", "D",AI17,,,,,"T")</f>
        <v>2.7775714300000001</v>
      </c>
    </row>
    <row r="18" spans="1:40" x14ac:dyDescent="0.3">
      <c r="A18" s="266">
        <f t="shared" si="0"/>
        <v>-16</v>
      </c>
      <c r="B18" s="267">
        <f ca="1" xml:space="preserve"> RTD("cqg.rtd",,"StudyData",$H$1,  "Bar",, "Time", "D",A18,,,,,"T")</f>
        <v>42992</v>
      </c>
      <c r="C18" s="268">
        <f ca="1" xml:space="preserve"> RTD("cqg.rtd",,"StudyData",$H$1,  "Bar",, "Open", "D",A18,,,,,"T")</f>
        <v>3.2867999999999999</v>
      </c>
      <c r="D18" s="268">
        <f ca="1" xml:space="preserve"> RTD("cqg.rtd",,"StudyData",$H$1,  "Bar",, "High", "D",A18,,,,,"T")</f>
        <v>3.319</v>
      </c>
      <c r="E18" s="268">
        <f ca="1" xml:space="preserve"> RTD("cqg.rtd",,"StudyData",$H$1,  "Bar",, "LOw", "D",A18,,,,,"T")</f>
        <v>3.2669999999999999</v>
      </c>
      <c r="F18" s="268">
        <f ca="1" xml:space="preserve"> RTD("cqg.rtd",,"StudyData",$H$1,  "Bar",, "Close", "D",A18,,,,,"T")</f>
        <v>3.2913999999999999</v>
      </c>
      <c r="N18" s="266">
        <f t="shared" si="1"/>
        <v>-16</v>
      </c>
      <c r="O18" s="267">
        <f ca="1" xml:space="preserve"> RTD("cqg.rtd",,"StudyData",$N$1,  "Bar",, "Time", "D",N18,,,,,"T")</f>
        <v>42992</v>
      </c>
      <c r="P18" s="268">
        <f ca="1" xml:space="preserve"> RTD("cqg.rtd",,"StudyData",$N$1,  "Bar",, "Open", "D",N18,,,,,"T")</f>
        <v>2.9561428599999999</v>
      </c>
      <c r="Q18" s="268">
        <f ca="1" xml:space="preserve"> RTD("cqg.rtd",,"StudyData",$N$1,  "Bar",, "High", "D",N18,,,,,"T")</f>
        <v>2.9658571399999998</v>
      </c>
      <c r="R18" s="268">
        <f ca="1" xml:space="preserve"> RTD("cqg.rtd",,"StudyData",$N$1,  "Bar",, "LOw", "D",N18,,,,,"T")</f>
        <v>2.9485714299999999</v>
      </c>
      <c r="S18" s="268">
        <f ca="1" xml:space="preserve"> RTD("cqg.rtd",,"StudyData",$N$1,  "Bar",, "Close", "D",N18,,,,,"T")</f>
        <v>2.9532857099999998</v>
      </c>
      <c r="V18" s="266">
        <f t="shared" si="2"/>
        <v>-16</v>
      </c>
      <c r="W18" s="267">
        <f ca="1" xml:space="preserve"> RTD("cqg.rtd",,"StudyData",$AC$1,  "Bar",, "Time", "D",V18,,,,,"T")</f>
        <v>42992</v>
      </c>
      <c r="X18" s="268">
        <f ca="1" xml:space="preserve"> RTD("cqg.rtd",,"StudyData",$AC$1,  "Bar",, "Open", "D",V18,,,,,"T")</f>
        <v>3.1516000000000002</v>
      </c>
      <c r="Y18" s="268">
        <f ca="1" xml:space="preserve"> RTD("cqg.rtd",,"StudyData",$AC$1,  "Bar",, "High", "D",V18,,,,,"T")</f>
        <v>3.1583999999999999</v>
      </c>
      <c r="Z18" s="268">
        <f ca="1" xml:space="preserve"> RTD("cqg.rtd",,"StudyData",$AC$1,  "Bar",, "LOw", "D",V18,,,,,"T")</f>
        <v>3.1434000000000002</v>
      </c>
      <c r="AA18" s="268">
        <f ca="1" xml:space="preserve"> RTD("cqg.rtd",,"StudyData",$AC$1,  "Bar",, "Close", "D",V18,,,,,"T")</f>
        <v>3.1509999999999998</v>
      </c>
      <c r="AI18" s="266">
        <f t="shared" si="3"/>
        <v>-16</v>
      </c>
      <c r="AJ18" s="267">
        <f ca="1" xml:space="preserve"> RTD("cqg.rtd",,"StudyData",$AP$1,  "Bar",, "Time", "D",AI18,,,,,"T")</f>
        <v>42992</v>
      </c>
      <c r="AK18" s="268">
        <f ca="1" xml:space="preserve"> RTD("cqg.rtd",,"StudyData",$AP$1,  "Bar",, "Open", "D",AI18,,,,,"T")</f>
        <v>2.7647142900000001</v>
      </c>
      <c r="AL18" s="268">
        <f ca="1" xml:space="preserve"> RTD("cqg.rtd",,"StudyData",$AP$1,  "Bar",, "High", "D",AI18,,,,,"T")</f>
        <v>2.7724285700000002</v>
      </c>
      <c r="AM18" s="268">
        <f ca="1" xml:space="preserve"> RTD("cqg.rtd",,"StudyData",$AP$1,  "Bar",, "LOw", "D",AI18,,,,,"T")</f>
        <v>2.7585714299999999</v>
      </c>
      <c r="AN18" s="268">
        <f ca="1" xml:space="preserve"> RTD("cqg.rtd",,"StudyData",$AP$1,  "Bar",, "Close", "D",AI18,,,,,"T")</f>
        <v>2.7724285700000002</v>
      </c>
    </row>
    <row r="19" spans="1:40" x14ac:dyDescent="0.3">
      <c r="A19" s="266">
        <f t="shared" si="0"/>
        <v>-17</v>
      </c>
      <c r="B19" s="267">
        <f ca="1" xml:space="preserve"> RTD("cqg.rtd",,"StudyData",$H$1,  "Bar",, "Time", "D",A19,,,,,"T")</f>
        <v>42991</v>
      </c>
      <c r="C19" s="268">
        <f ca="1" xml:space="preserve"> RTD("cqg.rtd",,"StudyData",$H$1,  "Bar",, "Open", "D",A19,,,,,"T")</f>
        <v>3.2412000000000001</v>
      </c>
      <c r="D19" s="268">
        <f ca="1" xml:space="preserve"> RTD("cqg.rtd",,"StudyData",$H$1,  "Bar",, "High", "D",A19,,,,,"T")</f>
        <v>3.3026</v>
      </c>
      <c r="E19" s="268">
        <f ca="1" xml:space="preserve"> RTD("cqg.rtd",,"StudyData",$H$1,  "Bar",, "LOw", "D",A19,,,,,"T")</f>
        <v>3.2406000000000001</v>
      </c>
      <c r="F19" s="268">
        <f ca="1" xml:space="preserve"> RTD("cqg.rtd",,"StudyData",$H$1,  "Bar",, "Close", "D",A19,,,,,"T")</f>
        <v>3.2871999999999999</v>
      </c>
      <c r="N19" s="266">
        <f t="shared" si="1"/>
        <v>-17</v>
      </c>
      <c r="O19" s="267">
        <f ca="1" xml:space="preserve"> RTD("cqg.rtd",,"StudyData",$N$1,  "Bar",, "Time", "D",N19,,,,,"T")</f>
        <v>42991</v>
      </c>
      <c r="P19" s="268">
        <f ca="1" xml:space="preserve"> RTD("cqg.rtd",,"StudyData",$N$1,  "Bar",, "Open", "D",N19,,,,,"T")</f>
        <v>2.9467142900000001</v>
      </c>
      <c r="Q19" s="268">
        <f ca="1" xml:space="preserve"> RTD("cqg.rtd",,"StudyData",$N$1,  "Bar",, "High", "D",N19,,,,,"T")</f>
        <v>2.9687142899999999</v>
      </c>
      <c r="R19" s="268">
        <f ca="1" xml:space="preserve"> RTD("cqg.rtd",,"StudyData",$N$1,  "Bar",, "LOw", "D",N19,,,,,"T")</f>
        <v>2.9467142900000001</v>
      </c>
      <c r="S19" s="268">
        <f ca="1" xml:space="preserve"> RTD("cqg.rtd",,"StudyData",$N$1,  "Bar",, "Close", "D",N19,,,,,"T")</f>
        <v>2.9561428599999999</v>
      </c>
      <c r="V19" s="266">
        <f t="shared" si="2"/>
        <v>-17</v>
      </c>
      <c r="W19" s="267">
        <f ca="1" xml:space="preserve"> RTD("cqg.rtd",,"StudyData",$AC$1,  "Bar",, "Time", "D",V19,,,,,"T")</f>
        <v>42991</v>
      </c>
      <c r="X19" s="268">
        <f ca="1" xml:space="preserve"> RTD("cqg.rtd",,"StudyData",$AC$1,  "Bar",, "Open", "D",V19,,,,,"T")</f>
        <v>3.14</v>
      </c>
      <c r="Y19" s="268">
        <f ca="1" xml:space="preserve"> RTD("cqg.rtd",,"StudyData",$AC$1,  "Bar",, "High", "D",V19,,,,,"T")</f>
        <v>3.1587999999999998</v>
      </c>
      <c r="Z19" s="268">
        <f ca="1" xml:space="preserve"> RTD("cqg.rtd",,"StudyData",$AC$1,  "Bar",, "LOw", "D",V19,,,,,"T")</f>
        <v>3.14</v>
      </c>
      <c r="AA19" s="268">
        <f ca="1" xml:space="preserve"> RTD("cqg.rtd",,"StudyData",$AC$1,  "Bar",, "Close", "D",V19,,,,,"T")</f>
        <v>3.1516000000000002</v>
      </c>
      <c r="AI19" s="266">
        <f t="shared" si="3"/>
        <v>-17</v>
      </c>
      <c r="AJ19" s="267">
        <f ca="1" xml:space="preserve"> RTD("cqg.rtd",,"StudyData",$AP$1,  "Bar",, "Time", "D",AI19,,,,,"T")</f>
        <v>42991</v>
      </c>
      <c r="AK19" s="268">
        <f ca="1" xml:space="preserve"> RTD("cqg.rtd",,"StudyData",$AP$1,  "Bar",, "Open", "D",AI19,,,,,"T")</f>
        <v>2.7717142899999998</v>
      </c>
      <c r="AL19" s="268">
        <f ca="1" xml:space="preserve"> RTD("cqg.rtd",,"StudyData",$AP$1,  "Bar",, "High", "D",AI19,,,,,"T")</f>
        <v>2.7732857100000001</v>
      </c>
      <c r="AM19" s="268">
        <f ca="1" xml:space="preserve"> RTD("cqg.rtd",,"StudyData",$AP$1,  "Bar",, "LOw", "D",AI19,,,,,"T")</f>
        <v>2.7632857099999999</v>
      </c>
      <c r="AN19" s="268">
        <f ca="1" xml:space="preserve"> RTD("cqg.rtd",,"StudyData",$AP$1,  "Bar",, "Close", "D",AI19,,,,,"T")</f>
        <v>2.7647142900000001</v>
      </c>
    </row>
    <row r="20" spans="1:40" x14ac:dyDescent="0.3">
      <c r="A20" s="266">
        <f t="shared" si="0"/>
        <v>-18</v>
      </c>
      <c r="B20" s="267">
        <f ca="1" xml:space="preserve"> RTD("cqg.rtd",,"StudyData",$H$1,  "Bar",, "Time", "D",A20,,,,,"T")</f>
        <v>42990</v>
      </c>
      <c r="C20" s="268">
        <f ca="1" xml:space="preserve"> RTD("cqg.rtd",,"StudyData",$H$1,  "Bar",, "Open", "D",A20,,,,,"T")</f>
        <v>3.2044000000000001</v>
      </c>
      <c r="D20" s="268">
        <f ca="1" xml:space="preserve"> RTD("cqg.rtd",,"StudyData",$H$1,  "Bar",, "High", "D",A20,,,,,"T")</f>
        <v>3.2879999999999998</v>
      </c>
      <c r="E20" s="268">
        <f ca="1" xml:space="preserve"> RTD("cqg.rtd",,"StudyData",$H$1,  "Bar",, "LOw", "D",A20,,,,,"T")</f>
        <v>3.1932</v>
      </c>
      <c r="F20" s="268">
        <f ca="1" xml:space="preserve"> RTD("cqg.rtd",,"StudyData",$H$1,  "Bar",, "Close", "D",A20,,,,,"T")</f>
        <v>3.2454000000000001</v>
      </c>
      <c r="N20" s="266">
        <f t="shared" si="1"/>
        <v>-18</v>
      </c>
      <c r="O20" s="267">
        <f ca="1" xml:space="preserve"> RTD("cqg.rtd",,"StudyData",$N$1,  "Bar",, "Time", "D",N20,,,,,"T")</f>
        <v>42990</v>
      </c>
      <c r="P20" s="268">
        <f ca="1" xml:space="preserve"> RTD("cqg.rtd",,"StudyData",$N$1,  "Bar",, "Open", "D",N20,,,,,"T")</f>
        <v>2.9378571400000002</v>
      </c>
      <c r="Q20" s="268">
        <f ca="1" xml:space="preserve"> RTD("cqg.rtd",,"StudyData",$N$1,  "Bar",, "High", "D",N20,,,,,"T")</f>
        <v>2.9645714299999999</v>
      </c>
      <c r="R20" s="268">
        <f ca="1" xml:space="preserve"> RTD("cqg.rtd",,"StudyData",$N$1,  "Bar",, "LOw", "D",N20,,,,,"T")</f>
        <v>2.9345714300000001</v>
      </c>
      <c r="S20" s="268">
        <f ca="1" xml:space="preserve"> RTD("cqg.rtd",,"StudyData",$N$1,  "Bar",, "Close", "D",N20,,,,,"T")</f>
        <v>2.9467142900000001</v>
      </c>
      <c r="V20" s="266">
        <f t="shared" si="2"/>
        <v>-18</v>
      </c>
      <c r="W20" s="267">
        <f ca="1" xml:space="preserve"> RTD("cqg.rtd",,"StudyData",$AC$1,  "Bar",, "Time", "D",V20,,,,,"T")</f>
        <v>42990</v>
      </c>
      <c r="X20" s="268">
        <f ca="1" xml:space="preserve"> RTD("cqg.rtd",,"StudyData",$AC$1,  "Bar",, "Open", "D",V20,,,,,"T")</f>
        <v>3.1316000000000002</v>
      </c>
      <c r="Y20" s="268">
        <f ca="1" xml:space="preserve"> RTD("cqg.rtd",,"StudyData",$AC$1,  "Bar",, "High", "D",V20,,,,,"T")</f>
        <v>3.1545999999999998</v>
      </c>
      <c r="Z20" s="268">
        <f ca="1" xml:space="preserve"> RTD("cqg.rtd",,"StudyData",$AC$1,  "Bar",, "LOw", "D",V20,,,,,"T")</f>
        <v>3.1316000000000002</v>
      </c>
      <c r="AA20" s="268">
        <f ca="1" xml:space="preserve"> RTD("cqg.rtd",,"StudyData",$AC$1,  "Bar",, "Close", "D",V20,,,,,"T")</f>
        <v>3.14</v>
      </c>
      <c r="AI20" s="266">
        <f t="shared" si="3"/>
        <v>-18</v>
      </c>
      <c r="AJ20" s="267">
        <f ca="1" xml:space="preserve"> RTD("cqg.rtd",,"StudyData",$AP$1,  "Bar",, "Time", "D",AI20,,,,,"T")</f>
        <v>42990</v>
      </c>
      <c r="AK20" s="268">
        <f ca="1" xml:space="preserve"> RTD("cqg.rtd",,"StudyData",$AP$1,  "Bar",, "Open", "D",AI20,,,,,"T")</f>
        <v>2.7634285699999999</v>
      </c>
      <c r="AL20" s="268">
        <f ca="1" xml:space="preserve"> RTD("cqg.rtd",,"StudyData",$AP$1,  "Bar",, "High", "D",AI20,,,,,"T")</f>
        <v>2.7725714300000002</v>
      </c>
      <c r="AM20" s="268">
        <f ca="1" xml:space="preserve"> RTD("cqg.rtd",,"StudyData",$AP$1,  "Bar",, "LOw", "D",AI20,,,,,"T")</f>
        <v>2.7634285699999999</v>
      </c>
      <c r="AN20" s="268">
        <f ca="1" xml:space="preserve"> RTD("cqg.rtd",,"StudyData",$AP$1,  "Bar",, "Close", "D",AI20,,,,,"T")</f>
        <v>2.7717142899999998</v>
      </c>
    </row>
    <row r="21" spans="1:40" x14ac:dyDescent="0.3">
      <c r="A21" s="266">
        <f t="shared" si="0"/>
        <v>-19</v>
      </c>
      <c r="B21" s="267">
        <f ca="1" xml:space="preserve"> RTD("cqg.rtd",,"StudyData",$H$1,  "Bar",, "Time", "D",A21,,,,,"T")</f>
        <v>42989</v>
      </c>
      <c r="C21" s="268">
        <f ca="1" xml:space="preserve"> RTD("cqg.rtd",,"StudyData",$H$1,  "Bar",, "Open", "D",A21,,,,,"T")</f>
        <v>3.1629999999999998</v>
      </c>
      <c r="D21" s="268">
        <f ca="1" xml:space="preserve"> RTD("cqg.rtd",,"StudyData",$H$1,  "Bar",, "High", "D",A21,,,,,"T")</f>
        <v>3.206</v>
      </c>
      <c r="E21" s="268">
        <f ca="1" xml:space="preserve"> RTD("cqg.rtd",,"StudyData",$H$1,  "Bar",, "LOw", "D",A21,,,,,"T")</f>
        <v>3.1568000000000001</v>
      </c>
      <c r="F21" s="268">
        <f ca="1" xml:space="preserve"> RTD("cqg.rtd",,"StudyData",$H$1,  "Bar",, "Close", "D",A21,,,,,"T")</f>
        <v>3.2048000000000001</v>
      </c>
      <c r="N21" s="266">
        <f t="shared" si="1"/>
        <v>-19</v>
      </c>
      <c r="O21" s="267">
        <f ca="1" xml:space="preserve"> RTD("cqg.rtd",,"StudyData",$N$1,  "Bar",, "Time", "D",N21,,,,,"T")</f>
        <v>42989</v>
      </c>
      <c r="P21" s="268">
        <f ca="1" xml:space="preserve"> RTD("cqg.rtd",,"StudyData",$N$1,  "Bar",, "Open", "D",N21,,,,,"T")</f>
        <v>2.9159999999999999</v>
      </c>
      <c r="Q21" s="268">
        <f ca="1" xml:space="preserve"> RTD("cqg.rtd",,"StudyData",$N$1,  "Bar",, "High", "D",N21,,,,,"T")</f>
        <v>2.94371429</v>
      </c>
      <c r="R21" s="268">
        <f ca="1" xml:space="preserve"> RTD("cqg.rtd",,"StudyData",$N$1,  "Bar",, "LOw", "D",N21,,,,,"T")</f>
        <v>2.9159999999999999</v>
      </c>
      <c r="S21" s="268">
        <f ca="1" xml:space="preserve"> RTD("cqg.rtd",,"StudyData",$N$1,  "Bar",, "Close", "D",N21,,,,,"T")</f>
        <v>2.9378571400000002</v>
      </c>
      <c r="V21" s="266">
        <f t="shared" si="2"/>
        <v>-19</v>
      </c>
      <c r="W21" s="267">
        <f ca="1" xml:space="preserve"> RTD("cqg.rtd",,"StudyData",$AC$1,  "Bar",, "Time", "D",V21,,,,,"T")</f>
        <v>42989</v>
      </c>
      <c r="X21" s="268">
        <f ca="1" xml:space="preserve"> RTD("cqg.rtd",,"StudyData",$AC$1,  "Bar",, "Open", "D",V21,,,,,"T")</f>
        <v>3.1103999999999998</v>
      </c>
      <c r="Y21" s="268">
        <f ca="1" xml:space="preserve"> RTD("cqg.rtd",,"StudyData",$AC$1,  "Bar",, "High", "D",V21,,,,,"T")</f>
        <v>3.1394000000000002</v>
      </c>
      <c r="Z21" s="268">
        <f ca="1" xml:space="preserve"> RTD("cqg.rtd",,"StudyData",$AC$1,  "Bar",, "LOw", "D",V21,,,,,"T")</f>
        <v>3.1103999999999998</v>
      </c>
      <c r="AA21" s="268">
        <f ca="1" xml:space="preserve"> RTD("cqg.rtd",,"StudyData",$AC$1,  "Bar",, "Close", "D",V21,,,,,"T")</f>
        <v>3.1316000000000002</v>
      </c>
      <c r="AI21" s="266">
        <f t="shared" si="3"/>
        <v>-19</v>
      </c>
      <c r="AJ21" s="267">
        <f ca="1" xml:space="preserve"> RTD("cqg.rtd",,"StudyData",$AP$1,  "Bar",, "Time", "D",AI21,,,,,"T")</f>
        <v>42989</v>
      </c>
      <c r="AK21" s="268">
        <f ca="1" xml:space="preserve"> RTD("cqg.rtd",,"StudyData",$AP$1,  "Bar",, "Open", "D",AI21,,,,,"T")</f>
        <v>2.7478571399999998</v>
      </c>
      <c r="AL21" s="268">
        <f ca="1" xml:space="preserve"> RTD("cqg.rtd",,"StudyData",$AP$1,  "Bar",, "High", "D",AI21,,,,,"T")</f>
        <v>2.7652857100000001</v>
      </c>
      <c r="AM21" s="268">
        <f ca="1" xml:space="preserve"> RTD("cqg.rtd",,"StudyData",$AP$1,  "Bar",, "LOw", "D",AI21,,,,,"T")</f>
        <v>2.7478571399999998</v>
      </c>
      <c r="AN21" s="268">
        <f ca="1" xml:space="preserve"> RTD("cqg.rtd",,"StudyData",$AP$1,  "Bar",, "Close", "D",AI21,,,,,"T")</f>
        <v>2.7634285699999999</v>
      </c>
    </row>
    <row r="22" spans="1:40" x14ac:dyDescent="0.3">
      <c r="A22" s="266">
        <f t="shared" si="0"/>
        <v>-20</v>
      </c>
      <c r="B22" s="267">
        <f ca="1" xml:space="preserve"> RTD("cqg.rtd",,"StudyData",$H$1,  "Bar",, "Time", "D",A22,,,,,"T")</f>
        <v>42986</v>
      </c>
      <c r="C22" s="268">
        <f ca="1" xml:space="preserve"> RTD("cqg.rtd",,"StudyData",$H$1,  "Bar",, "Open", "D",A22,,,,,"T")</f>
        <v>3.2134</v>
      </c>
      <c r="D22" s="268">
        <f ca="1" xml:space="preserve"> RTD("cqg.rtd",,"StudyData",$H$1,  "Bar",, "High", "D",A22,,,,,"T")</f>
        <v>3.2185999999999999</v>
      </c>
      <c r="E22" s="268">
        <f ca="1" xml:space="preserve"> RTD("cqg.rtd",,"StudyData",$H$1,  "Bar",, "LOw", "D",A22,,,,,"T")</f>
        <v>3.1406000000000001</v>
      </c>
      <c r="F22" s="268">
        <f ca="1" xml:space="preserve"> RTD("cqg.rtd",,"StudyData",$H$1,  "Bar",, "Close", "D",A22,,,,,"T")</f>
        <v>3.157</v>
      </c>
      <c r="N22" s="266">
        <f t="shared" si="1"/>
        <v>-20</v>
      </c>
      <c r="O22" s="267">
        <f ca="1" xml:space="preserve"> RTD("cqg.rtd",,"StudyData",$N$1,  "Bar",, "Time", "D",N22,,,,,"T")</f>
        <v>42986</v>
      </c>
      <c r="P22" s="268">
        <f ca="1" xml:space="preserve"> RTD("cqg.rtd",,"StudyData",$N$1,  "Bar",, "Open", "D",N22,,,,,"T")</f>
        <v>2.93128571</v>
      </c>
      <c r="Q22" s="268">
        <f ca="1" xml:space="preserve"> RTD("cqg.rtd",,"StudyData",$N$1,  "Bar",, "High", "D",N22,,,,,"T")</f>
        <v>2.93128571</v>
      </c>
      <c r="R22" s="268">
        <f ca="1" xml:space="preserve"> RTD("cqg.rtd",,"StudyData",$N$1,  "Bar",, "LOw", "D",N22,,,,,"T")</f>
        <v>2.9011428600000002</v>
      </c>
      <c r="S22" s="268">
        <f ca="1" xml:space="preserve"> RTD("cqg.rtd",,"StudyData",$N$1,  "Bar",, "Close", "D",N22,,,,,"T")</f>
        <v>2.9142857100000001</v>
      </c>
      <c r="V22" s="266">
        <f t="shared" si="2"/>
        <v>-20</v>
      </c>
      <c r="W22" s="267">
        <f ca="1" xml:space="preserve"> RTD("cqg.rtd",,"StudyData",$AC$1,  "Bar",, "Time", "D",V22,,,,,"T")</f>
        <v>42986</v>
      </c>
      <c r="X22" s="268">
        <f ca="1" xml:space="preserve"> RTD("cqg.rtd",,"StudyData",$AC$1,  "Bar",, "Open", "D",V22,,,,,"T")</f>
        <v>3.1236000000000002</v>
      </c>
      <c r="Y22" s="268">
        <f ca="1" xml:space="preserve"> RTD("cqg.rtd",,"StudyData",$AC$1,  "Bar",, "High", "D",V22,,,,,"T")</f>
        <v>3.1242000000000001</v>
      </c>
      <c r="Z22" s="268">
        <f ca="1" xml:space="preserve"> RTD("cqg.rtd",,"StudyData",$AC$1,  "Bar",, "LOw", "D",V22,,,,,"T")</f>
        <v>3.101</v>
      </c>
      <c r="AA22" s="268">
        <f ca="1" xml:space="preserve"> RTD("cqg.rtd",,"StudyData",$AC$1,  "Bar",, "Close", "D",V22,,,,,"T")</f>
        <v>3.1103999999999998</v>
      </c>
      <c r="AI22" s="266">
        <f t="shared" si="3"/>
        <v>-20</v>
      </c>
      <c r="AJ22" s="267">
        <f ca="1" xml:space="preserve"> RTD("cqg.rtd",,"StudyData",$AP$1,  "Bar",, "Time", "D",AI22,,,,,"T")</f>
        <v>42986</v>
      </c>
      <c r="AK22" s="268">
        <f ca="1" xml:space="preserve"> RTD("cqg.rtd",,"StudyData",$AP$1,  "Bar",, "Open", "D",AI22,,,,,"T")</f>
        <v>2.7490000000000001</v>
      </c>
      <c r="AL22" s="268">
        <f ca="1" xml:space="preserve"> RTD("cqg.rtd",,"StudyData",$AP$1,  "Bar",, "High", "D",AI22,,,,,"T")</f>
        <v>2.75042857</v>
      </c>
      <c r="AM22" s="268">
        <f ca="1" xml:space="preserve"> RTD("cqg.rtd",,"StudyData",$AP$1,  "Bar",, "LOw", "D",AI22,,,,,"T")</f>
        <v>2.7478571399999998</v>
      </c>
      <c r="AN22" s="268">
        <f ca="1" xml:space="preserve"> RTD("cqg.rtd",,"StudyData",$AP$1,  "Bar",, "Close", "D",AI22,,,,,"T")</f>
        <v>2.7478571399999998</v>
      </c>
    </row>
    <row r="23" spans="1:40" x14ac:dyDescent="0.3">
      <c r="A23" s="266">
        <f t="shared" si="0"/>
        <v>-21</v>
      </c>
      <c r="B23" s="267">
        <f ca="1" xml:space="preserve"> RTD("cqg.rtd",,"StudyData",$H$1,  "Bar",, "Time", "D",A23,,,,,"T")</f>
        <v>42985</v>
      </c>
      <c r="C23" s="268">
        <f ca="1" xml:space="preserve"> RTD("cqg.rtd",,"StudyData",$H$1,  "Bar",, "Open", "D",A23,,,,,"T")</f>
        <v>3.2416</v>
      </c>
      <c r="D23" s="268">
        <f ca="1" xml:space="preserve"> RTD("cqg.rtd",,"StudyData",$H$1,  "Bar",, "High", "D",A23,,,,,"T")</f>
        <v>3.2557999999999998</v>
      </c>
      <c r="E23" s="268">
        <f ca="1" xml:space="preserve"> RTD("cqg.rtd",,"StudyData",$H$1,  "Bar",, "LOw", "D",A23,,,,,"T")</f>
        <v>3.2153999999999998</v>
      </c>
      <c r="F23" s="268">
        <f ca="1" xml:space="preserve"> RTD("cqg.rtd",,"StudyData",$H$1,  "Bar",, "Close", "D",A23,,,,,"T")</f>
        <v>3.2185999999999999</v>
      </c>
      <c r="N23" s="266">
        <f t="shared" si="1"/>
        <v>-21</v>
      </c>
      <c r="O23" s="267">
        <f ca="1" xml:space="preserve"> RTD("cqg.rtd",,"StudyData",$N$1,  "Bar",, "Time", "D",N23,,,,,"T")</f>
        <v>42985</v>
      </c>
      <c r="P23" s="268">
        <f ca="1" xml:space="preserve"> RTD("cqg.rtd",,"StudyData",$N$1,  "Bar",, "Open", "D",N23,,,,,"T")</f>
        <v>2.9267142900000001</v>
      </c>
      <c r="Q23" s="268">
        <f ca="1" xml:space="preserve"> RTD("cqg.rtd",,"StudyData",$N$1,  "Bar",, "High", "D",N23,,,,,"T")</f>
        <v>2.9321428599999999</v>
      </c>
      <c r="R23" s="268">
        <f ca="1" xml:space="preserve"> RTD("cqg.rtd",,"StudyData",$N$1,  "Bar",, "LOw", "D",N23,,,,,"T")</f>
        <v>2.9145714300000001</v>
      </c>
      <c r="S23" s="268">
        <f ca="1" xml:space="preserve"> RTD("cqg.rtd",,"StudyData",$N$1,  "Bar",, "Close", "D",N23,,,,,"T")</f>
        <v>2.93128571</v>
      </c>
      <c r="V23" s="266">
        <f t="shared" si="2"/>
        <v>-21</v>
      </c>
      <c r="W23" s="267">
        <f ca="1" xml:space="preserve"> RTD("cqg.rtd",,"StudyData",$AC$1,  "Bar",, "Time", "D",V23,,,,,"T")</f>
        <v>42985</v>
      </c>
      <c r="X23" s="268">
        <f ca="1" xml:space="preserve"> RTD("cqg.rtd",,"StudyData",$AC$1,  "Bar",, "Open", "D",V23,,,,,"T")</f>
        <v>3.1160000000000001</v>
      </c>
      <c r="Y23" s="268">
        <f ca="1" xml:space="preserve"> RTD("cqg.rtd",,"StudyData",$AC$1,  "Bar",, "High", "D",V23,,,,,"T")</f>
        <v>3.1236000000000002</v>
      </c>
      <c r="Z23" s="268">
        <f ca="1" xml:space="preserve"> RTD("cqg.rtd",,"StudyData",$AC$1,  "Bar",, "LOw", "D",V23,,,,,"T")</f>
        <v>3.1086</v>
      </c>
      <c r="AA23" s="268">
        <f ca="1" xml:space="preserve"> RTD("cqg.rtd",,"StudyData",$AC$1,  "Bar",, "Close", "D",V23,,,,,"T")</f>
        <v>3.1236000000000002</v>
      </c>
      <c r="AI23" s="266">
        <f t="shared" si="3"/>
        <v>-21</v>
      </c>
      <c r="AJ23" s="267">
        <f ca="1" xml:space="preserve"> RTD("cqg.rtd",,"StudyData",$AP$1,  "Bar",, "Time", "D",AI23,,,,,"T")</f>
        <v>42985</v>
      </c>
      <c r="AK23" s="268">
        <f ca="1" xml:space="preserve"> RTD("cqg.rtd",,"StudyData",$AP$1,  "Bar",, "Open", "D",AI23,,,,,"T")</f>
        <v>2.7344285699999999</v>
      </c>
      <c r="AL23" s="268">
        <f ca="1" xml:space="preserve"> RTD("cqg.rtd",,"StudyData",$AP$1,  "Bar",, "High", "D",AI23,,,,,"T")</f>
        <v>2.7511428599999999</v>
      </c>
      <c r="AM23" s="268">
        <f ca="1" xml:space="preserve"> RTD("cqg.rtd",,"StudyData",$AP$1,  "Bar",, "LOw", "D",AI23,,,,,"T")</f>
        <v>2.7344285699999999</v>
      </c>
      <c r="AN23" s="268">
        <f ca="1" xml:space="preserve"> RTD("cqg.rtd",,"StudyData",$AP$1,  "Bar",, "Close", "D",AI23,,,,,"T")</f>
        <v>2.7490000000000001</v>
      </c>
    </row>
    <row r="24" spans="1:40" x14ac:dyDescent="0.3">
      <c r="A24" s="266">
        <f t="shared" si="0"/>
        <v>-22</v>
      </c>
      <c r="B24" s="267">
        <f ca="1" xml:space="preserve"> RTD("cqg.rtd",,"StudyData",$H$1,  "Bar",, "Time", "D",A24,,,,,"T")</f>
        <v>42984</v>
      </c>
      <c r="C24" s="268">
        <f ca="1" xml:space="preserve"> RTD("cqg.rtd",,"StudyData",$H$1,  "Bar",, "Open", "D",A24,,,,,"T")</f>
        <v>3.2092000000000001</v>
      </c>
      <c r="D24" s="268">
        <f ca="1" xml:space="preserve"> RTD("cqg.rtd",,"StudyData",$H$1,  "Bar",, "High", "D",A24,,,,,"T")</f>
        <v>3.2513999999999998</v>
      </c>
      <c r="E24" s="268">
        <f ca="1" xml:space="preserve"> RTD("cqg.rtd",,"StudyData",$H$1,  "Bar",, "LOw", "D",A24,,,,,"T")</f>
        <v>3.2016</v>
      </c>
      <c r="F24" s="268">
        <f ca="1" xml:space="preserve"> RTD("cqg.rtd",,"StudyData",$H$1,  "Bar",, "Close", "D",A24,,,,,"T")</f>
        <v>3.2393999999999998</v>
      </c>
      <c r="N24" s="266">
        <f t="shared" si="1"/>
        <v>-22</v>
      </c>
      <c r="O24" s="267">
        <f ca="1" xml:space="preserve"> RTD("cqg.rtd",,"StudyData",$N$1,  "Bar",, "Time", "D",N24,,,,,"T")</f>
        <v>42984</v>
      </c>
      <c r="P24" s="268">
        <f ca="1" xml:space="preserve"> RTD("cqg.rtd",,"StudyData",$N$1,  "Bar",, "Open", "D",N24,,,,,"T")</f>
        <v>2.91128571</v>
      </c>
      <c r="Q24" s="268">
        <f ca="1" xml:space="preserve"> RTD("cqg.rtd",,"StudyData",$N$1,  "Bar",, "High", "D",N24,,,,,"T")</f>
        <v>2.9285714299999999</v>
      </c>
      <c r="R24" s="268">
        <f ca="1" xml:space="preserve"> RTD("cqg.rtd",,"StudyData",$N$1,  "Bar",, "LOw", "D",N24,,,,,"T")</f>
        <v>2.9085714299999998</v>
      </c>
      <c r="S24" s="268">
        <f ca="1" xml:space="preserve"> RTD("cqg.rtd",,"StudyData",$N$1,  "Bar",, "Close", "D",N24,,,,,"T")</f>
        <v>2.9267142900000001</v>
      </c>
      <c r="V24" s="266">
        <f t="shared" si="2"/>
        <v>-22</v>
      </c>
      <c r="W24" s="267">
        <f ca="1" xml:space="preserve"> RTD("cqg.rtd",,"StudyData",$AC$1,  "Bar",, "Time", "D",V24,,,,,"T")</f>
        <v>42984</v>
      </c>
      <c r="X24" s="268">
        <f ca="1" xml:space="preserve"> RTD("cqg.rtd",,"StudyData",$AC$1,  "Bar",, "Open", "D",V24,,,,,"T")</f>
        <v>3.1038000000000001</v>
      </c>
      <c r="Y24" s="268">
        <f ca="1" xml:space="preserve"> RTD("cqg.rtd",,"StudyData",$AC$1,  "Bar",, "High", "D",V24,,,,,"T")</f>
        <v>3.1173999999999999</v>
      </c>
      <c r="Z24" s="268">
        <f ca="1" xml:space="preserve"> RTD("cqg.rtd",,"StudyData",$AC$1,  "Bar",, "LOw", "D",V24,,,,,"T")</f>
        <v>3.1038000000000001</v>
      </c>
      <c r="AA24" s="268">
        <f ca="1" xml:space="preserve"> RTD("cqg.rtd",,"StudyData",$AC$1,  "Bar",, "Close", "D",V24,,,,,"T")</f>
        <v>3.1160000000000001</v>
      </c>
      <c r="AI24" s="266">
        <f t="shared" si="3"/>
        <v>-22</v>
      </c>
      <c r="AJ24" s="267">
        <f ca="1" xml:space="preserve"> RTD("cqg.rtd",,"StudyData",$AP$1,  "Bar",, "Time", "D",AI24,,,,,"T")</f>
        <v>42984</v>
      </c>
      <c r="AK24" s="268">
        <f ca="1" xml:space="preserve"> RTD("cqg.rtd",,"StudyData",$AP$1,  "Bar",, "Open", "D",AI24,,,,,"T")</f>
        <v>2.7294285700000001</v>
      </c>
      <c r="AL24" s="268">
        <f ca="1" xml:space="preserve"> RTD("cqg.rtd",,"StudyData",$AP$1,  "Bar",, "High", "D",AI24,,,,,"T")</f>
        <v>2.7344285699999999</v>
      </c>
      <c r="AM24" s="268">
        <f ca="1" xml:space="preserve"> RTD("cqg.rtd",,"StudyData",$AP$1,  "Bar",, "LOw", "D",AI24,,,,,"T")</f>
        <v>2.7294285700000001</v>
      </c>
      <c r="AN24" s="268">
        <f ca="1" xml:space="preserve"> RTD("cqg.rtd",,"StudyData",$AP$1,  "Bar",, "Close", "D",AI24,,,,,"T")</f>
        <v>2.7344285699999999</v>
      </c>
    </row>
    <row r="25" spans="1:40" x14ac:dyDescent="0.3">
      <c r="A25" s="266">
        <f t="shared" si="0"/>
        <v>-23</v>
      </c>
      <c r="B25" s="267">
        <f ca="1" xml:space="preserve"> RTD("cqg.rtd",,"StudyData",$H$1,  "Bar",, "Time", "D",A25,,,,,"T")</f>
        <v>42983</v>
      </c>
      <c r="C25" s="268">
        <f ca="1" xml:space="preserve"> RTD("cqg.rtd",,"StudyData",$H$1,  "Bar",, "Open", "D",A25,,,,,"T")</f>
        <v>3.2570000000000001</v>
      </c>
      <c r="D25" s="268">
        <f ca="1" xml:space="preserve"> RTD("cqg.rtd",,"StudyData",$H$1,  "Bar",, "High", "D",A25,,,,,"T")</f>
        <v>3.2696000000000001</v>
      </c>
      <c r="E25" s="268">
        <f ca="1" xml:space="preserve"> RTD("cqg.rtd",,"StudyData",$H$1,  "Bar",, "LOw", "D",A25,,,,,"T")</f>
        <v>3.2031999999999998</v>
      </c>
      <c r="F25" s="268">
        <f ca="1" xml:space="preserve"> RTD("cqg.rtd",,"StudyData",$H$1,  "Bar",, "Close", "D",A25,,,,,"T")</f>
        <v>3.2096</v>
      </c>
      <c r="N25" s="266">
        <f t="shared" si="1"/>
        <v>-23</v>
      </c>
      <c r="O25" s="267">
        <f ca="1" xml:space="preserve"> RTD("cqg.rtd",,"StudyData",$N$1,  "Bar",, "Time", "D",N25,,,,,"T")</f>
        <v>42983</v>
      </c>
      <c r="P25" s="268">
        <f ca="1" xml:space="preserve"> RTD("cqg.rtd",,"StudyData",$N$1,  "Bar",, "Open", "D",N25,,,,,"T")</f>
        <v>2.9264285700000001</v>
      </c>
      <c r="Q25" s="268">
        <f ca="1" xml:space="preserve"> RTD("cqg.rtd",,"StudyData",$N$1,  "Bar",, "High", "D",N25,,,,,"T")</f>
        <v>2.9327142899999998</v>
      </c>
      <c r="R25" s="268">
        <f ca="1" xml:space="preserve"> RTD("cqg.rtd",,"StudyData",$N$1,  "Bar",, "LOw", "D",N25,,,,,"T")</f>
        <v>2.9022857100000001</v>
      </c>
      <c r="S25" s="268">
        <f ca="1" xml:space="preserve"> RTD("cqg.rtd",,"StudyData",$N$1,  "Bar",, "Close", "D",N25,,,,,"T")</f>
        <v>2.91128571</v>
      </c>
      <c r="V25" s="266">
        <f t="shared" si="2"/>
        <v>-23</v>
      </c>
      <c r="W25" s="267">
        <f ca="1" xml:space="preserve"> RTD("cqg.rtd",,"StudyData",$AC$1,  "Bar",, "Time", "D",V25,,,,,"T")</f>
        <v>42983</v>
      </c>
      <c r="X25" s="268">
        <f ca="1" xml:space="preserve"> RTD("cqg.rtd",,"StudyData",$AC$1,  "Bar",, "Open", "D",V25,,,,,"T")</f>
        <v>3.1225999999999998</v>
      </c>
      <c r="Y25" s="268">
        <f ca="1" xml:space="preserve"> RTD("cqg.rtd",,"StudyData",$AC$1,  "Bar",, "High", "D",V25,,,,,"T")</f>
        <v>3.1225999999999998</v>
      </c>
      <c r="Z25" s="268">
        <f ca="1" xml:space="preserve"> RTD("cqg.rtd",,"StudyData",$AC$1,  "Bar",, "LOw", "D",V25,,,,,"T")</f>
        <v>3.0933999999999999</v>
      </c>
      <c r="AA25" s="268">
        <f ca="1" xml:space="preserve"> RTD("cqg.rtd",,"StudyData",$AC$1,  "Bar",, "Close", "D",V25,,,,,"T")</f>
        <v>3.1038000000000001</v>
      </c>
      <c r="AI25" s="266">
        <f t="shared" si="3"/>
        <v>-23</v>
      </c>
      <c r="AJ25" s="267">
        <f ca="1" xml:space="preserve"> RTD("cqg.rtd",,"StudyData",$AP$1,  "Bar",, "Time", "D",AI25,,,,,"T")</f>
        <v>42983</v>
      </c>
      <c r="AK25" s="268">
        <f ca="1" xml:space="preserve"> RTD("cqg.rtd",,"StudyData",$AP$1,  "Bar",, "Open", "D",AI25,,,,,"T")</f>
        <v>2.7357142900000002</v>
      </c>
      <c r="AL25" s="268">
        <f ca="1" xml:space="preserve"> RTD("cqg.rtd",,"StudyData",$AP$1,  "Bar",, "High", "D",AI25,,,,,"T")</f>
        <v>2.7357142900000002</v>
      </c>
      <c r="AM25" s="268">
        <f ca="1" xml:space="preserve"> RTD("cqg.rtd",,"StudyData",$AP$1,  "Bar",, "LOw", "D",AI25,,,,,"T")</f>
        <v>2.7294285700000001</v>
      </c>
      <c r="AN25" s="268">
        <f ca="1" xml:space="preserve"> RTD("cqg.rtd",,"StudyData",$AP$1,  "Bar",, "Close", "D",AI25,,,,,"T")</f>
        <v>2.7294285700000001</v>
      </c>
    </row>
    <row r="26" spans="1:40" x14ac:dyDescent="0.3">
      <c r="A26" s="266">
        <f t="shared" si="0"/>
        <v>-24</v>
      </c>
      <c r="B26" s="267">
        <f ca="1" xml:space="preserve"> RTD("cqg.rtd",,"StudyData",$H$1,  "Bar",, "Time", "D",A26,,,,,"T")</f>
        <v>42979</v>
      </c>
      <c r="C26" s="268">
        <f ca="1" xml:space="preserve"> RTD("cqg.rtd",,"StudyData",$H$1,  "Bar",, "Open", "D",A26,,,,,"T")</f>
        <v>3.2496</v>
      </c>
      <c r="D26" s="268">
        <f ca="1" xml:space="preserve"> RTD("cqg.rtd",,"StudyData",$H$1,  "Bar",, "High", "D",A26,,,,,"T")</f>
        <v>3.3010000000000002</v>
      </c>
      <c r="E26" s="268">
        <f ca="1" xml:space="preserve"> RTD("cqg.rtd",,"StudyData",$H$1,  "Bar",, "LOw", "D",A26,,,,,"T")</f>
        <v>3.23</v>
      </c>
      <c r="F26" s="268">
        <f ca="1" xml:space="preserve"> RTD("cqg.rtd",,"StudyData",$H$1,  "Bar",, "Close", "D",A26,,,,,"T")</f>
        <v>3.2522000000000002</v>
      </c>
      <c r="N26" s="266">
        <f t="shared" si="1"/>
        <v>-24</v>
      </c>
      <c r="O26" s="267">
        <f ca="1" xml:space="preserve"> RTD("cqg.rtd",,"StudyData",$N$1,  "Bar",, "Time", "D",N26,,,,,"T")</f>
        <v>42979</v>
      </c>
      <c r="P26" s="268">
        <f ca="1" xml:space="preserve"> RTD("cqg.rtd",,"StudyData",$N$1,  "Bar",, "Open", "D",N26,,,,,"T")</f>
        <v>2.9157142899999999</v>
      </c>
      <c r="Q26" s="268">
        <f ca="1" xml:space="preserve"> RTD("cqg.rtd",,"StudyData",$N$1,  "Bar",, "High", "D",N26,,,,,"T")</f>
        <v>2.9361428599999999</v>
      </c>
      <c r="R26" s="268">
        <f ca="1" xml:space="preserve"> RTD("cqg.rtd",,"StudyData",$N$1,  "Bar",, "LOw", "D",N26,,,,,"T")</f>
        <v>2.9057142900000001</v>
      </c>
      <c r="S26" s="268">
        <f ca="1" xml:space="preserve"> RTD("cqg.rtd",,"StudyData",$N$1,  "Bar",, "Close", "D",N26,,,,,"T")</f>
        <v>2.9264285700000001</v>
      </c>
      <c r="V26" s="266">
        <f t="shared" si="2"/>
        <v>-24</v>
      </c>
      <c r="W26" s="267">
        <f ca="1" xml:space="preserve"> RTD("cqg.rtd",,"StudyData",$AC$1,  "Bar",, "Time", "D",V26,,,,,"T")</f>
        <v>42979</v>
      </c>
      <c r="X26" s="268">
        <f ca="1" xml:space="preserve"> RTD("cqg.rtd",,"StudyData",$AC$1,  "Bar",, "Open", "D",V26,,,,,"T")</f>
        <v>3.1038000000000001</v>
      </c>
      <c r="Y26" s="268">
        <f ca="1" xml:space="preserve"> RTD("cqg.rtd",,"StudyData",$AC$1,  "Bar",, "High", "D",V26,,,,,"T")</f>
        <v>3.1225999999999998</v>
      </c>
      <c r="Z26" s="268">
        <f ca="1" xml:space="preserve"> RTD("cqg.rtd",,"StudyData",$AC$1,  "Bar",, "LOw", "D",V26,,,,,"T")</f>
        <v>3.0895999999999999</v>
      </c>
      <c r="AA26" s="268">
        <f ca="1" xml:space="preserve"> RTD("cqg.rtd",,"StudyData",$AC$1,  "Bar",, "Close", "D",V26,,,,,"T")</f>
        <v>3.1225999999999998</v>
      </c>
      <c r="AI26" s="266">
        <f t="shared" si="3"/>
        <v>-24</v>
      </c>
      <c r="AJ26" s="267">
        <f ca="1" xml:space="preserve"> RTD("cqg.rtd",,"StudyData",$AP$1,  "Bar",, "Time", "D",AI26,,,,,"T")</f>
        <v>42979</v>
      </c>
      <c r="AK26" s="268">
        <f ca="1" xml:space="preserve"> RTD("cqg.rtd",,"StudyData",$AP$1,  "Bar",, "Open", "D",AI26,,,,,"T")</f>
        <v>2.7357142900000002</v>
      </c>
      <c r="AL26" s="268">
        <f ca="1" xml:space="preserve"> RTD("cqg.rtd",,"StudyData",$AP$1,  "Bar",, "High", "D",AI26,,,,,"T")</f>
        <v>2.7365714300000001</v>
      </c>
      <c r="AM26" s="268">
        <f ca="1" xml:space="preserve"> RTD("cqg.rtd",,"StudyData",$AP$1,  "Bar",, "LOw", "D",AI26,,,,,"T")</f>
        <v>2.7308571399999999</v>
      </c>
      <c r="AN26" s="268">
        <f ca="1" xml:space="preserve"> RTD("cqg.rtd",,"StudyData",$AP$1,  "Bar",, "Close", "D",AI26,,,,,"T")</f>
        <v>2.7357142900000002</v>
      </c>
    </row>
    <row r="27" spans="1:40" x14ac:dyDescent="0.3">
      <c r="A27" s="266">
        <f t="shared" si="0"/>
        <v>-25</v>
      </c>
      <c r="B27" s="267">
        <f ca="1" xml:space="preserve"> RTD("cqg.rtd",,"StudyData",$H$1,  "Bar",, "Time", "D",A27,,,,,"T")</f>
        <v>42978</v>
      </c>
      <c r="C27" s="268">
        <f ca="1" xml:space="preserve"> RTD("cqg.rtd",,"StudyData",$H$1,  "Bar",, "Open", "D",A27,,,,,"T")</f>
        <v>3.1793999999999998</v>
      </c>
      <c r="D27" s="268">
        <f ca="1" xml:space="preserve"> RTD("cqg.rtd",,"StudyData",$H$1,  "Bar",, "High", "D",A27,,,,,"T")</f>
        <v>3.2555999999999998</v>
      </c>
      <c r="E27" s="268">
        <f ca="1" xml:space="preserve"> RTD("cqg.rtd",,"StudyData",$H$1,  "Bar",, "LOw", "D",A27,,,,,"T")</f>
        <v>3.1486000000000001</v>
      </c>
      <c r="F27" s="268">
        <f ca="1" xml:space="preserve"> RTD("cqg.rtd",,"StudyData",$H$1,  "Bar",, "Close", "D",A27,,,,,"T")</f>
        <v>3.2469999999999999</v>
      </c>
      <c r="N27" s="266">
        <f t="shared" si="1"/>
        <v>-25</v>
      </c>
      <c r="O27" s="267">
        <f ca="1" xml:space="preserve"> RTD("cqg.rtd",,"StudyData",$N$1,  "Bar",, "Time", "D",N27,,,,,"T")</f>
        <v>42978</v>
      </c>
      <c r="P27" s="268">
        <f ca="1" xml:space="preserve"> RTD("cqg.rtd",,"StudyData",$N$1,  "Bar",, "Open", "D",N27,,,,,"T")</f>
        <v>2.8964285699999999</v>
      </c>
      <c r="Q27" s="268">
        <f ca="1" xml:space="preserve"> RTD("cqg.rtd",,"StudyData",$N$1,  "Bar",, "High", "D",N27,,,,,"T")</f>
        <v>2.92328571</v>
      </c>
      <c r="R27" s="268">
        <f ca="1" xml:space="preserve"> RTD("cqg.rtd",,"StudyData",$N$1,  "Bar",, "LOw", "D",N27,,,,,"T")</f>
        <v>2.8782857100000001</v>
      </c>
      <c r="S27" s="268">
        <f ca="1" xml:space="preserve"> RTD("cqg.rtd",,"StudyData",$N$1,  "Bar",, "Close", "D",N27,,,,,"T")</f>
        <v>2.9157142899999999</v>
      </c>
      <c r="V27" s="266">
        <f t="shared" si="2"/>
        <v>-25</v>
      </c>
      <c r="W27" s="267">
        <f ca="1" xml:space="preserve"> RTD("cqg.rtd",,"StudyData",$AC$1,  "Bar",, "Time", "D",V27,,,,,"T")</f>
        <v>42978</v>
      </c>
      <c r="X27" s="268">
        <f ca="1" xml:space="preserve"> RTD("cqg.rtd",,"StudyData",$AC$1,  "Bar",, "Open", "D",V27,,,,,"T")</f>
        <v>3.09</v>
      </c>
      <c r="Y27" s="268">
        <f ca="1" xml:space="preserve"> RTD("cqg.rtd",,"StudyData",$AC$1,  "Bar",, "High", "D",V27,,,,,"T")</f>
        <v>3.1105999999999998</v>
      </c>
      <c r="Z27" s="268">
        <f ca="1" xml:space="preserve"> RTD("cqg.rtd",,"StudyData",$AC$1,  "Bar",, "LOw", "D",V27,,,,,"T")</f>
        <v>3.0802</v>
      </c>
      <c r="AA27" s="268">
        <f ca="1" xml:space="preserve"> RTD("cqg.rtd",,"StudyData",$AC$1,  "Bar",, "Close", "D",V27,,,,,"T")</f>
        <v>3.1038000000000001</v>
      </c>
      <c r="AI27" s="266">
        <f t="shared" si="3"/>
        <v>-25</v>
      </c>
      <c r="AJ27" s="267">
        <f ca="1" xml:space="preserve"> RTD("cqg.rtd",,"StudyData",$AP$1,  "Bar",, "Time", "D",AI27,,,,,"T")</f>
        <v>42978</v>
      </c>
      <c r="AK27" s="268">
        <f ca="1" xml:space="preserve"> RTD("cqg.rtd",,"StudyData",$AP$1,  "Bar",, "Open", "D",AI27,,,,,"T")</f>
        <v>2.72157143</v>
      </c>
      <c r="AL27" s="268">
        <f ca="1" xml:space="preserve"> RTD("cqg.rtd",,"StudyData",$AP$1,  "Bar",, "High", "D",AI27,,,,,"T")</f>
        <v>2.7357142900000002</v>
      </c>
      <c r="AM27" s="268">
        <f ca="1" xml:space="preserve"> RTD("cqg.rtd",,"StudyData",$AP$1,  "Bar",, "LOw", "D",AI27,,,,,"T")</f>
        <v>2.7204285700000002</v>
      </c>
      <c r="AN27" s="268">
        <f ca="1" xml:space="preserve"> RTD("cqg.rtd",,"StudyData",$AP$1,  "Bar",, "Close", "D",AI27,,,,,"T")</f>
        <v>2.7357142900000002</v>
      </c>
    </row>
    <row r="28" spans="1:40" x14ac:dyDescent="0.3">
      <c r="A28" s="266">
        <f t="shared" si="0"/>
        <v>-26</v>
      </c>
      <c r="B28" s="267">
        <f ca="1" xml:space="preserve"> RTD("cqg.rtd",,"StudyData",$H$1,  "Bar",, "Time", "D",A28,,,,,"T")</f>
        <v>42977</v>
      </c>
      <c r="C28" s="268">
        <f ca="1" xml:space="preserve"> RTD("cqg.rtd",,"StudyData",$H$1,  "Bar",, "Open", "D",A28,,,,,"T")</f>
        <v>3.2058</v>
      </c>
      <c r="D28" s="268">
        <f ca="1" xml:space="preserve"> RTD("cqg.rtd",,"StudyData",$H$1,  "Bar",, "High", "D",A28,,,,,"T")</f>
        <v>3.2073999999999998</v>
      </c>
      <c r="E28" s="268">
        <f ca="1" xml:space="preserve"> RTD("cqg.rtd",,"StudyData",$H$1,  "Bar",, "LOw", "D",A28,,,,,"T")</f>
        <v>3.1703999999999999</v>
      </c>
      <c r="F28" s="268">
        <f ca="1" xml:space="preserve"> RTD("cqg.rtd",,"StudyData",$H$1,  "Bar",, "Close", "D",A28,,,,,"T")</f>
        <v>3.1787999999999998</v>
      </c>
      <c r="N28" s="266">
        <f t="shared" si="1"/>
        <v>-26</v>
      </c>
      <c r="O28" s="267">
        <f ca="1" xml:space="preserve"> RTD("cqg.rtd",,"StudyData",$N$1,  "Bar",, "Time", "D",N28,,,,,"T")</f>
        <v>42977</v>
      </c>
      <c r="P28" s="268">
        <f ca="1" xml:space="preserve"> RTD("cqg.rtd",,"StudyData",$N$1,  "Bar",, "Open", "D",N28,,,,,"T")</f>
        <v>2.9011428600000002</v>
      </c>
      <c r="Q28" s="268">
        <f ca="1" xml:space="preserve"> RTD("cqg.rtd",,"StudyData",$N$1,  "Bar",, "High", "D",N28,,,,,"T")</f>
        <v>2.90314286</v>
      </c>
      <c r="R28" s="268">
        <f ca="1" xml:space="preserve"> RTD("cqg.rtd",,"StudyData",$N$1,  "Bar",, "LOw", "D",N28,,,,,"T")</f>
        <v>2.8935714300000002</v>
      </c>
      <c r="S28" s="268">
        <f ca="1" xml:space="preserve"> RTD("cqg.rtd",,"StudyData",$N$1,  "Bar",, "Close", "D",N28,,,,,"T")</f>
        <v>2.8964285699999999</v>
      </c>
      <c r="V28" s="266">
        <f t="shared" si="2"/>
        <v>-26</v>
      </c>
      <c r="W28" s="267">
        <f ca="1" xml:space="preserve"> RTD("cqg.rtd",,"StudyData",$AC$1,  "Bar",, "Time", "D",V28,,,,,"T")</f>
        <v>42977</v>
      </c>
      <c r="X28" s="268">
        <f ca="1" xml:space="preserve"> RTD("cqg.rtd",,"StudyData",$AC$1,  "Bar",, "Open", "D",V28,,,,,"T")</f>
        <v>3.0901999999999998</v>
      </c>
      <c r="Y28" s="268">
        <f ca="1" xml:space="preserve"> RTD("cqg.rtd",,"StudyData",$AC$1,  "Bar",, "High", "D",V28,,,,,"T")</f>
        <v>3.0972</v>
      </c>
      <c r="Z28" s="268">
        <f ca="1" xml:space="preserve"> RTD("cqg.rtd",,"StudyData",$AC$1,  "Bar",, "LOw", "D",V28,,,,,"T")</f>
        <v>3.0868000000000002</v>
      </c>
      <c r="AA28" s="268">
        <f ca="1" xml:space="preserve"> RTD("cqg.rtd",,"StudyData",$AC$1,  "Bar",, "Close", "D",V28,,,,,"T")</f>
        <v>3.09</v>
      </c>
      <c r="AI28" s="266">
        <f t="shared" si="3"/>
        <v>-26</v>
      </c>
      <c r="AJ28" s="267">
        <f ca="1" xml:space="preserve"> RTD("cqg.rtd",,"StudyData",$AP$1,  "Bar",, "Time", "D",AI28,,,,,"T")</f>
        <v>42977</v>
      </c>
      <c r="AK28" s="268">
        <f ca="1" xml:space="preserve"> RTD("cqg.rtd",,"StudyData",$AP$1,  "Bar",, "Open", "D",AI28,,,,,"T")</f>
        <v>2.7202857100000002</v>
      </c>
      <c r="AL28" s="268">
        <f ca="1" xml:space="preserve"> RTD("cqg.rtd",,"StudyData",$AP$1,  "Bar",, "High", "D",AI28,,,,,"T")</f>
        <v>2.7237142900000002</v>
      </c>
      <c r="AM28" s="268">
        <f ca="1" xml:space="preserve"> RTD("cqg.rtd",,"StudyData",$AP$1,  "Bar",, "LOw", "D",AI28,,,,,"T")</f>
        <v>2.7191428599999998</v>
      </c>
      <c r="AN28" s="268">
        <f ca="1" xml:space="preserve"> RTD("cqg.rtd",,"StudyData",$AP$1,  "Bar",, "Close", "D",AI28,,,,,"T")</f>
        <v>2.72157143</v>
      </c>
    </row>
    <row r="29" spans="1:40" x14ac:dyDescent="0.3">
      <c r="A29" s="266">
        <f t="shared" si="0"/>
        <v>-27</v>
      </c>
      <c r="B29" s="267">
        <f ca="1" xml:space="preserve"> RTD("cqg.rtd",,"StudyData",$H$1,  "Bar",, "Time", "D",A29,,,,,"T")</f>
        <v>42976</v>
      </c>
      <c r="C29" s="268">
        <f ca="1" xml:space="preserve"> RTD("cqg.rtd",,"StudyData",$H$1,  "Bar",, "Open", "D",A29,,,,,"T")</f>
        <v>3.1865999999999999</v>
      </c>
      <c r="D29" s="268">
        <f ca="1" xml:space="preserve"> RTD("cqg.rtd",,"StudyData",$H$1,  "Bar",, "High", "D",A29,,,,,"T")</f>
        <v>3.2147999999999999</v>
      </c>
      <c r="E29" s="268">
        <f ca="1" xml:space="preserve"> RTD("cqg.rtd",,"StudyData",$H$1,  "Bar",, "LOw", "D",A29,,,,,"T")</f>
        <v>3.1665999999999999</v>
      </c>
      <c r="F29" s="268">
        <f ca="1" xml:space="preserve"> RTD("cqg.rtd",,"StudyData",$H$1,  "Bar",, "Close", "D",A29,,,,,"T")</f>
        <v>3.2042000000000002</v>
      </c>
      <c r="N29" s="266">
        <f t="shared" si="1"/>
        <v>-27</v>
      </c>
      <c r="O29" s="267">
        <f ca="1" xml:space="preserve"> RTD("cqg.rtd",,"StudyData",$N$1,  "Bar",, "Time", "D",N29,,,,,"T")</f>
        <v>42976</v>
      </c>
      <c r="P29" s="268">
        <f ca="1" xml:space="preserve"> RTD("cqg.rtd",,"StudyData",$N$1,  "Bar",, "Open", "D",N29,,,,,"T")</f>
        <v>2.90357143</v>
      </c>
      <c r="Q29" s="268">
        <f ca="1" xml:space="preserve"> RTD("cqg.rtd",,"StudyData",$N$1,  "Bar",, "High", "D",N29,,,,,"T")</f>
        <v>2.9121428599999999</v>
      </c>
      <c r="R29" s="268">
        <f ca="1" xml:space="preserve"> RTD("cqg.rtd",,"StudyData",$N$1,  "Bar",, "LOw", "D",N29,,,,,"T")</f>
        <v>2.8985714300000001</v>
      </c>
      <c r="S29" s="268">
        <f ca="1" xml:space="preserve"> RTD("cqg.rtd",,"StudyData",$N$1,  "Bar",, "Close", "D",N29,,,,,"T")</f>
        <v>2.9004285699999999</v>
      </c>
      <c r="V29" s="266">
        <f t="shared" si="2"/>
        <v>-27</v>
      </c>
      <c r="W29" s="267">
        <f ca="1" xml:space="preserve"> RTD("cqg.rtd",,"StudyData",$AC$1,  "Bar",, "Time", "D",V29,,,,,"T")</f>
        <v>42976</v>
      </c>
      <c r="X29" s="268">
        <f ca="1" xml:space="preserve"> RTD("cqg.rtd",,"StudyData",$AC$1,  "Bar",, "Open", "D",V29,,,,,"T")</f>
        <v>3.0920000000000001</v>
      </c>
      <c r="Y29" s="268">
        <f ca="1" xml:space="preserve"> RTD("cqg.rtd",,"StudyData",$AC$1,  "Bar",, "High", "D",V29,,,,,"T")</f>
        <v>3.1</v>
      </c>
      <c r="Z29" s="268">
        <f ca="1" xml:space="preserve"> RTD("cqg.rtd",,"StudyData",$AC$1,  "Bar",, "LOw", "D",V29,,,,,"T")</f>
        <v>3.0901999999999998</v>
      </c>
      <c r="AA29" s="268">
        <f ca="1" xml:space="preserve"> RTD("cqg.rtd",,"StudyData",$AC$1,  "Bar",, "Close", "D",V29,,,,,"T")</f>
        <v>3.0901999999999998</v>
      </c>
      <c r="AI29" s="266">
        <f t="shared" si="3"/>
        <v>-27</v>
      </c>
      <c r="AJ29" s="267">
        <f ca="1" xml:space="preserve"> RTD("cqg.rtd",,"StudyData",$AP$1,  "Bar",, "Time", "D",AI29,,,,,"T")</f>
        <v>42976</v>
      </c>
      <c r="AK29" s="268">
        <f ca="1" xml:space="preserve"> RTD("cqg.rtd",,"StudyData",$AP$1,  "Bar",, "Open", "D",AI29,,,,,"T")</f>
        <v>2.70914286</v>
      </c>
      <c r="AL29" s="268">
        <f ca="1" xml:space="preserve"> RTD("cqg.rtd",,"StudyData",$AP$1,  "Bar",, "High", "D",AI29,,,,,"T")</f>
        <v>2.7202857100000002</v>
      </c>
      <c r="AM29" s="268">
        <f ca="1" xml:space="preserve"> RTD("cqg.rtd",,"StudyData",$AP$1,  "Bar",, "LOw", "D",AI29,,,,,"T")</f>
        <v>2.70914286</v>
      </c>
      <c r="AN29" s="268">
        <f ca="1" xml:space="preserve"> RTD("cqg.rtd",,"StudyData",$AP$1,  "Bar",, "Close", "D",AI29,,,,,"T")</f>
        <v>2.7202857100000002</v>
      </c>
    </row>
    <row r="30" spans="1:40" x14ac:dyDescent="0.3">
      <c r="A30" s="266">
        <f t="shared" si="0"/>
        <v>-28</v>
      </c>
      <c r="B30" s="267">
        <f ca="1" xml:space="preserve"> RTD("cqg.rtd",,"StudyData",$H$1,  "Bar",, "Time", "D",A30,,,,,"T")</f>
        <v>42975</v>
      </c>
      <c r="C30" s="268">
        <f ca="1" xml:space="preserve"> RTD("cqg.rtd",,"StudyData",$H$1,  "Bar",, "Open", "D",A30,,,,,"T")</f>
        <v>3.1698</v>
      </c>
      <c r="D30" s="268">
        <f ca="1" xml:space="preserve"> RTD("cqg.rtd",,"StudyData",$H$1,  "Bar",, "High", "D",A30,,,,,"T")</f>
        <v>3.2054</v>
      </c>
      <c r="E30" s="268">
        <f ca="1" xml:space="preserve"> RTD("cqg.rtd",,"StudyData",$H$1,  "Bar",, "LOw", "D",A30,,,,,"T")</f>
        <v>3.1269999999999998</v>
      </c>
      <c r="F30" s="268">
        <f ca="1" xml:space="preserve"> RTD("cqg.rtd",,"StudyData",$H$1,  "Bar",, "Close", "D",A30,,,,,"T")</f>
        <v>3.1886000000000001</v>
      </c>
      <c r="N30" s="266">
        <f t="shared" si="1"/>
        <v>-28</v>
      </c>
      <c r="O30" s="267">
        <f ca="1" xml:space="preserve"> RTD("cqg.rtd",,"StudyData",$N$1,  "Bar",, "Time", "D",N30,,,,,"T")</f>
        <v>42975</v>
      </c>
      <c r="P30" s="268">
        <f ca="1" xml:space="preserve"> RTD("cqg.rtd",,"StudyData",$N$1,  "Bar",, "Open", "D",N30,,,,,"T")</f>
        <v>2.8901428600000001</v>
      </c>
      <c r="Q30" s="268">
        <f ca="1" xml:space="preserve"> RTD("cqg.rtd",,"StudyData",$N$1,  "Bar",, "High", "D",N30,,,,,"T")</f>
        <v>2.91185714</v>
      </c>
      <c r="R30" s="268">
        <f ca="1" xml:space="preserve"> RTD("cqg.rtd",,"StudyData",$N$1,  "Bar",, "LOw", "D",N30,,,,,"T")</f>
        <v>2.8759999999999999</v>
      </c>
      <c r="S30" s="268">
        <f ca="1" xml:space="preserve"> RTD("cqg.rtd",,"StudyData",$N$1,  "Bar",, "Close", "D",N30,,,,,"T")</f>
        <v>2.90357143</v>
      </c>
      <c r="V30" s="266">
        <f t="shared" si="2"/>
        <v>-28</v>
      </c>
      <c r="W30" s="267">
        <f ca="1" xml:space="preserve"> RTD("cqg.rtd",,"StudyData",$AC$1,  "Bar",, "Time", "D",V30,,,,,"T")</f>
        <v>42975</v>
      </c>
      <c r="X30" s="268">
        <f ca="1" xml:space="preserve"> RTD("cqg.rtd",,"StudyData",$AC$1,  "Bar",, "Open", "D",V30,,,,,"T")</f>
        <v>3.0785999999999998</v>
      </c>
      <c r="Y30" s="268">
        <f ca="1" xml:space="preserve"> RTD("cqg.rtd",,"StudyData",$AC$1,  "Bar",, "High", "D",V30,,,,,"T")</f>
        <v>3.0926</v>
      </c>
      <c r="Z30" s="268">
        <f ca="1" xml:space="preserve"> RTD("cqg.rtd",,"StudyData",$AC$1,  "Bar",, "LOw", "D",V30,,,,,"T")</f>
        <v>3.0764</v>
      </c>
      <c r="AA30" s="268">
        <f ca="1" xml:space="preserve"> RTD("cqg.rtd",,"StudyData",$AC$1,  "Bar",, "Close", "D",V30,,,,,"T")</f>
        <v>3.0920000000000001</v>
      </c>
      <c r="AI30" s="266">
        <f t="shared" si="3"/>
        <v>-28</v>
      </c>
      <c r="AJ30" s="267">
        <f ca="1" xml:space="preserve"> RTD("cqg.rtd",,"StudyData",$AP$1,  "Bar",, "Time", "D",AI30,,,,,"T")</f>
        <v>42975</v>
      </c>
      <c r="AK30" s="268">
        <f ca="1" xml:space="preserve"> RTD("cqg.rtd",,"StudyData",$AP$1,  "Bar",, "Open", "D",AI30,,,,,"T")</f>
        <v>2.6989999999999998</v>
      </c>
      <c r="AL30" s="268">
        <f ca="1" xml:space="preserve"> RTD("cqg.rtd",,"StudyData",$AP$1,  "Bar",, "High", "D",AI30,,,,,"T")</f>
        <v>2.7092857100000001</v>
      </c>
      <c r="AM30" s="268">
        <f ca="1" xml:space="preserve"> RTD("cqg.rtd",,"StudyData",$AP$1,  "Bar",, "LOw", "D",AI30,,,,,"T")</f>
        <v>2.6988571399999999</v>
      </c>
      <c r="AN30" s="268">
        <f ca="1" xml:space="preserve"> RTD("cqg.rtd",,"StudyData",$AP$1,  "Bar",, "Close", "D",AI30,,,,,"T")</f>
        <v>2.70914286</v>
      </c>
    </row>
    <row r="31" spans="1:40" x14ac:dyDescent="0.3">
      <c r="A31" s="266">
        <f t="shared" si="0"/>
        <v>-29</v>
      </c>
      <c r="B31" s="267">
        <f ca="1" xml:space="preserve"> RTD("cqg.rtd",,"StudyData",$H$1,  "Bar",, "Time", "D",A31,,,,,"T")</f>
        <v>42972</v>
      </c>
      <c r="C31" s="268">
        <f ca="1" xml:space="preserve"> RTD("cqg.rtd",,"StudyData",$H$1,  "Bar",, "Open", "D",A31,,,,,"T")</f>
        <v>3.2040000000000002</v>
      </c>
      <c r="D31" s="268">
        <f ca="1" xml:space="preserve"> RTD("cqg.rtd",,"StudyData",$H$1,  "Bar",, "High", "D",A31,,,,,"T")</f>
        <v>3.2084000000000001</v>
      </c>
      <c r="E31" s="268">
        <f ca="1" xml:space="preserve"> RTD("cqg.rtd",,"StudyData",$H$1,  "Bar",, "LOw", "D",A31,,,,,"T")</f>
        <v>3.1541999999999999</v>
      </c>
      <c r="F31" s="268">
        <f ca="1" xml:space="preserve"> RTD("cqg.rtd",,"StudyData",$H$1,  "Bar",, "Close", "D",A31,,,,,"T")</f>
        <v>3.1646000000000001</v>
      </c>
      <c r="N31" s="266">
        <f t="shared" si="1"/>
        <v>-29</v>
      </c>
      <c r="O31" s="267">
        <f ca="1" xml:space="preserve"> RTD("cqg.rtd",,"StudyData",$N$1,  "Bar",, "Time", "D",N31,,,,,"T")</f>
        <v>42972</v>
      </c>
      <c r="P31" s="268">
        <f ca="1" xml:space="preserve"> RTD("cqg.rtd",,"StudyData",$N$1,  "Bar",, "Open", "D",N31,,,,,"T")</f>
        <v>2.90271429</v>
      </c>
      <c r="Q31" s="268">
        <f ca="1" xml:space="preserve"> RTD("cqg.rtd",,"StudyData",$N$1,  "Bar",, "High", "D",N31,,,,,"T")</f>
        <v>2.90271429</v>
      </c>
      <c r="R31" s="268">
        <f ca="1" xml:space="preserve"> RTD("cqg.rtd",,"StudyData",$N$1,  "Bar",, "LOw", "D",N31,,,,,"T")</f>
        <v>2.8755714299999999</v>
      </c>
      <c r="S31" s="268">
        <f ca="1" xml:space="preserve"> RTD("cqg.rtd",,"StudyData",$N$1,  "Bar",, "Close", "D",N31,,,,,"T")</f>
        <v>2.8888571399999998</v>
      </c>
      <c r="V31" s="266">
        <f t="shared" si="2"/>
        <v>-29</v>
      </c>
      <c r="W31" s="267">
        <f ca="1" xml:space="preserve"> RTD("cqg.rtd",,"StudyData",$AC$1,  "Bar",, "Time", "D",V31,,,,,"T")</f>
        <v>42972</v>
      </c>
      <c r="X31" s="268">
        <f ca="1" xml:space="preserve"> RTD("cqg.rtd",,"StudyData",$AC$1,  "Bar",, "Open", "D",V31,,,,,"T")</f>
        <v>3.0886</v>
      </c>
      <c r="Y31" s="268">
        <f ca="1" xml:space="preserve"> RTD("cqg.rtd",,"StudyData",$AC$1,  "Bar",, "High", "D",V31,,,,,"T")</f>
        <v>3.0886</v>
      </c>
      <c r="Z31" s="268">
        <f ca="1" xml:space="preserve"> RTD("cqg.rtd",,"StudyData",$AC$1,  "Bar",, "LOw", "D",V31,,,,,"T")</f>
        <v>3.0666000000000002</v>
      </c>
      <c r="AA31" s="268">
        <f ca="1" xml:space="preserve"> RTD("cqg.rtd",,"StudyData",$AC$1,  "Bar",, "Close", "D",V31,,,,,"T")</f>
        <v>3.0785999999999998</v>
      </c>
      <c r="AI31" s="266">
        <f t="shared" si="3"/>
        <v>-29</v>
      </c>
      <c r="AJ31" s="267">
        <f ca="1" xml:space="preserve"> RTD("cqg.rtd",,"StudyData",$AP$1,  "Bar",, "Time", "D",AI31,,,,,"T")</f>
        <v>42972</v>
      </c>
      <c r="AK31" s="268">
        <f ca="1" xml:space="preserve"> RTD("cqg.rtd",,"StudyData",$AP$1,  "Bar",, "Open", "D",AI31,,,,,"T")</f>
        <v>2.7034285699999998</v>
      </c>
      <c r="AL31" s="268">
        <f ca="1" xml:space="preserve"> RTD("cqg.rtd",,"StudyData",$AP$1,  "Bar",, "High", "D",AI31,,,,,"T")</f>
        <v>2.70514286</v>
      </c>
      <c r="AM31" s="268">
        <f ca="1" xml:space="preserve"> RTD("cqg.rtd",,"StudyData",$AP$1,  "Bar",, "LOw", "D",AI31,,,,,"T")</f>
        <v>2.6970000000000001</v>
      </c>
      <c r="AN31" s="268">
        <f ca="1" xml:space="preserve"> RTD("cqg.rtd",,"StudyData",$AP$1,  "Bar",, "Close", "D",AI31,,,,,"T")</f>
        <v>2.6989999999999998</v>
      </c>
    </row>
    <row r="32" spans="1:40" x14ac:dyDescent="0.3">
      <c r="A32" s="266">
        <f t="shared" si="0"/>
        <v>-30</v>
      </c>
      <c r="B32" s="267">
        <f ca="1" xml:space="preserve"> RTD("cqg.rtd",,"StudyData",$H$1,  "Bar",, "Time", "D",A32,,,,,"T")</f>
        <v>42971</v>
      </c>
      <c r="C32" s="268">
        <f ca="1" xml:space="preserve"> RTD("cqg.rtd",,"StudyData",$H$1,  "Bar",, "Open", "D",A32,,,,,"T")</f>
        <v>3.1932</v>
      </c>
      <c r="D32" s="268">
        <f ca="1" xml:space="preserve"> RTD("cqg.rtd",,"StudyData",$H$1,  "Bar",, "High", "D",A32,,,,,"T")</f>
        <v>3.2263999999999999</v>
      </c>
      <c r="E32" s="268">
        <f ca="1" xml:space="preserve"> RTD("cqg.rtd",,"StudyData",$H$1,  "Bar",, "LOw", "D",A32,,,,,"T")</f>
        <v>3.1913999999999998</v>
      </c>
      <c r="F32" s="268">
        <f ca="1" xml:space="preserve"> RTD("cqg.rtd",,"StudyData",$H$1,  "Bar",, "Close", "D",A32,,,,,"T")</f>
        <v>3.2040000000000002</v>
      </c>
      <c r="N32" s="266">
        <f t="shared" si="1"/>
        <v>-30</v>
      </c>
      <c r="O32" s="267">
        <f ca="1" xml:space="preserve"> RTD("cqg.rtd",,"StudyData",$N$1,  "Bar",, "Time", "D",N32,,,,,"T")</f>
        <v>42971</v>
      </c>
      <c r="P32" s="268">
        <f ca="1" xml:space="preserve"> RTD("cqg.rtd",,"StudyData",$N$1,  "Bar",, "Open", "D",N32,,,,,"T")</f>
        <v>2.9051428600000002</v>
      </c>
      <c r="Q32" s="268">
        <f ca="1" xml:space="preserve"> RTD("cqg.rtd",,"StudyData",$N$1,  "Bar",, "High", "D",N32,,,,,"T")</f>
        <v>2.9142857100000001</v>
      </c>
      <c r="R32" s="268">
        <f ca="1" xml:space="preserve"> RTD("cqg.rtd",,"StudyData",$N$1,  "Bar",, "LOw", "D",N32,,,,,"T")</f>
        <v>2.8955714299999999</v>
      </c>
      <c r="S32" s="268">
        <f ca="1" xml:space="preserve"> RTD("cqg.rtd",,"StudyData",$N$1,  "Bar",, "Close", "D",N32,,,,,"T")</f>
        <v>2.90271429</v>
      </c>
      <c r="V32" s="266">
        <f t="shared" si="2"/>
        <v>-30</v>
      </c>
      <c r="W32" s="267">
        <f ca="1" xml:space="preserve"> RTD("cqg.rtd",,"StudyData",$AC$1,  "Bar",, "Time", "D",V32,,,,,"T")</f>
        <v>42971</v>
      </c>
      <c r="X32" s="268">
        <f ca="1" xml:space="preserve"> RTD("cqg.rtd",,"StudyData",$AC$1,  "Bar",, "Open", "D",V32,,,,,"T")</f>
        <v>3.0926</v>
      </c>
      <c r="Y32" s="268">
        <f ca="1" xml:space="preserve"> RTD("cqg.rtd",,"StudyData",$AC$1,  "Bar",, "High", "D",V32,,,,,"T")</f>
        <v>3.0973999999999999</v>
      </c>
      <c r="Z32" s="268">
        <f ca="1" xml:space="preserve"> RTD("cqg.rtd",,"StudyData",$AC$1,  "Bar",, "LOw", "D",V32,,,,,"T")</f>
        <v>3.081</v>
      </c>
      <c r="AA32" s="268">
        <f ca="1" xml:space="preserve"> RTD("cqg.rtd",,"StudyData",$AC$1,  "Bar",, "Close", "D",V32,,,,,"T")</f>
        <v>3.0886</v>
      </c>
      <c r="AI32" s="266">
        <f t="shared" si="3"/>
        <v>-30</v>
      </c>
      <c r="AJ32" s="267">
        <f ca="1" xml:space="preserve"> RTD("cqg.rtd",,"StudyData",$AP$1,  "Bar",, "Time", "D",AI32,,,,,"T")</f>
        <v>42971</v>
      </c>
      <c r="AK32" s="268">
        <f ca="1" xml:space="preserve"> RTD("cqg.rtd",,"StudyData",$AP$1,  "Bar",, "Open", "D",AI32,,,,,"T")</f>
        <v>2.7120000000000002</v>
      </c>
      <c r="AL32" s="268">
        <f ca="1" xml:space="preserve"> RTD("cqg.rtd",,"StudyData",$AP$1,  "Bar",, "High", "D",AI32,,,,,"T")</f>
        <v>2.7124285700000001</v>
      </c>
      <c r="AM32" s="268">
        <f ca="1" xml:space="preserve"> RTD("cqg.rtd",,"StudyData",$AP$1,  "Bar",, "LOw", "D",AI32,,,,,"T")</f>
        <v>2.7034285699999998</v>
      </c>
      <c r="AN32" s="268">
        <f ca="1" xml:space="preserve"> RTD("cqg.rtd",,"StudyData",$AP$1,  "Bar",, "Close", "D",AI32,,,,,"T")</f>
        <v>2.7034285699999998</v>
      </c>
    </row>
    <row r="33" spans="1:40" x14ac:dyDescent="0.3">
      <c r="A33" s="266">
        <f t="shared" si="0"/>
        <v>-31</v>
      </c>
      <c r="B33" s="267">
        <f ca="1" xml:space="preserve"> RTD("cqg.rtd",,"StudyData",$H$1,  "Bar",, "Time", "D",A33,,,,,"T")</f>
        <v>42970</v>
      </c>
      <c r="C33" s="268">
        <f ca="1" xml:space="preserve"> RTD("cqg.rtd",,"StudyData",$H$1,  "Bar",, "Open", "D",A33,,,,,"T")</f>
        <v>3.1932</v>
      </c>
      <c r="D33" s="268">
        <f ca="1" xml:space="preserve"> RTD("cqg.rtd",,"StudyData",$H$1,  "Bar",, "High", "D",A33,,,,,"T")</f>
        <v>3.2096</v>
      </c>
      <c r="E33" s="268">
        <f ca="1" xml:space="preserve"> RTD("cqg.rtd",,"StudyData",$H$1,  "Bar",, "LOw", "D",A33,,,,,"T")</f>
        <v>3.1652</v>
      </c>
      <c r="F33" s="268">
        <f ca="1" xml:space="preserve"> RTD("cqg.rtd",,"StudyData",$H$1,  "Bar",, "Close", "D",A33,,,,,"T")</f>
        <v>3.1962000000000002</v>
      </c>
      <c r="N33" s="266">
        <f t="shared" si="1"/>
        <v>-31</v>
      </c>
      <c r="O33" s="267">
        <f ca="1" xml:space="preserve"> RTD("cqg.rtd",,"StudyData",$N$1,  "Bar",, "Time", "D",N33,,,,,"T")</f>
        <v>42970</v>
      </c>
      <c r="P33" s="268">
        <f ca="1" xml:space="preserve"> RTD("cqg.rtd",,"StudyData",$N$1,  "Bar",, "Open", "D",N33,,,,,"T")</f>
        <v>2.9024285700000001</v>
      </c>
      <c r="Q33" s="268">
        <f ca="1" xml:space="preserve"> RTD("cqg.rtd",,"StudyData",$N$1,  "Bar",, "High", "D",N33,,,,,"T")</f>
        <v>2.9052857099999998</v>
      </c>
      <c r="R33" s="268">
        <f ca="1" xml:space="preserve"> RTD("cqg.rtd",,"StudyData",$N$1,  "Bar",, "LOw", "D",N33,,,,,"T")</f>
        <v>2.8887142899999998</v>
      </c>
      <c r="S33" s="268">
        <f ca="1" xml:space="preserve"> RTD("cqg.rtd",,"StudyData",$N$1,  "Bar",, "Close", "D",N33,,,,,"T")</f>
        <v>2.9051428600000002</v>
      </c>
      <c r="V33" s="266">
        <f t="shared" si="2"/>
        <v>-31</v>
      </c>
      <c r="W33" s="267">
        <f ca="1" xml:space="preserve"> RTD("cqg.rtd",,"StudyData",$AC$1,  "Bar",, "Time", "D",V33,,,,,"T")</f>
        <v>42970</v>
      </c>
      <c r="X33" s="268">
        <f ca="1" xml:space="preserve"> RTD("cqg.rtd",,"StudyData",$AC$1,  "Bar",, "Open", "D",V33,,,,,"T")</f>
        <v>3.09</v>
      </c>
      <c r="Y33" s="268">
        <f ca="1" xml:space="preserve"> RTD("cqg.rtd",,"StudyData",$AC$1,  "Bar",, "High", "D",V33,,,,,"T")</f>
        <v>3.0931999999999999</v>
      </c>
      <c r="Z33" s="268">
        <f ca="1" xml:space="preserve"> RTD("cqg.rtd",,"StudyData",$AC$1,  "Bar",, "LOw", "D",V33,,,,,"T")</f>
        <v>3.0783999999999998</v>
      </c>
      <c r="AA33" s="268">
        <f ca="1" xml:space="preserve"> RTD("cqg.rtd",,"StudyData",$AC$1,  "Bar",, "Close", "D",V33,,,,,"T")</f>
        <v>3.0926</v>
      </c>
      <c r="AI33" s="266">
        <f t="shared" si="3"/>
        <v>-31</v>
      </c>
      <c r="AJ33" s="267">
        <f ca="1" xml:space="preserve"> RTD("cqg.rtd",,"StudyData",$AP$1,  "Bar",, "Time", "D",AI33,,,,,"T")</f>
        <v>42970</v>
      </c>
      <c r="AK33" s="268">
        <f ca="1" xml:space="preserve"> RTD("cqg.rtd",,"StudyData",$AP$1,  "Bar",, "Open", "D",AI33,,,,,"T")</f>
        <v>2.7112857099999998</v>
      </c>
      <c r="AL33" s="268">
        <f ca="1" xml:space="preserve"> RTD("cqg.rtd",,"StudyData",$AP$1,  "Bar",, "High", "D",AI33,,,,,"T")</f>
        <v>2.7120000000000002</v>
      </c>
      <c r="AM33" s="268">
        <f ca="1" xml:space="preserve"> RTD("cqg.rtd",,"StudyData",$AP$1,  "Bar",, "LOw", "D",AI33,,,,,"T")</f>
        <v>2.70914286</v>
      </c>
      <c r="AN33" s="268">
        <f ca="1" xml:space="preserve"> RTD("cqg.rtd",,"StudyData",$AP$1,  "Bar",, "Close", "D",AI33,,,,,"T")</f>
        <v>2.7120000000000002</v>
      </c>
    </row>
    <row r="34" spans="1:40" x14ac:dyDescent="0.3">
      <c r="A34" s="266">
        <f t="shared" si="0"/>
        <v>-32</v>
      </c>
      <c r="B34" s="267">
        <f ca="1" xml:space="preserve"> RTD("cqg.rtd",,"StudyData",$H$1,  "Bar",, "Time", "D",A34,,,,,"T")</f>
        <v>42969</v>
      </c>
      <c r="C34" s="268">
        <f ca="1" xml:space="preserve"> RTD("cqg.rtd",,"StudyData",$H$1,  "Bar",, "Open", "D",A34,,,,,"T")</f>
        <v>3.2170000000000001</v>
      </c>
      <c r="D34" s="268">
        <f ca="1" xml:space="preserve"> RTD("cqg.rtd",,"StudyData",$H$1,  "Bar",, "High", "D",A34,,,,,"T")</f>
        <v>3.2492000000000001</v>
      </c>
      <c r="E34" s="268">
        <f ca="1" xml:space="preserve"> RTD("cqg.rtd",,"StudyData",$H$1,  "Bar",, "LOw", "D",A34,,,,,"T")</f>
        <v>3.1888000000000001</v>
      </c>
      <c r="F34" s="268">
        <f ca="1" xml:space="preserve"> RTD("cqg.rtd",,"StudyData",$H$1,  "Bar",, "Close", "D",A34,,,,,"T")</f>
        <v>3.1930000000000001</v>
      </c>
      <c r="N34" s="266">
        <f t="shared" si="1"/>
        <v>-32</v>
      </c>
      <c r="O34" s="267">
        <f ca="1" xml:space="preserve"> RTD("cqg.rtd",,"StudyData",$N$1,  "Bar",, "Time", "D",N34,,,,,"T")</f>
        <v>42969</v>
      </c>
      <c r="P34" s="268">
        <f ca="1" xml:space="preserve"> RTD("cqg.rtd",,"StudyData",$N$1,  "Bar",, "Open", "D",N34,,,,,"T")</f>
        <v>2.89942857</v>
      </c>
      <c r="Q34" s="268">
        <f ca="1" xml:space="preserve"> RTD("cqg.rtd",,"StudyData",$N$1,  "Bar",, "High", "D",N34,,,,,"T")</f>
        <v>2.91557143</v>
      </c>
      <c r="R34" s="268">
        <f ca="1" xml:space="preserve"> RTD("cqg.rtd",,"StudyData",$N$1,  "Bar",, "LOw", "D",N34,,,,,"T")</f>
        <v>2.8985714300000001</v>
      </c>
      <c r="S34" s="268">
        <f ca="1" xml:space="preserve"> RTD("cqg.rtd",,"StudyData",$N$1,  "Bar",, "Close", "D",N34,,,,,"T")</f>
        <v>2.9024285700000001</v>
      </c>
      <c r="V34" s="266">
        <f t="shared" si="2"/>
        <v>-32</v>
      </c>
      <c r="W34" s="267">
        <f ca="1" xml:space="preserve"> RTD("cqg.rtd",,"StudyData",$AC$1,  "Bar",, "Time", "D",V34,,,,,"T")</f>
        <v>42969</v>
      </c>
      <c r="X34" s="268">
        <f ca="1" xml:space="preserve"> RTD("cqg.rtd",,"StudyData",$AC$1,  "Bar",, "Open", "D",V34,,,,,"T")</f>
        <v>3.0914000000000001</v>
      </c>
      <c r="Y34" s="268">
        <f ca="1" xml:space="preserve"> RTD("cqg.rtd",,"StudyData",$AC$1,  "Bar",, "High", "D",V34,,,,,"T")</f>
        <v>3.0985999999999998</v>
      </c>
      <c r="Z34" s="268">
        <f ca="1" xml:space="preserve"> RTD("cqg.rtd",,"StudyData",$AC$1,  "Bar",, "LOw", "D",V34,,,,,"T")</f>
        <v>3.0882000000000001</v>
      </c>
      <c r="AA34" s="268">
        <f ca="1" xml:space="preserve"> RTD("cqg.rtd",,"StudyData",$AC$1,  "Bar",, "Close", "D",V34,,,,,"T")</f>
        <v>3.09</v>
      </c>
      <c r="AI34" s="266">
        <f t="shared" si="3"/>
        <v>-32</v>
      </c>
      <c r="AJ34" s="267">
        <f ca="1" xml:space="preserve"> RTD("cqg.rtd",,"StudyData",$AP$1,  "Bar",, "Time", "D",AI34,,,,,"T")</f>
        <v>42969</v>
      </c>
      <c r="AK34" s="268">
        <f ca="1" xml:space="preserve"> RTD("cqg.rtd",,"StudyData",$AP$1,  "Bar",, "Open", "D",AI34,,,,,"T")</f>
        <v>2.7238571399999998</v>
      </c>
      <c r="AL34" s="268">
        <f ca="1" xml:space="preserve"> RTD("cqg.rtd",,"StudyData",$AP$1,  "Bar",, "High", "D",AI34,,,,,"T")</f>
        <v>2.7238571399999998</v>
      </c>
      <c r="AM34" s="268">
        <f ca="1" xml:space="preserve"> RTD("cqg.rtd",,"StudyData",$AP$1,  "Bar",, "LOw", "D",AI34,,,,,"T")</f>
        <v>2.7111428599999998</v>
      </c>
      <c r="AN34" s="268">
        <f ca="1" xml:space="preserve"> RTD("cqg.rtd",,"StudyData",$AP$1,  "Bar",, "Close", "D",AI34,,,,,"T")</f>
        <v>2.7112857099999998</v>
      </c>
    </row>
    <row r="35" spans="1:40" x14ac:dyDescent="0.3">
      <c r="A35" s="266">
        <f t="shared" si="0"/>
        <v>-33</v>
      </c>
      <c r="B35" s="267">
        <f ca="1" xml:space="preserve"> RTD("cqg.rtd",,"StudyData",$H$1,  "Bar",, "Time", "D",A35,,,,,"T")</f>
        <v>42968</v>
      </c>
      <c r="C35" s="268">
        <f ca="1" xml:space="preserve"> RTD("cqg.rtd",,"StudyData",$H$1,  "Bar",, "Open", "D",A35,,,,,"T")</f>
        <v>3.1854</v>
      </c>
      <c r="D35" s="268">
        <f ca="1" xml:space="preserve"> RTD("cqg.rtd",,"StudyData",$H$1,  "Bar",, "High", "D",A35,,,,,"T")</f>
        <v>3.2355999999999998</v>
      </c>
      <c r="E35" s="268">
        <f ca="1" xml:space="preserve"> RTD("cqg.rtd",,"StudyData",$H$1,  "Bar",, "LOw", "D",A35,,,,,"T")</f>
        <v>3.1537999999999999</v>
      </c>
      <c r="F35" s="268">
        <f ca="1" xml:space="preserve"> RTD("cqg.rtd",,"StudyData",$H$1,  "Bar",, "Close", "D",A35,,,,,"T")</f>
        <v>3.2153999999999998</v>
      </c>
      <c r="N35" s="266">
        <f t="shared" si="1"/>
        <v>-33</v>
      </c>
      <c r="O35" s="267">
        <f ca="1" xml:space="preserve"> RTD("cqg.rtd",,"StudyData",$N$1,  "Bar",, "Time", "D",N35,,,,,"T")</f>
        <v>42968</v>
      </c>
      <c r="P35" s="268">
        <f ca="1" xml:space="preserve"> RTD("cqg.rtd",,"StudyData",$N$1,  "Bar",, "Open", "D",N35,,,,,"T")</f>
        <v>2.8841428599999999</v>
      </c>
      <c r="Q35" s="268">
        <f ca="1" xml:space="preserve"> RTD("cqg.rtd",,"StudyData",$N$1,  "Bar",, "High", "D",N35,,,,,"T")</f>
        <v>2.9052857099999998</v>
      </c>
      <c r="R35" s="268">
        <f ca="1" xml:space="preserve"> RTD("cqg.rtd",,"StudyData",$N$1,  "Bar",, "LOw", "D",N35,,,,,"T")</f>
        <v>2.8759999999999999</v>
      </c>
      <c r="S35" s="268">
        <f ca="1" xml:space="preserve"> RTD("cqg.rtd",,"StudyData",$N$1,  "Bar",, "Close", "D",N35,,,,,"T")</f>
        <v>2.89942857</v>
      </c>
      <c r="V35" s="266">
        <f t="shared" si="2"/>
        <v>-33</v>
      </c>
      <c r="W35" s="267">
        <f ca="1" xml:space="preserve"> RTD("cqg.rtd",,"StudyData",$AC$1,  "Bar",, "Time", "D",V35,,,,,"T")</f>
        <v>42968</v>
      </c>
      <c r="X35" s="268">
        <f ca="1" xml:space="preserve"> RTD("cqg.rtd",,"StudyData",$AC$1,  "Bar",, "Open", "D",V35,,,,,"T")</f>
        <v>3.0768</v>
      </c>
      <c r="Y35" s="268">
        <f ca="1" xml:space="preserve"> RTD("cqg.rtd",,"StudyData",$AC$1,  "Bar",, "High", "D",V35,,,,,"T")</f>
        <v>3.0928</v>
      </c>
      <c r="Z35" s="268">
        <f ca="1" xml:space="preserve"> RTD("cqg.rtd",,"StudyData",$AC$1,  "Bar",, "LOw", "D",V35,,,,,"T")</f>
        <v>3.0735999999999999</v>
      </c>
      <c r="AA35" s="268">
        <f ca="1" xml:space="preserve"> RTD("cqg.rtd",,"StudyData",$AC$1,  "Bar",, "Close", "D",V35,,,,,"T")</f>
        <v>3.0914000000000001</v>
      </c>
      <c r="AI35" s="266">
        <f t="shared" si="3"/>
        <v>-33</v>
      </c>
      <c r="AJ35" s="267">
        <f ca="1" xml:space="preserve"> RTD("cqg.rtd",,"StudyData",$AP$1,  "Bar",, "Time", "D",AI35,,,,,"T")</f>
        <v>42968</v>
      </c>
      <c r="AK35" s="268">
        <f ca="1" xml:space="preserve"> RTD("cqg.rtd",,"StudyData",$AP$1,  "Bar",, "Open", "D",AI35,,,,,"T")</f>
        <v>2.70914286</v>
      </c>
      <c r="AL35" s="268">
        <f ca="1" xml:space="preserve"> RTD("cqg.rtd",,"StudyData",$AP$1,  "Bar",, "High", "D",AI35,,,,,"T")</f>
        <v>2.7238571399999998</v>
      </c>
      <c r="AM35" s="268">
        <f ca="1" xml:space="preserve"> RTD("cqg.rtd",,"StudyData",$AP$1,  "Bar",, "LOw", "D",AI35,,,,,"T")</f>
        <v>2.70914286</v>
      </c>
      <c r="AN35" s="268">
        <f ca="1" xml:space="preserve"> RTD("cqg.rtd",,"StudyData",$AP$1,  "Bar",, "Close", "D",AI35,,,,,"T")</f>
        <v>2.7238571399999998</v>
      </c>
    </row>
    <row r="36" spans="1:40" x14ac:dyDescent="0.3">
      <c r="A36" s="266">
        <f t="shared" si="0"/>
        <v>-34</v>
      </c>
      <c r="B36" s="267">
        <f ca="1" xml:space="preserve"> RTD("cqg.rtd",,"StudyData",$H$1,  "Bar",, "Time", "D",A36,,,,,"T")</f>
        <v>42965</v>
      </c>
      <c r="C36" s="268">
        <f ca="1" xml:space="preserve"> RTD("cqg.rtd",,"StudyData",$H$1,  "Bar",, "Open", "D",A36,,,,,"T")</f>
        <v>3.1901999999999999</v>
      </c>
      <c r="D36" s="268">
        <f ca="1" xml:space="preserve"> RTD("cqg.rtd",,"StudyData",$H$1,  "Bar",, "High", "D",A36,,,,,"T")</f>
        <v>3.1991999999999998</v>
      </c>
      <c r="E36" s="268">
        <f ca="1" xml:space="preserve"> RTD("cqg.rtd",,"StudyData",$H$1,  "Bar",, "LOw", "D",A36,,,,,"T")</f>
        <v>3.165</v>
      </c>
      <c r="F36" s="268">
        <f ca="1" xml:space="preserve"> RTD("cqg.rtd",,"StudyData",$H$1,  "Bar",, "Close", "D",A36,,,,,"T")</f>
        <v>3.1684000000000001</v>
      </c>
      <c r="N36" s="266">
        <f t="shared" si="1"/>
        <v>-34</v>
      </c>
      <c r="O36" s="267">
        <f ca="1" xml:space="preserve"> RTD("cqg.rtd",,"StudyData",$N$1,  "Bar",, "Time", "D",N36,,,,,"T")</f>
        <v>42965</v>
      </c>
      <c r="P36" s="268">
        <f ca="1" xml:space="preserve"> RTD("cqg.rtd",,"StudyData",$N$1,  "Bar",, "Open", "D",N36,,,,,"T")</f>
        <v>2.8815714300000002</v>
      </c>
      <c r="Q36" s="268">
        <f ca="1" xml:space="preserve"> RTD("cqg.rtd",,"StudyData",$N$1,  "Bar",, "High", "D",N36,,,,,"T")</f>
        <v>2.8881428599999999</v>
      </c>
      <c r="R36" s="268">
        <f ca="1" xml:space="preserve"> RTD("cqg.rtd",,"StudyData",$N$1,  "Bar",, "LOw", "D",N36,,,,,"T")</f>
        <v>2.8738571400000001</v>
      </c>
      <c r="S36" s="268">
        <f ca="1" xml:space="preserve"> RTD("cqg.rtd",,"StudyData",$N$1,  "Bar",, "Close", "D",N36,,,,,"T")</f>
        <v>2.8841428599999999</v>
      </c>
      <c r="V36" s="266">
        <f t="shared" si="2"/>
        <v>-34</v>
      </c>
      <c r="W36" s="267">
        <f ca="1" xml:space="preserve"> RTD("cqg.rtd",,"StudyData",$AC$1,  "Bar",, "Time", "D",V36,,,,,"T")</f>
        <v>42965</v>
      </c>
      <c r="X36" s="268">
        <f ca="1" xml:space="preserve"> RTD("cqg.rtd",,"StudyData",$AC$1,  "Bar",, "Open", "D",V36,,,,,"T")</f>
        <v>3.073</v>
      </c>
      <c r="Y36" s="268">
        <f ca="1" xml:space="preserve"> RTD("cqg.rtd",,"StudyData",$AC$1,  "Bar",, "High", "D",V36,,,,,"T")</f>
        <v>3.0806</v>
      </c>
      <c r="Z36" s="268">
        <f ca="1" xml:space="preserve"> RTD("cqg.rtd",,"StudyData",$AC$1,  "Bar",, "LOw", "D",V36,,,,,"T")</f>
        <v>3.0724</v>
      </c>
      <c r="AA36" s="268">
        <f ca="1" xml:space="preserve"> RTD("cqg.rtd",,"StudyData",$AC$1,  "Bar",, "Close", "D",V36,,,,,"T")</f>
        <v>3.0768</v>
      </c>
      <c r="AI36" s="266">
        <f t="shared" si="3"/>
        <v>-34</v>
      </c>
      <c r="AJ36" s="267">
        <f ca="1" xml:space="preserve"> RTD("cqg.rtd",,"StudyData",$AP$1,  "Bar",, "Time", "D",AI36,,,,,"T")</f>
        <v>42965</v>
      </c>
      <c r="AK36" s="268">
        <f ca="1" xml:space="preserve"> RTD("cqg.rtd",,"StudyData",$AP$1,  "Bar",, "Open", "D",AI36,,,,,"T")</f>
        <v>2.7092857100000001</v>
      </c>
      <c r="AL36" s="268">
        <f ca="1" xml:space="preserve"> RTD("cqg.rtd",,"StudyData",$AP$1,  "Bar",, "High", "D",AI36,,,,,"T")</f>
        <v>2.71385714</v>
      </c>
      <c r="AM36" s="268">
        <f ca="1" xml:space="preserve"> RTD("cqg.rtd",,"StudyData",$AP$1,  "Bar",, "LOw", "D",AI36,,,,,"T")</f>
        <v>2.7085714300000001</v>
      </c>
      <c r="AN36" s="268">
        <f ca="1" xml:space="preserve"> RTD("cqg.rtd",,"StudyData",$AP$1,  "Bar",, "Close", "D",AI36,,,,,"T")</f>
        <v>2.70914286</v>
      </c>
    </row>
    <row r="37" spans="1:40" x14ac:dyDescent="0.3">
      <c r="A37" s="266">
        <f t="shared" si="0"/>
        <v>-35</v>
      </c>
      <c r="B37" s="267">
        <f ca="1" xml:space="preserve"> RTD("cqg.rtd",,"StudyData",$H$1,  "Bar",, "Time", "D",A37,,,,,"T")</f>
        <v>42964</v>
      </c>
      <c r="C37" s="268">
        <f ca="1" xml:space="preserve"> RTD("cqg.rtd",,"StudyData",$H$1,  "Bar",, "Open", "D",A37,,,,,"T")</f>
        <v>3.1606000000000001</v>
      </c>
      <c r="D37" s="268">
        <f ca="1" xml:space="preserve"> RTD("cqg.rtd",,"StudyData",$H$1,  "Bar",, "High", "D",A37,,,,,"T")</f>
        <v>3.2069999999999999</v>
      </c>
      <c r="E37" s="268">
        <f ca="1" xml:space="preserve"> RTD("cqg.rtd",,"StudyData",$H$1,  "Bar",, "LOw", "D",A37,,,,,"T")</f>
        <v>3.1463999999999999</v>
      </c>
      <c r="F37" s="268">
        <f ca="1" xml:space="preserve"> RTD("cqg.rtd",,"StudyData",$H$1,  "Bar",, "Close", "D",A37,,,,,"T")</f>
        <v>3.1936</v>
      </c>
      <c r="N37" s="266">
        <f t="shared" si="1"/>
        <v>-35</v>
      </c>
      <c r="O37" s="267">
        <f ca="1" xml:space="preserve"> RTD("cqg.rtd",,"StudyData",$N$1,  "Bar",, "Time", "D",N37,,,,,"T")</f>
        <v>42964</v>
      </c>
      <c r="P37" s="268">
        <f ca="1" xml:space="preserve"> RTD("cqg.rtd",,"StudyData",$N$1,  "Bar",, "Open", "D",N37,,,,,"T")</f>
        <v>2.8772857100000002</v>
      </c>
      <c r="Q37" s="268">
        <f ca="1" xml:space="preserve"> RTD("cqg.rtd",,"StudyData",$N$1,  "Bar",, "High", "D",N37,,,,,"T")</f>
        <v>2.8904285700000001</v>
      </c>
      <c r="R37" s="268">
        <f ca="1" xml:space="preserve"> RTD("cqg.rtd",,"StudyData",$N$1,  "Bar",, "LOw", "D",N37,,,,,"T")</f>
        <v>2.8661428600000001</v>
      </c>
      <c r="S37" s="268">
        <f ca="1" xml:space="preserve"> RTD("cqg.rtd",,"StudyData",$N$1,  "Bar",, "Close", "D",N37,,,,,"T")</f>
        <v>2.8815714300000002</v>
      </c>
      <c r="V37" s="266">
        <f t="shared" si="2"/>
        <v>-35</v>
      </c>
      <c r="W37" s="267">
        <f ca="1" xml:space="preserve"> RTD("cqg.rtd",,"StudyData",$AC$1,  "Bar",, "Time", "D",V37,,,,,"T")</f>
        <v>42964</v>
      </c>
      <c r="X37" s="268">
        <f ca="1" xml:space="preserve"> RTD("cqg.rtd",,"StudyData",$AC$1,  "Bar",, "Open", "D",V37,,,,,"T")</f>
        <v>3.0731999999999999</v>
      </c>
      <c r="Y37" s="268">
        <f ca="1" xml:space="preserve"> RTD("cqg.rtd",,"StudyData",$AC$1,  "Bar",, "High", "D",V37,,,,,"T")</f>
        <v>3.0796000000000001</v>
      </c>
      <c r="Z37" s="268">
        <f ca="1" xml:space="preserve"> RTD("cqg.rtd",,"StudyData",$AC$1,  "Bar",, "LOw", "D",V37,,,,,"T")</f>
        <v>3.0644</v>
      </c>
      <c r="AA37" s="268">
        <f ca="1" xml:space="preserve"> RTD("cqg.rtd",,"StudyData",$AC$1,  "Bar",, "Close", "D",V37,,,,,"T")</f>
        <v>3.073</v>
      </c>
      <c r="AI37" s="266">
        <f t="shared" si="3"/>
        <v>-35</v>
      </c>
      <c r="AJ37" s="267">
        <f ca="1" xml:space="preserve"> RTD("cqg.rtd",,"StudyData",$AP$1,  "Bar",, "Time", "D",AI37,,,,,"T")</f>
        <v>42964</v>
      </c>
      <c r="AK37" s="268">
        <f ca="1" xml:space="preserve"> RTD("cqg.rtd",,"StudyData",$AP$1,  "Bar",, "Open", "D",AI37,,,,,"T")</f>
        <v>2.7004285700000001</v>
      </c>
      <c r="AL37" s="268">
        <f ca="1" xml:space="preserve"> RTD("cqg.rtd",,"StudyData",$AP$1,  "Bar",, "High", "D",AI37,,,,,"T")</f>
        <v>2.70942857</v>
      </c>
      <c r="AM37" s="268">
        <f ca="1" xml:space="preserve"> RTD("cqg.rtd",,"StudyData",$AP$1,  "Bar",, "LOw", "D",AI37,,,,,"T")</f>
        <v>2.7002857100000002</v>
      </c>
      <c r="AN37" s="268">
        <f ca="1" xml:space="preserve"> RTD("cqg.rtd",,"StudyData",$AP$1,  "Bar",, "Close", "D",AI37,,,,,"T")</f>
        <v>2.7092857100000001</v>
      </c>
    </row>
    <row r="38" spans="1:40" x14ac:dyDescent="0.3">
      <c r="A38" s="266">
        <f t="shared" si="0"/>
        <v>-36</v>
      </c>
      <c r="B38" s="267">
        <f ca="1" xml:space="preserve"> RTD("cqg.rtd",,"StudyData",$H$1,  "Bar",, "Time", "D",A38,,,,,"T")</f>
        <v>42963</v>
      </c>
      <c r="C38" s="268">
        <f ca="1" xml:space="preserve"> RTD("cqg.rtd",,"StudyData",$H$1,  "Bar",, "Open", "D",A38,,,,,"T")</f>
        <v>3.1840000000000002</v>
      </c>
      <c r="D38" s="268">
        <f ca="1" xml:space="preserve"> RTD("cqg.rtd",,"StudyData",$H$1,  "Bar",, "High", "D",A38,,,,,"T")</f>
        <v>3.1970000000000001</v>
      </c>
      <c r="E38" s="268">
        <f ca="1" xml:space="preserve"> RTD("cqg.rtd",,"StudyData",$H$1,  "Bar",, "LOw", "D",A38,,,,,"T")</f>
        <v>3.1619999999999999</v>
      </c>
      <c r="F38" s="268">
        <f ca="1" xml:space="preserve"> RTD("cqg.rtd",,"StudyData",$H$1,  "Bar",, "Close", "D",A38,,,,,"T")</f>
        <v>3.1619999999999999</v>
      </c>
      <c r="N38" s="266">
        <f t="shared" si="1"/>
        <v>-36</v>
      </c>
      <c r="O38" s="267">
        <f ca="1" xml:space="preserve"> RTD("cqg.rtd",,"StudyData",$N$1,  "Bar",, "Time", "D",N38,,,,,"T")</f>
        <v>42963</v>
      </c>
      <c r="P38" s="268">
        <f ca="1" xml:space="preserve"> RTD("cqg.rtd",,"StudyData",$N$1,  "Bar",, "Open", "D",N38,,,,,"T")</f>
        <v>2.8878571399999999</v>
      </c>
      <c r="Q38" s="268">
        <f ca="1" xml:space="preserve"> RTD("cqg.rtd",,"StudyData",$N$1,  "Bar",, "High", "D",N38,,,,,"T")</f>
        <v>2.8891428600000002</v>
      </c>
      <c r="R38" s="268">
        <f ca="1" xml:space="preserve"> RTD("cqg.rtd",,"StudyData",$N$1,  "Bar",, "LOw", "D",N38,,,,,"T")</f>
        <v>2.8740000000000001</v>
      </c>
      <c r="S38" s="268">
        <f ca="1" xml:space="preserve"> RTD("cqg.rtd",,"StudyData",$N$1,  "Bar",, "Close", "D",N38,,,,,"T")</f>
        <v>2.8772857100000002</v>
      </c>
      <c r="V38" s="266">
        <f t="shared" si="2"/>
        <v>-36</v>
      </c>
      <c r="W38" s="267">
        <f ca="1" xml:space="preserve"> RTD("cqg.rtd",,"StudyData",$AC$1,  "Bar",, "Time", "D",V38,,,,,"T")</f>
        <v>42963</v>
      </c>
      <c r="X38" s="268">
        <f ca="1" xml:space="preserve"> RTD("cqg.rtd",,"StudyData",$AC$1,  "Bar",, "Open", "D",V38,,,,,"T")</f>
        <v>3.0781999999999998</v>
      </c>
      <c r="Y38" s="268">
        <f ca="1" xml:space="preserve"> RTD("cqg.rtd",,"StudyData",$AC$1,  "Bar",, "High", "D",V38,,,,,"T")</f>
        <v>3.0781999999999998</v>
      </c>
      <c r="Z38" s="268">
        <f ca="1" xml:space="preserve"> RTD("cqg.rtd",,"StudyData",$AC$1,  "Bar",, "LOw", "D",V38,,,,,"T")</f>
        <v>3.0701999999999998</v>
      </c>
      <c r="AA38" s="268">
        <f ca="1" xml:space="preserve"> RTD("cqg.rtd",,"StudyData",$AC$1,  "Bar",, "Close", "D",V38,,,,,"T")</f>
        <v>3.0731999999999999</v>
      </c>
      <c r="AI38" s="266">
        <f t="shared" si="3"/>
        <v>-36</v>
      </c>
      <c r="AJ38" s="267">
        <f ca="1" xml:space="preserve"> RTD("cqg.rtd",,"StudyData",$AP$1,  "Bar",, "Time", "D",AI38,,,,,"T")</f>
        <v>42963</v>
      </c>
      <c r="AK38" s="268">
        <f ca="1" xml:space="preserve"> RTD("cqg.rtd",,"StudyData",$AP$1,  "Bar",, "Open", "D",AI38,,,,,"T")</f>
        <v>2.7151428599999998</v>
      </c>
      <c r="AL38" s="268">
        <f ca="1" xml:space="preserve"> RTD("cqg.rtd",,"StudyData",$AP$1,  "Bar",, "High", "D",AI38,,,,,"T")</f>
        <v>2.7162857100000002</v>
      </c>
      <c r="AM38" s="268">
        <f ca="1" xml:space="preserve"> RTD("cqg.rtd",,"StudyData",$AP$1,  "Bar",, "LOw", "D",AI38,,,,,"T")</f>
        <v>2.7004285700000001</v>
      </c>
      <c r="AN38" s="268">
        <f ca="1" xml:space="preserve"> RTD("cqg.rtd",,"StudyData",$AP$1,  "Bar",, "Close", "D",AI38,,,,,"T")</f>
        <v>2.7004285700000001</v>
      </c>
    </row>
    <row r="39" spans="1:40" x14ac:dyDescent="0.3">
      <c r="A39" s="266">
        <f t="shared" si="0"/>
        <v>-37</v>
      </c>
      <c r="B39" s="267">
        <f ca="1" xml:space="preserve"> RTD("cqg.rtd",,"StudyData",$H$1,  "Bar",, "Time", "D",A39,,,,,"T")</f>
        <v>42962</v>
      </c>
      <c r="C39" s="268">
        <f ca="1" xml:space="preserve"> RTD("cqg.rtd",,"StudyData",$H$1,  "Bar",, "Open", "D",A39,,,,,"T")</f>
        <v>3.2136</v>
      </c>
      <c r="D39" s="268">
        <f ca="1" xml:space="preserve"> RTD("cqg.rtd",,"StudyData",$H$1,  "Bar",, "High", "D",A39,,,,,"T")</f>
        <v>3.2229999999999999</v>
      </c>
      <c r="E39" s="268">
        <f ca="1" xml:space="preserve"> RTD("cqg.rtd",,"StudyData",$H$1,  "Bar",, "LOw", "D",A39,,,,,"T")</f>
        <v>3.1842000000000001</v>
      </c>
      <c r="F39" s="268">
        <f ca="1" xml:space="preserve"> RTD("cqg.rtd",,"StudyData",$H$1,  "Bar",, "Close", "D",A39,,,,,"T")</f>
        <v>3.1854</v>
      </c>
      <c r="N39" s="266">
        <f t="shared" si="1"/>
        <v>-37</v>
      </c>
      <c r="O39" s="267">
        <f ca="1" xml:space="preserve"> RTD("cqg.rtd",,"StudyData",$N$1,  "Bar",, "Time", "D",N39,,,,,"T")</f>
        <v>42962</v>
      </c>
      <c r="P39" s="268">
        <f ca="1" xml:space="preserve"> RTD("cqg.rtd",,"StudyData",$N$1,  "Bar",, "Open", "D",N39,,,,,"T")</f>
        <v>2.90357143</v>
      </c>
      <c r="Q39" s="268">
        <f ca="1" xml:space="preserve"> RTD("cqg.rtd",,"StudyData",$N$1,  "Bar",, "High", "D",N39,,,,,"T")</f>
        <v>2.9062857100000001</v>
      </c>
      <c r="R39" s="268">
        <f ca="1" xml:space="preserve"> RTD("cqg.rtd",,"StudyData",$N$1,  "Bar",, "LOw", "D",N39,,,,,"T")</f>
        <v>2.88714286</v>
      </c>
      <c r="S39" s="268">
        <f ca="1" xml:space="preserve"> RTD("cqg.rtd",,"StudyData",$N$1,  "Bar",, "Close", "D",N39,,,,,"T")</f>
        <v>2.8878571399999999</v>
      </c>
      <c r="V39" s="266">
        <f t="shared" si="2"/>
        <v>-37</v>
      </c>
      <c r="W39" s="267">
        <f ca="1" xml:space="preserve"> RTD("cqg.rtd",,"StudyData",$AC$1,  "Bar",, "Time", "D",V39,,,,,"T")</f>
        <v>42962</v>
      </c>
      <c r="X39" s="268">
        <f ca="1" xml:space="preserve"> RTD("cqg.rtd",,"StudyData",$AC$1,  "Bar",, "Open", "D",V39,,,,,"T")</f>
        <v>3.0977999999999999</v>
      </c>
      <c r="Y39" s="268">
        <f ca="1" xml:space="preserve"> RTD("cqg.rtd",,"StudyData",$AC$1,  "Bar",, "High", "D",V39,,,,,"T")</f>
        <v>3.0985999999999998</v>
      </c>
      <c r="Z39" s="268">
        <f ca="1" xml:space="preserve"> RTD("cqg.rtd",,"StudyData",$AC$1,  "Bar",, "LOw", "D",V39,,,,,"T")</f>
        <v>3.0781999999999998</v>
      </c>
      <c r="AA39" s="268">
        <f ca="1" xml:space="preserve"> RTD("cqg.rtd",,"StudyData",$AC$1,  "Bar",, "Close", "D",V39,,,,,"T")</f>
        <v>3.0781999999999998</v>
      </c>
      <c r="AI39" s="266">
        <f t="shared" si="3"/>
        <v>-37</v>
      </c>
      <c r="AJ39" s="267">
        <f ca="1" xml:space="preserve"> RTD("cqg.rtd",,"StudyData",$AP$1,  "Bar",, "Time", "D",AI39,,,,,"T")</f>
        <v>42962</v>
      </c>
      <c r="AK39" s="268">
        <f ca="1" xml:space="preserve"> RTD("cqg.rtd",,"StudyData",$AP$1,  "Bar",, "Open", "D",AI39,,,,,"T")</f>
        <v>2.72571429</v>
      </c>
      <c r="AL39" s="268">
        <f ca="1" xml:space="preserve"> RTD("cqg.rtd",,"StudyData",$AP$1,  "Bar",, "High", "D",AI39,,,,,"T")</f>
        <v>2.7290000000000001</v>
      </c>
      <c r="AM39" s="268">
        <f ca="1" xml:space="preserve"> RTD("cqg.rtd",,"StudyData",$AP$1,  "Bar",, "LOw", "D",AI39,,,,,"T")</f>
        <v>2.7145714299999999</v>
      </c>
      <c r="AN39" s="268">
        <f ca="1" xml:space="preserve"> RTD("cqg.rtd",,"StudyData",$AP$1,  "Bar",, "Close", "D",AI39,,,,,"T")</f>
        <v>2.7151428599999998</v>
      </c>
    </row>
    <row r="40" spans="1:40" x14ac:dyDescent="0.3">
      <c r="A40" s="266">
        <f t="shared" si="0"/>
        <v>-38</v>
      </c>
      <c r="B40" s="267">
        <f ca="1" xml:space="preserve"> RTD("cqg.rtd",,"StudyData",$H$1,  "Bar",, "Time", "D",A40,,,,,"T")</f>
        <v>42961</v>
      </c>
      <c r="C40" s="268">
        <f ca="1" xml:space="preserve"> RTD("cqg.rtd",,"StudyData",$H$1,  "Bar",, "Open", "D",A40,,,,,"T")</f>
        <v>3.2452000000000001</v>
      </c>
      <c r="D40" s="268">
        <f ca="1" xml:space="preserve"> RTD("cqg.rtd",,"StudyData",$H$1,  "Bar",, "High", "D",A40,,,,,"T")</f>
        <v>3.25</v>
      </c>
      <c r="E40" s="268">
        <f ca="1" xml:space="preserve"> RTD("cqg.rtd",,"StudyData",$H$1,  "Bar",, "LOw", "D",A40,,,,,"T")</f>
        <v>3.1821999999999999</v>
      </c>
      <c r="F40" s="268">
        <f ca="1" xml:space="preserve"> RTD("cqg.rtd",,"StudyData",$H$1,  "Bar",, "Close", "D",A40,,,,,"T")</f>
        <v>3.2130000000000001</v>
      </c>
      <c r="N40" s="266">
        <f t="shared" si="1"/>
        <v>-38</v>
      </c>
      <c r="O40" s="267">
        <f ca="1" xml:space="preserve"> RTD("cqg.rtd",,"StudyData",$N$1,  "Bar",, "Time", "D",N40,,,,,"T")</f>
        <v>42961</v>
      </c>
      <c r="P40" s="268">
        <f ca="1" xml:space="preserve"> RTD("cqg.rtd",,"StudyData",$N$1,  "Bar",, "Open", "D",N40,,,,,"T")</f>
        <v>2.9062857100000001</v>
      </c>
      <c r="Q40" s="268">
        <f ca="1" xml:space="preserve"> RTD("cqg.rtd",,"StudyData",$N$1,  "Bar",, "High", "D",N40,,,,,"T")</f>
        <v>2.9091428600000002</v>
      </c>
      <c r="R40" s="268">
        <f ca="1" xml:space="preserve"> RTD("cqg.rtd",,"StudyData",$N$1,  "Bar",, "LOw", "D",N40,,,,,"T")</f>
        <v>2.8902857100000001</v>
      </c>
      <c r="S40" s="268">
        <f ca="1" xml:space="preserve"> RTD("cqg.rtd",,"StudyData",$N$1,  "Bar",, "Close", "D",N40,,,,,"T")</f>
        <v>2.90357143</v>
      </c>
      <c r="V40" s="266">
        <f t="shared" si="2"/>
        <v>-38</v>
      </c>
      <c r="W40" s="267">
        <f ca="1" xml:space="preserve"> RTD("cqg.rtd",,"StudyData",$AC$1,  "Bar",, "Time", "D",V40,,,,,"T")</f>
        <v>42961</v>
      </c>
      <c r="X40" s="268">
        <f ca="1" xml:space="preserve"> RTD("cqg.rtd",,"StudyData",$AC$1,  "Bar",, "Open", "D",V40,,,,,"T")</f>
        <v>3.0935999999999999</v>
      </c>
      <c r="Y40" s="268">
        <f ca="1" xml:space="preserve"> RTD("cqg.rtd",,"StudyData",$AC$1,  "Bar",, "High", "D",V40,,,,,"T")</f>
        <v>3.1013999999999999</v>
      </c>
      <c r="Z40" s="268">
        <f ca="1" xml:space="preserve"> RTD("cqg.rtd",,"StudyData",$AC$1,  "Bar",, "LOw", "D",V40,,,,,"T")</f>
        <v>3.0893999999999999</v>
      </c>
      <c r="AA40" s="268">
        <f ca="1" xml:space="preserve"> RTD("cqg.rtd",,"StudyData",$AC$1,  "Bar",, "Close", "D",V40,,,,,"T")</f>
        <v>3.0977999999999999</v>
      </c>
      <c r="AI40" s="266">
        <f t="shared" si="3"/>
        <v>-38</v>
      </c>
      <c r="AJ40" s="267">
        <f ca="1" xml:space="preserve"> RTD("cqg.rtd",,"StudyData",$AP$1,  "Bar",, "Time", "D",AI40,,,,,"T")</f>
        <v>42961</v>
      </c>
      <c r="AK40" s="268">
        <f ca="1" xml:space="preserve"> RTD("cqg.rtd",,"StudyData",$AP$1,  "Bar",, "Open", "D",AI40,,,,,"T")</f>
        <v>2.7237142900000002</v>
      </c>
      <c r="AL40" s="268">
        <f ca="1" xml:space="preserve"> RTD("cqg.rtd",,"StudyData",$AP$1,  "Bar",, "High", "D",AI40,,,,,"T")</f>
        <v>2.73</v>
      </c>
      <c r="AM40" s="268">
        <f ca="1" xml:space="preserve"> RTD("cqg.rtd",,"StudyData",$AP$1,  "Bar",, "LOw", "D",AI40,,,,,"T")</f>
        <v>2.7237142900000002</v>
      </c>
      <c r="AN40" s="268">
        <f ca="1" xml:space="preserve"> RTD("cqg.rtd",,"StudyData",$AP$1,  "Bar",, "Close", "D",AI40,,,,,"T")</f>
        <v>2.72571429</v>
      </c>
    </row>
    <row r="41" spans="1:40" x14ac:dyDescent="0.3">
      <c r="A41" s="266">
        <f t="shared" si="0"/>
        <v>-39</v>
      </c>
      <c r="B41" s="267">
        <f ca="1" xml:space="preserve"> RTD("cqg.rtd",,"StudyData",$H$1,  "Bar",, "Time", "D",A41,,,,,"T")</f>
        <v>42958</v>
      </c>
      <c r="C41" s="268">
        <f ca="1" xml:space="preserve"> RTD("cqg.rtd",,"StudyData",$H$1,  "Bar",, "Open", "D",A41,,,,,"T")</f>
        <v>3.2178</v>
      </c>
      <c r="D41" s="268">
        <f ca="1" xml:space="preserve"> RTD("cqg.rtd",,"StudyData",$H$1,  "Bar",, "High", "D",A41,,,,,"T")</f>
        <v>3.2305999999999999</v>
      </c>
      <c r="E41" s="268">
        <f ca="1" xml:space="preserve"> RTD("cqg.rtd",,"StudyData",$H$1,  "Bar",, "LOw", "D",A41,,,,,"T")</f>
        <v>3.2052</v>
      </c>
      <c r="F41" s="268">
        <f ca="1" xml:space="preserve"> RTD("cqg.rtd",,"StudyData",$H$1,  "Bar",, "Close", "D",A41,,,,,"T")</f>
        <v>3.2292000000000001</v>
      </c>
      <c r="N41" s="266">
        <f t="shared" si="1"/>
        <v>-39</v>
      </c>
      <c r="O41" s="267">
        <f ca="1" xml:space="preserve"> RTD("cqg.rtd",,"StudyData",$N$1,  "Bar",, "Time", "D",N41,,,,,"T")</f>
        <v>42958</v>
      </c>
      <c r="P41" s="268">
        <f ca="1" xml:space="preserve"> RTD("cqg.rtd",,"StudyData",$N$1,  "Bar",, "Open", "D",N41,,,,,"T")</f>
        <v>2.8958571399999999</v>
      </c>
      <c r="Q41" s="268">
        <f ca="1" xml:space="preserve"> RTD("cqg.rtd",,"StudyData",$N$1,  "Bar",, "High", "D",N41,,,,,"T")</f>
        <v>2.9041428599999999</v>
      </c>
      <c r="R41" s="268">
        <f ca="1" xml:space="preserve"> RTD("cqg.rtd",,"StudyData",$N$1,  "Bar",, "LOw", "D",N41,,,,,"T")</f>
        <v>2.8924285699999999</v>
      </c>
      <c r="S41" s="268">
        <f ca="1" xml:space="preserve"> RTD("cqg.rtd",,"StudyData",$N$1,  "Bar",, "Close", "D",N41,,,,,"T")</f>
        <v>2.9021428600000001</v>
      </c>
      <c r="V41" s="266">
        <f t="shared" si="2"/>
        <v>-39</v>
      </c>
      <c r="W41" s="267">
        <f ca="1" xml:space="preserve"> RTD("cqg.rtd",,"StudyData",$AC$1,  "Bar",, "Time", "D",V41,,,,,"T")</f>
        <v>42958</v>
      </c>
      <c r="X41" s="268">
        <f ca="1" xml:space="preserve"> RTD("cqg.rtd",,"StudyData",$AC$1,  "Bar",, "Open", "D",V41,,,,,"T")</f>
        <v>3.09</v>
      </c>
      <c r="Y41" s="268">
        <f ca="1" xml:space="preserve"> RTD("cqg.rtd",,"StudyData",$AC$1,  "Bar",, "High", "D",V41,,,,,"T")</f>
        <v>3.0958000000000001</v>
      </c>
      <c r="Z41" s="268">
        <f ca="1" xml:space="preserve"> RTD("cqg.rtd",,"StudyData",$AC$1,  "Bar",, "LOw", "D",V41,,,,,"T")</f>
        <v>3.0870000000000002</v>
      </c>
      <c r="AA41" s="268">
        <f ca="1" xml:space="preserve"> RTD("cqg.rtd",,"StudyData",$AC$1,  "Bar",, "Close", "D",V41,,,,,"T")</f>
        <v>3.0935999999999999</v>
      </c>
      <c r="AI41" s="266">
        <f t="shared" si="3"/>
        <v>-39</v>
      </c>
      <c r="AJ41" s="267">
        <f ca="1" xml:space="preserve"> RTD("cqg.rtd",,"StudyData",$AP$1,  "Bar",, "Time", "D",AI41,,,,,"T")</f>
        <v>42958</v>
      </c>
      <c r="AK41" s="268">
        <f ca="1" xml:space="preserve"> RTD("cqg.rtd",,"StudyData",$AP$1,  "Bar",, "Open", "D",AI41,,,,,"T")</f>
        <v>2.7250000000000001</v>
      </c>
      <c r="AL41" s="268">
        <f ca="1" xml:space="preserve"> RTD("cqg.rtd",,"StudyData",$AP$1,  "Bar",, "High", "D",AI41,,,,,"T")</f>
        <v>2.7277142900000002</v>
      </c>
      <c r="AM41" s="268">
        <f ca="1" xml:space="preserve"> RTD("cqg.rtd",,"StudyData",$AP$1,  "Bar",, "LOw", "D",AI41,,,,,"T")</f>
        <v>2.7234285699999998</v>
      </c>
      <c r="AN41" s="268">
        <f ca="1" xml:space="preserve"> RTD("cqg.rtd",,"StudyData",$AP$1,  "Bar",, "Close", "D",AI41,,,,,"T")</f>
        <v>2.7237142900000002</v>
      </c>
    </row>
    <row r="42" spans="1:40" x14ac:dyDescent="0.3">
      <c r="A42" s="266">
        <f t="shared" si="0"/>
        <v>-40</v>
      </c>
      <c r="B42" s="267">
        <f ca="1" xml:space="preserve"> RTD("cqg.rtd",,"StudyData",$H$1,  "Bar",, "Time", "D",A42,,,,,"T")</f>
        <v>42957</v>
      </c>
      <c r="C42" s="268">
        <f ca="1" xml:space="preserve"> RTD("cqg.rtd",,"StudyData",$H$1,  "Bar",, "Open", "D",A42,,,,,"T")</f>
        <v>3.1524000000000001</v>
      </c>
      <c r="D42" s="268">
        <f ca="1" xml:space="preserve"> RTD("cqg.rtd",,"StudyData",$H$1,  "Bar",, "High", "D",A42,,,,,"T")</f>
        <v>3.242</v>
      </c>
      <c r="E42" s="268">
        <f ca="1" xml:space="preserve"> RTD("cqg.rtd",,"StudyData",$H$1,  "Bar",, "LOw", "D",A42,,,,,"T")</f>
        <v>3.1492</v>
      </c>
      <c r="F42" s="268">
        <f ca="1" xml:space="preserve"> RTD("cqg.rtd",,"StudyData",$H$1,  "Bar",, "Close", "D",A42,,,,,"T")</f>
        <v>3.218</v>
      </c>
      <c r="N42" s="266">
        <f t="shared" si="1"/>
        <v>-40</v>
      </c>
      <c r="O42" s="267">
        <f ca="1" xml:space="preserve"> RTD("cqg.rtd",,"StudyData",$N$1,  "Bar",, "Time", "D",N42,,,,,"T")</f>
        <v>42957</v>
      </c>
      <c r="P42" s="268">
        <f ca="1" xml:space="preserve"> RTD("cqg.rtd",,"StudyData",$N$1,  "Bar",, "Open", "D",N42,,,,,"T")</f>
        <v>2.8757142899999999</v>
      </c>
      <c r="Q42" s="268">
        <f ca="1" xml:space="preserve"> RTD("cqg.rtd",,"StudyData",$N$1,  "Bar",, "High", "D",N42,,,,,"T")</f>
        <v>2.8998571399999999</v>
      </c>
      <c r="R42" s="268">
        <f ca="1" xml:space="preserve"> RTD("cqg.rtd",,"StudyData",$N$1,  "Bar",, "LOw", "D",N42,,,,,"T")</f>
        <v>2.8742857100000001</v>
      </c>
      <c r="S42" s="268">
        <f ca="1" xml:space="preserve"> RTD("cqg.rtd",,"StudyData",$N$1,  "Bar",, "Close", "D",N42,,,,,"T")</f>
        <v>2.8958571399999999</v>
      </c>
      <c r="V42" s="266">
        <f t="shared" si="2"/>
        <v>-40</v>
      </c>
      <c r="W42" s="267">
        <f ca="1" xml:space="preserve"> RTD("cqg.rtd",,"StudyData",$AC$1,  "Bar",, "Time", "D",V42,,,,,"T")</f>
        <v>42957</v>
      </c>
      <c r="X42" s="268">
        <f ca="1" xml:space="preserve"> RTD("cqg.rtd",,"StudyData",$AC$1,  "Bar",, "Open", "D",V42,,,,,"T")</f>
        <v>3.0739999999999998</v>
      </c>
      <c r="Y42" s="268">
        <f ca="1" xml:space="preserve"> RTD("cqg.rtd",,"StudyData",$AC$1,  "Bar",, "High", "D",V42,,,,,"T")</f>
        <v>3.0920000000000001</v>
      </c>
      <c r="Z42" s="268">
        <f ca="1" xml:space="preserve"> RTD("cqg.rtd",,"StudyData",$AC$1,  "Bar",, "LOw", "D",V42,,,,,"T")</f>
        <v>3.073</v>
      </c>
      <c r="AA42" s="268">
        <f ca="1" xml:space="preserve"> RTD("cqg.rtd",,"StudyData",$AC$1,  "Bar",, "Close", "D",V42,,,,,"T")</f>
        <v>3.09</v>
      </c>
      <c r="AI42" s="266">
        <f t="shared" si="3"/>
        <v>-40</v>
      </c>
      <c r="AJ42" s="267">
        <f ca="1" xml:space="preserve"> RTD("cqg.rtd",,"StudyData",$AP$1,  "Bar",, "Time", "D",AI42,,,,,"T")</f>
        <v>42957</v>
      </c>
      <c r="AK42" s="268">
        <f ca="1" xml:space="preserve"> RTD("cqg.rtd",,"StudyData",$AP$1,  "Bar",, "Open", "D",AI42,,,,,"T")</f>
        <v>2.7198571399999998</v>
      </c>
      <c r="AL42" s="268">
        <f ca="1" xml:space="preserve"> RTD("cqg.rtd",,"StudyData",$AP$1,  "Bar",, "High", "D",AI42,,,,,"T")</f>
        <v>2.7250000000000001</v>
      </c>
      <c r="AM42" s="268">
        <f ca="1" xml:space="preserve"> RTD("cqg.rtd",,"StudyData",$AP$1,  "Bar",, "LOw", "D",AI42,,,,,"T")</f>
        <v>2.7197142900000002</v>
      </c>
      <c r="AN42" s="268">
        <f ca="1" xml:space="preserve"> RTD("cqg.rtd",,"StudyData",$AP$1,  "Bar",, "Close", "D",AI42,,,,,"T")</f>
        <v>2.7250000000000001</v>
      </c>
    </row>
    <row r="43" spans="1:40" x14ac:dyDescent="0.3">
      <c r="A43" s="266">
        <f t="shared" si="0"/>
        <v>-41</v>
      </c>
      <c r="B43" s="267">
        <f ca="1" xml:space="preserve"> RTD("cqg.rtd",,"StudyData",$H$1,  "Bar",, "Time", "D",A43,,,,,"T")</f>
        <v>42956</v>
      </c>
      <c r="C43" s="268">
        <f ca="1" xml:space="preserve"> RTD("cqg.rtd",,"StudyData",$H$1,  "Bar",, "Open", "D",A43,,,,,"T")</f>
        <v>3.0996000000000001</v>
      </c>
      <c r="D43" s="268">
        <f ca="1" xml:space="preserve"> RTD("cqg.rtd",,"StudyData",$H$1,  "Bar",, "High", "D",A43,,,,,"T")</f>
        <v>3.1707999999999998</v>
      </c>
      <c r="E43" s="268">
        <f ca="1" xml:space="preserve"> RTD("cqg.rtd",,"StudyData",$H$1,  "Bar",, "LOw", "D",A43,,,,,"T")</f>
        <v>3.0985999999999998</v>
      </c>
      <c r="F43" s="268">
        <f ca="1" xml:space="preserve"> RTD("cqg.rtd",,"StudyData",$H$1,  "Bar",, "Close", "D",A43,,,,,"T")</f>
        <v>3.1522000000000001</v>
      </c>
      <c r="N43" s="266">
        <f t="shared" si="1"/>
        <v>-41</v>
      </c>
      <c r="O43" s="267">
        <f ca="1" xml:space="preserve"> RTD("cqg.rtd",,"StudyData",$N$1,  "Bar",, "Time", "D",N43,,,,,"T")</f>
        <v>42956</v>
      </c>
      <c r="P43" s="268">
        <f ca="1" xml:space="preserve"> RTD("cqg.rtd",,"StudyData",$N$1,  "Bar",, "Open", "D",N43,,,,,"T")</f>
        <v>2.86342857</v>
      </c>
      <c r="Q43" s="268">
        <f ca="1" xml:space="preserve"> RTD("cqg.rtd",,"StudyData",$N$1,  "Bar",, "High", "D",N43,,,,,"T")</f>
        <v>2.8849999999999998</v>
      </c>
      <c r="R43" s="268">
        <f ca="1" xml:space="preserve"> RTD("cqg.rtd",,"StudyData",$N$1,  "Bar",, "LOw", "D",N43,,,,,"T")</f>
        <v>2.8621428600000001</v>
      </c>
      <c r="S43" s="268">
        <f ca="1" xml:space="preserve"> RTD("cqg.rtd",,"StudyData",$N$1,  "Bar",, "Close", "D",N43,,,,,"T")</f>
        <v>2.8757142899999999</v>
      </c>
      <c r="V43" s="266">
        <f t="shared" si="2"/>
        <v>-41</v>
      </c>
      <c r="W43" s="267">
        <f ca="1" xml:space="preserve"> RTD("cqg.rtd",,"StudyData",$AC$1,  "Bar",, "Time", "D",V43,,,,,"T")</f>
        <v>42956</v>
      </c>
      <c r="X43" s="268">
        <f ca="1" xml:space="preserve"> RTD("cqg.rtd",,"StudyData",$AC$1,  "Bar",, "Open", "D",V43,,,,,"T")</f>
        <v>3.0676000000000001</v>
      </c>
      <c r="Y43" s="268">
        <f ca="1" xml:space="preserve"> RTD("cqg.rtd",,"StudyData",$AC$1,  "Bar",, "High", "D",V43,,,,,"T")</f>
        <v>3.0792000000000002</v>
      </c>
      <c r="Z43" s="268">
        <f ca="1" xml:space="preserve"> RTD("cqg.rtd",,"StudyData",$AC$1,  "Bar",, "LOw", "D",V43,,,,,"T")</f>
        <v>3.0676000000000001</v>
      </c>
      <c r="AA43" s="268">
        <f ca="1" xml:space="preserve"> RTD("cqg.rtd",,"StudyData",$AC$1,  "Bar",, "Close", "D",V43,,,,,"T")</f>
        <v>3.0739999999999998</v>
      </c>
      <c r="AI43" s="266">
        <f t="shared" si="3"/>
        <v>-41</v>
      </c>
      <c r="AJ43" s="267">
        <f ca="1" xml:space="preserve"> RTD("cqg.rtd",,"StudyData",$AP$1,  "Bar",, "Time", "D",AI43,,,,,"T")</f>
        <v>42956</v>
      </c>
      <c r="AK43" s="268">
        <f ca="1" xml:space="preserve"> RTD("cqg.rtd",,"StudyData",$AP$1,  "Bar",, "Open", "D",AI43,,,,,"T")</f>
        <v>2.7292857100000001</v>
      </c>
      <c r="AL43" s="268">
        <f ca="1" xml:space="preserve"> RTD("cqg.rtd",,"StudyData",$AP$1,  "Bar",, "High", "D",AI43,,,,,"T")</f>
        <v>2.7292857100000001</v>
      </c>
      <c r="AM43" s="268">
        <f ca="1" xml:space="preserve"> RTD("cqg.rtd",,"StudyData",$AP$1,  "Bar",, "LOw", "D",AI43,,,,,"T")</f>
        <v>2.7198571399999998</v>
      </c>
      <c r="AN43" s="268">
        <f ca="1" xml:space="preserve"> RTD("cqg.rtd",,"StudyData",$AP$1,  "Bar",, "Close", "D",AI43,,,,,"T")</f>
        <v>2.7198571399999998</v>
      </c>
    </row>
    <row r="44" spans="1:40" x14ac:dyDescent="0.3">
      <c r="A44" s="266">
        <f t="shared" si="0"/>
        <v>-42</v>
      </c>
      <c r="B44" s="267">
        <f ca="1" xml:space="preserve"> RTD("cqg.rtd",,"StudyData",$H$1,  "Bar",, "Time", "D",A44,,,,,"T")</f>
        <v>42955</v>
      </c>
      <c r="C44" s="268">
        <f ca="1" xml:space="preserve"> RTD("cqg.rtd",,"StudyData",$H$1,  "Bar",, "Open", "D",A44,,,,,"T")</f>
        <v>3.0948000000000002</v>
      </c>
      <c r="D44" s="268">
        <f ca="1" xml:space="preserve"> RTD("cqg.rtd",,"StudyData",$H$1,  "Bar",, "High", "D",A44,,,,,"T")</f>
        <v>3.1164000000000001</v>
      </c>
      <c r="E44" s="268">
        <f ca="1" xml:space="preserve"> RTD("cqg.rtd",,"StudyData",$H$1,  "Bar",, "LOw", "D",A44,,,,,"T")</f>
        <v>3.0783999999999998</v>
      </c>
      <c r="F44" s="268">
        <f ca="1" xml:space="preserve"> RTD("cqg.rtd",,"StudyData",$H$1,  "Bar",, "Close", "D",A44,,,,,"T")</f>
        <v>3.1025999999999998</v>
      </c>
      <c r="N44" s="266">
        <f t="shared" si="1"/>
        <v>-42</v>
      </c>
      <c r="O44" s="267">
        <f ca="1" xml:space="preserve"> RTD("cqg.rtd",,"StudyData",$N$1,  "Bar",, "Time", "D",N44,,,,,"T")</f>
        <v>42955</v>
      </c>
      <c r="P44" s="268">
        <f ca="1" xml:space="preserve"> RTD("cqg.rtd",,"StudyData",$N$1,  "Bar",, "Open", "D",N44,,,,,"T")</f>
        <v>2.8455714300000001</v>
      </c>
      <c r="Q44" s="268">
        <f ca="1" xml:space="preserve"> RTD("cqg.rtd",,"StudyData",$N$1,  "Bar",, "High", "D",N44,,,,,"T")</f>
        <v>2.8650000000000002</v>
      </c>
      <c r="R44" s="268">
        <f ca="1" xml:space="preserve"> RTD("cqg.rtd",,"StudyData",$N$1,  "Bar",, "LOw", "D",N44,,,,,"T")</f>
        <v>2.8408571399999998</v>
      </c>
      <c r="S44" s="268">
        <f ca="1" xml:space="preserve"> RTD("cqg.rtd",,"StudyData",$N$1,  "Bar",, "Close", "D",N44,,,,,"T")</f>
        <v>2.86342857</v>
      </c>
      <c r="V44" s="266">
        <f t="shared" si="2"/>
        <v>-42</v>
      </c>
      <c r="W44" s="267">
        <f ca="1" xml:space="preserve"> RTD("cqg.rtd",,"StudyData",$AC$1,  "Bar",, "Time", "D",V44,,,,,"T")</f>
        <v>42955</v>
      </c>
      <c r="X44" s="268">
        <f ca="1" xml:space="preserve"> RTD("cqg.rtd",,"StudyData",$AC$1,  "Bar",, "Open", "D",V44,,,,,"T")</f>
        <v>3.0526</v>
      </c>
      <c r="Y44" s="268">
        <f ca="1" xml:space="preserve"> RTD("cqg.rtd",,"StudyData",$AC$1,  "Bar",, "High", "D",V44,,,,,"T")</f>
        <v>3.0720000000000001</v>
      </c>
      <c r="Z44" s="268">
        <f ca="1" xml:space="preserve"> RTD("cqg.rtd",,"StudyData",$AC$1,  "Bar",, "LOw", "D",V44,,,,,"T")</f>
        <v>3.0514000000000001</v>
      </c>
      <c r="AA44" s="268">
        <f ca="1" xml:space="preserve"> RTD("cqg.rtd",,"StudyData",$AC$1,  "Bar",, "Close", "D",V44,,,,,"T")</f>
        <v>3.0676000000000001</v>
      </c>
      <c r="AI44" s="266">
        <f t="shared" si="3"/>
        <v>-42</v>
      </c>
      <c r="AJ44" s="267">
        <f ca="1" xml:space="preserve"> RTD("cqg.rtd",,"StudyData",$AP$1,  "Bar",, "Time", "D",AI44,,,,,"T")</f>
        <v>42955</v>
      </c>
      <c r="AK44" s="268">
        <f ca="1" xml:space="preserve"> RTD("cqg.rtd",,"StudyData",$AP$1,  "Bar",, "Open", "D",AI44,,,,,"T")</f>
        <v>2.71828571</v>
      </c>
      <c r="AL44" s="268">
        <f ca="1" xml:space="preserve"> RTD("cqg.rtd",,"StudyData",$AP$1,  "Bar",, "High", "D",AI44,,,,,"T")</f>
        <v>2.7292857100000001</v>
      </c>
      <c r="AM44" s="268">
        <f ca="1" xml:space="preserve"> RTD("cqg.rtd",,"StudyData",$AP$1,  "Bar",, "LOw", "D",AI44,,,,,"T")</f>
        <v>2.71742857</v>
      </c>
      <c r="AN44" s="268">
        <f ca="1" xml:space="preserve"> RTD("cqg.rtd",,"StudyData",$AP$1,  "Bar",, "Close", "D",AI44,,,,,"T")</f>
        <v>2.7292857100000001</v>
      </c>
    </row>
    <row r="45" spans="1:40" x14ac:dyDescent="0.3">
      <c r="A45" s="266">
        <f t="shared" si="0"/>
        <v>-43</v>
      </c>
      <c r="B45" s="267">
        <f ca="1" xml:space="preserve"> RTD("cqg.rtd",,"StudyData",$H$1,  "Bar",, "Time", "D",A45,,,,,"T")</f>
        <v>42954</v>
      </c>
      <c r="C45" s="268">
        <f ca="1" xml:space="preserve"> RTD("cqg.rtd",,"StudyData",$H$1,  "Bar",, "Open", "D",A45,,,,,"T")</f>
        <v>3.0771999999999999</v>
      </c>
      <c r="D45" s="268">
        <f ca="1" xml:space="preserve"> RTD("cqg.rtd",,"StudyData",$H$1,  "Bar",, "High", "D",A45,,,,,"T")</f>
        <v>3.1072000000000002</v>
      </c>
      <c r="E45" s="268">
        <f ca="1" xml:space="preserve"> RTD("cqg.rtd",,"StudyData",$H$1,  "Bar",, "LOw", "D",A45,,,,,"T")</f>
        <v>3.0746000000000002</v>
      </c>
      <c r="F45" s="268">
        <f ca="1" xml:space="preserve"> RTD("cqg.rtd",,"StudyData",$H$1,  "Bar",, "Close", "D",A45,,,,,"T")</f>
        <v>3.0941999999999998</v>
      </c>
      <c r="N45" s="266">
        <f t="shared" si="1"/>
        <v>-43</v>
      </c>
      <c r="O45" s="267">
        <f ca="1" xml:space="preserve"> RTD("cqg.rtd",,"StudyData",$N$1,  "Bar",, "Time", "D",N45,,,,,"T")</f>
        <v>42954</v>
      </c>
      <c r="P45" s="268">
        <f ca="1" xml:space="preserve"> RTD("cqg.rtd",,"StudyData",$N$1,  "Bar",, "Open", "D",N45,,,,,"T")</f>
        <v>2.8394285699999999</v>
      </c>
      <c r="Q45" s="268">
        <f ca="1" xml:space="preserve"> RTD("cqg.rtd",,"StudyData",$N$1,  "Bar",, "High", "D",N45,,,,,"T")</f>
        <v>2.8522857099999999</v>
      </c>
      <c r="R45" s="268">
        <f ca="1" xml:space="preserve"> RTD("cqg.rtd",,"StudyData",$N$1,  "Bar",, "LOw", "D",N45,,,,,"T")</f>
        <v>2.8394285699999999</v>
      </c>
      <c r="S45" s="268">
        <f ca="1" xml:space="preserve"> RTD("cqg.rtd",,"StudyData",$N$1,  "Bar",, "Close", "D",N45,,,,,"T")</f>
        <v>2.8455714300000001</v>
      </c>
      <c r="V45" s="266">
        <f t="shared" si="2"/>
        <v>-43</v>
      </c>
      <c r="W45" s="267">
        <f ca="1" xml:space="preserve"> RTD("cqg.rtd",,"StudyData",$AC$1,  "Bar",, "Time", "D",V45,,,,,"T")</f>
        <v>42954</v>
      </c>
      <c r="X45" s="268">
        <f ca="1" xml:space="preserve"> RTD("cqg.rtd",,"StudyData",$AC$1,  "Bar",, "Open", "D",V45,,,,,"T")</f>
        <v>3.0491999999999999</v>
      </c>
      <c r="Y45" s="268">
        <f ca="1" xml:space="preserve"> RTD("cqg.rtd",,"StudyData",$AC$1,  "Bar",, "High", "D",V45,,,,,"T")</f>
        <v>3.0602</v>
      </c>
      <c r="Z45" s="268">
        <f ca="1" xml:space="preserve"> RTD("cqg.rtd",,"StudyData",$AC$1,  "Bar",, "LOw", "D",V45,,,,,"T")</f>
        <v>3.0491999999999999</v>
      </c>
      <c r="AA45" s="268">
        <f ca="1" xml:space="preserve"> RTD("cqg.rtd",,"StudyData",$AC$1,  "Bar",, "Close", "D",V45,,,,,"T")</f>
        <v>3.0526</v>
      </c>
      <c r="AI45" s="266">
        <f t="shared" si="3"/>
        <v>-43</v>
      </c>
      <c r="AJ45" s="267">
        <f ca="1" xml:space="preserve"> RTD("cqg.rtd",,"StudyData",$AP$1,  "Bar",, "Time", "D",AI45,,,,,"T")</f>
        <v>42954</v>
      </c>
      <c r="AK45" s="268">
        <f ca="1" xml:space="preserve"> RTD("cqg.rtd",,"StudyData",$AP$1,  "Bar",, "Open", "D",AI45,,,,,"T")</f>
        <v>2.70985714</v>
      </c>
      <c r="AL45" s="268">
        <f ca="1" xml:space="preserve"> RTD("cqg.rtd",,"StudyData",$AP$1,  "Bar",, "High", "D",AI45,,,,,"T")</f>
        <v>2.7195714299999998</v>
      </c>
      <c r="AM45" s="268">
        <f ca="1" xml:space="preserve"> RTD("cqg.rtd",,"StudyData",$AP$1,  "Bar",, "LOw", "D",AI45,,,,,"T")</f>
        <v>2.70985714</v>
      </c>
      <c r="AN45" s="268">
        <f ca="1" xml:space="preserve"> RTD("cqg.rtd",,"StudyData",$AP$1,  "Bar",, "Close", "D",AI45,,,,,"T")</f>
        <v>2.71828571</v>
      </c>
    </row>
    <row r="46" spans="1:40" x14ac:dyDescent="0.3">
      <c r="A46" s="266">
        <f t="shared" si="0"/>
        <v>-44</v>
      </c>
      <c r="B46" s="267">
        <f ca="1" xml:space="preserve"> RTD("cqg.rtd",,"StudyData",$H$1,  "Bar",, "Time", "D",A46,,,,,"T")</f>
        <v>42951</v>
      </c>
      <c r="C46" s="268">
        <f ca="1" xml:space="preserve"> RTD("cqg.rtd",,"StudyData",$H$1,  "Bar",, "Open", "D",A46,,,,,"T")</f>
        <v>3.0960000000000001</v>
      </c>
      <c r="D46" s="268">
        <f ca="1" xml:space="preserve"> RTD("cqg.rtd",,"StudyData",$H$1,  "Bar",, "High", "D",A46,,,,,"T")</f>
        <v>3.0962000000000001</v>
      </c>
      <c r="E46" s="268">
        <f ca="1" xml:space="preserve"> RTD("cqg.rtd",,"StudyData",$H$1,  "Bar",, "LOw", "D",A46,,,,,"T")</f>
        <v>3.0626000000000002</v>
      </c>
      <c r="F46" s="268">
        <f ca="1" xml:space="preserve"> RTD("cqg.rtd",,"StudyData",$H$1,  "Bar",, "Close", "D",A46,,,,,"T")</f>
        <v>3.0804</v>
      </c>
      <c r="N46" s="266">
        <f t="shared" si="1"/>
        <v>-44</v>
      </c>
      <c r="O46" s="267">
        <f ca="1" xml:space="preserve"> RTD("cqg.rtd",,"StudyData",$N$1,  "Bar",, "Time", "D",N46,,,,,"T")</f>
        <v>42951</v>
      </c>
      <c r="P46" s="268">
        <f ca="1" xml:space="preserve"> RTD("cqg.rtd",,"StudyData",$N$1,  "Bar",, "Open", "D",N46,,,,,"T")</f>
        <v>2.8450000000000002</v>
      </c>
      <c r="Q46" s="268">
        <f ca="1" xml:space="preserve"> RTD("cqg.rtd",,"StudyData",$N$1,  "Bar",, "High", "D",N46,,,,,"T")</f>
        <v>2.8452857100000002</v>
      </c>
      <c r="R46" s="268">
        <f ca="1" xml:space="preserve"> RTD("cqg.rtd",,"StudyData",$N$1,  "Bar",, "LOw", "D",N46,,,,,"T")</f>
        <v>2.8260000000000001</v>
      </c>
      <c r="S46" s="268">
        <f ca="1" xml:space="preserve"> RTD("cqg.rtd",,"StudyData",$N$1,  "Bar",, "Close", "D",N46,,,,,"T")</f>
        <v>2.8394285699999999</v>
      </c>
      <c r="V46" s="266">
        <f t="shared" si="2"/>
        <v>-44</v>
      </c>
      <c r="W46" s="267">
        <f ca="1" xml:space="preserve"> RTD("cqg.rtd",,"StudyData",$AC$1,  "Bar",, "Time", "D",V46,,,,,"T")</f>
        <v>42951</v>
      </c>
      <c r="X46" s="268">
        <f ca="1" xml:space="preserve"> RTD("cqg.rtd",,"StudyData",$AC$1,  "Bar",, "Open", "D",V46,,,,,"T")</f>
        <v>3.0594000000000001</v>
      </c>
      <c r="Y46" s="268">
        <f ca="1" xml:space="preserve"> RTD("cqg.rtd",,"StudyData",$AC$1,  "Bar",, "High", "D",V46,,,,,"T")</f>
        <v>3.0594000000000001</v>
      </c>
      <c r="Z46" s="268">
        <f ca="1" xml:space="preserve"> RTD("cqg.rtd",,"StudyData",$AC$1,  "Bar",, "LOw", "D",V46,,,,,"T")</f>
        <v>3.0464000000000002</v>
      </c>
      <c r="AA46" s="268">
        <f ca="1" xml:space="preserve"> RTD("cqg.rtd",,"StudyData",$AC$1,  "Bar",, "Close", "D",V46,,,,,"T")</f>
        <v>3.0491999999999999</v>
      </c>
      <c r="AI46" s="266">
        <f t="shared" si="3"/>
        <v>-44</v>
      </c>
      <c r="AJ46" s="267">
        <f ca="1" xml:space="preserve"> RTD("cqg.rtd",,"StudyData",$AP$1,  "Bar",, "Time", "D",AI46,,,,,"T")</f>
        <v>42951</v>
      </c>
      <c r="AK46" s="268">
        <f ca="1" xml:space="preserve"> RTD("cqg.rtd",,"StudyData",$AP$1,  "Bar",, "Open", "D",AI46,,,,,"T")</f>
        <v>2.7241428600000002</v>
      </c>
      <c r="AL46" s="268">
        <f ca="1" xml:space="preserve"> RTD("cqg.rtd",,"StudyData",$AP$1,  "Bar",, "High", "D",AI46,,,,,"T")</f>
        <v>2.7241428600000002</v>
      </c>
      <c r="AM46" s="268">
        <f ca="1" xml:space="preserve"> RTD("cqg.rtd",,"StudyData",$AP$1,  "Bar",, "LOw", "D",AI46,,,,,"T")</f>
        <v>2.7075714299999998</v>
      </c>
      <c r="AN46" s="268">
        <f ca="1" xml:space="preserve"> RTD("cqg.rtd",,"StudyData",$AP$1,  "Bar",, "Close", "D",AI46,,,,,"T")</f>
        <v>2.70985714</v>
      </c>
    </row>
    <row r="47" spans="1:40" x14ac:dyDescent="0.3">
      <c r="B47" s="267"/>
      <c r="C47" s="268"/>
      <c r="D47" s="268"/>
      <c r="E47" s="268"/>
      <c r="F47" s="268"/>
      <c r="W47" s="267"/>
      <c r="X47" s="268"/>
      <c r="Y47" s="268"/>
      <c r="Z47" s="268"/>
      <c r="AA47" s="268"/>
    </row>
  </sheetData>
  <sheetProtection algorithmName="SHA-512" hashValue="QlXvaZGgvRJR0QoPNznytxv+Hk66So9fo6E6gj41Tno8nVB9X+g4Y+XxFhTLsp8f92I/7q2f7AAP0ralAlTU/Q==" saltValue="WtllE/cxreQo3PPmKX0+kQ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56"/>
    <col min="18" max="18" width="14.375" style="256" customWidth="1"/>
    <col min="19" max="19" width="9" style="256"/>
    <col min="20" max="20" width="15.25" style="256" customWidth="1"/>
    <col min="21" max="21" width="17.75" style="256" customWidth="1"/>
    <col min="22" max="22" width="11.25" style="256" customWidth="1"/>
    <col min="23" max="23" width="40" style="256" customWidth="1"/>
    <col min="24" max="24" width="12.875" style="256" customWidth="1"/>
    <col min="25" max="16384" width="9" style="256"/>
  </cols>
  <sheetData>
    <row r="1" spans="1:38" x14ac:dyDescent="0.2">
      <c r="A1" s="255"/>
      <c r="B1" s="255"/>
      <c r="C1" s="255" t="s">
        <v>2</v>
      </c>
      <c r="D1" s="256">
        <v>1</v>
      </c>
      <c r="E1" s="256">
        <v>2</v>
      </c>
      <c r="F1" s="256">
        <v>3</v>
      </c>
      <c r="G1" s="256">
        <v>4</v>
      </c>
      <c r="H1" s="256">
        <v>5</v>
      </c>
      <c r="I1" s="256">
        <v>6</v>
      </c>
      <c r="J1" s="256">
        <v>7</v>
      </c>
      <c r="K1" s="256">
        <v>8</v>
      </c>
      <c r="L1" s="256">
        <v>9</v>
      </c>
      <c r="M1" s="256">
        <v>10</v>
      </c>
      <c r="N1" s="256">
        <v>11</v>
      </c>
      <c r="O1" s="256">
        <v>12</v>
      </c>
      <c r="P1" s="257"/>
      <c r="Q1" s="258" t="s">
        <v>30</v>
      </c>
      <c r="R1" s="259" t="s">
        <v>3</v>
      </c>
      <c r="S1" s="259" t="s">
        <v>0</v>
      </c>
      <c r="T1" s="259" t="s">
        <v>1</v>
      </c>
      <c r="U1" s="257" t="s">
        <v>4</v>
      </c>
      <c r="V1" s="257"/>
      <c r="W1" s="259" t="s">
        <v>3</v>
      </c>
      <c r="X1" s="257" t="s">
        <v>4</v>
      </c>
      <c r="Y1" s="259" t="s">
        <v>0</v>
      </c>
      <c r="Z1" s="259" t="s">
        <v>1</v>
      </c>
      <c r="AA1" s="257" t="s">
        <v>5</v>
      </c>
      <c r="AB1" s="257" t="s">
        <v>5</v>
      </c>
      <c r="AC1" s="260"/>
      <c r="AD1" s="257" t="s">
        <v>5</v>
      </c>
    </row>
    <row r="2" spans="1:38" x14ac:dyDescent="0.2">
      <c r="A2" s="255" t="str">
        <f>Q2</f>
        <v>NGEX7</v>
      </c>
      <c r="B2" s="255" t="str">
        <f>RTD("cqg.rtd", ,"ContractData",A2, "ContractMonth")</f>
        <v>NOV</v>
      </c>
      <c r="C2" s="261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56" t="str">
        <f>$Q$1&amp;$C$1&amp;$D$1&amp;$C2</f>
        <v>NGES1X7</v>
      </c>
      <c r="E2" s="256" t="str">
        <f>$Q$1&amp;$C$1&amp;$D$1&amp;$C3</f>
        <v>NGES1Z7</v>
      </c>
      <c r="F2" s="256" t="str">
        <f>$Q$1&amp;$C$1&amp;$D$1&amp;$C4</f>
        <v>NGES1F8</v>
      </c>
      <c r="G2" s="256" t="str">
        <f>$Q$1&amp;$C$1&amp;$D$1&amp;$C5</f>
        <v>NGES1G8</v>
      </c>
      <c r="H2" s="256" t="str">
        <f>$Q$1&amp;$C$1&amp;$D$1&amp;$C6</f>
        <v>NGES1H8</v>
      </c>
      <c r="I2" s="256" t="str">
        <f>$Q$1&amp;$C$1&amp;$D$1&amp;$C7</f>
        <v>NGES1J8</v>
      </c>
      <c r="J2" s="256" t="str">
        <f>$Q$1&amp;$C$1&amp;$D$1&amp;$C8</f>
        <v>NGES1K8</v>
      </c>
      <c r="K2" s="256" t="str">
        <f>$Q$1&amp;$C$1&amp;$D$1&amp;$C9</f>
        <v>NGES1M8</v>
      </c>
      <c r="L2" s="256" t="str">
        <f>$Q$1&amp;$C$1&amp;$D$1&amp;$C10</f>
        <v>NGES1N8</v>
      </c>
      <c r="M2" s="256" t="str">
        <f>$Q$1&amp;$C$1&amp;$D$1&amp;$C11</f>
        <v>NGES1Q8</v>
      </c>
      <c r="N2" s="256" t="str">
        <f>$Q$1&amp;$C$1&amp;$D$1&amp;$C12</f>
        <v>NGES1U8</v>
      </c>
      <c r="O2" s="256" t="str">
        <f>$Q$1&amp;$C$1&amp;$D$1&amp;$C13</f>
        <v>NGES1V8</v>
      </c>
      <c r="P2" s="257" t="str">
        <f>LEFT(RIGHT(Q2,2),1)</f>
        <v>X</v>
      </c>
      <c r="Q2" s="262" t="str">
        <f>RTD("cqg.rtd", ,"ContractData", $Q$1&amp;"?"&amp;R35, "Symbol")</f>
        <v>NGEX7</v>
      </c>
      <c r="R2" s="260">
        <f>RTD("cqg.rtd", ,"ContractData", Q2, $R$1,,"T")</f>
        <v>2.8970000000000002</v>
      </c>
      <c r="S2" s="263">
        <f>RTD("cqg.rtd", ,"ContractData", Q2,$S$1,,"T")</f>
        <v>2.8959999999999999</v>
      </c>
      <c r="T2" s="263">
        <f>RTD("cqg.rtd", ,"ContractData", Q2,$T$1,,"T")</f>
        <v>2.8970000000000002</v>
      </c>
      <c r="U2" s="260">
        <f>RTD("cqg.rtd", ,"ContractData", "F."&amp;$Q$1&amp;"?1", $U$1,,"T")</f>
        <v>-2.6000000000000002E-2</v>
      </c>
      <c r="V2" s="257" t="str">
        <f>D2</f>
        <v>NGES1X7</v>
      </c>
      <c r="W2" s="260">
        <f>RTD("cqg.rtd", ,"ContractData", V2, $W$1,,"T")</f>
        <v>-0.17300000000000001</v>
      </c>
      <c r="X2" s="260">
        <f>RTD("cqg.rtd", ,"ContractData", V2, $X$1,,"T")</f>
        <v>7.0000000000000001E-3</v>
      </c>
      <c r="Y2" s="260">
        <f>RTD("cqg.rtd", ,"ContractData",V2,$Y$1,,"T")</f>
        <v>-0.17400000000000002</v>
      </c>
      <c r="Z2" s="260">
        <f>RTD("cqg.rtd", ,"ContractData", V2,$Z$1,,"T")</f>
        <v>-0.17300000000000001</v>
      </c>
      <c r="AA2" s="260">
        <f>IF(OR(W2="",W2&lt;Y2,W2&gt;Z2),(Y2+Z2)/2,W2)</f>
        <v>-0.17300000000000001</v>
      </c>
      <c r="AB2" s="260">
        <f t="shared" ref="AB2:AB7" si="0">IF(OR(S2="",T2=""),R2,(IF(OR(R2="",R2&lt;S2,R2&gt;T2),(S2+T2)/2,R2)))</f>
        <v>2.8970000000000002</v>
      </c>
      <c r="AC2" s="260">
        <f>IF(OR(R2="",R2&lt;S2,R2&gt;T2),(S2+T2)/2,R2)</f>
        <v>2.8970000000000002</v>
      </c>
      <c r="AD2" s="260">
        <f>IF(OR(Y2="",Z2=""),W2,(IF(OR(W2="",W2&lt;Y2,W2&gt;Z2),(Y2+Z2)/2,W2)))</f>
        <v>-0.17300000000000001</v>
      </c>
      <c r="AF2" s="256">
        <f>IF(ISERROR(AC2),NA(),AC2)</f>
        <v>2.8970000000000002</v>
      </c>
      <c r="AG2" s="256">
        <f>IF(AD2="",NA(),AD2)</f>
        <v>-0.17300000000000001</v>
      </c>
      <c r="AH2" s="256" t="str">
        <f>RIGHT(RTD("cqg.rtd",,"ContractData",Q2,"LongDescription",,"T"),6)</f>
        <v>Nov 17</v>
      </c>
      <c r="AI2" s="256" t="str">
        <f>RIGHT(RTD("cqg.rtd",,"ContractData",V2,"LongDescription",,"T"),14)</f>
        <v>Nov 17, Dec 17</v>
      </c>
      <c r="AJ2" s="256">
        <f>RTD("cqg.rtd", ,"ContractData",Q2, "Settlement",,"T")</f>
        <v>2.923</v>
      </c>
      <c r="AK2" s="256">
        <f>RTD("cqg.rtd", ,"ContractData",V2, "Settlement",,"T")</f>
        <v>-0.18</v>
      </c>
      <c r="AL2" s="256">
        <f>IF(AJ2="",NA(),AJ2)</f>
        <v>2.923</v>
      </c>
    </row>
    <row r="3" spans="1:38" x14ac:dyDescent="0.2">
      <c r="A3" s="255" t="str">
        <f t="shared" ref="A3:A13" si="1">Q3</f>
        <v>NGEZ7</v>
      </c>
      <c r="B3" s="255" t="str">
        <f>RTD("cqg.rtd", ,"ContractData",A3, "ContractMonth")</f>
        <v>DEC</v>
      </c>
      <c r="C3" s="261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56" t="str">
        <f t="shared" ref="D3:D13" si="3">$Q$1&amp;$C$1&amp;$D$1&amp;$C3</f>
        <v>NGES1Z7</v>
      </c>
      <c r="P3" s="257" t="str">
        <f t="shared" ref="P3:P13" si="4">LEFT(RIGHT(Q3,2),1)</f>
        <v>Z</v>
      </c>
      <c r="Q3" s="262" t="str">
        <f>RTD("cqg.rtd", ,"ContractData", $Q$1&amp;"?"&amp;R36, "Symbol")</f>
        <v>NGEZ7</v>
      </c>
      <c r="R3" s="260">
        <f>RTD("cqg.rtd", ,"ContractData", Q3, $R$1,,"T")</f>
        <v>3.0710000000000002</v>
      </c>
      <c r="S3" s="263">
        <f>RTD("cqg.rtd", ,"ContractData", Q3,$S$1,,"T")</f>
        <v>3.069</v>
      </c>
      <c r="T3" s="263">
        <f>RTD("cqg.rtd", ,"ContractData", Q3,$T$1,,"T")</f>
        <v>3.0710000000000002</v>
      </c>
      <c r="U3" s="260">
        <f>RTD("cqg.rtd", ,"ContractData", "F."&amp;$Q$1&amp;"?2",  $U$1,,"T")</f>
        <v>-3.2000000000000001E-2</v>
      </c>
      <c r="V3" s="257" t="str">
        <f>E2</f>
        <v>NGES1Z7</v>
      </c>
      <c r="W3" s="260">
        <f>RTD("cqg.rtd", ,"ContractData", V3, $W$1,,"T")</f>
        <v>-0.126</v>
      </c>
      <c r="X3" s="260">
        <f>RTD("cqg.rtd", ,"ContractData", V3, $X$1,,"T")</f>
        <v>1E-3</v>
      </c>
      <c r="Y3" s="260">
        <f>RTD("cqg.rtd", ,"ContractData",V3,$Y$1,,"T")</f>
        <v>-0.127</v>
      </c>
      <c r="Z3" s="260">
        <f>RTD("cqg.rtd", ,"ContractData", V3,$Z$1,,"T")</f>
        <v>-0.126</v>
      </c>
      <c r="AA3" s="260">
        <f t="shared" ref="AA3:AA13" si="5">IF(OR(W3="",W3&lt;Y3,W3&gt;Z3),(Y3+Z3)/2,W3)</f>
        <v>-0.126</v>
      </c>
      <c r="AB3" s="260">
        <f t="shared" si="0"/>
        <v>3.0710000000000002</v>
      </c>
      <c r="AC3" s="260">
        <f>IF(OR(R3="",R3&lt;S3,R3&gt;T3),(S3+T3)/2,R3)</f>
        <v>3.0710000000000002</v>
      </c>
      <c r="AD3" s="260">
        <f t="shared" ref="AD3:AD13" si="6">IF(OR(Y3="",Z3=""),W3,(IF(OR(W3="",W3&lt;Y3,W3&gt;Z3),(Y3+Z3)/2,W3)))</f>
        <v>-0.126</v>
      </c>
      <c r="AF3" s="256">
        <f t="shared" ref="AF3:AF13" si="7">IF(ISERROR(AC3),NA(),AC3)</f>
        <v>3.0710000000000002</v>
      </c>
      <c r="AG3" s="256">
        <f>IF(AD3="",NA(),AD3)</f>
        <v>-0.126</v>
      </c>
      <c r="AH3" s="256" t="str">
        <f>RIGHT(RTD("cqg.rtd",,"ContractData",Q3,"LongDescription",,"T"),6)</f>
        <v>Dec 17</v>
      </c>
      <c r="AI3" s="256" t="str">
        <f>RIGHT(RTD("cqg.rtd",,"ContractData",V3,"LongDescription",,"T"),14)</f>
        <v>Dec 17, Jan 18</v>
      </c>
      <c r="AJ3" s="256">
        <f>RTD("cqg.rtd", ,"ContractData",Q3, "Settlement",,"T")</f>
        <v>3.1030000000000002</v>
      </c>
      <c r="AK3" s="256">
        <f>RTD("cqg.rtd", ,"ContractData",V3, "Settlement",,"T")</f>
        <v>-0.127</v>
      </c>
      <c r="AL3" s="256">
        <f t="shared" ref="AL3:AL13" si="8">IF(AJ3="",NA(),AJ3)</f>
        <v>3.1030000000000002</v>
      </c>
    </row>
    <row r="4" spans="1:38" x14ac:dyDescent="0.2">
      <c r="A4" s="255" t="str">
        <f t="shared" si="1"/>
        <v>NGEF8</v>
      </c>
      <c r="B4" s="255" t="str">
        <f>RTD("cqg.rtd", ,"ContractData",A4, "ContractMonth")</f>
        <v>JAN</v>
      </c>
      <c r="C4" s="261" t="str">
        <f t="shared" si="2"/>
        <v>F8</v>
      </c>
      <c r="D4" s="256" t="str">
        <f t="shared" si="3"/>
        <v>NGES1F8</v>
      </c>
      <c r="P4" s="257" t="str">
        <f t="shared" si="4"/>
        <v>F</v>
      </c>
      <c r="Q4" s="262" t="str">
        <f>RTD("cqg.rtd", ,"ContractData", $Q$1&amp;"?"&amp;R37, "Symbol")</f>
        <v>NGEF8</v>
      </c>
      <c r="R4" s="260">
        <f>RTD("cqg.rtd", ,"ContractData", Q4, $R$1,,"T")</f>
        <v>3.1970000000000001</v>
      </c>
      <c r="S4" s="263">
        <f>RTD("cqg.rtd", ,"ContractData", Q4,$S$1,,"T")</f>
        <v>3.1960000000000002</v>
      </c>
      <c r="T4" s="263">
        <f>RTD("cqg.rtd", ,"ContractData", Q4,$T$1,,"T")</f>
        <v>3.1970000000000001</v>
      </c>
      <c r="U4" s="260">
        <f>RTD("cqg.rtd", ,"ContractData", "F."&amp;$Q$1&amp;"?3",  $U$1,,"T")</f>
        <v>-3.3000000000000002E-2</v>
      </c>
      <c r="V4" s="257" t="str">
        <f>F2</f>
        <v>NGES1F8</v>
      </c>
      <c r="W4" s="260">
        <f>RTD("cqg.rtd", ,"ContractData", V4, $W$1,,"T")</f>
        <v>-6.0000000000000001E-3</v>
      </c>
      <c r="X4" s="260">
        <f>RTD("cqg.rtd", ,"ContractData", V4, $X$1,,"T")</f>
        <v>-1E-3</v>
      </c>
      <c r="Y4" s="260">
        <f>RTD("cqg.rtd", ,"ContractData",V4,$Y$1,,"T")</f>
        <v>-6.0000000000000001E-3</v>
      </c>
      <c r="Z4" s="260">
        <f>RTD("cqg.rtd", ,"ContractData", V4,$Z$1,,"T")</f>
        <v>-5.0000000000000001E-3</v>
      </c>
      <c r="AA4" s="260">
        <f t="shared" si="5"/>
        <v>-6.0000000000000001E-3</v>
      </c>
      <c r="AB4" s="260">
        <f t="shared" si="0"/>
        <v>3.1970000000000001</v>
      </c>
      <c r="AC4" s="260">
        <f t="shared" ref="AC4:AC13" si="9">IF(OR(R4="",R4&lt;S4,R4&gt;T4),(S4+T4)/2,R4)</f>
        <v>3.1970000000000001</v>
      </c>
      <c r="AD4" s="260">
        <f t="shared" si="6"/>
        <v>-6.0000000000000001E-3</v>
      </c>
      <c r="AF4" s="256">
        <f t="shared" si="7"/>
        <v>3.1970000000000001</v>
      </c>
      <c r="AG4" s="256">
        <f>IF(AD4="",NA(),AD4)</f>
        <v>-6.0000000000000001E-3</v>
      </c>
      <c r="AH4" s="256" t="str">
        <f>RIGHT(RTD("cqg.rtd",,"ContractData",Q4,"LongDescription",,"T"),6)</f>
        <v>Jan 18</v>
      </c>
      <c r="AI4" s="256" t="str">
        <f>RIGHT(RTD("cqg.rtd",,"ContractData",V4,"LongDescription",,"T"),14)</f>
        <v>Jan 18, Feb 18</v>
      </c>
      <c r="AJ4" s="256">
        <f>RTD("cqg.rtd", ,"ContractData",Q4, "Settlement",,"T")</f>
        <v>3.23</v>
      </c>
      <c r="AK4" s="256">
        <f>RTD("cqg.rtd", ,"ContractData",V4, "Settlement",,"T")</f>
        <v>-5.0000000000000001E-3</v>
      </c>
      <c r="AL4" s="256">
        <f t="shared" si="8"/>
        <v>3.23</v>
      </c>
    </row>
    <row r="5" spans="1:38" x14ac:dyDescent="0.2">
      <c r="A5" s="255" t="str">
        <f t="shared" si="1"/>
        <v>NGEG8</v>
      </c>
      <c r="B5" s="255" t="str">
        <f>RTD("cqg.rtd", ,"ContractData",A5, "ContractMonth")</f>
        <v>FEB</v>
      </c>
      <c r="C5" s="261" t="str">
        <f t="shared" si="2"/>
        <v>G8</v>
      </c>
      <c r="D5" s="256" t="str">
        <f t="shared" si="3"/>
        <v>NGES1G8</v>
      </c>
      <c r="P5" s="257" t="str">
        <f t="shared" si="4"/>
        <v>G</v>
      </c>
      <c r="Q5" s="262" t="str">
        <f>RTD("cqg.rtd", ,"ContractData", $Q$1&amp;"?"&amp;R38, "Symbol")</f>
        <v>NGEG8</v>
      </c>
      <c r="R5" s="260">
        <f>RTD("cqg.rtd", ,"ContractData", Q5, $R$1,,"T")</f>
        <v>3.202</v>
      </c>
      <c r="S5" s="263">
        <f>RTD("cqg.rtd", ,"ContractData", Q5,$S$1,,"T")</f>
        <v>3.2010000000000001</v>
      </c>
      <c r="T5" s="263">
        <f>RTD("cqg.rtd", ,"ContractData", Q5,$T$1,,"T")</f>
        <v>3.2029999999999998</v>
      </c>
      <c r="U5" s="260">
        <f>RTD("cqg.rtd", ,"ContractData", "F."&amp;$Q$1&amp;"?4",  $U$1,,"T")</f>
        <v>-3.2000000000000001E-2</v>
      </c>
      <c r="V5" s="257" t="str">
        <f>G2</f>
        <v>NGES1G8</v>
      </c>
      <c r="W5" s="260">
        <f>RTD("cqg.rtd", ,"ContractData", V5, $W$1,,"T")</f>
        <v>3.9E-2</v>
      </c>
      <c r="X5" s="260">
        <f>RTD("cqg.rtd", ,"ContractData", V5, $X$1,,"T")</f>
        <v>-3.0000000000000001E-3</v>
      </c>
      <c r="Y5" s="260">
        <f>RTD("cqg.rtd", ,"ContractData",V5,$Y$1,,"T")</f>
        <v>3.9E-2</v>
      </c>
      <c r="Z5" s="260">
        <f>RTD("cqg.rtd", ,"ContractData", V5,$Z$1,,"T")</f>
        <v>0.04</v>
      </c>
      <c r="AA5" s="260">
        <f t="shared" si="5"/>
        <v>3.9E-2</v>
      </c>
      <c r="AB5" s="260">
        <f t="shared" si="0"/>
        <v>3.202</v>
      </c>
      <c r="AC5" s="260">
        <f t="shared" si="9"/>
        <v>3.202</v>
      </c>
      <c r="AD5" s="260">
        <f t="shared" si="6"/>
        <v>3.9E-2</v>
      </c>
      <c r="AF5" s="256">
        <f t="shared" si="7"/>
        <v>3.202</v>
      </c>
      <c r="AG5" s="256">
        <f t="shared" ref="AG5:AG13" si="10">IF(AD5="",NA(),AD5)</f>
        <v>3.9E-2</v>
      </c>
      <c r="AH5" s="256" t="str">
        <f>RIGHT(RTD("cqg.rtd",,"ContractData",Q5,"LongDescription",,"T"),6)</f>
        <v>Feb 18</v>
      </c>
      <c r="AI5" s="256" t="str">
        <f>RIGHT(RTD("cqg.rtd",,"ContractData",V5,"LongDescription",,"T"),14)</f>
        <v>Feb 18, Mar 18</v>
      </c>
      <c r="AJ5" s="256">
        <f>RTD("cqg.rtd", ,"ContractData",Q5, "Settlement",,"T")</f>
        <v>3.2349999999999999</v>
      </c>
      <c r="AK5" s="256">
        <f>RTD("cqg.rtd", ,"ContractData",V5, "Settlement",,"T")</f>
        <v>4.2000000000000003E-2</v>
      </c>
      <c r="AL5" s="256">
        <f t="shared" si="8"/>
        <v>3.2349999999999999</v>
      </c>
    </row>
    <row r="6" spans="1:38" x14ac:dyDescent="0.2">
      <c r="A6" s="255" t="str">
        <f t="shared" si="1"/>
        <v>NGEH8</v>
      </c>
      <c r="B6" s="255" t="str">
        <f>RTD("cqg.rtd", ,"ContractData",A6, "ContractMonth")</f>
        <v>MAR</v>
      </c>
      <c r="C6" s="261" t="str">
        <f t="shared" si="2"/>
        <v>H8</v>
      </c>
      <c r="D6" s="256" t="str">
        <f t="shared" si="3"/>
        <v>NGES1H8</v>
      </c>
      <c r="P6" s="257" t="str">
        <f t="shared" si="4"/>
        <v>H</v>
      </c>
      <c r="Q6" s="262" t="str">
        <f>RTD("cqg.rtd", ,"ContractData", $Q$1&amp;"?"&amp;R39, "Symbol")</f>
        <v>NGEH8</v>
      </c>
      <c r="R6" s="260">
        <f>RTD("cqg.rtd", ,"ContractData", Q6, $R$1,,"T")</f>
        <v>3.1640000000000001</v>
      </c>
      <c r="S6" s="263">
        <f>RTD("cqg.rtd", ,"ContractData", Q6,$S$1,,"T")</f>
        <v>3.1619999999999999</v>
      </c>
      <c r="T6" s="263">
        <f>RTD("cqg.rtd", ,"ContractData", Q6,$T$1,,"T")</f>
        <v>3.1630000000000003</v>
      </c>
      <c r="U6" s="260">
        <f>RTD("cqg.rtd", ,"ContractData", "F."&amp;$Q$1&amp;"?5",  $U$1,,"T")</f>
        <v>-0.03</v>
      </c>
      <c r="V6" s="257" t="str">
        <f>H2</f>
        <v>NGES1H8</v>
      </c>
      <c r="W6" s="260">
        <f>RTD("cqg.rtd", ,"ContractData", V6, $W$1,,"T")</f>
        <v>0.23800000000000002</v>
      </c>
      <c r="X6" s="260">
        <f>RTD("cqg.rtd", ,"ContractData", V6, $X$1,,"T")</f>
        <v>-1.6E-2</v>
      </c>
      <c r="Y6" s="260">
        <f>RTD("cqg.rtd", ,"ContractData",V6,$Y$1,,"T")</f>
        <v>0.23700000000000002</v>
      </c>
      <c r="Z6" s="260">
        <f>RTD("cqg.rtd", ,"ContractData", V6,$Z$1,,"T")</f>
        <v>0.23800000000000002</v>
      </c>
      <c r="AA6" s="260">
        <f t="shared" si="5"/>
        <v>0.23800000000000002</v>
      </c>
      <c r="AB6" s="260">
        <f t="shared" si="0"/>
        <v>3.1625000000000001</v>
      </c>
      <c r="AC6" s="260">
        <f t="shared" si="9"/>
        <v>3.1625000000000001</v>
      </c>
      <c r="AD6" s="260">
        <f t="shared" si="6"/>
        <v>0.23800000000000002</v>
      </c>
      <c r="AF6" s="256">
        <f t="shared" si="7"/>
        <v>3.1625000000000001</v>
      </c>
      <c r="AG6" s="256">
        <f t="shared" si="10"/>
        <v>0.23800000000000002</v>
      </c>
      <c r="AH6" s="256" t="str">
        <f>RIGHT(RTD("cqg.rtd",,"ContractData",Q6,"LongDescription",,"T"),6)</f>
        <v>Mar 18</v>
      </c>
      <c r="AI6" s="256" t="str">
        <f>RIGHT(RTD("cqg.rtd",,"ContractData",V6,"LongDescription",,"T"),14)</f>
        <v>Mar 18, Apr 18</v>
      </c>
      <c r="AJ6" s="256">
        <f>RTD("cqg.rtd", ,"ContractData",Q6, "Settlement",,"T")</f>
        <v>3.1930000000000001</v>
      </c>
      <c r="AK6" s="256">
        <f>RTD("cqg.rtd", ,"ContractData",V6, "Settlement",,"T")</f>
        <v>0.254</v>
      </c>
      <c r="AL6" s="256">
        <f t="shared" si="8"/>
        <v>3.1930000000000001</v>
      </c>
    </row>
    <row r="7" spans="1:38" x14ac:dyDescent="0.2">
      <c r="A7" s="255" t="str">
        <f t="shared" si="1"/>
        <v>NGEJ8</v>
      </c>
      <c r="B7" s="255" t="str">
        <f>RTD("cqg.rtd", ,"ContractData",A7, "ContractMonth")</f>
        <v>APR</v>
      </c>
      <c r="C7" s="261" t="str">
        <f t="shared" si="2"/>
        <v>J8</v>
      </c>
      <c r="D7" s="256" t="str">
        <f t="shared" si="3"/>
        <v>NGES1J8</v>
      </c>
      <c r="P7" s="257" t="str">
        <f t="shared" si="4"/>
        <v>J</v>
      </c>
      <c r="Q7" s="262" t="str">
        <f>RTD("cqg.rtd", ,"ContractData", $Q$1&amp;"?"&amp;R40, "Symbol")</f>
        <v>NGEJ8</v>
      </c>
      <c r="R7" s="260">
        <f>RTD("cqg.rtd", ,"ContractData", Q7, $R$1,,"T")</f>
        <v>2.9250000000000003</v>
      </c>
      <c r="S7" s="263">
        <f>RTD("cqg.rtd", ,"ContractData", Q7,$S$1,,"T")</f>
        <v>2.9239999999999999</v>
      </c>
      <c r="T7" s="263">
        <f>RTD("cqg.rtd", ,"ContractData", Q7,$T$1,,"T")</f>
        <v>2.9250000000000003</v>
      </c>
      <c r="U7" s="260">
        <f>RTD("cqg.rtd", ,"ContractData", "F."&amp;$Q$1&amp;"?6", $U$1,,"T")</f>
        <v>-1.4E-2</v>
      </c>
      <c r="V7" s="257" t="str">
        <f>I2</f>
        <v>NGES1J8</v>
      </c>
      <c r="W7" s="260">
        <f>RTD("cqg.rtd", ,"ContractData", V7, $W$1,,"T")</f>
        <v>2.4E-2</v>
      </c>
      <c r="X7" s="260">
        <f>RTD("cqg.rtd", ,"ContractData", V7, $X$1,,"T")</f>
        <v>-4.0000000000000001E-3</v>
      </c>
      <c r="Y7" s="260">
        <f>RTD("cqg.rtd", ,"ContractData",V7,$Y$1,,"T")</f>
        <v>2.4E-2</v>
      </c>
      <c r="Z7" s="260">
        <f>RTD("cqg.rtd", ,"ContractData", V7,$Z$1,,"T")</f>
        <v>2.5000000000000001E-2</v>
      </c>
      <c r="AA7" s="260">
        <f t="shared" si="5"/>
        <v>2.4E-2</v>
      </c>
      <c r="AB7" s="260">
        <f t="shared" si="0"/>
        <v>2.9250000000000003</v>
      </c>
      <c r="AC7" s="260">
        <f t="shared" si="9"/>
        <v>2.9250000000000003</v>
      </c>
      <c r="AD7" s="260">
        <f t="shared" si="6"/>
        <v>2.4E-2</v>
      </c>
      <c r="AF7" s="256">
        <f t="shared" si="7"/>
        <v>2.9250000000000003</v>
      </c>
      <c r="AG7" s="256">
        <f t="shared" si="10"/>
        <v>2.4E-2</v>
      </c>
      <c r="AH7" s="256" t="str">
        <f>RIGHT(RTD("cqg.rtd",,"ContractData",Q7,"LongDescription",,"T"),6)</f>
        <v>Apr 18</v>
      </c>
      <c r="AI7" s="256" t="str">
        <f>RIGHT(RTD("cqg.rtd",,"ContractData",V7,"LongDescription",,"T"),14)</f>
        <v>Apr 18, May 18</v>
      </c>
      <c r="AJ7" s="256">
        <f>RTD("cqg.rtd", ,"ContractData",Q7, "Settlement",,"T")</f>
        <v>2.9390000000000001</v>
      </c>
      <c r="AK7" s="256">
        <f>RTD("cqg.rtd", ,"ContractData",V7, "Settlement",,"T")</f>
        <v>2.8000000000000001E-2</v>
      </c>
      <c r="AL7" s="256">
        <f t="shared" si="8"/>
        <v>2.9390000000000001</v>
      </c>
    </row>
    <row r="8" spans="1:38" x14ac:dyDescent="0.2">
      <c r="A8" s="255" t="str">
        <f t="shared" si="1"/>
        <v>NGEK8</v>
      </c>
      <c r="B8" s="255" t="str">
        <f>RTD("cqg.rtd", ,"ContractData",A8, "ContractMonth")</f>
        <v>MAY</v>
      </c>
      <c r="C8" s="261" t="str">
        <f t="shared" si="2"/>
        <v>K8</v>
      </c>
      <c r="D8" s="256" t="str">
        <f t="shared" si="3"/>
        <v>NGES1K8</v>
      </c>
      <c r="P8" s="257" t="str">
        <f t="shared" si="4"/>
        <v>K</v>
      </c>
      <c r="Q8" s="262" t="str">
        <f>RTD("cqg.rtd", ,"ContractData", $Q$1&amp;"?"&amp;R41, "Symbol")</f>
        <v>NGEK8</v>
      </c>
      <c r="R8" s="260">
        <f>RTD("cqg.rtd", ,"ContractData", Q8, $R$1,,"T")</f>
        <v>2.9020000000000001</v>
      </c>
      <c r="S8" s="263">
        <f>RTD("cqg.rtd", ,"ContractData", Q8,$S$1,,"T")</f>
        <v>2.9</v>
      </c>
      <c r="T8" s="263">
        <f>RTD("cqg.rtd", ,"ContractData", Q8,$T$1,,"T")</f>
        <v>2.9010000000000002</v>
      </c>
      <c r="U8" s="260">
        <f>RTD("cqg.rtd", ,"ContractData", "F."&amp;$Q$1&amp;"?7", $U$1,,"T")</f>
        <v>-0.01</v>
      </c>
      <c r="V8" s="257" t="str">
        <f>J2</f>
        <v>NGES1K8</v>
      </c>
      <c r="W8" s="260">
        <f>RTD("cqg.rtd", ,"ContractData", V8, $W$1,,"T")</f>
        <v>-2.9000000000000001E-2</v>
      </c>
      <c r="X8" s="260">
        <f>RTD("cqg.rtd", ,"ContractData", V8, $X$1,,"T")</f>
        <v>-1E-3</v>
      </c>
      <c r="Y8" s="260">
        <f>RTD("cqg.rtd", ,"ContractData",V8,$Y$1,,"T")</f>
        <v>-0.03</v>
      </c>
      <c r="Z8" s="260">
        <f>RTD("cqg.rtd", ,"ContractData", V8,$Z$1,,"T")</f>
        <v>-2.9000000000000001E-2</v>
      </c>
      <c r="AA8" s="260">
        <f t="shared" si="5"/>
        <v>-2.9000000000000001E-2</v>
      </c>
      <c r="AB8" s="260">
        <f t="shared" ref="AB8:AB13" si="11">IF(OR(S8="",T8=""),R8,(IF(OR(R8="",R8&lt;S8,R8&gt;T8),(S8+T8)/2,R8)))</f>
        <v>2.9005000000000001</v>
      </c>
      <c r="AC8" s="260">
        <f t="shared" si="9"/>
        <v>2.9005000000000001</v>
      </c>
      <c r="AD8" s="260">
        <f t="shared" si="6"/>
        <v>-2.9000000000000001E-2</v>
      </c>
      <c r="AF8" s="256">
        <f t="shared" si="7"/>
        <v>2.9005000000000001</v>
      </c>
      <c r="AG8" s="256">
        <f t="shared" si="10"/>
        <v>-2.9000000000000001E-2</v>
      </c>
      <c r="AH8" s="256" t="str">
        <f>RIGHT(RTD("cqg.rtd",,"ContractData",Q8,"LongDescription",,"T"),6)</f>
        <v>May 18</v>
      </c>
      <c r="AI8" s="256" t="str">
        <f>RIGHT(RTD("cqg.rtd",,"ContractData",V8,"LongDescription",,"T"),14)</f>
        <v>May 18, Jun 18</v>
      </c>
      <c r="AJ8" s="256">
        <f>RTD("cqg.rtd", ,"ContractData",Q8, "Settlement",,"T")</f>
        <v>2.911</v>
      </c>
      <c r="AK8" s="256">
        <f>RTD("cqg.rtd", ,"ContractData",V8, "Settlement",,"T")</f>
        <v>-2.8000000000000001E-2</v>
      </c>
      <c r="AL8" s="256">
        <f t="shared" si="8"/>
        <v>2.911</v>
      </c>
    </row>
    <row r="9" spans="1:38" x14ac:dyDescent="0.2">
      <c r="A9" s="255" t="str">
        <f t="shared" si="1"/>
        <v>NGEM8</v>
      </c>
      <c r="B9" s="255" t="str">
        <f>RTD("cqg.rtd", ,"ContractData",A9, "ContractMonth")</f>
        <v>JUN</v>
      </c>
      <c r="C9" s="261" t="str">
        <f t="shared" si="2"/>
        <v>M8</v>
      </c>
      <c r="D9" s="256" t="str">
        <f t="shared" si="3"/>
        <v>NGES1M8</v>
      </c>
      <c r="P9" s="257" t="str">
        <f t="shared" si="4"/>
        <v>M</v>
      </c>
      <c r="Q9" s="262" t="str">
        <f>RTD("cqg.rtd", ,"ContractData", $Q$1&amp;"?"&amp;R42, "Symbol")</f>
        <v>NGEM8</v>
      </c>
      <c r="R9" s="260">
        <f>RTD("cqg.rtd", ,"ContractData", Q9, $R$1,,"T")</f>
        <v>2.931</v>
      </c>
      <c r="S9" s="263">
        <f>RTD("cqg.rtd", ,"ContractData", Q9,$S$1,,"T")</f>
        <v>2.9290000000000003</v>
      </c>
      <c r="T9" s="263">
        <f>RTD("cqg.rtd", ,"ContractData", Q9,$T$1,,"T")</f>
        <v>2.931</v>
      </c>
      <c r="U9" s="260">
        <f>RTD("cqg.rtd", ,"ContractData", "F."&amp;$Q$1&amp;"?8", $U$1,,"T")</f>
        <v>-8.0000000000000002E-3</v>
      </c>
      <c r="V9" s="257" t="str">
        <f>K2</f>
        <v>NGES1M8</v>
      </c>
      <c r="W9" s="260">
        <f>RTD("cqg.rtd", ,"ContractData", V9, $W$1,,"T")</f>
        <v>-2.7E-2</v>
      </c>
      <c r="X9" s="260">
        <f>RTD("cqg.rtd", ,"ContractData", V9, $X$1,,"T")</f>
        <v>0</v>
      </c>
      <c r="Y9" s="260">
        <f>RTD("cqg.rtd", ,"ContractData",V9,$Y$1,,"T")</f>
        <v>-2.8000000000000001E-2</v>
      </c>
      <c r="Z9" s="260">
        <f>RTD("cqg.rtd", ,"ContractData", V9,$Z$1,,"T")</f>
        <v>-2.7E-2</v>
      </c>
      <c r="AA9" s="260">
        <f t="shared" si="5"/>
        <v>-2.7E-2</v>
      </c>
      <c r="AB9" s="260">
        <f t="shared" si="11"/>
        <v>2.931</v>
      </c>
      <c r="AC9" s="260">
        <f t="shared" si="9"/>
        <v>2.931</v>
      </c>
      <c r="AD9" s="260">
        <f t="shared" si="6"/>
        <v>-2.7E-2</v>
      </c>
      <c r="AF9" s="256">
        <f t="shared" si="7"/>
        <v>2.931</v>
      </c>
      <c r="AG9" s="256">
        <f t="shared" si="10"/>
        <v>-2.7E-2</v>
      </c>
      <c r="AH9" s="256" t="str">
        <f>RIGHT(RTD("cqg.rtd",,"ContractData",Q9,"LongDescription",,"T"),6)</f>
        <v>Jun 18</v>
      </c>
      <c r="AI9" s="256" t="str">
        <f>RIGHT(RTD("cqg.rtd",,"ContractData",V9,"LongDescription",,"T"),14)</f>
        <v>Jun 18, Jul 18</v>
      </c>
      <c r="AJ9" s="256">
        <f>RTD("cqg.rtd", ,"ContractData",Q9, "Settlement",,"T")</f>
        <v>2.9390000000000001</v>
      </c>
      <c r="AK9" s="256">
        <f>RTD("cqg.rtd", ,"ContractData",V9, "Settlement",,"T")</f>
        <v>-2.7E-2</v>
      </c>
      <c r="AL9" s="256">
        <f t="shared" si="8"/>
        <v>2.9390000000000001</v>
      </c>
    </row>
    <row r="10" spans="1:38" x14ac:dyDescent="0.2">
      <c r="A10" s="255" t="str">
        <f t="shared" si="1"/>
        <v>NGEN8</v>
      </c>
      <c r="B10" s="255" t="str">
        <f>RTD("cqg.rtd", ,"ContractData",A10, "ContractMonth")</f>
        <v>JUL</v>
      </c>
      <c r="C10" s="261" t="str">
        <f t="shared" si="2"/>
        <v>N8</v>
      </c>
      <c r="D10" s="256" t="str">
        <f t="shared" si="3"/>
        <v>NGES1N8</v>
      </c>
      <c r="P10" s="257" t="str">
        <f t="shared" si="4"/>
        <v>N</v>
      </c>
      <c r="Q10" s="262" t="str">
        <f>RTD("cqg.rtd", ,"ContractData", $Q$1&amp;"?"&amp;R43, "Symbol")</f>
        <v>NGEN8</v>
      </c>
      <c r="R10" s="260">
        <f>RTD("cqg.rtd", ,"ContractData", Q10, $R$1,,"T")</f>
        <v>2.9580000000000002</v>
      </c>
      <c r="S10" s="263">
        <f>RTD("cqg.rtd", ,"ContractData", Q10,$S$1,,"T")</f>
        <v>2.956</v>
      </c>
      <c r="T10" s="263">
        <f>RTD("cqg.rtd", ,"ContractData", Q10,$T$1,,"T")</f>
        <v>2.9580000000000002</v>
      </c>
      <c r="U10" s="260">
        <f>RTD("cqg.rtd", ,"ContractData", "F."&amp;$Q$1&amp;"?9", $U$1,,"T")</f>
        <v>-8.0000000000000002E-3</v>
      </c>
      <c r="V10" s="257" t="str">
        <f>L2</f>
        <v>NGES1N8</v>
      </c>
      <c r="W10" s="260">
        <f>RTD("cqg.rtd", ,"ContractData", V10, $W$1,,"T")</f>
        <v>-3.0000000000000001E-3</v>
      </c>
      <c r="X10" s="260">
        <f>RTD("cqg.rtd", ,"ContractData", V10, $X$1,,"T")</f>
        <v>0</v>
      </c>
      <c r="Y10" s="260">
        <f>RTD("cqg.rtd", ,"ContractData",V10,$Y$1,,"T")</f>
        <v>-3.0000000000000001E-3</v>
      </c>
      <c r="Z10" s="260">
        <f>RTD("cqg.rtd", ,"ContractData", V10,$Z$1,,"T")</f>
        <v>-2E-3</v>
      </c>
      <c r="AA10" s="260">
        <f t="shared" si="5"/>
        <v>-3.0000000000000001E-3</v>
      </c>
      <c r="AB10" s="260">
        <f t="shared" si="11"/>
        <v>2.9580000000000002</v>
      </c>
      <c r="AC10" s="260">
        <f t="shared" si="9"/>
        <v>2.9580000000000002</v>
      </c>
      <c r="AD10" s="260">
        <f t="shared" si="6"/>
        <v>-3.0000000000000001E-3</v>
      </c>
      <c r="AF10" s="256">
        <f t="shared" si="7"/>
        <v>2.9580000000000002</v>
      </c>
      <c r="AG10" s="256">
        <f t="shared" si="10"/>
        <v>-3.0000000000000001E-3</v>
      </c>
      <c r="AH10" s="256" t="str">
        <f>RIGHT(RTD("cqg.rtd",,"ContractData",Q10,"LongDescription",,"T"),6)</f>
        <v>Jul 18</v>
      </c>
      <c r="AI10" s="256" t="str">
        <f>RIGHT(RTD("cqg.rtd",,"ContractData",V10,"LongDescription",,"T"),14)</f>
        <v>Jul 18, Aug 18</v>
      </c>
      <c r="AJ10" s="256">
        <f>RTD("cqg.rtd", ,"ContractData",Q10, "Settlement",,"T")</f>
        <v>2.9660000000000002</v>
      </c>
      <c r="AK10" s="256">
        <f>RTD("cqg.rtd", ,"ContractData",V10, "Settlement",,"T")</f>
        <v>-3.0000000000000001E-3</v>
      </c>
      <c r="AL10" s="256">
        <f t="shared" si="8"/>
        <v>2.9660000000000002</v>
      </c>
    </row>
    <row r="11" spans="1:38" x14ac:dyDescent="0.2">
      <c r="A11" s="255" t="str">
        <f t="shared" si="1"/>
        <v>NGEQ8</v>
      </c>
      <c r="B11" s="255" t="str">
        <f>RTD("cqg.rtd", ,"ContractData",A11, "ContractMonth")</f>
        <v>AUG</v>
      </c>
      <c r="C11" s="261" t="str">
        <f t="shared" si="2"/>
        <v>Q8</v>
      </c>
      <c r="D11" s="256" t="str">
        <f t="shared" si="3"/>
        <v>NGES1Q8</v>
      </c>
      <c r="P11" s="257" t="str">
        <f t="shared" si="4"/>
        <v>Q</v>
      </c>
      <c r="Q11" s="262" t="str">
        <f>RTD("cqg.rtd", ,"ContractData", $Q$1&amp;"?"&amp;R44, "Symbol")</f>
        <v>NGEQ8</v>
      </c>
      <c r="R11" s="260">
        <f>RTD("cqg.rtd", ,"ContractData", Q11, $R$1,,"T")</f>
        <v>2.96</v>
      </c>
      <c r="S11" s="263">
        <f>RTD("cqg.rtd", ,"ContractData", Q11,$S$1,,"T")</f>
        <v>2.9590000000000001</v>
      </c>
      <c r="T11" s="263">
        <f>RTD("cqg.rtd", ,"ContractData", Q11,$T$1,,"T")</f>
        <v>2.9609999999999999</v>
      </c>
      <c r="U11" s="260">
        <f>RTD("cqg.rtd", ,"ContractData", "F."&amp;$Q$1&amp;"?10", $U$1,,"T")</f>
        <v>-0.01</v>
      </c>
      <c r="V11" s="257" t="str">
        <f>M2</f>
        <v>NGES1Q8</v>
      </c>
      <c r="W11" s="260">
        <f>RTD("cqg.rtd", ,"ContractData", V11, $W$1,,"T")</f>
        <v>1.8000000000000002E-2</v>
      </c>
      <c r="X11" s="260">
        <f>RTD("cqg.rtd", ,"ContractData", V11, $X$1,,"T")</f>
        <v>0</v>
      </c>
      <c r="Y11" s="260">
        <f>RTD("cqg.rtd", ,"ContractData",V11,$Y$1,,"T")</f>
        <v>1.7000000000000001E-2</v>
      </c>
      <c r="Z11" s="260">
        <f>RTD("cqg.rtd", ,"ContractData", V11,$Z$1,,"T")</f>
        <v>1.8000000000000002E-2</v>
      </c>
      <c r="AA11" s="260">
        <f t="shared" si="5"/>
        <v>1.8000000000000002E-2</v>
      </c>
      <c r="AB11" s="260">
        <f t="shared" si="11"/>
        <v>2.96</v>
      </c>
      <c r="AC11" s="260">
        <f t="shared" si="9"/>
        <v>2.96</v>
      </c>
      <c r="AD11" s="260">
        <f t="shared" si="6"/>
        <v>1.8000000000000002E-2</v>
      </c>
      <c r="AF11" s="256">
        <f t="shared" si="7"/>
        <v>2.96</v>
      </c>
      <c r="AG11" s="256">
        <f t="shared" si="10"/>
        <v>1.8000000000000002E-2</v>
      </c>
      <c r="AH11" s="256" t="str">
        <f>RIGHT(RTD("cqg.rtd",,"ContractData",Q11,"LongDescription",,"T"),6)</f>
        <v>Aug 18</v>
      </c>
      <c r="AI11" s="256" t="str">
        <f>RIGHT(RTD("cqg.rtd",,"ContractData",V11,"LongDescription",,"T"),14)</f>
        <v>Aug 18, Sep 18</v>
      </c>
      <c r="AJ11" s="256">
        <f>RTD("cqg.rtd", ,"ContractData",Q11, "Settlement",,"T")</f>
        <v>2.9689999999999999</v>
      </c>
      <c r="AK11" s="256">
        <f>RTD("cqg.rtd", ,"ContractData",V11, "Settlement",,"T")</f>
        <v>1.8000000000000002E-2</v>
      </c>
      <c r="AL11" s="256">
        <f t="shared" si="8"/>
        <v>2.9689999999999999</v>
      </c>
    </row>
    <row r="12" spans="1:38" x14ac:dyDescent="0.2">
      <c r="A12" s="255" t="str">
        <f t="shared" si="1"/>
        <v>NGEU8</v>
      </c>
      <c r="B12" s="255" t="str">
        <f>RTD("cqg.rtd", ,"ContractData",A12, "ContractMonth")</f>
        <v>SEP</v>
      </c>
      <c r="C12" s="261" t="str">
        <f t="shared" si="2"/>
        <v>U8</v>
      </c>
      <c r="D12" s="256" t="str">
        <f t="shared" si="3"/>
        <v>NGES1U8</v>
      </c>
      <c r="P12" s="257" t="str">
        <f t="shared" si="4"/>
        <v>U</v>
      </c>
      <c r="Q12" s="262" t="str">
        <f>RTD("cqg.rtd", ,"ContractData", $Q$1&amp;"?"&amp;R45, "Symbol")</f>
        <v>NGEU8</v>
      </c>
      <c r="R12" s="260">
        <f>RTD("cqg.rtd", ,"ContractData", Q12, $R$1,,"T")</f>
        <v>2.9420000000000002</v>
      </c>
      <c r="S12" s="263">
        <f>RTD("cqg.rtd", ,"ContractData", Q12,$S$1,,"T")</f>
        <v>2.9420000000000002</v>
      </c>
      <c r="T12" s="263">
        <f>RTD("cqg.rtd", ,"ContractData", Q12,$T$1,,"T")</f>
        <v>2.944</v>
      </c>
      <c r="U12" s="260">
        <f>RTD("cqg.rtd", ,"ContractData", "F."&amp;$Q$1&amp;"?11",$U$1,,"T")</f>
        <v>-7.0000000000000001E-3</v>
      </c>
      <c r="V12" s="257" t="str">
        <f>N2</f>
        <v>NGES1U8</v>
      </c>
      <c r="W12" s="260">
        <f>RTD("cqg.rtd", ,"ContractData", V12, $W$1,,"T")</f>
        <v>-2.3E-2</v>
      </c>
      <c r="X12" s="260">
        <f>RTD("cqg.rtd", ,"ContractData", V12, $X$1,,"T")</f>
        <v>1E-3</v>
      </c>
      <c r="Y12" s="260">
        <f>RTD("cqg.rtd", ,"ContractData",V12,$Y$1,,"T")</f>
        <v>-2.3E-2</v>
      </c>
      <c r="Z12" s="260">
        <f>RTD("cqg.rtd", ,"ContractData", V12,$Z$1,,"T")</f>
        <v>-2.1999999999999999E-2</v>
      </c>
      <c r="AA12" s="260">
        <f t="shared" si="5"/>
        <v>-2.3E-2</v>
      </c>
      <c r="AB12" s="260">
        <f t="shared" si="11"/>
        <v>2.9420000000000002</v>
      </c>
      <c r="AC12" s="260">
        <f t="shared" si="9"/>
        <v>2.9420000000000002</v>
      </c>
      <c r="AD12" s="260">
        <f t="shared" si="6"/>
        <v>-2.3E-2</v>
      </c>
      <c r="AF12" s="256">
        <f t="shared" si="7"/>
        <v>2.9420000000000002</v>
      </c>
      <c r="AG12" s="256">
        <f t="shared" si="10"/>
        <v>-2.3E-2</v>
      </c>
      <c r="AH12" s="256" t="str">
        <f>RIGHT(RTD("cqg.rtd",,"ContractData",Q12,"LongDescription",,"T"),6)</f>
        <v>Sep 18</v>
      </c>
      <c r="AI12" s="256" t="str">
        <f>RIGHT(RTD("cqg.rtd",,"ContractData",V12,"LongDescription",,"T"),14)</f>
        <v>Sep 18, Oct 18</v>
      </c>
      <c r="AJ12" s="256">
        <f>RTD("cqg.rtd", ,"ContractData",Q12, "Settlement",,"T")</f>
        <v>2.9510000000000001</v>
      </c>
      <c r="AK12" s="256">
        <f>RTD("cqg.rtd", ,"ContractData",V12, "Settlement",,"T")</f>
        <v>-2.3E-2</v>
      </c>
      <c r="AL12" s="256">
        <f t="shared" si="8"/>
        <v>2.9510000000000001</v>
      </c>
    </row>
    <row r="13" spans="1:38" x14ac:dyDescent="0.2">
      <c r="A13" s="255" t="str">
        <f t="shared" si="1"/>
        <v>NGEV8</v>
      </c>
      <c r="B13" s="255" t="str">
        <f>RTD("cqg.rtd", ,"ContractData",A13, "ContractMonth")</f>
        <v>OCT</v>
      </c>
      <c r="C13" s="261" t="str">
        <f t="shared" si="2"/>
        <v>V8</v>
      </c>
      <c r="D13" s="256" t="str">
        <f t="shared" si="3"/>
        <v>NGES1V8</v>
      </c>
      <c r="P13" s="257" t="str">
        <f t="shared" si="4"/>
        <v>V</v>
      </c>
      <c r="Q13" s="262" t="str">
        <f>RTD("cqg.rtd", ,"ContractData", $Q$1&amp;"?"&amp;R46, "Symbol")</f>
        <v>NGEV8</v>
      </c>
      <c r="R13" s="260">
        <f>RTD("cqg.rtd", ,"ContractData", Q13, $R$1,,"T")</f>
        <v>2.9670000000000001</v>
      </c>
      <c r="S13" s="263">
        <f>RTD("cqg.rtd", ,"ContractData", Q13,$S$1,,"T")</f>
        <v>2.964</v>
      </c>
      <c r="T13" s="263">
        <f>RTD("cqg.rtd", ,"ContractData", Q13,$T$1,,"T")</f>
        <v>2.9660000000000002</v>
      </c>
      <c r="U13" s="260">
        <f>RTD("cqg.rtd", ,"ContractData", "F."&amp;$Q$1&amp;"?12",$U$1,,"T")</f>
        <v>-8.0000000000000002E-3</v>
      </c>
      <c r="V13" s="257" t="str">
        <f>O2</f>
        <v>NGES1V8</v>
      </c>
      <c r="W13" s="260">
        <f>RTD("cqg.rtd", ,"ContractData", V13, $W$1,,"T")</f>
        <v>-5.2999999999999999E-2</v>
      </c>
      <c r="X13" s="260">
        <f>RTD("cqg.rtd", ,"ContractData", V13, $X$1,,"T")</f>
        <v>1E-3</v>
      </c>
      <c r="Y13" s="260">
        <f>RTD("cqg.rtd", ,"ContractData",V13,$Y$1,,"T")</f>
        <v>-5.3999999999999999E-2</v>
      </c>
      <c r="Z13" s="260">
        <f>RTD("cqg.rtd", ,"ContractData", V13,$Z$1,,"T")</f>
        <v>-5.2999999999999999E-2</v>
      </c>
      <c r="AA13" s="260">
        <f t="shared" si="5"/>
        <v>-5.2999999999999999E-2</v>
      </c>
      <c r="AB13" s="260">
        <f t="shared" si="11"/>
        <v>2.9649999999999999</v>
      </c>
      <c r="AC13" s="260">
        <f t="shared" si="9"/>
        <v>2.9649999999999999</v>
      </c>
      <c r="AD13" s="260">
        <f t="shared" si="6"/>
        <v>-5.2999999999999999E-2</v>
      </c>
      <c r="AF13" s="256">
        <f t="shared" si="7"/>
        <v>2.9649999999999999</v>
      </c>
      <c r="AG13" s="256">
        <f t="shared" si="10"/>
        <v>-5.2999999999999999E-2</v>
      </c>
      <c r="AH13" s="256" t="str">
        <f>RIGHT(RTD("cqg.rtd",,"ContractData",Q13,"LongDescription",,"T"),6)</f>
        <v>Oct 18</v>
      </c>
      <c r="AI13" s="256" t="str">
        <f>RIGHT(RTD("cqg.rtd",,"ContractData",V13,"LongDescription",,"T"),14)</f>
        <v>Oct 18, Nov 18</v>
      </c>
      <c r="AJ13" s="256">
        <f>RTD("cqg.rtd", ,"ContractData",Q13, "Settlement",,"T")</f>
        <v>2.9740000000000002</v>
      </c>
      <c r="AK13" s="256">
        <f>RTD("cqg.rtd", ,"ContractData",V13, "Settlement",,"T")</f>
        <v>-5.3999999999999999E-2</v>
      </c>
      <c r="AL13" s="256">
        <f t="shared" si="8"/>
        <v>2.9740000000000002</v>
      </c>
    </row>
    <row r="14" spans="1:38" x14ac:dyDescent="0.2"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</row>
    <row r="15" spans="1:38" x14ac:dyDescent="0.2">
      <c r="E15" s="256" t="b">
        <v>0</v>
      </c>
      <c r="F15" s="256" t="s">
        <v>24</v>
      </c>
      <c r="G15" s="256" t="s">
        <v>26</v>
      </c>
      <c r="P15" s="257"/>
      <c r="Q15" s="257"/>
      <c r="R15" s="257"/>
      <c r="S15" s="257"/>
      <c r="T15" s="257"/>
      <c r="U15" s="257"/>
    </row>
    <row r="16" spans="1:38" x14ac:dyDescent="0.2">
      <c r="A16" s="256">
        <f>NGECalendars!K4</f>
        <v>9</v>
      </c>
      <c r="B16" s="256">
        <f>NGECalendars!L4</f>
        <v>14</v>
      </c>
      <c r="C16" s="256">
        <f>NGECalendars!M4</f>
        <v>2017</v>
      </c>
      <c r="D16" s="256" t="s">
        <v>210</v>
      </c>
      <c r="E16" s="264">
        <f xml:space="preserve"> RTD("cqg.rtd",,"StudyData", "Close("&amp;$I16&amp;")when (LocalMonth("&amp;$I16&amp;")="&amp;$A$16&amp;" and LocalDay("&amp;$I16&amp;")="&amp;$B$16&amp;" and LocalYear("&amp;$I16&amp;")="&amp;$C$16&amp;")", "Bar", "", "Close",$D$16, "0","ALL","", "",$E$15,$F$15)</f>
        <v>3.1269999999999998</v>
      </c>
      <c r="G16" s="264">
        <f>IFERROR(AF2-E16,"")</f>
        <v>-0.22999999999999954</v>
      </c>
      <c r="I16" s="256" t="str">
        <f>$Q$1&amp;"?"&amp;R35</f>
        <v>NGE?1</v>
      </c>
      <c r="J16" s="256" t="str">
        <f>"NGES1??"&amp;R35</f>
        <v>NGES1??1</v>
      </c>
      <c r="K16" s="256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-0.14399999999999999</v>
      </c>
      <c r="L16" s="256">
        <f>IFERROR(AG2-K16,"")</f>
        <v>-2.9000000000000026E-2</v>
      </c>
    </row>
    <row r="17" spans="5:29" x14ac:dyDescent="0.2">
      <c r="E17" s="264">
        <f xml:space="preserve"> RTD("cqg.rtd",,"StudyData", "Close("&amp;$I17&amp;")when (LocalMonth("&amp;$I17&amp;")="&amp;$A$16&amp;" and LocalDay("&amp;$I17&amp;")="&amp;$B$16&amp;" and LocalYear("&amp;$I17&amp;")="&amp;$C$16&amp;")", "Bar", "", "Close",$D$16, "0","ALL","", "",$E$15,$F$15)</f>
        <v>3.2709999999999999</v>
      </c>
      <c r="G17" s="264">
        <f t="shared" ref="G17:G27" si="12">IFERROR(AF3-E17,"")</f>
        <v>-0.19999999999999973</v>
      </c>
      <c r="I17" s="256" t="str">
        <f t="shared" ref="I17:I27" si="13">$Q$1&amp;"?"&amp;R36</f>
        <v>NGE?2</v>
      </c>
      <c r="J17" s="256" t="str">
        <f t="shared" ref="J17:J27" si="14">"NGES1??"&amp;R36</f>
        <v>NGES1??2</v>
      </c>
      <c r="K17" s="256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-0.1</v>
      </c>
      <c r="L17" s="256">
        <f t="shared" ref="L17:L27" si="15">IFERROR(AG3-K17,"")</f>
        <v>-2.5999999999999995E-2</v>
      </c>
      <c r="AB17" s="264"/>
      <c r="AC17" s="264"/>
    </row>
    <row r="18" spans="5:29" x14ac:dyDescent="0.2">
      <c r="E18" s="264">
        <f xml:space="preserve"> RTD("cqg.rtd",,"StudyData", "Close("&amp;$I18&amp;")when (LocalMonth("&amp;$I18&amp;")="&amp;$A$16&amp;" and LocalDay("&amp;$I18&amp;")="&amp;$B$16&amp;" and LocalYear("&amp;$I18&amp;")="&amp;$C$16&amp;")", "Bar", "", "Close",$D$16, "0","ALL","", "",$E$15,$F$15)</f>
        <v>3.371</v>
      </c>
      <c r="G18" s="264">
        <f t="shared" si="12"/>
        <v>-0.17399999999999993</v>
      </c>
      <c r="I18" s="256" t="str">
        <f t="shared" si="13"/>
        <v>NGE?3</v>
      </c>
      <c r="J18" s="256" t="str">
        <f t="shared" si="14"/>
        <v>NGES1??3</v>
      </c>
      <c r="K18" s="256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1E-3</v>
      </c>
      <c r="L18" s="256">
        <f t="shared" si="15"/>
        <v>-7.0000000000000001E-3</v>
      </c>
      <c r="AB18" s="264"/>
      <c r="AC18" s="264"/>
    </row>
    <row r="19" spans="5:29" x14ac:dyDescent="0.2">
      <c r="E19" s="264">
        <f xml:space="preserve"> RTD("cqg.rtd",,"StudyData", "Close("&amp;$I19&amp;")when (LocalMonth("&amp;$I19&amp;")="&amp;$A$16&amp;" and LocalDay("&amp;$I19&amp;")="&amp;$B$16&amp;" and LocalYear("&amp;$I19&amp;")="&amp;$C$16&amp;")", "Bar", "", "Close",$D$16, "0","ALL","", "",$E$15,$F$15)</f>
        <v>3.37</v>
      </c>
      <c r="G19" s="264">
        <f t="shared" si="12"/>
        <v>-0.16800000000000015</v>
      </c>
      <c r="I19" s="256" t="str">
        <f t="shared" si="13"/>
        <v>NGE?4</v>
      </c>
      <c r="J19" s="256" t="str">
        <f t="shared" si="14"/>
        <v>NGES1??4</v>
      </c>
      <c r="K19" s="256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0.05</v>
      </c>
      <c r="L19" s="256">
        <f t="shared" si="15"/>
        <v>-1.1000000000000003E-2</v>
      </c>
      <c r="AB19" s="264"/>
      <c r="AC19" s="264"/>
    </row>
    <row r="20" spans="5:29" x14ac:dyDescent="0.2">
      <c r="E20" s="264">
        <f xml:space="preserve"> RTD("cqg.rtd",,"StudyData", "Close("&amp;$I20&amp;")when (LocalMonth("&amp;$I20&amp;")="&amp;$A$16&amp;" and LocalDay("&amp;$I20&amp;")="&amp;$B$16&amp;" and LocalYear("&amp;$I20&amp;")="&amp;$C$16&amp;")", "Bar", "", "Close",$D$16, "0","ALL","", "",$E$15,$F$15)</f>
        <v>3.32</v>
      </c>
      <c r="G20" s="264">
        <f t="shared" si="12"/>
        <v>-0.15749999999999975</v>
      </c>
      <c r="I20" s="256" t="str">
        <f t="shared" si="13"/>
        <v>NGE?5</v>
      </c>
      <c r="J20" s="256" t="str">
        <f t="shared" si="14"/>
        <v>NGES1??5</v>
      </c>
      <c r="K20" s="256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0.36</v>
      </c>
      <c r="L20" s="256">
        <f t="shared" si="15"/>
        <v>-0.12199999999999997</v>
      </c>
      <c r="U20" s="265"/>
      <c r="V20" s="265"/>
      <c r="AB20" s="264"/>
      <c r="AC20" s="264"/>
    </row>
    <row r="21" spans="5:29" x14ac:dyDescent="0.2">
      <c r="E21" s="264">
        <f xml:space="preserve"> RTD("cqg.rtd",,"StudyData", "Close("&amp;$I21&amp;")when (LocalMonth("&amp;$I21&amp;")="&amp;$A$16&amp;" and LocalDay("&amp;$I21&amp;")="&amp;$B$16&amp;" and LocalYear("&amp;$I21&amp;")="&amp;$C$16&amp;")", "Bar", "", "Close",$D$16, "0","ALL","", "",$E$15,$F$15)</f>
        <v>2.96</v>
      </c>
      <c r="G21" s="264">
        <f t="shared" si="12"/>
        <v>-3.4999999999999698E-2</v>
      </c>
      <c r="I21" s="256" t="str">
        <f t="shared" si="13"/>
        <v>NGE?6</v>
      </c>
      <c r="J21" s="256" t="str">
        <f t="shared" si="14"/>
        <v>NGES1??6</v>
      </c>
      <c r="K21" s="256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3.7999999999999999E-2</v>
      </c>
      <c r="L21" s="256">
        <f t="shared" si="15"/>
        <v>-1.3999999999999999E-2</v>
      </c>
      <c r="T21" s="264"/>
      <c r="U21" s="264"/>
      <c r="V21" s="264"/>
      <c r="X21" s="264"/>
      <c r="Y21" s="264"/>
      <c r="Z21" s="264"/>
      <c r="AB21" s="264"/>
      <c r="AC21" s="264"/>
    </row>
    <row r="22" spans="5:29" x14ac:dyDescent="0.2">
      <c r="E22" s="264">
        <f xml:space="preserve"> RTD("cqg.rtd",,"StudyData", "Close("&amp;$I22&amp;")when (LocalMonth("&amp;$I22&amp;")="&amp;$A$16&amp;" and LocalDay("&amp;$I22&amp;")="&amp;$B$16&amp;" and LocalYear("&amp;$I22&amp;")="&amp;$C$16&amp;")", "Bar", "", "Close",$D$16, "0","ALL","", "",$E$15,$F$15)</f>
        <v>2.9220000000000002</v>
      </c>
      <c r="G22" s="264">
        <f t="shared" si="12"/>
        <v>-2.1500000000000075E-2</v>
      </c>
      <c r="I22" s="256" t="str">
        <f t="shared" si="13"/>
        <v>NGE?7</v>
      </c>
      <c r="J22" s="256" t="str">
        <f t="shared" si="14"/>
        <v>NGES1??7</v>
      </c>
      <c r="K22" s="256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-2.4E-2</v>
      </c>
      <c r="L22" s="256">
        <f t="shared" si="15"/>
        <v>-5.000000000000001E-3</v>
      </c>
      <c r="T22" s="264"/>
      <c r="U22" s="264"/>
      <c r="V22" s="264"/>
      <c r="X22" s="264"/>
      <c r="Y22" s="264"/>
      <c r="Z22" s="264"/>
      <c r="AB22" s="264"/>
      <c r="AC22" s="264"/>
    </row>
    <row r="23" spans="5:29" x14ac:dyDescent="0.2">
      <c r="E23" s="264">
        <f xml:space="preserve"> RTD("cqg.rtd",,"StudyData", "Close("&amp;$I23&amp;")when (LocalMonth("&amp;$I23&amp;")="&amp;$A$16&amp;" and LocalDay("&amp;$I23&amp;")="&amp;$B$16&amp;" and LocalYear("&amp;$I23&amp;")="&amp;$C$16&amp;")", "Bar", "", "Close",$D$16, "0","ALL","", "",$E$15,$F$15)</f>
        <v>2.9460000000000002</v>
      </c>
      <c r="G23" s="264">
        <f t="shared" si="12"/>
        <v>-1.5000000000000124E-2</v>
      </c>
      <c r="I23" s="256" t="str">
        <f t="shared" si="13"/>
        <v>NGE?8</v>
      </c>
      <c r="J23" s="256" t="str">
        <f t="shared" si="14"/>
        <v>NGES1??8</v>
      </c>
      <c r="K23" s="256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-2.4E-2</v>
      </c>
      <c r="L23" s="256">
        <f t="shared" si="15"/>
        <v>-2.9999999999999992E-3</v>
      </c>
      <c r="T23" s="264"/>
      <c r="U23" s="264"/>
      <c r="V23" s="264"/>
      <c r="X23" s="264"/>
      <c r="Y23" s="264"/>
      <c r="Z23" s="264"/>
      <c r="AB23" s="264"/>
      <c r="AC23" s="264"/>
    </row>
    <row r="24" spans="5:29" x14ac:dyDescent="0.2">
      <c r="E24" s="264">
        <f xml:space="preserve"> RTD("cqg.rtd",,"StudyData", "Close("&amp;$I24&amp;")when (LocalMonth("&amp;$I24&amp;")="&amp;$A$16&amp;" and LocalDay("&amp;$I24&amp;")="&amp;$B$16&amp;" and LocalYear("&amp;$I24&amp;")="&amp;$C$16&amp;")", "Bar", "", "Close",$D$16, "0","ALL","", "",$E$15,$F$15)</f>
        <v>2.97</v>
      </c>
      <c r="G24" s="264">
        <f t="shared" si="12"/>
        <v>-1.2000000000000011E-2</v>
      </c>
      <c r="I24" s="256" t="str">
        <f t="shared" si="13"/>
        <v>NGE?9</v>
      </c>
      <c r="J24" s="256" t="str">
        <f t="shared" si="14"/>
        <v>NGES1??9</v>
      </c>
      <c r="K24" s="256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-3.0000000000000001E-3</v>
      </c>
      <c r="L24" s="256">
        <f t="shared" si="15"/>
        <v>0</v>
      </c>
      <c r="T24" s="264"/>
      <c r="U24" s="264"/>
      <c r="V24" s="264"/>
      <c r="X24" s="264"/>
      <c r="Y24" s="264"/>
      <c r="Z24" s="264"/>
      <c r="AB24" s="264"/>
      <c r="AC24" s="264"/>
    </row>
    <row r="25" spans="5:29" x14ac:dyDescent="0.2">
      <c r="E25" s="264">
        <f xml:space="preserve"> RTD("cqg.rtd",,"StudyData", "Close("&amp;$I25&amp;")when (LocalMonth("&amp;$I25&amp;")="&amp;$A$16&amp;" and LocalDay("&amp;$I25&amp;")="&amp;$B$16&amp;" and LocalYear("&amp;$I25&amp;")="&amp;$C$16&amp;")", "Bar", "", "Close",$D$16, "0","ALL","", "",$E$15,$F$15)</f>
        <v>2.9729999999999999</v>
      </c>
      <c r="G25" s="264">
        <f t="shared" si="12"/>
        <v>-1.2999999999999901E-2</v>
      </c>
      <c r="I25" s="256" t="str">
        <f t="shared" si="13"/>
        <v>NGE?10</v>
      </c>
      <c r="J25" s="256" t="str">
        <f t="shared" si="14"/>
        <v>NGES1??10</v>
      </c>
      <c r="K25" s="256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2.3E-2</v>
      </c>
      <c r="L25" s="256">
        <f t="shared" si="15"/>
        <v>-4.9999999999999975E-3</v>
      </c>
      <c r="T25" s="264"/>
      <c r="U25" s="264"/>
      <c r="V25" s="264"/>
      <c r="X25" s="264"/>
      <c r="Y25" s="264"/>
      <c r="Z25" s="264"/>
    </row>
    <row r="26" spans="5:29" x14ac:dyDescent="0.2">
      <c r="E26" s="264">
        <f xml:space="preserve"> RTD("cqg.rtd",,"StudyData", "Close("&amp;$I26&amp;")when (LocalMonth("&amp;$I26&amp;")="&amp;$A$16&amp;" and LocalDay("&amp;$I26&amp;")="&amp;$B$16&amp;" and LocalYear("&amp;$I26&amp;")="&amp;$C$16&amp;")", "Bar", "", "Close",$D$16, "0","ALL","", "",$E$15,$F$15)</f>
        <v>2.95</v>
      </c>
      <c r="G26" s="264">
        <f t="shared" si="12"/>
        <v>-8.0000000000000071E-3</v>
      </c>
      <c r="I26" s="256" t="str">
        <f t="shared" si="13"/>
        <v>NGE?11</v>
      </c>
      <c r="J26" s="256" t="str">
        <f t="shared" si="14"/>
        <v>NGES1??11</v>
      </c>
      <c r="K26" s="256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-2.1999999999999999E-2</v>
      </c>
      <c r="L26" s="256">
        <f t="shared" si="15"/>
        <v>-1.0000000000000009E-3</v>
      </c>
      <c r="T26" s="264"/>
      <c r="U26" s="264"/>
      <c r="V26" s="264"/>
      <c r="X26" s="264"/>
      <c r="Y26" s="264"/>
      <c r="Z26" s="264"/>
    </row>
    <row r="27" spans="5:29" x14ac:dyDescent="0.2">
      <c r="E27" s="264">
        <f xml:space="preserve"> RTD("cqg.rtd",,"StudyData", "Close("&amp;$I27&amp;")when (LocalMonth("&amp;$I27&amp;")="&amp;$A$16&amp;" and LocalDay("&amp;$I27&amp;")="&amp;$B$16&amp;" and LocalYear("&amp;$I27&amp;")="&amp;$C$16&amp;")", "Bar", "", "Close",$D$16, "0","ALL","", "",$E$15,$F$15)</f>
        <v>2.972</v>
      </c>
      <c r="G27" s="264">
        <f t="shared" si="12"/>
        <v>-7.0000000000001172E-3</v>
      </c>
      <c r="I27" s="256" t="str">
        <f t="shared" si="13"/>
        <v>NGE?12</v>
      </c>
      <c r="J27" s="256" t="str">
        <f t="shared" si="14"/>
        <v>NGES1??12</v>
      </c>
      <c r="K27" s="256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-4.9000000000000002E-2</v>
      </c>
      <c r="L27" s="256">
        <f t="shared" si="15"/>
        <v>-3.9999999999999966E-3</v>
      </c>
      <c r="T27" s="264"/>
      <c r="U27" s="264"/>
      <c r="V27" s="264"/>
      <c r="X27" s="264"/>
      <c r="Y27" s="264"/>
      <c r="Z27" s="264"/>
    </row>
    <row r="28" spans="5:29" x14ac:dyDescent="0.2">
      <c r="T28" s="264"/>
      <c r="U28" s="264"/>
      <c r="V28" s="264"/>
      <c r="X28" s="264"/>
      <c r="Y28" s="264"/>
      <c r="Z28" s="264"/>
    </row>
    <row r="29" spans="5:29" x14ac:dyDescent="0.2">
      <c r="T29" s="264"/>
      <c r="U29" s="264"/>
      <c r="V29" s="264"/>
      <c r="X29" s="264"/>
      <c r="Y29" s="264"/>
      <c r="Z29" s="264"/>
    </row>
    <row r="30" spans="5:29" x14ac:dyDescent="0.2">
      <c r="T30" s="264"/>
      <c r="U30" s="264"/>
      <c r="V30" s="264"/>
      <c r="X30" s="264"/>
      <c r="Y30" s="264"/>
      <c r="Z30" s="264"/>
    </row>
    <row r="31" spans="5:29" x14ac:dyDescent="0.2">
      <c r="T31" s="264"/>
      <c r="U31" s="264"/>
      <c r="V31" s="264"/>
      <c r="X31" s="264"/>
      <c r="Y31" s="264"/>
      <c r="Z31" s="264"/>
    </row>
    <row r="32" spans="5:29" x14ac:dyDescent="0.2">
      <c r="T32" s="264"/>
      <c r="U32" s="264"/>
      <c r="V32" s="264"/>
      <c r="X32" s="264"/>
      <c r="Y32" s="264"/>
      <c r="Z32" s="264"/>
    </row>
    <row r="33" spans="18:26" x14ac:dyDescent="0.2">
      <c r="T33" s="264"/>
      <c r="U33" s="264"/>
      <c r="V33" s="264"/>
    </row>
    <row r="34" spans="18:26" x14ac:dyDescent="0.2">
      <c r="R34" s="256" t="s">
        <v>6</v>
      </c>
      <c r="T34" s="264"/>
      <c r="U34" s="264"/>
      <c r="V34" s="264"/>
      <c r="X34" s="264"/>
      <c r="Y34" s="264"/>
      <c r="Z34" s="256" t="s">
        <v>31</v>
      </c>
    </row>
    <row r="35" spans="18:26" x14ac:dyDescent="0.2">
      <c r="R35" s="256">
        <f>IF(RTD("cqg.rtd", ,"ContractData",Q1&amp;"?", "ContractMonth")=RTD("cqg.rtd", ,"ContractData",Q1&amp;"?1", "ContractMonth"),1,2)</f>
        <v>1</v>
      </c>
      <c r="S35" s="256" t="str">
        <f>RTD("cqg.rtd",,"ContractData",Q1&amp;"?1", "Symbol")</f>
        <v>NGEX7</v>
      </c>
      <c r="T35" s="264"/>
      <c r="U35" s="264"/>
      <c r="V35" s="264"/>
      <c r="X35" s="264"/>
      <c r="Y35" s="264"/>
      <c r="Z35" s="256" t="s">
        <v>32</v>
      </c>
    </row>
    <row r="36" spans="18:26" x14ac:dyDescent="0.2">
      <c r="R36" s="256">
        <f>R35+1</f>
        <v>2</v>
      </c>
      <c r="S36" s="256" t="str">
        <f>RTD("cqg.rtd",,"ContractData",Q1&amp;"?2", "Symbol")</f>
        <v>NGEZ7</v>
      </c>
      <c r="T36" s="264"/>
      <c r="U36" s="264"/>
      <c r="V36" s="264"/>
      <c r="X36" s="264"/>
      <c r="Y36" s="264"/>
      <c r="Z36" s="256" t="s">
        <v>33</v>
      </c>
    </row>
    <row r="37" spans="18:26" x14ac:dyDescent="0.2">
      <c r="R37" s="256">
        <f t="shared" ref="R37:R46" si="16">R36+1</f>
        <v>3</v>
      </c>
      <c r="T37" s="264"/>
      <c r="U37" s="264"/>
      <c r="V37" s="264"/>
      <c r="X37" s="264"/>
      <c r="Y37" s="264"/>
      <c r="Z37" s="256" t="s">
        <v>34</v>
      </c>
    </row>
    <row r="38" spans="18:26" x14ac:dyDescent="0.2">
      <c r="R38" s="256">
        <f t="shared" si="16"/>
        <v>4</v>
      </c>
      <c r="T38" s="264"/>
      <c r="U38" s="264"/>
      <c r="V38" s="264"/>
      <c r="X38" s="264"/>
      <c r="Y38" s="264"/>
      <c r="Z38" s="256" t="s">
        <v>35</v>
      </c>
    </row>
    <row r="39" spans="18:26" x14ac:dyDescent="0.2">
      <c r="R39" s="256">
        <f t="shared" si="16"/>
        <v>5</v>
      </c>
      <c r="T39" s="264"/>
      <c r="U39" s="264"/>
      <c r="V39" s="264"/>
      <c r="X39" s="264"/>
      <c r="Y39" s="264"/>
      <c r="Z39" s="256" t="s">
        <v>36</v>
      </c>
    </row>
    <row r="40" spans="18:26" x14ac:dyDescent="0.2">
      <c r="R40" s="256">
        <f t="shared" si="16"/>
        <v>6</v>
      </c>
      <c r="T40" s="264"/>
      <c r="U40" s="264"/>
      <c r="V40" s="264"/>
      <c r="X40" s="264"/>
      <c r="Y40" s="264"/>
      <c r="Z40" s="256" t="s">
        <v>37</v>
      </c>
    </row>
    <row r="41" spans="18:26" x14ac:dyDescent="0.2">
      <c r="R41" s="256">
        <f t="shared" si="16"/>
        <v>7</v>
      </c>
      <c r="T41" s="264"/>
      <c r="U41" s="264"/>
      <c r="V41" s="264"/>
      <c r="X41" s="264"/>
      <c r="Y41" s="264"/>
      <c r="Z41" s="256" t="s">
        <v>38</v>
      </c>
    </row>
    <row r="42" spans="18:26" x14ac:dyDescent="0.2">
      <c r="R42" s="256">
        <f t="shared" si="16"/>
        <v>8</v>
      </c>
      <c r="T42" s="264"/>
      <c r="U42" s="264"/>
      <c r="V42" s="264"/>
      <c r="X42" s="264"/>
      <c r="Y42" s="264"/>
      <c r="Z42" s="256" t="s">
        <v>39</v>
      </c>
    </row>
    <row r="43" spans="18:26" x14ac:dyDescent="0.2">
      <c r="R43" s="256">
        <f t="shared" si="16"/>
        <v>9</v>
      </c>
      <c r="T43" s="264"/>
      <c r="U43" s="264"/>
      <c r="V43" s="264"/>
      <c r="X43" s="264"/>
      <c r="Y43" s="264"/>
      <c r="Z43" s="256" t="s">
        <v>40</v>
      </c>
    </row>
    <row r="44" spans="18:26" x14ac:dyDescent="0.2">
      <c r="R44" s="256">
        <f t="shared" si="16"/>
        <v>10</v>
      </c>
      <c r="T44" s="264"/>
      <c r="U44" s="264"/>
      <c r="V44" s="264"/>
    </row>
    <row r="45" spans="18:26" x14ac:dyDescent="0.2">
      <c r="R45" s="256">
        <f t="shared" si="16"/>
        <v>11</v>
      </c>
    </row>
    <row r="46" spans="18:26" x14ac:dyDescent="0.2">
      <c r="R46" s="256">
        <f t="shared" si="16"/>
        <v>12</v>
      </c>
      <c r="Z46" s="264"/>
    </row>
  </sheetData>
  <sheetProtection algorithmName="SHA-512" hashValue="Hu683QiVDl/T+wTrNCF89LBkS8xgTSy9t0SVMR1dst7+JhRb+oW9RrfITUWLM7Ct7nU3n6ap8dQh7oLiZiF6rQ==" saltValue="E6Rg4x7mJALDpwv3OJyjK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/>
  </sheetViews>
  <sheetFormatPr defaultColWidth="9" defaultRowHeight="14.25" x14ac:dyDescent="0.2"/>
  <cols>
    <col min="1" max="17" width="9" style="256"/>
    <col min="18" max="18" width="14.375" style="256" customWidth="1"/>
    <col min="19" max="19" width="9" style="256"/>
    <col min="20" max="20" width="15.25" style="256" customWidth="1"/>
    <col min="21" max="21" width="17.75" style="256" customWidth="1"/>
    <col min="22" max="22" width="11.25" style="256" customWidth="1"/>
    <col min="23" max="23" width="40" style="256" customWidth="1"/>
    <col min="24" max="24" width="12.875" style="256" customWidth="1"/>
    <col min="25" max="16384" width="9" style="256"/>
  </cols>
  <sheetData>
    <row r="1" spans="1:38" x14ac:dyDescent="0.2">
      <c r="A1" s="255"/>
      <c r="B1" s="255"/>
      <c r="C1" s="255" t="s">
        <v>2</v>
      </c>
      <c r="D1" s="256">
        <v>2</v>
      </c>
      <c r="P1" s="257"/>
      <c r="Q1" s="258" t="s">
        <v>30</v>
      </c>
      <c r="R1" s="259" t="s">
        <v>3</v>
      </c>
      <c r="S1" s="259" t="s">
        <v>0</v>
      </c>
      <c r="T1" s="259" t="s">
        <v>1</v>
      </c>
      <c r="U1" s="257" t="s">
        <v>4</v>
      </c>
      <c r="V1" s="257"/>
      <c r="W1" s="259" t="s">
        <v>3</v>
      </c>
      <c r="X1" s="257" t="s">
        <v>4</v>
      </c>
      <c r="Y1" s="259" t="s">
        <v>0</v>
      </c>
      <c r="Z1" s="259" t="s">
        <v>1</v>
      </c>
      <c r="AA1" s="257" t="s">
        <v>5</v>
      </c>
      <c r="AB1" s="257" t="s">
        <v>5</v>
      </c>
      <c r="AC1" s="260"/>
      <c r="AD1" s="257" t="s">
        <v>5</v>
      </c>
    </row>
    <row r="2" spans="1:38" x14ac:dyDescent="0.2">
      <c r="A2" s="255" t="str">
        <f>Q2</f>
        <v>NGEX7</v>
      </c>
      <c r="B2" s="255" t="str">
        <f>RTD("cqg.rtd", ,"ContractData",A2, "ContractMonth")</f>
        <v>NOV</v>
      </c>
      <c r="C2" s="261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56" t="str">
        <f>$Q$1&amp;$C$1&amp;$D$1&amp;$C2</f>
        <v>NGES2X7</v>
      </c>
      <c r="E2" s="256" t="str">
        <f>$Q$1&amp;$C$1&amp;$D$1&amp;$C3</f>
        <v>NGES2Z7</v>
      </c>
      <c r="F2" s="256" t="str">
        <f>$Q$1&amp;$C$1&amp;$D$1&amp;$C4</f>
        <v>NGES2F8</v>
      </c>
      <c r="G2" s="256" t="str">
        <f>$Q$1&amp;$C$1&amp;$D$1&amp;$C5</f>
        <v>NGES2G8</v>
      </c>
      <c r="H2" s="256" t="str">
        <f>$Q$1&amp;$C$1&amp;$D$1&amp;$C6</f>
        <v>NGES2H8</v>
      </c>
      <c r="I2" s="256" t="str">
        <f>$Q$1&amp;$C$1&amp;$D$1&amp;$C7</f>
        <v>NGES2J8</v>
      </c>
      <c r="J2" s="256" t="str">
        <f>$Q$1&amp;$C$1&amp;$D$1&amp;$C8</f>
        <v>NGES2K8</v>
      </c>
      <c r="K2" s="256" t="str">
        <f>$Q$1&amp;$C$1&amp;$D$1&amp;$C9</f>
        <v>NGES2M8</v>
      </c>
      <c r="L2" s="256" t="str">
        <f>$Q$1&amp;$C$1&amp;$D$1&amp;$C10</f>
        <v>NGES2N8</v>
      </c>
      <c r="M2" s="256" t="str">
        <f>$Q$1&amp;$C$1&amp;$D$1&amp;$C11</f>
        <v>NGES2Q8</v>
      </c>
      <c r="N2" s="256" t="str">
        <f>$Q$1&amp;$C$1&amp;$D$1&amp;$C12</f>
        <v>NGES2U8</v>
      </c>
      <c r="O2" s="256" t="str">
        <f>$Q$1&amp;$C$1&amp;$D$1&amp;$C13</f>
        <v>NGES2V8</v>
      </c>
      <c r="P2" s="257" t="str">
        <f>LEFT(RIGHT(Q2,2),1)</f>
        <v>X</v>
      </c>
      <c r="Q2" s="262" t="str">
        <f>RTD("cqg.rtd", ,"ContractData", $Q$1&amp;"?"&amp;R35, "Symbol")</f>
        <v>NGEX7</v>
      </c>
      <c r="R2" s="263">
        <f>RTD("cqg.rtd", ,"ContractData", Q2, $R$1,,"T")</f>
        <v>2.8970000000000002</v>
      </c>
      <c r="S2" s="263">
        <f>RTD("cqg.rtd", ,"ContractData", Q2,$S$1,,"T")</f>
        <v>2.8959999999999999</v>
      </c>
      <c r="T2" s="263">
        <f>RTD("cqg.rtd", ,"ContractData", Q2,$T$1,,"T")</f>
        <v>2.8970000000000002</v>
      </c>
      <c r="U2" s="260">
        <f>RTD("cqg.rtd", ,"ContractData", "F."&amp;$Q$1&amp;"?1", $U$1,,"T")</f>
        <v>-2.6000000000000002E-2</v>
      </c>
      <c r="V2" s="257" t="str">
        <f>D2</f>
        <v>NGES2X7</v>
      </c>
      <c r="W2" s="260">
        <f>RTD("cqg.rtd", ,"ContractData", V2, $W$1,,"T")</f>
        <v>-0.3</v>
      </c>
      <c r="X2" s="260">
        <f>RTD("cqg.rtd", ,"ContractData", V2, $X$1,,"T")</f>
        <v>7.0000000000000001E-3</v>
      </c>
      <c r="Y2" s="260">
        <f>RTD("cqg.rtd", ,"ContractData",V2,$Y$1,,"T")</f>
        <v>-0.30099999999999999</v>
      </c>
      <c r="Z2" s="260">
        <f>RTD("cqg.rtd", ,"ContractData", V2,$Z$1,,"T")</f>
        <v>-0.3</v>
      </c>
      <c r="AA2" s="260">
        <f>IF(OR(W2="",W2&lt;Y2,W2&gt;Z2),(Y2+Z2)/2,W2)</f>
        <v>-0.3</v>
      </c>
      <c r="AB2" s="260">
        <f t="shared" ref="AB2:AB13" si="0">IF(OR(S2="",T2=""),R2,(IF(OR(R2="",R2&lt;S2,R2&gt;T2),(S2+T2)/2,R2)))</f>
        <v>2.8970000000000002</v>
      </c>
      <c r="AC2" s="260">
        <f>IF(OR(R2="",R2&lt;S2,R2&gt;T2),(S2+T2)/2,R2)</f>
        <v>2.8970000000000002</v>
      </c>
      <c r="AD2" s="260">
        <f>IF(OR(Y2="",Z2=""),W2,(IF(OR(W2="",W2&lt;Y2,W2&gt;Z2),(Y2+Z2)/2,W2)))</f>
        <v>-0.3</v>
      </c>
      <c r="AF2" s="256">
        <f>IF(ISERROR(AC2),NA(),AC2)</f>
        <v>2.8970000000000002</v>
      </c>
      <c r="AG2" s="256">
        <f>IF(AD2="",NA(),AD2)</f>
        <v>-0.3</v>
      </c>
      <c r="AH2" s="256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56" t="str">
        <f>RIGHT(RTD("cqg.rtd",,"ContractData",V2,"LongDescription",,"T"),14)</f>
        <v>Nov 17, Jan 18</v>
      </c>
      <c r="AJ2" s="256">
        <f>RTD("cqg.rtd", ,"ContractData",Q2, "Settlement",,"T")</f>
        <v>2.923</v>
      </c>
      <c r="AK2" s="256">
        <f>RTD("cqg.rtd", ,"ContractData",V2, "Settlement",,"T")</f>
        <v>-0.307</v>
      </c>
      <c r="AL2" s="256">
        <f>IF(AJ2="",NA(),AJ2)</f>
        <v>2.923</v>
      </c>
    </row>
    <row r="3" spans="1:38" x14ac:dyDescent="0.2">
      <c r="A3" s="255" t="str">
        <f t="shared" ref="A3:A13" si="1">Q3</f>
        <v>NGEZ7</v>
      </c>
      <c r="B3" s="255" t="str">
        <f>RTD("cqg.rtd", ,"ContractData",A3, "ContractMonth")</f>
        <v>DEC</v>
      </c>
      <c r="C3" s="261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56" t="str">
        <f t="shared" ref="D3:D13" si="3">$Q$1&amp;$C$1&amp;$D$1&amp;$C3</f>
        <v>NGES2Z7</v>
      </c>
      <c r="P3" s="257" t="str">
        <f t="shared" ref="P3:P13" si="4">LEFT(RIGHT(Q3,2),1)</f>
        <v>Z</v>
      </c>
      <c r="Q3" s="262" t="str">
        <f>RTD("cqg.rtd", ,"ContractData", $Q$1&amp;"?"&amp;R36, "Symbol")</f>
        <v>NGEZ7</v>
      </c>
      <c r="R3" s="263">
        <f>RTD("cqg.rtd", ,"ContractData", Q3, $R$1,,"T")</f>
        <v>3.0710000000000002</v>
      </c>
      <c r="S3" s="263">
        <f>RTD("cqg.rtd", ,"ContractData", Q3,$S$1,,"T")</f>
        <v>3.069</v>
      </c>
      <c r="T3" s="263">
        <f>RTD("cqg.rtd", ,"ContractData", Q3,$T$1,,"T")</f>
        <v>3.0710000000000002</v>
      </c>
      <c r="U3" s="260">
        <f>RTD("cqg.rtd", ,"ContractData", "F."&amp;$Q$1&amp;"?2",  $U$1,,"T")</f>
        <v>-3.2000000000000001E-2</v>
      </c>
      <c r="V3" s="257" t="str">
        <f>E2</f>
        <v>NGES2Z7</v>
      </c>
      <c r="W3" s="260">
        <f>RTD("cqg.rtd", ,"ContractData", V3, $W$1,,"T")</f>
        <v>-0.13100000000000001</v>
      </c>
      <c r="X3" s="260">
        <f>RTD("cqg.rtd", ,"ContractData", V3, $X$1,,"T")</f>
        <v>1E-3</v>
      </c>
      <c r="Y3" s="260">
        <f>RTD("cqg.rtd", ,"ContractData",V3,$Y$1,,"T")</f>
        <v>-0.13200000000000001</v>
      </c>
      <c r="Z3" s="260">
        <f>RTD("cqg.rtd", ,"ContractData", V3,$Z$1,,"T")</f>
        <v>-0.13100000000000001</v>
      </c>
      <c r="AA3" s="260">
        <f t="shared" ref="AA3:AA13" si="5">IF(OR(W3="",W3&lt;Y3,W3&gt;Z3),(Y3+Z3)/2,W3)</f>
        <v>-0.13100000000000001</v>
      </c>
      <c r="AB3" s="260">
        <f t="shared" si="0"/>
        <v>3.0710000000000002</v>
      </c>
      <c r="AC3" s="260">
        <f>IF(OR(R3="",R3&lt;S3,R3&gt;T3),(S3+T3)/2,R3)</f>
        <v>3.0710000000000002</v>
      </c>
      <c r="AD3" s="260">
        <f t="shared" ref="AD3:AD13" si="6">IF(OR(Y3="",Z3=""),W3,(IF(OR(W3="",W3&lt;Y3,W3&gt;Z3),(Y3+Z3)/2,W3)))</f>
        <v>-0.13100000000000001</v>
      </c>
      <c r="AF3" s="256">
        <f t="shared" ref="AF3:AF13" si="7">IF(ISERROR(AC3),NA(),AC3)</f>
        <v>3.0710000000000002</v>
      </c>
      <c r="AG3" s="256">
        <f>IF(AD3="",NA(),AD3)</f>
        <v>-0.13100000000000001</v>
      </c>
      <c r="AH3" s="256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56" t="str">
        <f>RIGHT(RTD("cqg.rtd",,"ContractData",V3,"LongDescription",,"T"),14)</f>
        <v>Dec 17, Feb 18</v>
      </c>
      <c r="AJ3" s="256">
        <f>RTD("cqg.rtd", ,"ContractData",Q3, "Settlement",,"T")</f>
        <v>3.1030000000000002</v>
      </c>
      <c r="AK3" s="256">
        <f>RTD("cqg.rtd", ,"ContractData",V3, "Settlement",,"T")</f>
        <v>-0.13200000000000001</v>
      </c>
      <c r="AL3" s="256">
        <f t="shared" ref="AL3:AL13" si="9">IF(AJ3="",NA(),AJ3)</f>
        <v>3.1030000000000002</v>
      </c>
    </row>
    <row r="4" spans="1:38" x14ac:dyDescent="0.2">
      <c r="A4" s="255" t="str">
        <f t="shared" si="1"/>
        <v>NGEF8</v>
      </c>
      <c r="B4" s="255" t="str">
        <f>RTD("cqg.rtd", ,"ContractData",A4, "ContractMonth")</f>
        <v>JAN</v>
      </c>
      <c r="C4" s="261" t="str">
        <f t="shared" si="2"/>
        <v>F8</v>
      </c>
      <c r="D4" s="256" t="str">
        <f t="shared" si="3"/>
        <v>NGES2F8</v>
      </c>
      <c r="P4" s="257" t="str">
        <f t="shared" si="4"/>
        <v>F</v>
      </c>
      <c r="Q4" s="262" t="str">
        <f>RTD("cqg.rtd", ,"ContractData", $Q$1&amp;"?"&amp;R37, "Symbol")</f>
        <v>NGEF8</v>
      </c>
      <c r="R4" s="263">
        <f>RTD("cqg.rtd", ,"ContractData", Q4, $R$1,,"T")</f>
        <v>3.1970000000000001</v>
      </c>
      <c r="S4" s="263">
        <f>RTD("cqg.rtd", ,"ContractData", Q4,$S$1,,"T")</f>
        <v>3.1960000000000002</v>
      </c>
      <c r="T4" s="263">
        <f>RTD("cqg.rtd", ,"ContractData", Q4,$T$1,,"T")</f>
        <v>3.1970000000000001</v>
      </c>
      <c r="U4" s="260">
        <f>RTD("cqg.rtd", ,"ContractData", "F."&amp;$Q$1&amp;"?3",  $U$1,,"T")</f>
        <v>-3.3000000000000002E-2</v>
      </c>
      <c r="V4" s="257" t="str">
        <f>F2</f>
        <v>NGES2F8</v>
      </c>
      <c r="W4" s="260">
        <f>RTD("cqg.rtd", ,"ContractData", V4, $W$1,,"T")</f>
        <v>3.3000000000000002E-2</v>
      </c>
      <c r="X4" s="260">
        <f>RTD("cqg.rtd", ,"ContractData", V4, $X$1,,"T")</f>
        <v>-4.0000000000000001E-3</v>
      </c>
      <c r="Y4" s="260">
        <f>RTD("cqg.rtd", ,"ContractData",V4,$Y$1,,"T")</f>
        <v>3.3000000000000002E-2</v>
      </c>
      <c r="Z4" s="260">
        <f>RTD("cqg.rtd", ,"ContractData", V4,$Z$1,,"T")</f>
        <v>3.4000000000000002E-2</v>
      </c>
      <c r="AA4" s="260">
        <f t="shared" si="5"/>
        <v>3.3000000000000002E-2</v>
      </c>
      <c r="AB4" s="260">
        <f t="shared" si="0"/>
        <v>3.1970000000000001</v>
      </c>
      <c r="AC4" s="260">
        <f t="shared" ref="AC4:AC13" si="10">IF(OR(R4="",R4&lt;S4,R4&gt;T4),(S4+T4)/2,R4)</f>
        <v>3.1970000000000001</v>
      </c>
      <c r="AD4" s="260">
        <f t="shared" si="6"/>
        <v>3.3000000000000002E-2</v>
      </c>
      <c r="AF4" s="256">
        <f t="shared" si="7"/>
        <v>3.1970000000000001</v>
      </c>
      <c r="AG4" s="256">
        <f>IF(AD4="",NA(),AD4)</f>
        <v>3.3000000000000002E-2</v>
      </c>
      <c r="AH4" s="256" t="str">
        <f t="shared" si="8"/>
        <v>JAN</v>
      </c>
      <c r="AI4" s="256" t="str">
        <f>RIGHT(RTD("cqg.rtd",,"ContractData",V4,"LongDescription",,"T"),14)</f>
        <v>Jan 18, Mar 18</v>
      </c>
      <c r="AJ4" s="256">
        <f>RTD("cqg.rtd", ,"ContractData",Q4, "Settlement",,"T")</f>
        <v>3.23</v>
      </c>
      <c r="AK4" s="256">
        <f>RTD("cqg.rtd", ,"ContractData",V4, "Settlement",,"T")</f>
        <v>3.6999999999999998E-2</v>
      </c>
      <c r="AL4" s="256">
        <f t="shared" si="9"/>
        <v>3.23</v>
      </c>
    </row>
    <row r="5" spans="1:38" x14ac:dyDescent="0.2">
      <c r="A5" s="255" t="str">
        <f t="shared" si="1"/>
        <v>NGEG8</v>
      </c>
      <c r="B5" s="255" t="str">
        <f>RTD("cqg.rtd", ,"ContractData",A5, "ContractMonth")</f>
        <v>FEB</v>
      </c>
      <c r="C5" s="261" t="str">
        <f t="shared" si="2"/>
        <v>G8</v>
      </c>
      <c r="D5" s="256" t="str">
        <f t="shared" si="3"/>
        <v>NGES2G8</v>
      </c>
      <c r="P5" s="257" t="str">
        <f t="shared" si="4"/>
        <v>G</v>
      </c>
      <c r="Q5" s="262" t="str">
        <f>RTD("cqg.rtd", ,"ContractData", $Q$1&amp;"?"&amp;R38, "Symbol")</f>
        <v>NGEG8</v>
      </c>
      <c r="R5" s="263">
        <f>RTD("cqg.rtd", ,"ContractData", Q5, $R$1,,"T")</f>
        <v>3.202</v>
      </c>
      <c r="S5" s="263">
        <f>RTD("cqg.rtd", ,"ContractData", Q5,$S$1,,"T")</f>
        <v>3.2010000000000001</v>
      </c>
      <c r="T5" s="263">
        <f>RTD("cqg.rtd", ,"ContractData", Q5,$T$1,,"T")</f>
        <v>3.2029999999999998</v>
      </c>
      <c r="U5" s="260">
        <f>RTD("cqg.rtd", ,"ContractData", "F."&amp;$Q$1&amp;"?4",  $U$1,,"T")</f>
        <v>-3.2000000000000001E-2</v>
      </c>
      <c r="V5" s="257" t="str">
        <f>G2</f>
        <v>NGES2G8</v>
      </c>
      <c r="W5" s="260">
        <f>RTD("cqg.rtd", ,"ContractData", V5, $W$1,,"T")</f>
        <v>0.27900000000000003</v>
      </c>
      <c r="X5" s="260">
        <f>RTD("cqg.rtd", ,"ContractData", V5, $X$1,,"T")</f>
        <v>-0.02</v>
      </c>
      <c r="Y5" s="260">
        <f>RTD("cqg.rtd", ,"ContractData",V5,$Y$1,,"T")</f>
        <v>0.27600000000000002</v>
      </c>
      <c r="Z5" s="260">
        <f>RTD("cqg.rtd", ,"ContractData", V5,$Z$1,,"T")</f>
        <v>0.27800000000000002</v>
      </c>
      <c r="AA5" s="260">
        <f t="shared" si="5"/>
        <v>0.27700000000000002</v>
      </c>
      <c r="AB5" s="260">
        <f t="shared" si="0"/>
        <v>3.202</v>
      </c>
      <c r="AC5" s="260">
        <f t="shared" si="10"/>
        <v>3.202</v>
      </c>
      <c r="AD5" s="260">
        <f t="shared" si="6"/>
        <v>0.27700000000000002</v>
      </c>
      <c r="AF5" s="256">
        <f t="shared" si="7"/>
        <v>3.202</v>
      </c>
      <c r="AG5" s="256">
        <f t="shared" ref="AG5:AG13" si="11">IF(AD5="",NA(),AD5)</f>
        <v>0.27700000000000002</v>
      </c>
      <c r="AH5" s="256" t="str">
        <f t="shared" si="8"/>
        <v>FEB</v>
      </c>
      <c r="AI5" s="256" t="str">
        <f>RIGHT(RTD("cqg.rtd",,"ContractData",V5,"LongDescription",,"T"),14)</f>
        <v>Feb 18, Apr 18</v>
      </c>
      <c r="AJ5" s="256">
        <f>RTD("cqg.rtd", ,"ContractData",Q5, "Settlement",,"T")</f>
        <v>3.2349999999999999</v>
      </c>
      <c r="AK5" s="256">
        <f>RTD("cqg.rtd", ,"ContractData",V5, "Settlement",,"T")</f>
        <v>0.29599999999999999</v>
      </c>
      <c r="AL5" s="256">
        <f t="shared" si="9"/>
        <v>3.2349999999999999</v>
      </c>
    </row>
    <row r="6" spans="1:38" x14ac:dyDescent="0.2">
      <c r="A6" s="255" t="str">
        <f t="shared" si="1"/>
        <v>NGEH8</v>
      </c>
      <c r="B6" s="255" t="str">
        <f>RTD("cqg.rtd", ,"ContractData",A6, "ContractMonth")</f>
        <v>MAR</v>
      </c>
      <c r="C6" s="261" t="str">
        <f t="shared" si="2"/>
        <v>H8</v>
      </c>
      <c r="D6" s="256" t="str">
        <f t="shared" si="3"/>
        <v>NGES2H8</v>
      </c>
      <c r="P6" s="257" t="str">
        <f t="shared" si="4"/>
        <v>H</v>
      </c>
      <c r="Q6" s="262" t="str">
        <f>RTD("cqg.rtd", ,"ContractData", $Q$1&amp;"?"&amp;R39, "Symbol")</f>
        <v>NGEH8</v>
      </c>
      <c r="R6" s="263">
        <f>RTD("cqg.rtd", ,"ContractData", Q6, $R$1,,"T")</f>
        <v>3.1640000000000001</v>
      </c>
      <c r="S6" s="263">
        <f>RTD("cqg.rtd", ,"ContractData", Q6,$S$1,,"T")</f>
        <v>3.1619999999999999</v>
      </c>
      <c r="T6" s="263">
        <f>RTD("cqg.rtd", ,"ContractData", Q6,$T$1,,"T")</f>
        <v>3.1630000000000003</v>
      </c>
      <c r="U6" s="260">
        <f>RTD("cqg.rtd", ,"ContractData", "F."&amp;$Q$1&amp;"?5",  $U$1,,"T")</f>
        <v>-0.03</v>
      </c>
      <c r="V6" s="257" t="str">
        <f>H2</f>
        <v>NGES2H8</v>
      </c>
      <c r="W6" s="260">
        <f>RTD("cqg.rtd", ,"ContractData", V6, $W$1,,"T")</f>
        <v>0.26300000000000001</v>
      </c>
      <c r="X6" s="260">
        <f>RTD("cqg.rtd", ,"ContractData", V6, $X$1,,"T")</f>
        <v>-2.1000000000000001E-2</v>
      </c>
      <c r="Y6" s="260">
        <f>RTD("cqg.rtd", ,"ContractData",V6,$Y$1,,"T")</f>
        <v>0.26100000000000001</v>
      </c>
      <c r="Z6" s="260">
        <f>RTD("cqg.rtd", ,"ContractData", V6,$Z$1,,"T")</f>
        <v>0.26300000000000001</v>
      </c>
      <c r="AA6" s="260">
        <f t="shared" si="5"/>
        <v>0.26300000000000001</v>
      </c>
      <c r="AB6" s="260">
        <f t="shared" si="0"/>
        <v>3.1625000000000001</v>
      </c>
      <c r="AC6" s="260">
        <f t="shared" si="10"/>
        <v>3.1625000000000001</v>
      </c>
      <c r="AD6" s="260">
        <f t="shared" si="6"/>
        <v>0.26300000000000001</v>
      </c>
      <c r="AF6" s="256">
        <f t="shared" si="7"/>
        <v>3.1625000000000001</v>
      </c>
      <c r="AG6" s="256">
        <f t="shared" si="11"/>
        <v>0.26300000000000001</v>
      </c>
      <c r="AH6" s="256" t="str">
        <f t="shared" si="8"/>
        <v>MAR</v>
      </c>
      <c r="AI6" s="256" t="str">
        <f>RIGHT(RTD("cqg.rtd",,"ContractData",V6,"LongDescription",,"T"),14)</f>
        <v>Mar 18, May 18</v>
      </c>
      <c r="AJ6" s="256">
        <f>RTD("cqg.rtd", ,"ContractData",Q6, "Settlement",,"T")</f>
        <v>3.1930000000000001</v>
      </c>
      <c r="AK6" s="256">
        <f>RTD("cqg.rtd", ,"ContractData",V6, "Settlement",,"T")</f>
        <v>0.28200000000000003</v>
      </c>
      <c r="AL6" s="256">
        <f t="shared" si="9"/>
        <v>3.1930000000000001</v>
      </c>
    </row>
    <row r="7" spans="1:38" x14ac:dyDescent="0.2">
      <c r="A7" s="255" t="str">
        <f t="shared" si="1"/>
        <v>NGEJ8</v>
      </c>
      <c r="B7" s="255" t="str">
        <f>RTD("cqg.rtd", ,"ContractData",A7, "ContractMonth")</f>
        <v>APR</v>
      </c>
      <c r="C7" s="261" t="str">
        <f t="shared" si="2"/>
        <v>J8</v>
      </c>
      <c r="D7" s="256" t="str">
        <f t="shared" si="3"/>
        <v>NGES2J8</v>
      </c>
      <c r="P7" s="257" t="str">
        <f t="shared" si="4"/>
        <v>J</v>
      </c>
      <c r="Q7" s="262" t="str">
        <f>RTD("cqg.rtd", ,"ContractData", $Q$1&amp;"?"&amp;R40, "Symbol")</f>
        <v>NGEJ8</v>
      </c>
      <c r="R7" s="263">
        <f>RTD("cqg.rtd", ,"ContractData", Q7, $R$1,,"T")</f>
        <v>2.9250000000000003</v>
      </c>
      <c r="S7" s="263">
        <f>RTD("cqg.rtd", ,"ContractData", Q7,$S$1,,"T")</f>
        <v>2.9239999999999999</v>
      </c>
      <c r="T7" s="263">
        <f>RTD("cqg.rtd", ,"ContractData", Q7,$T$1,,"T")</f>
        <v>2.9250000000000003</v>
      </c>
      <c r="U7" s="260">
        <f>RTD("cqg.rtd", ,"ContractData", "F."&amp;$Q$1&amp;"?6", $U$1,,"T")</f>
        <v>-1.4E-2</v>
      </c>
      <c r="V7" s="257" t="str">
        <f>I2</f>
        <v>NGES2J8</v>
      </c>
      <c r="W7" s="260">
        <f>RTD("cqg.rtd", ,"ContractData", V7, $W$1,,"T")</f>
        <v>-5.0000000000000001E-3</v>
      </c>
      <c r="X7" s="260">
        <f>RTD("cqg.rtd", ,"ContractData", V7, $X$1,,"T")</f>
        <v>-4.0000000000000001E-3</v>
      </c>
      <c r="Y7" s="260">
        <f>RTD("cqg.rtd", ,"ContractData",V7,$Y$1,,"T")</f>
        <v>-6.0000000000000001E-3</v>
      </c>
      <c r="Z7" s="260">
        <f>RTD("cqg.rtd", ,"ContractData", V7,$Z$1,,"T")</f>
        <v>-4.0000000000000001E-3</v>
      </c>
      <c r="AA7" s="260">
        <f t="shared" si="5"/>
        <v>-5.0000000000000001E-3</v>
      </c>
      <c r="AB7" s="260">
        <f t="shared" si="0"/>
        <v>2.9250000000000003</v>
      </c>
      <c r="AC7" s="260">
        <f t="shared" si="10"/>
        <v>2.9250000000000003</v>
      </c>
      <c r="AD7" s="260">
        <f t="shared" si="6"/>
        <v>-5.0000000000000001E-3</v>
      </c>
      <c r="AF7" s="256">
        <f t="shared" si="7"/>
        <v>2.9250000000000003</v>
      </c>
      <c r="AG7" s="256">
        <f t="shared" si="11"/>
        <v>-5.0000000000000001E-3</v>
      </c>
      <c r="AH7" s="256" t="str">
        <f t="shared" si="8"/>
        <v>APR</v>
      </c>
      <c r="AI7" s="256" t="str">
        <f>RIGHT(RTD("cqg.rtd",,"ContractData",V7,"LongDescription",,"T"),14)</f>
        <v>Apr 18, Jun 18</v>
      </c>
      <c r="AJ7" s="256">
        <f>RTD("cqg.rtd", ,"ContractData",Q7, "Settlement",,"T")</f>
        <v>2.9390000000000001</v>
      </c>
      <c r="AK7" s="256">
        <f>RTD("cqg.rtd", ,"ContractData",V7, "Settlement",,"T")</f>
        <v>0</v>
      </c>
      <c r="AL7" s="256">
        <f t="shared" si="9"/>
        <v>2.9390000000000001</v>
      </c>
    </row>
    <row r="8" spans="1:38" x14ac:dyDescent="0.2">
      <c r="A8" s="255" t="str">
        <f t="shared" si="1"/>
        <v>NGEK8</v>
      </c>
      <c r="B8" s="255" t="str">
        <f>RTD("cqg.rtd", ,"ContractData",A8, "ContractMonth")</f>
        <v>MAY</v>
      </c>
      <c r="C8" s="261" t="str">
        <f t="shared" si="2"/>
        <v>K8</v>
      </c>
      <c r="D8" s="256" t="str">
        <f t="shared" si="3"/>
        <v>NGES2K8</v>
      </c>
      <c r="P8" s="257" t="str">
        <f t="shared" si="4"/>
        <v>K</v>
      </c>
      <c r="Q8" s="262" t="str">
        <f>RTD("cqg.rtd", ,"ContractData", $Q$1&amp;"?"&amp;R41, "Symbol")</f>
        <v>NGEK8</v>
      </c>
      <c r="R8" s="263">
        <f>RTD("cqg.rtd", ,"ContractData", Q8, $R$1,,"T")</f>
        <v>2.9020000000000001</v>
      </c>
      <c r="S8" s="263">
        <f>RTD("cqg.rtd", ,"ContractData", Q8,$S$1,,"T")</f>
        <v>2.9</v>
      </c>
      <c r="T8" s="263">
        <f>RTD("cqg.rtd", ,"ContractData", Q8,$T$1,,"T")</f>
        <v>2.9010000000000002</v>
      </c>
      <c r="U8" s="260">
        <f>RTD("cqg.rtd", ,"ContractData", "F."&amp;$Q$1&amp;"?7", $U$1,,"T")</f>
        <v>-0.01</v>
      </c>
      <c r="V8" s="257" t="str">
        <f>J2</f>
        <v>NGES2K8</v>
      </c>
      <c r="W8" s="260">
        <f>RTD("cqg.rtd", ,"ContractData", V8, $W$1,,"T")</f>
        <v>-5.6000000000000001E-2</v>
      </c>
      <c r="X8" s="260">
        <f>RTD("cqg.rtd", ,"ContractData", V8, $X$1,,"T")</f>
        <v>-3.0000000000000001E-3</v>
      </c>
      <c r="Y8" s="260">
        <f>RTD("cqg.rtd", ,"ContractData",V8,$Y$1,,"T")</f>
        <v>-5.8000000000000003E-2</v>
      </c>
      <c r="Z8" s="260">
        <f>RTD("cqg.rtd", ,"ContractData", V8,$Z$1,,"T")</f>
        <v>-5.6000000000000001E-2</v>
      </c>
      <c r="AA8" s="260">
        <f t="shared" si="5"/>
        <v>-5.6000000000000001E-2</v>
      </c>
      <c r="AB8" s="260">
        <f t="shared" si="0"/>
        <v>2.9005000000000001</v>
      </c>
      <c r="AC8" s="260">
        <f t="shared" si="10"/>
        <v>2.9005000000000001</v>
      </c>
      <c r="AD8" s="260">
        <f t="shared" si="6"/>
        <v>-5.6000000000000001E-2</v>
      </c>
      <c r="AF8" s="256">
        <f t="shared" si="7"/>
        <v>2.9005000000000001</v>
      </c>
      <c r="AG8" s="256">
        <f t="shared" si="11"/>
        <v>-5.6000000000000001E-2</v>
      </c>
      <c r="AH8" s="256" t="str">
        <f t="shared" si="8"/>
        <v>MAY</v>
      </c>
      <c r="AI8" s="256" t="str">
        <f>RIGHT(RTD("cqg.rtd",,"ContractData",V8,"LongDescription",,"T"),14)</f>
        <v>May 18, Jul 18</v>
      </c>
      <c r="AJ8" s="256">
        <f>RTD("cqg.rtd", ,"ContractData",Q8, "Settlement",,"T")</f>
        <v>2.911</v>
      </c>
      <c r="AK8" s="256">
        <f>RTD("cqg.rtd", ,"ContractData",V8, "Settlement",,"T")</f>
        <v>-5.5E-2</v>
      </c>
      <c r="AL8" s="256">
        <f t="shared" si="9"/>
        <v>2.911</v>
      </c>
    </row>
    <row r="9" spans="1:38" x14ac:dyDescent="0.2">
      <c r="A9" s="255" t="str">
        <f t="shared" si="1"/>
        <v>NGEM8</v>
      </c>
      <c r="B9" s="255" t="str">
        <f>RTD("cqg.rtd", ,"ContractData",A9, "ContractMonth")</f>
        <v>JUN</v>
      </c>
      <c r="C9" s="261" t="str">
        <f t="shared" si="2"/>
        <v>M8</v>
      </c>
      <c r="D9" s="256" t="str">
        <f t="shared" si="3"/>
        <v>NGES2M8</v>
      </c>
      <c r="P9" s="257" t="str">
        <f t="shared" si="4"/>
        <v>M</v>
      </c>
      <c r="Q9" s="262" t="str">
        <f>RTD("cqg.rtd", ,"ContractData", $Q$1&amp;"?"&amp;R42, "Symbol")</f>
        <v>NGEM8</v>
      </c>
      <c r="R9" s="263">
        <f>RTD("cqg.rtd", ,"ContractData", Q9, $R$1,,"T")</f>
        <v>2.931</v>
      </c>
      <c r="S9" s="263">
        <f>RTD("cqg.rtd", ,"ContractData", Q9,$S$1,,"T")</f>
        <v>2.9290000000000003</v>
      </c>
      <c r="T9" s="263">
        <f>RTD("cqg.rtd", ,"ContractData", Q9,$T$1,,"T")</f>
        <v>2.931</v>
      </c>
      <c r="U9" s="260">
        <f>RTD("cqg.rtd", ,"ContractData", "F."&amp;$Q$1&amp;"?8", $U$1,,"T")</f>
        <v>-8.0000000000000002E-3</v>
      </c>
      <c r="V9" s="257" t="str">
        <f>K2</f>
        <v>NGES2M8</v>
      </c>
      <c r="W9" s="260">
        <f>RTD("cqg.rtd", ,"ContractData", V9, $W$1,,"T")</f>
        <v>-0.03</v>
      </c>
      <c r="X9" s="260">
        <f>RTD("cqg.rtd", ,"ContractData", V9, $X$1,,"T")</f>
        <v>1E-3</v>
      </c>
      <c r="Y9" s="260">
        <f>RTD("cqg.rtd", ,"ContractData",V9,$Y$1,,"T")</f>
        <v>-3.1E-2</v>
      </c>
      <c r="Z9" s="260">
        <f>RTD("cqg.rtd", ,"ContractData", V9,$Z$1,,"T")</f>
        <v>-2.9000000000000001E-2</v>
      </c>
      <c r="AA9" s="260">
        <f t="shared" si="5"/>
        <v>-0.03</v>
      </c>
      <c r="AB9" s="260">
        <f t="shared" si="0"/>
        <v>2.931</v>
      </c>
      <c r="AC9" s="260">
        <f t="shared" si="10"/>
        <v>2.931</v>
      </c>
      <c r="AD9" s="260">
        <f t="shared" si="6"/>
        <v>-0.03</v>
      </c>
      <c r="AF9" s="256">
        <f t="shared" si="7"/>
        <v>2.931</v>
      </c>
      <c r="AG9" s="256">
        <f t="shared" si="11"/>
        <v>-0.03</v>
      </c>
      <c r="AH9" s="256" t="str">
        <f t="shared" si="8"/>
        <v>JUN</v>
      </c>
      <c r="AI9" s="256" t="str">
        <f>RIGHT(RTD("cqg.rtd",,"ContractData",V9,"LongDescription",,"T"),14)</f>
        <v>Jun 18, Aug 18</v>
      </c>
      <c r="AJ9" s="256">
        <f>RTD("cqg.rtd", ,"ContractData",Q9, "Settlement",,"T")</f>
        <v>2.9390000000000001</v>
      </c>
      <c r="AK9" s="256">
        <f>RTD("cqg.rtd", ,"ContractData",V9, "Settlement",,"T")</f>
        <v>-0.03</v>
      </c>
      <c r="AL9" s="256">
        <f t="shared" si="9"/>
        <v>2.9390000000000001</v>
      </c>
    </row>
    <row r="10" spans="1:38" x14ac:dyDescent="0.2">
      <c r="A10" s="255" t="str">
        <f t="shared" si="1"/>
        <v>NGEN8</v>
      </c>
      <c r="B10" s="255" t="str">
        <f>RTD("cqg.rtd", ,"ContractData",A10, "ContractMonth")</f>
        <v>JUL</v>
      </c>
      <c r="C10" s="261" t="str">
        <f t="shared" si="2"/>
        <v>N8</v>
      </c>
      <c r="D10" s="256" t="str">
        <f t="shared" si="3"/>
        <v>NGES2N8</v>
      </c>
      <c r="P10" s="257" t="str">
        <f t="shared" si="4"/>
        <v>N</v>
      </c>
      <c r="Q10" s="262" t="str">
        <f>RTD("cqg.rtd", ,"ContractData", $Q$1&amp;"?"&amp;R43, "Symbol")</f>
        <v>NGEN8</v>
      </c>
      <c r="R10" s="263">
        <f>RTD("cqg.rtd", ,"ContractData", Q10, $R$1,,"T")</f>
        <v>2.9580000000000002</v>
      </c>
      <c r="S10" s="263">
        <f>RTD("cqg.rtd", ,"ContractData", Q10,$S$1,,"T")</f>
        <v>2.956</v>
      </c>
      <c r="T10" s="263">
        <f>RTD("cqg.rtd", ,"ContractData", Q10,$T$1,,"T")</f>
        <v>2.9580000000000002</v>
      </c>
      <c r="U10" s="260">
        <f>RTD("cqg.rtd", ,"ContractData", "F."&amp;$Q$1&amp;"?9", $U$1,,"T")</f>
        <v>-8.0000000000000002E-3</v>
      </c>
      <c r="V10" s="257" t="str">
        <f>L2</f>
        <v>NGES2N8</v>
      </c>
      <c r="W10" s="260">
        <f>RTD("cqg.rtd", ,"ContractData", V10, $W$1,,"T")</f>
        <v>1.4999999999999999E-2</v>
      </c>
      <c r="X10" s="260">
        <f>RTD("cqg.rtd", ,"ContractData", V10, $X$1,,"T")</f>
        <v>0</v>
      </c>
      <c r="Y10" s="260">
        <f>RTD("cqg.rtd", ,"ContractData",V10,$Y$1,,"T")</f>
        <v>1.4E-2</v>
      </c>
      <c r="Z10" s="260">
        <f>RTD("cqg.rtd", ,"ContractData", V10,$Z$1,,"T")</f>
        <v>1.4999999999999999E-2</v>
      </c>
      <c r="AA10" s="260">
        <f t="shared" si="5"/>
        <v>1.4999999999999999E-2</v>
      </c>
      <c r="AB10" s="260">
        <f t="shared" si="0"/>
        <v>2.9580000000000002</v>
      </c>
      <c r="AC10" s="260">
        <f t="shared" si="10"/>
        <v>2.9580000000000002</v>
      </c>
      <c r="AD10" s="260">
        <f t="shared" si="6"/>
        <v>1.4999999999999999E-2</v>
      </c>
      <c r="AF10" s="256">
        <f t="shared" si="7"/>
        <v>2.9580000000000002</v>
      </c>
      <c r="AG10" s="256">
        <f t="shared" si="11"/>
        <v>1.4999999999999999E-2</v>
      </c>
      <c r="AH10" s="256" t="str">
        <f t="shared" si="8"/>
        <v>JUL</v>
      </c>
      <c r="AI10" s="256" t="str">
        <f>RIGHT(RTD("cqg.rtd",,"ContractData",V10,"LongDescription",,"T"),14)</f>
        <v>Jul 18, Sep 18</v>
      </c>
      <c r="AJ10" s="256">
        <f>RTD("cqg.rtd", ,"ContractData",Q10, "Settlement",,"T")</f>
        <v>2.9660000000000002</v>
      </c>
      <c r="AK10" s="256">
        <f>RTD("cqg.rtd", ,"ContractData",V10, "Settlement",,"T")</f>
        <v>1.4999999999999999E-2</v>
      </c>
      <c r="AL10" s="256">
        <f t="shared" si="9"/>
        <v>2.9660000000000002</v>
      </c>
    </row>
    <row r="11" spans="1:38" x14ac:dyDescent="0.2">
      <c r="A11" s="255" t="str">
        <f t="shared" si="1"/>
        <v>NGEQ8</v>
      </c>
      <c r="B11" s="255" t="str">
        <f>RTD("cqg.rtd", ,"ContractData",A11, "ContractMonth")</f>
        <v>AUG</v>
      </c>
      <c r="C11" s="261" t="str">
        <f t="shared" si="2"/>
        <v>Q8</v>
      </c>
      <c r="D11" s="256" t="str">
        <f t="shared" si="3"/>
        <v>NGES2Q8</v>
      </c>
      <c r="P11" s="257" t="str">
        <f t="shared" si="4"/>
        <v>Q</v>
      </c>
      <c r="Q11" s="262" t="str">
        <f>RTD("cqg.rtd", ,"ContractData", $Q$1&amp;"?"&amp;R44, "Symbol")</f>
        <v>NGEQ8</v>
      </c>
      <c r="R11" s="263">
        <f>RTD("cqg.rtd", ,"ContractData", Q11, $R$1,,"T")</f>
        <v>2.96</v>
      </c>
      <c r="S11" s="263">
        <f>RTD("cqg.rtd", ,"ContractData", Q11,$S$1,,"T")</f>
        <v>2.9590000000000001</v>
      </c>
      <c r="T11" s="263">
        <f>RTD("cqg.rtd", ,"ContractData", Q11,$T$1,,"T")</f>
        <v>2.9609999999999999</v>
      </c>
      <c r="U11" s="260">
        <f>RTD("cqg.rtd", ,"ContractData", "F."&amp;$Q$1&amp;"?10", $U$1,,"T")</f>
        <v>-0.01</v>
      </c>
      <c r="V11" s="257" t="str">
        <f>M2</f>
        <v>NGES2Q8</v>
      </c>
      <c r="W11" s="260">
        <f>RTD("cqg.rtd", ,"ContractData", V11, $W$1,,"T")</f>
        <v>-5.0000000000000001E-3</v>
      </c>
      <c r="X11" s="260">
        <f>RTD("cqg.rtd", ,"ContractData", V11, $X$1,,"T")</f>
        <v>0</v>
      </c>
      <c r="Y11" s="260">
        <f>RTD("cqg.rtd", ,"ContractData",V11,$Y$1,,"T")</f>
        <v>-6.0000000000000001E-3</v>
      </c>
      <c r="Z11" s="260">
        <f>RTD("cqg.rtd", ,"ContractData", V11,$Z$1,,"T")</f>
        <v>-5.0000000000000001E-3</v>
      </c>
      <c r="AA11" s="260">
        <f t="shared" si="5"/>
        <v>-5.0000000000000001E-3</v>
      </c>
      <c r="AB11" s="260">
        <f t="shared" si="0"/>
        <v>2.96</v>
      </c>
      <c r="AC11" s="260">
        <f t="shared" si="10"/>
        <v>2.96</v>
      </c>
      <c r="AD11" s="260">
        <f t="shared" si="6"/>
        <v>-5.0000000000000001E-3</v>
      </c>
      <c r="AF11" s="256">
        <f t="shared" si="7"/>
        <v>2.96</v>
      </c>
      <c r="AG11" s="256">
        <f t="shared" si="11"/>
        <v>-5.0000000000000001E-3</v>
      </c>
      <c r="AH11" s="256" t="str">
        <f t="shared" si="8"/>
        <v>AUG</v>
      </c>
      <c r="AI11" s="256" t="str">
        <f>RIGHT(RTD("cqg.rtd",,"ContractData",V11,"LongDescription",,"T"),14)</f>
        <v>Aug 18, Oct 18</v>
      </c>
      <c r="AJ11" s="256">
        <f>RTD("cqg.rtd", ,"ContractData",Q11, "Settlement",,"T")</f>
        <v>2.9689999999999999</v>
      </c>
      <c r="AK11" s="256">
        <f>RTD("cqg.rtd", ,"ContractData",V11, "Settlement",,"T")</f>
        <v>-5.0000000000000001E-3</v>
      </c>
      <c r="AL11" s="256">
        <f t="shared" si="9"/>
        <v>2.9689999999999999</v>
      </c>
    </row>
    <row r="12" spans="1:38" x14ac:dyDescent="0.2">
      <c r="A12" s="255" t="str">
        <f t="shared" si="1"/>
        <v>NGEU8</v>
      </c>
      <c r="B12" s="255" t="str">
        <f>RTD("cqg.rtd", ,"ContractData",A12, "ContractMonth")</f>
        <v>SEP</v>
      </c>
      <c r="C12" s="261" t="str">
        <f t="shared" si="2"/>
        <v>U8</v>
      </c>
      <c r="D12" s="256" t="str">
        <f t="shared" si="3"/>
        <v>NGES2U8</v>
      </c>
      <c r="P12" s="257" t="str">
        <f t="shared" si="4"/>
        <v>U</v>
      </c>
      <c r="Q12" s="262" t="str">
        <f>RTD("cqg.rtd", ,"ContractData", $Q$1&amp;"?"&amp;R45, "Symbol")</f>
        <v>NGEU8</v>
      </c>
      <c r="R12" s="263">
        <f>RTD("cqg.rtd", ,"ContractData", Q12, $R$1,,"T")</f>
        <v>2.9420000000000002</v>
      </c>
      <c r="S12" s="263">
        <f>RTD("cqg.rtd", ,"ContractData", Q12,$S$1,,"T")</f>
        <v>2.9420000000000002</v>
      </c>
      <c r="T12" s="263">
        <f>RTD("cqg.rtd", ,"ContractData", Q12,$T$1,,"T")</f>
        <v>2.944</v>
      </c>
      <c r="U12" s="260">
        <f>RTD("cqg.rtd", ,"ContractData", "F."&amp;$Q$1&amp;"?11",$U$1,,"T")</f>
        <v>-7.0000000000000001E-3</v>
      </c>
      <c r="V12" s="257" t="str">
        <f>N2</f>
        <v>NGES2U8</v>
      </c>
      <c r="W12" s="260" t="str">
        <f>RTD("cqg.rtd", ,"ContractData", V12, $W$1,,"T")</f>
        <v/>
      </c>
      <c r="X12" s="260">
        <f>RTD("cqg.rtd", ,"ContractData", V12, $X$1,,"T")</f>
        <v>-1E-3</v>
      </c>
      <c r="Y12" s="260">
        <f>RTD("cqg.rtd", ,"ContractData",V12,$Y$1,,"T")</f>
        <v>-7.8E-2</v>
      </c>
      <c r="Z12" s="260">
        <f>RTD("cqg.rtd", ,"ContractData", V12,$Z$1,,"T")</f>
        <v>-7.4999999999999997E-2</v>
      </c>
      <c r="AA12" s="260">
        <f t="shared" si="5"/>
        <v>-7.6499999999999999E-2</v>
      </c>
      <c r="AB12" s="260">
        <f t="shared" si="0"/>
        <v>2.9420000000000002</v>
      </c>
      <c r="AC12" s="260">
        <f t="shared" si="10"/>
        <v>2.9420000000000002</v>
      </c>
      <c r="AD12" s="260">
        <f t="shared" si="6"/>
        <v>-7.6499999999999999E-2</v>
      </c>
      <c r="AF12" s="256">
        <f t="shared" si="7"/>
        <v>2.9420000000000002</v>
      </c>
      <c r="AG12" s="256">
        <f t="shared" si="11"/>
        <v>-7.6499999999999999E-2</v>
      </c>
      <c r="AH12" s="256" t="str">
        <f t="shared" si="8"/>
        <v>SEP</v>
      </c>
      <c r="AI12" s="256" t="str">
        <f>RIGHT(RTD("cqg.rtd",,"ContractData",V12,"LongDescription",,"T"),14)</f>
        <v>Sep 18, Nov 18</v>
      </c>
      <c r="AJ12" s="256">
        <f>RTD("cqg.rtd", ,"ContractData",Q12, "Settlement",,"T")</f>
        <v>2.9510000000000001</v>
      </c>
      <c r="AK12" s="256">
        <f>RTD("cqg.rtd", ,"ContractData",V12, "Settlement",,"T")</f>
        <v>-7.6999999999999999E-2</v>
      </c>
      <c r="AL12" s="256">
        <f t="shared" si="9"/>
        <v>2.9510000000000001</v>
      </c>
    </row>
    <row r="13" spans="1:38" x14ac:dyDescent="0.2">
      <c r="A13" s="255" t="str">
        <f t="shared" si="1"/>
        <v>NGEV8</v>
      </c>
      <c r="B13" s="255" t="str">
        <f>RTD("cqg.rtd", ,"ContractData",A13, "ContractMonth")</f>
        <v>OCT</v>
      </c>
      <c r="C13" s="261" t="str">
        <f t="shared" si="2"/>
        <v>V8</v>
      </c>
      <c r="D13" s="256" t="str">
        <f t="shared" si="3"/>
        <v>NGES2V8</v>
      </c>
      <c r="P13" s="257" t="str">
        <f t="shared" si="4"/>
        <v>V</v>
      </c>
      <c r="Q13" s="262" t="str">
        <f>RTD("cqg.rtd", ,"ContractData", $Q$1&amp;"?"&amp;R46, "Symbol")</f>
        <v>NGEV8</v>
      </c>
      <c r="R13" s="263">
        <f>RTD("cqg.rtd", ,"ContractData", Q13, $R$1,,"T")</f>
        <v>2.9670000000000001</v>
      </c>
      <c r="S13" s="263">
        <f>RTD("cqg.rtd", ,"ContractData", Q13,$S$1,,"T")</f>
        <v>2.964</v>
      </c>
      <c r="T13" s="263">
        <f>RTD("cqg.rtd", ,"ContractData", Q13,$T$1,,"T")</f>
        <v>2.9660000000000002</v>
      </c>
      <c r="U13" s="260">
        <f>RTD("cqg.rtd", ,"ContractData", "F."&amp;$Q$1&amp;"?12",$U$1,,"T")</f>
        <v>-8.0000000000000002E-3</v>
      </c>
      <c r="V13" s="257" t="str">
        <f>O2</f>
        <v>NGES2V8</v>
      </c>
      <c r="W13" s="260">
        <f>RTD("cqg.rtd", ,"ContractData", V13, $W$1,,"T")</f>
        <v>-0.19</v>
      </c>
      <c r="X13" s="260">
        <f>RTD("cqg.rtd", ,"ContractData", V13, $X$1,,"T")</f>
        <v>-1E-3</v>
      </c>
      <c r="Y13" s="260">
        <f>RTD("cqg.rtd", ,"ContractData",V13,$Y$1,,"T")</f>
        <v>-0.191</v>
      </c>
      <c r="Z13" s="260">
        <f>RTD("cqg.rtd", ,"ContractData", V13,$Z$1,,"T")</f>
        <v>-0.189</v>
      </c>
      <c r="AA13" s="260">
        <f t="shared" si="5"/>
        <v>-0.19</v>
      </c>
      <c r="AB13" s="260">
        <f t="shared" si="0"/>
        <v>2.9649999999999999</v>
      </c>
      <c r="AC13" s="260">
        <f t="shared" si="10"/>
        <v>2.9649999999999999</v>
      </c>
      <c r="AD13" s="260">
        <f t="shared" si="6"/>
        <v>-0.19</v>
      </c>
      <c r="AF13" s="256">
        <f t="shared" si="7"/>
        <v>2.9649999999999999</v>
      </c>
      <c r="AG13" s="256">
        <f t="shared" si="11"/>
        <v>-0.19</v>
      </c>
      <c r="AH13" s="256" t="str">
        <f t="shared" si="8"/>
        <v>OCT</v>
      </c>
      <c r="AI13" s="256" t="str">
        <f>RIGHT(RTD("cqg.rtd",,"ContractData",V13,"LongDescription",,"T"),14)</f>
        <v>Oct 18, Dec 18</v>
      </c>
      <c r="AJ13" s="256">
        <f>RTD("cqg.rtd", ,"ContractData",Q13, "Settlement",,"T")</f>
        <v>2.9740000000000002</v>
      </c>
      <c r="AK13" s="256">
        <f>RTD("cqg.rtd", ,"ContractData",V13, "Settlement",,"T")</f>
        <v>-0.19</v>
      </c>
      <c r="AL13" s="256">
        <f t="shared" si="9"/>
        <v>2.9740000000000002</v>
      </c>
    </row>
    <row r="14" spans="1:38" x14ac:dyDescent="0.2"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</row>
    <row r="15" spans="1:38" x14ac:dyDescent="0.2">
      <c r="E15" s="256" t="b">
        <v>0</v>
      </c>
      <c r="F15" s="256" t="s">
        <v>24</v>
      </c>
      <c r="G15" s="256" t="s">
        <v>26</v>
      </c>
      <c r="P15" s="257"/>
      <c r="Q15" s="257"/>
      <c r="R15" s="257"/>
      <c r="S15" s="257"/>
      <c r="T15" s="257"/>
      <c r="U15" s="257"/>
    </row>
    <row r="16" spans="1:38" x14ac:dyDescent="0.2">
      <c r="A16" s="256">
        <f>NGECalendars!K4</f>
        <v>9</v>
      </c>
      <c r="B16" s="256">
        <f>NGECalendars!L4</f>
        <v>14</v>
      </c>
      <c r="C16" s="256">
        <f>NGECalendars!M4</f>
        <v>2017</v>
      </c>
      <c r="D16" s="256" t="s">
        <v>210</v>
      </c>
      <c r="E16" s="264">
        <f xml:space="preserve"> RTD("cqg.rtd",,"StudyData", "Close("&amp;$I16&amp;")when (LocalMonth("&amp;$I16&amp;")="&amp;$A$16&amp;" and LocalDay("&amp;$I16&amp;")="&amp;$B$16&amp;" and LocalYear("&amp;$I16&amp;")="&amp;$C$16&amp;")", "Bar", "", "Close",$D$16, "0","ALL","", "",$E$15,$F$15)</f>
        <v>3.1269999999999998</v>
      </c>
      <c r="G16" s="264">
        <f>IFERROR(AF2-E16,"")</f>
        <v>-0.22999999999999954</v>
      </c>
      <c r="I16" s="256" t="str">
        <f>$Q$1&amp;"?"&amp;R35</f>
        <v>NGE?1</v>
      </c>
      <c r="J16" s="256" t="str">
        <f>"NGES2??"&amp;R35</f>
        <v>NGES2??1</v>
      </c>
      <c r="K16" s="256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-0.24399999999999999</v>
      </c>
      <c r="L16" s="256">
        <f>IFERROR(AG2-K16,"")</f>
        <v>-5.5999999999999994E-2</v>
      </c>
    </row>
    <row r="17" spans="5:29" x14ac:dyDescent="0.2">
      <c r="E17" s="264">
        <f xml:space="preserve"> RTD("cqg.rtd",,"StudyData", "Close("&amp;$I17&amp;")when (LocalMonth("&amp;$I17&amp;")="&amp;$A$16&amp;" and LocalDay("&amp;$I17&amp;")="&amp;$B$16&amp;" and LocalYear("&amp;$I17&amp;")="&amp;$C$16&amp;")", "Bar", "", "Close",$D$16, "0","ALL","", "",$E$15,$F$15)</f>
        <v>3.2709999999999999</v>
      </c>
      <c r="G17" s="264">
        <f t="shared" ref="G17:G27" si="12">IFERROR(AF3-E17,"")</f>
        <v>-0.19999999999999973</v>
      </c>
      <c r="I17" s="256" t="str">
        <f t="shared" ref="I17:I27" si="13">$Q$1&amp;"?"&amp;R36</f>
        <v>NGE?2</v>
      </c>
      <c r="J17" s="256" t="str">
        <f t="shared" ref="J17:J27" si="14">"NGES2??"&amp;R36</f>
        <v>NGES2??2</v>
      </c>
      <c r="K17" s="256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-9.9000000000000005E-2</v>
      </c>
      <c r="L17" s="256">
        <f t="shared" ref="L17:L27" si="15">IFERROR(AG3-K17,"")</f>
        <v>-3.2000000000000001E-2</v>
      </c>
      <c r="AB17" s="264"/>
      <c r="AC17" s="264"/>
    </row>
    <row r="18" spans="5:29" x14ac:dyDescent="0.2">
      <c r="E18" s="264">
        <f xml:space="preserve"> RTD("cqg.rtd",,"StudyData", "Close("&amp;$I18&amp;")when (LocalMonth("&amp;$I18&amp;")="&amp;$A$16&amp;" and LocalDay("&amp;$I18&amp;")="&amp;$B$16&amp;" and LocalYear("&amp;$I18&amp;")="&amp;$C$16&amp;")", "Bar", "", "Close",$D$16, "0","ALL","", "",$E$15,$F$15)</f>
        <v>3.371</v>
      </c>
      <c r="G18" s="264">
        <f t="shared" si="12"/>
        <v>-0.17399999999999993</v>
      </c>
      <c r="I18" s="256" t="str">
        <f t="shared" si="13"/>
        <v>NGE?3</v>
      </c>
      <c r="J18" s="256" t="str">
        <f t="shared" si="14"/>
        <v>NGES2??3</v>
      </c>
      <c r="K18" s="256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5.0999999999999997E-2</v>
      </c>
      <c r="L18" s="256">
        <f t="shared" si="15"/>
        <v>-1.7999999999999995E-2</v>
      </c>
      <c r="AB18" s="264"/>
      <c r="AC18" s="264"/>
    </row>
    <row r="19" spans="5:29" x14ac:dyDescent="0.2">
      <c r="E19" s="264">
        <f xml:space="preserve"> RTD("cqg.rtd",,"StudyData", "Close("&amp;$I19&amp;")when (LocalMonth("&amp;$I19&amp;")="&amp;$A$16&amp;" and LocalDay("&amp;$I19&amp;")="&amp;$B$16&amp;" and LocalYear("&amp;$I19&amp;")="&amp;$C$16&amp;")", "Bar", "", "Close",$D$16, "0","ALL","", "",$E$15,$F$15)</f>
        <v>3.37</v>
      </c>
      <c r="G19" s="264">
        <f t="shared" si="12"/>
        <v>-0.16800000000000015</v>
      </c>
      <c r="I19" s="256" t="str">
        <f t="shared" si="13"/>
        <v>NGE?4</v>
      </c>
      <c r="J19" s="256" t="str">
        <f t="shared" si="14"/>
        <v>NGES2??4</v>
      </c>
      <c r="K19" s="256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0.41</v>
      </c>
      <c r="L19" s="256">
        <f t="shared" si="15"/>
        <v>-0.13299999999999995</v>
      </c>
      <c r="AB19" s="264"/>
      <c r="AC19" s="264"/>
    </row>
    <row r="20" spans="5:29" x14ac:dyDescent="0.2">
      <c r="E20" s="264">
        <f xml:space="preserve"> RTD("cqg.rtd",,"StudyData", "Close("&amp;$I20&amp;")when (LocalMonth("&amp;$I20&amp;")="&amp;$A$16&amp;" and LocalDay("&amp;$I20&amp;")="&amp;$B$16&amp;" and LocalYear("&amp;$I20&amp;")="&amp;$C$16&amp;")", "Bar", "", "Close",$D$16, "0","ALL","", "",$E$15,$F$15)</f>
        <v>3.32</v>
      </c>
      <c r="G20" s="264">
        <f t="shared" si="12"/>
        <v>-0.15749999999999975</v>
      </c>
      <c r="I20" s="256" t="str">
        <f t="shared" si="13"/>
        <v>NGE?5</v>
      </c>
      <c r="J20" s="256" t="str">
        <f t="shared" si="14"/>
        <v>NGES2??5</v>
      </c>
      <c r="K20" s="256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0.39800000000000002</v>
      </c>
      <c r="L20" s="256">
        <f t="shared" si="15"/>
        <v>-0.13500000000000001</v>
      </c>
      <c r="U20" s="265"/>
      <c r="V20" s="265"/>
      <c r="AB20" s="264"/>
      <c r="AC20" s="264"/>
    </row>
    <row r="21" spans="5:29" x14ac:dyDescent="0.2">
      <c r="E21" s="264">
        <f xml:space="preserve"> RTD("cqg.rtd",,"StudyData", "Close("&amp;$I21&amp;")when (LocalMonth("&amp;$I21&amp;")="&amp;$A$16&amp;" and LocalDay("&amp;$I21&amp;")="&amp;$B$16&amp;" and LocalYear("&amp;$I21&amp;")="&amp;$C$16&amp;")", "Bar", "", "Close",$D$16, "0","ALL","", "",$E$15,$F$15)</f>
        <v>2.96</v>
      </c>
      <c r="G21" s="264">
        <f t="shared" si="12"/>
        <v>-3.4999999999999698E-2</v>
      </c>
      <c r="I21" s="256" t="str">
        <f t="shared" si="13"/>
        <v>NGE?6</v>
      </c>
      <c r="J21" s="256" t="str">
        <f t="shared" si="14"/>
        <v>NGES2??6</v>
      </c>
      <c r="K21" s="256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1.4E-2</v>
      </c>
      <c r="L21" s="256">
        <f t="shared" si="15"/>
        <v>-1.9E-2</v>
      </c>
      <c r="T21" s="264"/>
      <c r="U21" s="264"/>
      <c r="V21" s="264"/>
      <c r="X21" s="264"/>
      <c r="Y21" s="264"/>
      <c r="Z21" s="264"/>
      <c r="AB21" s="264"/>
      <c r="AC21" s="264"/>
    </row>
    <row r="22" spans="5:29" x14ac:dyDescent="0.2">
      <c r="E22" s="264">
        <f xml:space="preserve"> RTD("cqg.rtd",,"StudyData", "Close("&amp;$I22&amp;")when (LocalMonth("&amp;$I22&amp;")="&amp;$A$16&amp;" and LocalDay("&amp;$I22&amp;")="&amp;$B$16&amp;" and LocalYear("&amp;$I22&amp;")="&amp;$C$16&amp;")", "Bar", "", "Close",$D$16, "0","ALL","", "",$E$15,$F$15)</f>
        <v>2.9220000000000002</v>
      </c>
      <c r="G22" s="264">
        <f t="shared" si="12"/>
        <v>-2.1500000000000075E-2</v>
      </c>
      <c r="I22" s="256" t="str">
        <f t="shared" si="13"/>
        <v>NGE?7</v>
      </c>
      <c r="J22" s="256" t="str">
        <f t="shared" si="14"/>
        <v>NGES2??7</v>
      </c>
      <c r="K22" s="256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-4.8000000000000001E-2</v>
      </c>
      <c r="L22" s="256">
        <f t="shared" si="15"/>
        <v>-8.0000000000000002E-3</v>
      </c>
      <c r="T22" s="264"/>
      <c r="U22" s="264"/>
      <c r="V22" s="264"/>
      <c r="X22" s="264"/>
      <c r="Y22" s="264"/>
      <c r="Z22" s="264"/>
      <c r="AB22" s="264"/>
      <c r="AC22" s="264"/>
    </row>
    <row r="23" spans="5:29" x14ac:dyDescent="0.2">
      <c r="E23" s="264">
        <f xml:space="preserve"> RTD("cqg.rtd",,"StudyData", "Close("&amp;$I23&amp;")when (LocalMonth("&amp;$I23&amp;")="&amp;$A$16&amp;" and LocalDay("&amp;$I23&amp;")="&amp;$B$16&amp;" and LocalYear("&amp;$I23&amp;")="&amp;$C$16&amp;")", "Bar", "", "Close",$D$16, "0","ALL","", "",$E$15,$F$15)</f>
        <v>2.9460000000000002</v>
      </c>
      <c r="G23" s="264">
        <f t="shared" si="12"/>
        <v>-1.5000000000000124E-2</v>
      </c>
      <c r="I23" s="256" t="str">
        <f t="shared" si="13"/>
        <v>NGE?8</v>
      </c>
      <c r="J23" s="256" t="str">
        <f t="shared" si="14"/>
        <v>NGES2??8</v>
      </c>
      <c r="K23" s="256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-2.7E-2</v>
      </c>
      <c r="L23" s="256">
        <f t="shared" si="15"/>
        <v>-2.9999999999999992E-3</v>
      </c>
      <c r="T23" s="264"/>
      <c r="U23" s="264"/>
      <c r="V23" s="264"/>
      <c r="X23" s="264"/>
      <c r="Y23" s="264"/>
      <c r="Z23" s="264"/>
      <c r="AB23" s="264"/>
      <c r="AC23" s="264"/>
    </row>
    <row r="24" spans="5:29" x14ac:dyDescent="0.2">
      <c r="E24" s="264">
        <f xml:space="preserve"> RTD("cqg.rtd",,"StudyData", "Close("&amp;$I24&amp;")when (LocalMonth("&amp;$I24&amp;")="&amp;$A$16&amp;" and LocalDay("&amp;$I24&amp;")="&amp;$B$16&amp;" and LocalYear("&amp;$I24&amp;")="&amp;$C$16&amp;")", "Bar", "", "Close",$D$16, "0","ALL","", "",$E$15,$F$15)</f>
        <v>2.97</v>
      </c>
      <c r="G24" s="264">
        <f t="shared" si="12"/>
        <v>-1.2000000000000011E-2</v>
      </c>
      <c r="I24" s="256" t="str">
        <f t="shared" si="13"/>
        <v>NGE?9</v>
      </c>
      <c r="J24" s="256" t="str">
        <f t="shared" si="14"/>
        <v>NGES2??9</v>
      </c>
      <c r="K24" s="256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0.02</v>
      </c>
      <c r="L24" s="256">
        <f t="shared" si="15"/>
        <v>-5.000000000000001E-3</v>
      </c>
      <c r="T24" s="264"/>
      <c r="U24" s="264"/>
      <c r="V24" s="264"/>
      <c r="X24" s="264"/>
      <c r="Y24" s="264"/>
      <c r="Z24" s="264"/>
      <c r="AB24" s="264"/>
      <c r="AC24" s="264"/>
    </row>
    <row r="25" spans="5:29" x14ac:dyDescent="0.2">
      <c r="E25" s="264">
        <f xml:space="preserve"> RTD("cqg.rtd",,"StudyData", "Close("&amp;$I25&amp;")when (LocalMonth("&amp;$I25&amp;")="&amp;$A$16&amp;" and LocalDay("&amp;$I25&amp;")="&amp;$B$16&amp;" and LocalYear("&amp;$I25&amp;")="&amp;$C$16&amp;")", "Bar", "", "Close",$D$16, "0","ALL","", "",$E$15,$F$15)</f>
        <v>2.9729999999999999</v>
      </c>
      <c r="G25" s="264">
        <f t="shared" si="12"/>
        <v>-1.2999999999999901E-2</v>
      </c>
      <c r="I25" s="256" t="str">
        <f t="shared" si="13"/>
        <v>NGE?10</v>
      </c>
      <c r="J25" s="256" t="str">
        <f t="shared" si="14"/>
        <v>NGES2??10</v>
      </c>
      <c r="K25" s="256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1E-3</v>
      </c>
      <c r="L25" s="256">
        <f t="shared" si="15"/>
        <v>-6.0000000000000001E-3</v>
      </c>
      <c r="T25" s="264"/>
      <c r="U25" s="264"/>
      <c r="V25" s="264"/>
      <c r="X25" s="264"/>
      <c r="Y25" s="264"/>
      <c r="Z25" s="264"/>
    </row>
    <row r="26" spans="5:29" x14ac:dyDescent="0.2">
      <c r="E26" s="264">
        <f xml:space="preserve"> RTD("cqg.rtd",,"StudyData", "Close("&amp;$I26&amp;")when (LocalMonth("&amp;$I26&amp;")="&amp;$A$16&amp;" and LocalDay("&amp;$I26&amp;")="&amp;$B$16&amp;" and LocalYear("&amp;$I26&amp;")="&amp;$C$16&amp;")", "Bar", "", "Close",$D$16, "0","ALL","", "",$E$15,$F$15)</f>
        <v>2.95</v>
      </c>
      <c r="G26" s="264">
        <f t="shared" si="12"/>
        <v>-8.0000000000000071E-3</v>
      </c>
      <c r="I26" s="256" t="str">
        <f t="shared" si="13"/>
        <v>NGE?11</v>
      </c>
      <c r="J26" s="256" t="str">
        <f t="shared" si="14"/>
        <v>NGES2??11</v>
      </c>
      <c r="K26" s="256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-7.0999999999999994E-2</v>
      </c>
      <c r="L26" s="256">
        <f t="shared" si="15"/>
        <v>-5.5000000000000049E-3</v>
      </c>
      <c r="T26" s="264"/>
      <c r="U26" s="264"/>
      <c r="V26" s="264"/>
      <c r="X26" s="264"/>
      <c r="Y26" s="264"/>
      <c r="Z26" s="264"/>
    </row>
    <row r="27" spans="5:29" x14ac:dyDescent="0.2">
      <c r="E27" s="264">
        <f xml:space="preserve"> RTD("cqg.rtd",,"StudyData", "Close("&amp;$I27&amp;")when (LocalMonth("&amp;$I27&amp;")="&amp;$A$16&amp;" and LocalDay("&amp;$I27&amp;")="&amp;$B$16&amp;" and LocalYear("&amp;$I27&amp;")="&amp;$C$16&amp;")", "Bar", "", "Close",$D$16, "0","ALL","", "",$E$15,$F$15)</f>
        <v>2.972</v>
      </c>
      <c r="G27" s="264">
        <f t="shared" si="12"/>
        <v>-7.0000000000001172E-3</v>
      </c>
      <c r="I27" s="256" t="str">
        <f t="shared" si="13"/>
        <v>NGE?12</v>
      </c>
      <c r="J27" s="256" t="str">
        <f t="shared" si="14"/>
        <v>NGES2??12</v>
      </c>
      <c r="K27" s="256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-0.18</v>
      </c>
      <c r="L27" s="256">
        <f t="shared" si="15"/>
        <v>-1.0000000000000009E-2</v>
      </c>
      <c r="T27" s="264"/>
      <c r="U27" s="264"/>
      <c r="V27" s="264"/>
      <c r="X27" s="264"/>
      <c r="Y27" s="264"/>
      <c r="Z27" s="264"/>
    </row>
    <row r="28" spans="5:29" x14ac:dyDescent="0.2">
      <c r="T28" s="264"/>
      <c r="U28" s="264"/>
      <c r="V28" s="264"/>
      <c r="X28" s="264"/>
      <c r="Y28" s="264"/>
      <c r="Z28" s="264"/>
    </row>
    <row r="29" spans="5:29" x14ac:dyDescent="0.2">
      <c r="T29" s="264"/>
      <c r="U29" s="264"/>
      <c r="V29" s="264"/>
      <c r="X29" s="264"/>
      <c r="Y29" s="264"/>
      <c r="Z29" s="264"/>
    </row>
    <row r="30" spans="5:29" x14ac:dyDescent="0.2">
      <c r="T30" s="264"/>
      <c r="U30" s="264"/>
      <c r="V30" s="264"/>
      <c r="X30" s="264"/>
      <c r="Y30" s="264"/>
      <c r="Z30" s="264"/>
    </row>
    <row r="31" spans="5:29" x14ac:dyDescent="0.2">
      <c r="T31" s="264"/>
      <c r="U31" s="264"/>
      <c r="V31" s="264"/>
      <c r="X31" s="264"/>
      <c r="Y31" s="264"/>
      <c r="Z31" s="264"/>
    </row>
    <row r="32" spans="5:29" x14ac:dyDescent="0.2">
      <c r="T32" s="264"/>
      <c r="U32" s="264"/>
      <c r="V32" s="264"/>
      <c r="X32" s="264"/>
      <c r="Y32" s="264"/>
      <c r="Z32" s="264"/>
    </row>
    <row r="33" spans="18:26" x14ac:dyDescent="0.2">
      <c r="T33" s="264"/>
      <c r="U33" s="264"/>
      <c r="V33" s="264"/>
    </row>
    <row r="34" spans="18:26" x14ac:dyDescent="0.2">
      <c r="R34" s="256" t="s">
        <v>6</v>
      </c>
      <c r="T34" s="264"/>
      <c r="U34" s="264"/>
      <c r="V34" s="264"/>
      <c r="X34" s="264"/>
      <c r="Y34" s="264"/>
      <c r="Z34" s="256" t="s">
        <v>31</v>
      </c>
    </row>
    <row r="35" spans="18:26" x14ac:dyDescent="0.2">
      <c r="R35" s="256">
        <f>IF(RTD("cqg.rtd", ,"ContractData",Q1&amp;"?", "ContractMonth")=RTD("cqg.rtd", ,"ContractData",Q1&amp;"?1", "ContractMonth"),1,2)</f>
        <v>1</v>
      </c>
      <c r="S35" s="256" t="str">
        <f>RTD("cqg.rtd",,"ContractData",Q1&amp;"?1", "Symbol")</f>
        <v>NGEX7</v>
      </c>
      <c r="T35" s="264"/>
      <c r="U35" s="264"/>
      <c r="V35" s="264"/>
      <c r="X35" s="264"/>
      <c r="Y35" s="264"/>
      <c r="Z35" s="256" t="s">
        <v>32</v>
      </c>
    </row>
    <row r="36" spans="18:26" x14ac:dyDescent="0.2">
      <c r="R36" s="256">
        <f>R35+1</f>
        <v>2</v>
      </c>
      <c r="S36" s="256" t="str">
        <f>RTD("cqg.rtd",,"ContractData",Q1&amp;"?2", "Symbol")</f>
        <v>NGEZ7</v>
      </c>
      <c r="T36" s="264"/>
      <c r="U36" s="264"/>
      <c r="V36" s="264"/>
      <c r="X36" s="264"/>
      <c r="Y36" s="264"/>
      <c r="Z36" s="256" t="s">
        <v>33</v>
      </c>
    </row>
    <row r="37" spans="18:26" x14ac:dyDescent="0.2">
      <c r="R37" s="256">
        <f t="shared" ref="R37:R46" si="16">R36+1</f>
        <v>3</v>
      </c>
      <c r="T37" s="264"/>
      <c r="U37" s="264"/>
      <c r="V37" s="264"/>
      <c r="X37" s="264"/>
      <c r="Y37" s="264"/>
      <c r="Z37" s="256" t="s">
        <v>34</v>
      </c>
    </row>
    <row r="38" spans="18:26" x14ac:dyDescent="0.2">
      <c r="R38" s="256">
        <f t="shared" si="16"/>
        <v>4</v>
      </c>
      <c r="T38" s="264"/>
      <c r="U38" s="264"/>
      <c r="V38" s="264"/>
      <c r="X38" s="264"/>
      <c r="Y38" s="264"/>
      <c r="Z38" s="256" t="s">
        <v>35</v>
      </c>
    </row>
    <row r="39" spans="18:26" x14ac:dyDescent="0.2">
      <c r="R39" s="256">
        <f t="shared" si="16"/>
        <v>5</v>
      </c>
      <c r="T39" s="264"/>
      <c r="U39" s="264"/>
      <c r="V39" s="264"/>
      <c r="X39" s="264"/>
      <c r="Y39" s="264"/>
      <c r="Z39" s="256" t="s">
        <v>36</v>
      </c>
    </row>
    <row r="40" spans="18:26" x14ac:dyDescent="0.2">
      <c r="R40" s="256">
        <f t="shared" si="16"/>
        <v>6</v>
      </c>
      <c r="T40" s="264"/>
      <c r="U40" s="264"/>
      <c r="V40" s="264"/>
      <c r="X40" s="264"/>
      <c r="Y40" s="264"/>
      <c r="Z40" s="256" t="s">
        <v>37</v>
      </c>
    </row>
    <row r="41" spans="18:26" x14ac:dyDescent="0.2">
      <c r="R41" s="256">
        <f t="shared" si="16"/>
        <v>7</v>
      </c>
      <c r="T41" s="264"/>
      <c r="U41" s="264"/>
      <c r="V41" s="264"/>
      <c r="X41" s="264"/>
      <c r="Y41" s="264"/>
      <c r="Z41" s="256" t="s">
        <v>38</v>
      </c>
    </row>
    <row r="42" spans="18:26" x14ac:dyDescent="0.2">
      <c r="R42" s="256">
        <f t="shared" si="16"/>
        <v>8</v>
      </c>
      <c r="T42" s="264"/>
      <c r="U42" s="264"/>
      <c r="V42" s="264"/>
      <c r="X42" s="264"/>
      <c r="Y42" s="264"/>
      <c r="Z42" s="256" t="s">
        <v>39</v>
      </c>
    </row>
    <row r="43" spans="18:26" x14ac:dyDescent="0.2">
      <c r="R43" s="256">
        <f t="shared" si="16"/>
        <v>9</v>
      </c>
      <c r="T43" s="264"/>
      <c r="U43" s="264"/>
      <c r="V43" s="264"/>
      <c r="X43" s="264"/>
      <c r="Y43" s="264"/>
      <c r="Z43" s="256" t="s">
        <v>40</v>
      </c>
    </row>
    <row r="44" spans="18:26" x14ac:dyDescent="0.2">
      <c r="R44" s="256">
        <f t="shared" si="16"/>
        <v>10</v>
      </c>
      <c r="T44" s="264"/>
      <c r="U44" s="264"/>
      <c r="V44" s="264"/>
    </row>
    <row r="45" spans="18:26" x14ac:dyDescent="0.2">
      <c r="R45" s="256">
        <f t="shared" si="16"/>
        <v>11</v>
      </c>
    </row>
    <row r="46" spans="18:26" x14ac:dyDescent="0.2">
      <c r="R46" s="256">
        <f t="shared" si="16"/>
        <v>12</v>
      </c>
      <c r="Z46" s="264"/>
    </row>
  </sheetData>
  <sheetProtection algorithmName="SHA-512" hashValue="d8k/qmjg1d7ymWum24CpAtHeBsKlVu1x/TQg5AS846b80gIJZrtD8qNTDvmoD6rrBCtXsh49nvQpMADDeEojwg==" saltValue="qo0hed7E43DE/sThlNk5I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56"/>
    <col min="18" max="18" width="14.375" style="256" customWidth="1"/>
    <col min="19" max="19" width="9" style="256"/>
    <col min="20" max="20" width="15.25" style="256" customWidth="1"/>
    <col min="21" max="21" width="17.75" style="256" customWidth="1"/>
    <col min="22" max="22" width="11.25" style="256" customWidth="1"/>
    <col min="23" max="23" width="40" style="256" customWidth="1"/>
    <col min="24" max="24" width="12.875" style="256" customWidth="1"/>
    <col min="25" max="16384" width="9" style="256"/>
  </cols>
  <sheetData>
    <row r="1" spans="1:38" x14ac:dyDescent="0.2">
      <c r="A1" s="255"/>
      <c r="B1" s="255"/>
      <c r="C1" s="255" t="s">
        <v>2</v>
      </c>
      <c r="D1" s="256">
        <v>3</v>
      </c>
      <c r="E1" s="256">
        <v>2</v>
      </c>
      <c r="F1" s="256">
        <v>3</v>
      </c>
      <c r="G1" s="256">
        <v>4</v>
      </c>
      <c r="H1" s="256">
        <v>5</v>
      </c>
      <c r="I1" s="256">
        <v>6</v>
      </c>
      <c r="J1" s="256">
        <v>7</v>
      </c>
      <c r="K1" s="256">
        <v>8</v>
      </c>
      <c r="L1" s="256">
        <v>9</v>
      </c>
      <c r="M1" s="256">
        <v>10</v>
      </c>
      <c r="N1" s="256">
        <v>11</v>
      </c>
      <c r="O1" s="256">
        <v>12</v>
      </c>
      <c r="P1" s="257"/>
      <c r="Q1" s="258" t="s">
        <v>30</v>
      </c>
      <c r="R1" s="259" t="s">
        <v>3</v>
      </c>
      <c r="S1" s="259" t="s">
        <v>0</v>
      </c>
      <c r="T1" s="259" t="s">
        <v>1</v>
      </c>
      <c r="U1" s="257" t="s">
        <v>4</v>
      </c>
      <c r="V1" s="257"/>
      <c r="W1" s="259" t="s">
        <v>3</v>
      </c>
      <c r="X1" s="257" t="s">
        <v>4</v>
      </c>
      <c r="Y1" s="259" t="s">
        <v>0</v>
      </c>
      <c r="Z1" s="259" t="s">
        <v>1</v>
      </c>
      <c r="AA1" s="257" t="s">
        <v>5</v>
      </c>
      <c r="AB1" s="257" t="s">
        <v>5</v>
      </c>
      <c r="AC1" s="260"/>
      <c r="AD1" s="257" t="s">
        <v>5</v>
      </c>
    </row>
    <row r="2" spans="1:38" x14ac:dyDescent="0.2">
      <c r="A2" s="255" t="str">
        <f>Q2</f>
        <v>NGEX7</v>
      </c>
      <c r="B2" s="255" t="str">
        <f>RTD("cqg.rtd", ,"ContractData",A2, "ContractMonth")</f>
        <v>NOV</v>
      </c>
      <c r="C2" s="261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56" t="str">
        <f>$Q$1&amp;$C$1&amp;$D$1&amp;$C2</f>
        <v>NGES3X7</v>
      </c>
      <c r="E2" s="256" t="str">
        <f>$Q$1&amp;$C$1&amp;$D$1&amp;$C3</f>
        <v>NGES3Z7</v>
      </c>
      <c r="F2" s="256" t="str">
        <f>$Q$1&amp;$C$1&amp;$D$1&amp;$C4</f>
        <v>NGES3F8</v>
      </c>
      <c r="G2" s="256" t="str">
        <f>$Q$1&amp;$C$1&amp;$D$1&amp;$C5</f>
        <v>NGES3G8</v>
      </c>
      <c r="H2" s="256" t="str">
        <f>$Q$1&amp;$C$1&amp;$D$1&amp;$C6</f>
        <v>NGES3H8</v>
      </c>
      <c r="I2" s="256" t="str">
        <f>$Q$1&amp;$C$1&amp;$D$1&amp;$C7</f>
        <v>NGES3J8</v>
      </c>
      <c r="J2" s="256" t="str">
        <f>$Q$1&amp;$C$1&amp;$D$1&amp;$C8</f>
        <v>NGES3K8</v>
      </c>
      <c r="K2" s="256" t="str">
        <f>$Q$1&amp;$C$1&amp;$D$1&amp;$C9</f>
        <v>NGES3M8</v>
      </c>
      <c r="L2" s="256" t="str">
        <f>$Q$1&amp;$C$1&amp;$D$1&amp;$C10</f>
        <v>NGES3N8</v>
      </c>
      <c r="M2" s="256" t="str">
        <f>$Q$1&amp;$C$1&amp;$D$1&amp;$C11</f>
        <v>NGES3Q8</v>
      </c>
      <c r="N2" s="256" t="str">
        <f>$Q$1&amp;$C$1&amp;$D$1&amp;$C12</f>
        <v>NGES3U8</v>
      </c>
      <c r="O2" s="256" t="str">
        <f>$Q$1&amp;$C$1&amp;$D$1&amp;$C13</f>
        <v>NGES3V8</v>
      </c>
      <c r="P2" s="257" t="str">
        <f>LEFT(RIGHT(Q2,2),1)</f>
        <v>X</v>
      </c>
      <c r="Q2" s="262" t="str">
        <f>RTD("cqg.rtd", ,"ContractData", $Q$1&amp;"?"&amp;R35, "Symbol")</f>
        <v>NGEX7</v>
      </c>
      <c r="R2" s="263">
        <f>RTD("cqg.rtd", ,"ContractData", Q2, $R$1,,"T")</f>
        <v>2.8970000000000002</v>
      </c>
      <c r="S2" s="263">
        <f>RTD("cqg.rtd", ,"ContractData", Q2,$S$1,,"T")</f>
        <v>2.8959999999999999</v>
      </c>
      <c r="T2" s="263">
        <f>RTD("cqg.rtd", ,"ContractData", Q2,$T$1,,"T")</f>
        <v>2.8970000000000002</v>
      </c>
      <c r="U2" s="260">
        <f>RTD("cqg.rtd", ,"ContractData", "F."&amp;$Q$1&amp;"?1", $U$1,,"T")</f>
        <v>-2.6000000000000002E-2</v>
      </c>
      <c r="V2" s="257" t="str">
        <f>D2</f>
        <v>NGES3X7</v>
      </c>
      <c r="W2" s="260">
        <f>RTD("cqg.rtd", ,"ContractData", V2, $W$1,,"T")</f>
        <v>-0.30599999999999999</v>
      </c>
      <c r="X2" s="260">
        <f>RTD("cqg.rtd", ,"ContractData", V2, $X$1,,"T")</f>
        <v>6.0000000000000001E-3</v>
      </c>
      <c r="Y2" s="260">
        <f>RTD("cqg.rtd", ,"ContractData",V2,$Y$1,,"T")</f>
        <v>-0.30599999999999999</v>
      </c>
      <c r="Z2" s="260">
        <f>RTD("cqg.rtd", ,"ContractData", V2,$Z$1,,"T")</f>
        <v>-0.30499999999999999</v>
      </c>
      <c r="AA2" s="260">
        <f>IF(OR(W2="",W2&lt;Y2,W2&gt;Z2),(Y2+Z2)/2,W2)</f>
        <v>-0.30599999999999999</v>
      </c>
      <c r="AB2" s="260">
        <f t="shared" ref="AB2:AB13" si="0">IF(OR(S2="",T2=""),R2,(IF(OR(R2="",R2&lt;S2,R2&gt;T2),(S2+T2)/2,R2)))</f>
        <v>2.8970000000000002</v>
      </c>
      <c r="AC2" s="260">
        <f>IF(OR(R2="",R2&lt;S2,R2&gt;T2),(S2+T2)/2,R2)</f>
        <v>2.8970000000000002</v>
      </c>
      <c r="AD2" s="260">
        <f>IF(OR(Y2="",Z2=""),W2,(IF(OR(W2="",W2&lt;Y2,W2&gt;Z2),(Y2+Z2)/2,W2)))</f>
        <v>-0.30599999999999999</v>
      </c>
      <c r="AF2" s="256">
        <f>IF(ISERROR(AC2),NA(),AC2)</f>
        <v>2.8970000000000002</v>
      </c>
      <c r="AG2" s="256">
        <f>IF(AD2="",NA(),AD2)</f>
        <v>-0.30599999999999999</v>
      </c>
      <c r="AH2" s="256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56" t="str">
        <f>RIGHT(RTD("cqg.rtd",,"ContractData",V2,"LongDescription",,"T"),14)</f>
        <v>Nov 17, Feb 18</v>
      </c>
      <c r="AJ2" s="256">
        <f>RTD("cqg.rtd", ,"ContractData",Q2, "Settlement",,"T")</f>
        <v>2.923</v>
      </c>
      <c r="AK2" s="256">
        <f>RTD("cqg.rtd", ,"ContractData",V2, "Settlement",,"T")</f>
        <v>-0.312</v>
      </c>
      <c r="AL2" s="256">
        <f>IF(AJ2="",NA(),AJ2)</f>
        <v>2.923</v>
      </c>
    </row>
    <row r="3" spans="1:38" x14ac:dyDescent="0.2">
      <c r="A3" s="255" t="str">
        <f t="shared" ref="A3:A13" si="1">Q3</f>
        <v>NGEZ7</v>
      </c>
      <c r="B3" s="255" t="str">
        <f>RTD("cqg.rtd", ,"ContractData",A3, "ContractMonth")</f>
        <v>DEC</v>
      </c>
      <c r="C3" s="261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56" t="str">
        <f t="shared" ref="D3:D13" si="3">$Q$1&amp;$C$1&amp;$D$1&amp;$C3</f>
        <v>NGES3Z7</v>
      </c>
      <c r="P3" s="257" t="str">
        <f t="shared" ref="P3:P13" si="4">LEFT(RIGHT(Q3,2),1)</f>
        <v>Z</v>
      </c>
      <c r="Q3" s="262" t="str">
        <f>RTD("cqg.rtd", ,"ContractData", $Q$1&amp;"?"&amp;R36, "Symbol")</f>
        <v>NGEZ7</v>
      </c>
      <c r="R3" s="263">
        <f>RTD("cqg.rtd", ,"ContractData", Q3, $R$1,,"T")</f>
        <v>3.0710000000000002</v>
      </c>
      <c r="S3" s="263">
        <f>RTD("cqg.rtd", ,"ContractData", Q3,$S$1,,"T")</f>
        <v>3.069</v>
      </c>
      <c r="T3" s="263">
        <f>RTD("cqg.rtd", ,"ContractData", Q3,$T$1,,"T")</f>
        <v>3.0710000000000002</v>
      </c>
      <c r="U3" s="260">
        <f>RTD("cqg.rtd", ,"ContractData", "F."&amp;$Q$1&amp;"?2",  $U$1,,"T")</f>
        <v>-3.2000000000000001E-2</v>
      </c>
      <c r="V3" s="257" t="str">
        <f>E2</f>
        <v>NGES3Z7</v>
      </c>
      <c r="W3" s="260">
        <f>RTD("cqg.rtd", ,"ContractData", V3, $W$1,,"T")</f>
        <v>-9.1999999999999998E-2</v>
      </c>
      <c r="X3" s="260">
        <f>RTD("cqg.rtd", ,"ContractData", V3, $X$1,,"T")</f>
        <v>-2E-3</v>
      </c>
      <c r="Y3" s="260">
        <f>RTD("cqg.rtd", ,"ContractData",V3,$Y$1,,"T")</f>
        <v>-9.2999999999999999E-2</v>
      </c>
      <c r="Z3" s="260">
        <f>RTD("cqg.rtd", ,"ContractData", V3,$Z$1,,"T")</f>
        <v>-9.1999999999999998E-2</v>
      </c>
      <c r="AA3" s="260">
        <f t="shared" ref="AA3:AA13" si="5">IF(OR(W3="",W3&lt;Y3,W3&gt;Z3),(Y3+Z3)/2,W3)</f>
        <v>-9.1999999999999998E-2</v>
      </c>
      <c r="AB3" s="260">
        <f t="shared" si="0"/>
        <v>3.0710000000000002</v>
      </c>
      <c r="AC3" s="260">
        <f>IF(OR(R3="",R3&lt;S3,R3&gt;T3),(S3+T3)/2,R3)</f>
        <v>3.0710000000000002</v>
      </c>
      <c r="AD3" s="260">
        <f t="shared" ref="AD3:AD13" si="6">IF(OR(Y3="",Z3=""),W3,(IF(OR(W3="",W3&lt;Y3,W3&gt;Z3),(Y3+Z3)/2,W3)))</f>
        <v>-9.1999999999999998E-2</v>
      </c>
      <c r="AF3" s="256">
        <f t="shared" ref="AF3:AF13" si="7">IF(ISERROR(AC3),NA(),AC3)</f>
        <v>3.0710000000000002</v>
      </c>
      <c r="AG3" s="256">
        <f>IF(AD3="",NA(),AD3)</f>
        <v>-9.1999999999999998E-2</v>
      </c>
      <c r="AH3" s="256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56" t="str">
        <f>RIGHT(RTD("cqg.rtd",,"ContractData",V3,"LongDescription",,"T"),14)</f>
        <v>Dec 17, Mar 18</v>
      </c>
      <c r="AJ3" s="256">
        <f>RTD("cqg.rtd", ,"ContractData",Q3, "Settlement",,"T")</f>
        <v>3.1030000000000002</v>
      </c>
      <c r="AK3" s="256">
        <f>RTD("cqg.rtd", ,"ContractData",V3, "Settlement",,"T")</f>
        <v>-0.09</v>
      </c>
      <c r="AL3" s="256">
        <f t="shared" ref="AL3:AL13" si="9">IF(AJ3="",NA(),AJ3)</f>
        <v>3.1030000000000002</v>
      </c>
    </row>
    <row r="4" spans="1:38" x14ac:dyDescent="0.2">
      <c r="A4" s="255" t="str">
        <f t="shared" si="1"/>
        <v>NGEF8</v>
      </c>
      <c r="B4" s="255" t="str">
        <f>RTD("cqg.rtd", ,"ContractData",A4, "ContractMonth")</f>
        <v>JAN</v>
      </c>
      <c r="C4" s="261" t="str">
        <f t="shared" si="2"/>
        <v>F8</v>
      </c>
      <c r="D4" s="256" t="str">
        <f t="shared" si="3"/>
        <v>NGES3F8</v>
      </c>
      <c r="P4" s="257" t="str">
        <f t="shared" si="4"/>
        <v>F</v>
      </c>
      <c r="Q4" s="262" t="str">
        <f>RTD("cqg.rtd", ,"ContractData", $Q$1&amp;"?"&amp;R37, "Symbol")</f>
        <v>NGEF8</v>
      </c>
      <c r="R4" s="263">
        <f>RTD("cqg.rtd", ,"ContractData", Q4, $R$1,,"T")</f>
        <v>3.1970000000000001</v>
      </c>
      <c r="S4" s="263">
        <f>RTD("cqg.rtd", ,"ContractData", Q4,$S$1,,"T")</f>
        <v>3.1960000000000002</v>
      </c>
      <c r="T4" s="263">
        <f>RTD("cqg.rtd", ,"ContractData", Q4,$T$1,,"T")</f>
        <v>3.1970000000000001</v>
      </c>
      <c r="U4" s="260">
        <f>RTD("cqg.rtd", ,"ContractData", "F."&amp;$Q$1&amp;"?3",  $U$1,,"T")</f>
        <v>-3.3000000000000002E-2</v>
      </c>
      <c r="V4" s="257" t="str">
        <f>F2</f>
        <v>NGES3F8</v>
      </c>
      <c r="W4" s="260">
        <f>RTD("cqg.rtd", ,"ContractData", V4, $W$1,,"T")</f>
        <v>0.27200000000000002</v>
      </c>
      <c r="X4" s="260">
        <f>RTD("cqg.rtd", ,"ContractData", V4, $X$1,,"T")</f>
        <v>-1.9E-2</v>
      </c>
      <c r="Y4" s="260">
        <f>RTD("cqg.rtd", ,"ContractData",V4,$Y$1,,"T")</f>
        <v>0.27100000000000002</v>
      </c>
      <c r="Z4" s="260">
        <f>RTD("cqg.rtd", ,"ContractData", V4,$Z$1,,"T")</f>
        <v>0.27200000000000002</v>
      </c>
      <c r="AA4" s="260">
        <f t="shared" si="5"/>
        <v>0.27200000000000002</v>
      </c>
      <c r="AB4" s="260">
        <f t="shared" si="0"/>
        <v>3.1970000000000001</v>
      </c>
      <c r="AC4" s="260">
        <f t="shared" ref="AC4:AC13" si="10">IF(OR(R4="",R4&lt;S4,R4&gt;T4),(S4+T4)/2,R4)</f>
        <v>3.1970000000000001</v>
      </c>
      <c r="AD4" s="260">
        <f t="shared" si="6"/>
        <v>0.27200000000000002</v>
      </c>
      <c r="AF4" s="256">
        <f t="shared" si="7"/>
        <v>3.1970000000000001</v>
      </c>
      <c r="AG4" s="256">
        <f>IF(AD4="",NA(),AD4)</f>
        <v>0.27200000000000002</v>
      </c>
      <c r="AH4" s="256" t="str">
        <f t="shared" si="8"/>
        <v>JAN</v>
      </c>
      <c r="AI4" s="256" t="str">
        <f>RIGHT(RTD("cqg.rtd",,"ContractData",V4,"LongDescription",,"T"),14)</f>
        <v>Jan 18, Apr 18</v>
      </c>
      <c r="AJ4" s="256">
        <f>RTD("cqg.rtd", ,"ContractData",Q4, "Settlement",,"T")</f>
        <v>3.23</v>
      </c>
      <c r="AK4" s="256">
        <f>RTD("cqg.rtd", ,"ContractData",V4, "Settlement",,"T")</f>
        <v>0.29099999999999998</v>
      </c>
      <c r="AL4" s="256">
        <f t="shared" si="9"/>
        <v>3.23</v>
      </c>
    </row>
    <row r="5" spans="1:38" x14ac:dyDescent="0.2">
      <c r="A5" s="255" t="str">
        <f t="shared" si="1"/>
        <v>NGEG8</v>
      </c>
      <c r="B5" s="255" t="str">
        <f>RTD("cqg.rtd", ,"ContractData",A5, "ContractMonth")</f>
        <v>FEB</v>
      </c>
      <c r="C5" s="261" t="str">
        <f t="shared" si="2"/>
        <v>G8</v>
      </c>
      <c r="D5" s="256" t="str">
        <f t="shared" si="3"/>
        <v>NGES3G8</v>
      </c>
      <c r="P5" s="257" t="str">
        <f t="shared" si="4"/>
        <v>G</v>
      </c>
      <c r="Q5" s="262" t="str">
        <f>RTD("cqg.rtd", ,"ContractData", $Q$1&amp;"?"&amp;R38, "Symbol")</f>
        <v>NGEG8</v>
      </c>
      <c r="R5" s="263">
        <f>RTD("cqg.rtd", ,"ContractData", Q5, $R$1,,"T")</f>
        <v>3.202</v>
      </c>
      <c r="S5" s="263">
        <f>RTD("cqg.rtd", ,"ContractData", Q5,$S$1,,"T")</f>
        <v>3.2010000000000001</v>
      </c>
      <c r="T5" s="263">
        <f>RTD("cqg.rtd", ,"ContractData", Q5,$T$1,,"T")</f>
        <v>3.2029999999999998</v>
      </c>
      <c r="U5" s="260">
        <f>RTD("cqg.rtd", ,"ContractData", "F."&amp;$Q$1&amp;"?4",  $U$1,,"T")</f>
        <v>-3.2000000000000001E-2</v>
      </c>
      <c r="V5" s="257" t="str">
        <f>G2</f>
        <v>NGES3G8</v>
      </c>
      <c r="W5" s="260">
        <f>RTD("cqg.rtd", ,"ContractData", V5, $W$1,,"T")</f>
        <v>0.30099999999999999</v>
      </c>
      <c r="X5" s="260">
        <f>RTD("cqg.rtd", ,"ContractData", V5, $X$1,,"T")</f>
        <v>-2.1999999999999999E-2</v>
      </c>
      <c r="Y5" s="260">
        <f>RTD("cqg.rtd", ,"ContractData",V5,$Y$1,,"T")</f>
        <v>0.3</v>
      </c>
      <c r="Z5" s="260">
        <f>RTD("cqg.rtd", ,"ContractData", V5,$Z$1,,"T")</f>
        <v>0.30199999999999999</v>
      </c>
      <c r="AA5" s="260">
        <f t="shared" si="5"/>
        <v>0.30099999999999999</v>
      </c>
      <c r="AB5" s="260">
        <f t="shared" si="0"/>
        <v>3.202</v>
      </c>
      <c r="AC5" s="260">
        <f t="shared" si="10"/>
        <v>3.202</v>
      </c>
      <c r="AD5" s="260">
        <f t="shared" si="6"/>
        <v>0.30099999999999999</v>
      </c>
      <c r="AF5" s="256">
        <f t="shared" si="7"/>
        <v>3.202</v>
      </c>
      <c r="AG5" s="256">
        <f t="shared" ref="AG5:AG13" si="11">IF(AD5="",NA(),AD5)</f>
        <v>0.30099999999999999</v>
      </c>
      <c r="AH5" s="256" t="str">
        <f t="shared" si="8"/>
        <v>FEB</v>
      </c>
      <c r="AI5" s="256" t="str">
        <f>RIGHT(RTD("cqg.rtd",,"ContractData",V5,"LongDescription",,"T"),14)</f>
        <v>Feb 18, May 18</v>
      </c>
      <c r="AJ5" s="256">
        <f>RTD("cqg.rtd", ,"ContractData",Q5, "Settlement",,"T")</f>
        <v>3.2349999999999999</v>
      </c>
      <c r="AK5" s="256">
        <f>RTD("cqg.rtd", ,"ContractData",V5, "Settlement",,"T")</f>
        <v>0.32400000000000001</v>
      </c>
      <c r="AL5" s="256">
        <f t="shared" si="9"/>
        <v>3.2349999999999999</v>
      </c>
    </row>
    <row r="6" spans="1:38" x14ac:dyDescent="0.2">
      <c r="A6" s="255" t="str">
        <f t="shared" si="1"/>
        <v>NGEH8</v>
      </c>
      <c r="B6" s="255" t="str">
        <f>RTD("cqg.rtd", ,"ContractData",A6, "ContractMonth")</f>
        <v>MAR</v>
      </c>
      <c r="C6" s="261" t="str">
        <f t="shared" si="2"/>
        <v>H8</v>
      </c>
      <c r="D6" s="256" t="str">
        <f t="shared" si="3"/>
        <v>NGES3H8</v>
      </c>
      <c r="P6" s="257" t="str">
        <f t="shared" si="4"/>
        <v>H</v>
      </c>
      <c r="Q6" s="262" t="str">
        <f>RTD("cqg.rtd", ,"ContractData", $Q$1&amp;"?"&amp;R39, "Symbol")</f>
        <v>NGEH8</v>
      </c>
      <c r="R6" s="263">
        <f>RTD("cqg.rtd", ,"ContractData", Q6, $R$1,,"T")</f>
        <v>3.1640000000000001</v>
      </c>
      <c r="S6" s="263">
        <f>RTD("cqg.rtd", ,"ContractData", Q6,$S$1,,"T")</f>
        <v>3.1619999999999999</v>
      </c>
      <c r="T6" s="263">
        <f>RTD("cqg.rtd", ,"ContractData", Q6,$T$1,,"T")</f>
        <v>3.1630000000000003</v>
      </c>
      <c r="U6" s="260">
        <f>RTD("cqg.rtd", ,"ContractData", "F."&amp;$Q$1&amp;"?5",  $U$1,,"T")</f>
        <v>-0.03</v>
      </c>
      <c r="V6" s="257" t="str">
        <f>H2</f>
        <v>NGES3H8</v>
      </c>
      <c r="W6" s="260">
        <f>RTD("cqg.rtd", ,"ContractData", V6, $W$1,,"T")</f>
        <v>0.23300000000000001</v>
      </c>
      <c r="X6" s="260">
        <f>RTD("cqg.rtd", ,"ContractData", V6, $X$1,,"T")</f>
        <v>-2.3E-2</v>
      </c>
      <c r="Y6" s="260">
        <f>RTD("cqg.rtd", ,"ContractData",V6,$Y$1,,"T")</f>
        <v>0.23100000000000001</v>
      </c>
      <c r="Z6" s="260">
        <f>RTD("cqg.rtd", ,"ContractData", V6,$Z$1,,"T")</f>
        <v>0.23400000000000001</v>
      </c>
      <c r="AA6" s="260">
        <f t="shared" si="5"/>
        <v>0.23300000000000001</v>
      </c>
      <c r="AB6" s="260">
        <f t="shared" si="0"/>
        <v>3.1625000000000001</v>
      </c>
      <c r="AC6" s="260">
        <f t="shared" si="10"/>
        <v>3.1625000000000001</v>
      </c>
      <c r="AD6" s="260">
        <f t="shared" si="6"/>
        <v>0.23300000000000001</v>
      </c>
      <c r="AF6" s="256">
        <f t="shared" si="7"/>
        <v>3.1625000000000001</v>
      </c>
      <c r="AG6" s="256">
        <f t="shared" si="11"/>
        <v>0.23300000000000001</v>
      </c>
      <c r="AH6" s="256" t="str">
        <f t="shared" si="8"/>
        <v>MAR</v>
      </c>
      <c r="AI6" s="256" t="str">
        <f>RIGHT(RTD("cqg.rtd",,"ContractData",V6,"LongDescription",,"T"),14)</f>
        <v>Mar 18, Jun 18</v>
      </c>
      <c r="AJ6" s="256">
        <f>RTD("cqg.rtd", ,"ContractData",Q6, "Settlement",,"T")</f>
        <v>3.1930000000000001</v>
      </c>
      <c r="AK6" s="256">
        <f>RTD("cqg.rtd", ,"ContractData",V6, "Settlement",,"T")</f>
        <v>0.254</v>
      </c>
      <c r="AL6" s="256">
        <f t="shared" si="9"/>
        <v>3.1930000000000001</v>
      </c>
    </row>
    <row r="7" spans="1:38" x14ac:dyDescent="0.2">
      <c r="A7" s="255" t="str">
        <f t="shared" si="1"/>
        <v>NGEJ8</v>
      </c>
      <c r="B7" s="255" t="str">
        <f>RTD("cqg.rtd", ,"ContractData",A7, "ContractMonth")</f>
        <v>APR</v>
      </c>
      <c r="C7" s="261" t="str">
        <f t="shared" si="2"/>
        <v>J8</v>
      </c>
      <c r="D7" s="256" t="str">
        <f t="shared" si="3"/>
        <v>NGES3J8</v>
      </c>
      <c r="P7" s="257" t="str">
        <f t="shared" si="4"/>
        <v>J</v>
      </c>
      <c r="Q7" s="262" t="str">
        <f>RTD("cqg.rtd", ,"ContractData", $Q$1&amp;"?"&amp;R40, "Symbol")</f>
        <v>NGEJ8</v>
      </c>
      <c r="R7" s="263">
        <f>RTD("cqg.rtd", ,"ContractData", Q7, $R$1,,"T")</f>
        <v>2.9250000000000003</v>
      </c>
      <c r="S7" s="263">
        <f>RTD("cqg.rtd", ,"ContractData", Q7,$S$1,,"T")</f>
        <v>2.9239999999999999</v>
      </c>
      <c r="T7" s="263">
        <f>RTD("cqg.rtd", ,"ContractData", Q7,$T$1,,"T")</f>
        <v>2.9250000000000003</v>
      </c>
      <c r="U7" s="260">
        <f>RTD("cqg.rtd", ,"ContractData", "F."&amp;$Q$1&amp;"?6", $U$1,,"T")</f>
        <v>-1.4E-2</v>
      </c>
      <c r="V7" s="257" t="str">
        <f>I2</f>
        <v>NGES3J8</v>
      </c>
      <c r="W7" s="260">
        <f>RTD("cqg.rtd", ,"ContractData", V7, $W$1,,"T")</f>
        <v>-3.3000000000000002E-2</v>
      </c>
      <c r="X7" s="260">
        <f>RTD("cqg.rtd", ,"ContractData", V7, $X$1,,"T")</f>
        <v>-6.0000000000000001E-3</v>
      </c>
      <c r="Y7" s="260">
        <f>RTD("cqg.rtd", ,"ContractData",V7,$Y$1,,"T")</f>
        <v>-3.3000000000000002E-2</v>
      </c>
      <c r="Z7" s="260">
        <f>RTD("cqg.rtd", ,"ContractData", V7,$Z$1,,"T")</f>
        <v>-3.2000000000000001E-2</v>
      </c>
      <c r="AA7" s="260">
        <f t="shared" si="5"/>
        <v>-3.3000000000000002E-2</v>
      </c>
      <c r="AB7" s="260">
        <f t="shared" si="0"/>
        <v>2.9250000000000003</v>
      </c>
      <c r="AC7" s="260">
        <f t="shared" si="10"/>
        <v>2.9250000000000003</v>
      </c>
      <c r="AD7" s="260">
        <f t="shared" si="6"/>
        <v>-3.3000000000000002E-2</v>
      </c>
      <c r="AF7" s="256">
        <f t="shared" si="7"/>
        <v>2.9250000000000003</v>
      </c>
      <c r="AG7" s="256">
        <f t="shared" si="11"/>
        <v>-3.3000000000000002E-2</v>
      </c>
      <c r="AH7" s="256" t="str">
        <f t="shared" si="8"/>
        <v>APR</v>
      </c>
      <c r="AI7" s="256" t="str">
        <f>RIGHT(RTD("cqg.rtd",,"ContractData",V7,"LongDescription",,"T"),14)</f>
        <v>Apr 18, Jul 18</v>
      </c>
      <c r="AJ7" s="256">
        <f>RTD("cqg.rtd", ,"ContractData",Q7, "Settlement",,"T")</f>
        <v>2.9390000000000001</v>
      </c>
      <c r="AK7" s="256">
        <f>RTD("cqg.rtd", ,"ContractData",V7, "Settlement",,"T")</f>
        <v>-2.7E-2</v>
      </c>
      <c r="AL7" s="256">
        <f t="shared" si="9"/>
        <v>2.9390000000000001</v>
      </c>
    </row>
    <row r="8" spans="1:38" x14ac:dyDescent="0.2">
      <c r="A8" s="255" t="str">
        <f t="shared" si="1"/>
        <v>NGEK8</v>
      </c>
      <c r="B8" s="255" t="str">
        <f>RTD("cqg.rtd", ,"ContractData",A8, "ContractMonth")</f>
        <v>MAY</v>
      </c>
      <c r="C8" s="261" t="str">
        <f t="shared" si="2"/>
        <v>K8</v>
      </c>
      <c r="D8" s="256" t="str">
        <f t="shared" si="3"/>
        <v>NGES3K8</v>
      </c>
      <c r="P8" s="257" t="str">
        <f t="shared" si="4"/>
        <v>K</v>
      </c>
      <c r="Q8" s="262" t="str">
        <f>RTD("cqg.rtd", ,"ContractData", $Q$1&amp;"?"&amp;R41, "Symbol")</f>
        <v>NGEK8</v>
      </c>
      <c r="R8" s="263">
        <f>RTD("cqg.rtd", ,"ContractData", Q8, $R$1,,"T")</f>
        <v>2.9020000000000001</v>
      </c>
      <c r="S8" s="263">
        <f>RTD("cqg.rtd", ,"ContractData", Q8,$S$1,,"T")</f>
        <v>2.9</v>
      </c>
      <c r="T8" s="263">
        <f>RTD("cqg.rtd", ,"ContractData", Q8,$T$1,,"T")</f>
        <v>2.9010000000000002</v>
      </c>
      <c r="U8" s="260">
        <f>RTD("cqg.rtd", ,"ContractData", "F."&amp;$Q$1&amp;"?7", $U$1,,"T")</f>
        <v>-0.01</v>
      </c>
      <c r="V8" s="257" t="str">
        <f>J2</f>
        <v>NGES3K8</v>
      </c>
      <c r="W8" s="260">
        <f>RTD("cqg.rtd", ,"ContractData", V8, $W$1,,"T")</f>
        <v>-0.06</v>
      </c>
      <c r="X8" s="260">
        <f>RTD("cqg.rtd", ,"ContractData", V8, $X$1,,"T")</f>
        <v>-2E-3</v>
      </c>
      <c r="Y8" s="260">
        <f>RTD("cqg.rtd", ,"ContractData",V8,$Y$1,,"T")</f>
        <v>-0.06</v>
      </c>
      <c r="Z8" s="260">
        <f>RTD("cqg.rtd", ,"ContractData", V8,$Z$1,,"T")</f>
        <v>-5.9000000000000004E-2</v>
      </c>
      <c r="AA8" s="260">
        <f t="shared" si="5"/>
        <v>-0.06</v>
      </c>
      <c r="AB8" s="260">
        <f t="shared" si="0"/>
        <v>2.9005000000000001</v>
      </c>
      <c r="AC8" s="260">
        <f t="shared" si="10"/>
        <v>2.9005000000000001</v>
      </c>
      <c r="AD8" s="260">
        <f t="shared" si="6"/>
        <v>-0.06</v>
      </c>
      <c r="AF8" s="256">
        <f t="shared" si="7"/>
        <v>2.9005000000000001</v>
      </c>
      <c r="AG8" s="256">
        <f t="shared" si="11"/>
        <v>-0.06</v>
      </c>
      <c r="AH8" s="256" t="str">
        <f t="shared" si="8"/>
        <v>MAY</v>
      </c>
      <c r="AI8" s="256" t="str">
        <f>RIGHT(RTD("cqg.rtd",,"ContractData",V8,"LongDescription",,"T"),14)</f>
        <v>May 18, Aug 18</v>
      </c>
      <c r="AJ8" s="256">
        <f>RTD("cqg.rtd", ,"ContractData",Q8, "Settlement",,"T")</f>
        <v>2.911</v>
      </c>
      <c r="AK8" s="256">
        <f>RTD("cqg.rtd", ,"ContractData",V8, "Settlement",,"T")</f>
        <v>-5.8000000000000003E-2</v>
      </c>
      <c r="AL8" s="256">
        <f t="shared" si="9"/>
        <v>2.911</v>
      </c>
    </row>
    <row r="9" spans="1:38" x14ac:dyDescent="0.2">
      <c r="A9" s="255" t="str">
        <f t="shared" si="1"/>
        <v>NGEM8</v>
      </c>
      <c r="B9" s="255" t="str">
        <f>RTD("cqg.rtd", ,"ContractData",A9, "ContractMonth")</f>
        <v>JUN</v>
      </c>
      <c r="C9" s="261" t="str">
        <f t="shared" si="2"/>
        <v>M8</v>
      </c>
      <c r="D9" s="256" t="str">
        <f t="shared" si="3"/>
        <v>NGES3M8</v>
      </c>
      <c r="P9" s="257" t="str">
        <f t="shared" si="4"/>
        <v>M</v>
      </c>
      <c r="Q9" s="262" t="str">
        <f>RTD("cqg.rtd", ,"ContractData", $Q$1&amp;"?"&amp;R42, "Symbol")</f>
        <v>NGEM8</v>
      </c>
      <c r="R9" s="263">
        <f>RTD("cqg.rtd", ,"ContractData", Q9, $R$1,,"T")</f>
        <v>2.931</v>
      </c>
      <c r="S9" s="263">
        <f>RTD("cqg.rtd", ,"ContractData", Q9,$S$1,,"T")</f>
        <v>2.9290000000000003</v>
      </c>
      <c r="T9" s="263">
        <f>RTD("cqg.rtd", ,"ContractData", Q9,$T$1,,"T")</f>
        <v>2.931</v>
      </c>
      <c r="U9" s="260">
        <f>RTD("cqg.rtd", ,"ContractData", "F."&amp;$Q$1&amp;"?8", $U$1,,"T")</f>
        <v>-8.0000000000000002E-3</v>
      </c>
      <c r="V9" s="257" t="str">
        <f>K2</f>
        <v>NGES3M8</v>
      </c>
      <c r="W9" s="260">
        <f>RTD("cqg.rtd", ,"ContractData", V9, $W$1,,"T")</f>
        <v>-1.3000000000000001E-2</v>
      </c>
      <c r="X9" s="260">
        <f>RTD("cqg.rtd", ,"ContractData", V9, $X$1,,"T")</f>
        <v>-2E-3</v>
      </c>
      <c r="Y9" s="260">
        <f>RTD("cqg.rtd", ,"ContractData",V9,$Y$1,,"T")</f>
        <v>-1.4E-2</v>
      </c>
      <c r="Z9" s="260">
        <f>RTD("cqg.rtd", ,"ContractData", V9,$Z$1,,"T")</f>
        <v>-1.2E-2</v>
      </c>
      <c r="AA9" s="260">
        <f t="shared" si="5"/>
        <v>-1.3000000000000001E-2</v>
      </c>
      <c r="AB9" s="260">
        <f t="shared" si="0"/>
        <v>2.931</v>
      </c>
      <c r="AC9" s="260">
        <f t="shared" si="10"/>
        <v>2.931</v>
      </c>
      <c r="AD9" s="260">
        <f t="shared" si="6"/>
        <v>-1.3000000000000001E-2</v>
      </c>
      <c r="AF9" s="256">
        <f t="shared" si="7"/>
        <v>2.931</v>
      </c>
      <c r="AG9" s="256">
        <f t="shared" si="11"/>
        <v>-1.3000000000000001E-2</v>
      </c>
      <c r="AH9" s="256" t="str">
        <f t="shared" si="8"/>
        <v>JUN</v>
      </c>
      <c r="AI9" s="256" t="str">
        <f>RIGHT(RTD("cqg.rtd",,"ContractData",V9,"LongDescription",,"T"),14)</f>
        <v>Jun 18, Sep 18</v>
      </c>
      <c r="AJ9" s="256">
        <f>RTD("cqg.rtd", ,"ContractData",Q9, "Settlement",,"T")</f>
        <v>2.9390000000000001</v>
      </c>
      <c r="AK9" s="256">
        <f>RTD("cqg.rtd", ,"ContractData",V9, "Settlement",,"T")</f>
        <v>-1.2E-2</v>
      </c>
      <c r="AL9" s="256">
        <f t="shared" si="9"/>
        <v>2.9390000000000001</v>
      </c>
    </row>
    <row r="10" spans="1:38" x14ac:dyDescent="0.2">
      <c r="A10" s="255" t="str">
        <f t="shared" si="1"/>
        <v>NGEN8</v>
      </c>
      <c r="B10" s="255" t="str">
        <f>RTD("cqg.rtd", ,"ContractData",A10, "ContractMonth")</f>
        <v>JUL</v>
      </c>
      <c r="C10" s="261" t="str">
        <f t="shared" si="2"/>
        <v>N8</v>
      </c>
      <c r="D10" s="256" t="str">
        <f t="shared" si="3"/>
        <v>NGES3N8</v>
      </c>
      <c r="P10" s="257" t="str">
        <f t="shared" si="4"/>
        <v>N</v>
      </c>
      <c r="Q10" s="262" t="str">
        <f>RTD("cqg.rtd", ,"ContractData", $Q$1&amp;"?"&amp;R43, "Symbol")</f>
        <v>NGEN8</v>
      </c>
      <c r="R10" s="263">
        <f>RTD("cqg.rtd", ,"ContractData", Q10, $R$1,,"T")</f>
        <v>2.9580000000000002</v>
      </c>
      <c r="S10" s="263">
        <f>RTD("cqg.rtd", ,"ContractData", Q10,$S$1,,"T")</f>
        <v>2.956</v>
      </c>
      <c r="T10" s="263">
        <f>RTD("cqg.rtd", ,"ContractData", Q10,$T$1,,"T")</f>
        <v>2.9580000000000002</v>
      </c>
      <c r="U10" s="260">
        <f>RTD("cqg.rtd", ,"ContractData", "F."&amp;$Q$1&amp;"?9", $U$1,,"T")</f>
        <v>-8.0000000000000002E-3</v>
      </c>
      <c r="V10" s="257" t="str">
        <f>L2</f>
        <v>NGES3N8</v>
      </c>
      <c r="W10" s="260" t="str">
        <f>RTD("cqg.rtd", ,"ContractData", V10, $W$1,,"T")</f>
        <v/>
      </c>
      <c r="X10" s="260">
        <f>RTD("cqg.rtd", ,"ContractData", V10, $X$1,,"T")</f>
        <v>1E-3</v>
      </c>
      <c r="Y10" s="260">
        <f>RTD("cqg.rtd", ,"ContractData",V10,$Y$1,,"T")</f>
        <v>-9.0000000000000011E-3</v>
      </c>
      <c r="Z10" s="260">
        <f>RTD("cqg.rtd", ,"ContractData", V10,$Z$1,,"T")</f>
        <v>-7.0000000000000001E-3</v>
      </c>
      <c r="AA10" s="260">
        <f t="shared" si="5"/>
        <v>-8.0000000000000002E-3</v>
      </c>
      <c r="AB10" s="260">
        <f t="shared" si="0"/>
        <v>2.9580000000000002</v>
      </c>
      <c r="AC10" s="260">
        <f t="shared" si="10"/>
        <v>2.9580000000000002</v>
      </c>
      <c r="AD10" s="260">
        <f t="shared" si="6"/>
        <v>-8.0000000000000002E-3</v>
      </c>
      <c r="AF10" s="256">
        <f t="shared" si="7"/>
        <v>2.9580000000000002</v>
      </c>
      <c r="AG10" s="256">
        <f t="shared" si="11"/>
        <v>-8.0000000000000002E-3</v>
      </c>
      <c r="AH10" s="256" t="str">
        <f t="shared" si="8"/>
        <v>JUL</v>
      </c>
      <c r="AI10" s="256" t="str">
        <f>RIGHT(RTD("cqg.rtd",,"ContractData",V10,"LongDescription",,"T"),14)</f>
        <v>Jul 18, Oct 18</v>
      </c>
      <c r="AJ10" s="256">
        <f>RTD("cqg.rtd", ,"ContractData",Q10, "Settlement",,"T")</f>
        <v>2.9660000000000002</v>
      </c>
      <c r="AK10" s="256">
        <f>RTD("cqg.rtd", ,"ContractData",V10, "Settlement",,"T")</f>
        <v>-8.0000000000000002E-3</v>
      </c>
      <c r="AL10" s="256">
        <f t="shared" si="9"/>
        <v>2.9660000000000002</v>
      </c>
    </row>
    <row r="11" spans="1:38" x14ac:dyDescent="0.2">
      <c r="A11" s="255" t="str">
        <f t="shared" si="1"/>
        <v>NGEQ8</v>
      </c>
      <c r="B11" s="255" t="str">
        <f>RTD("cqg.rtd", ,"ContractData",A11, "ContractMonth")</f>
        <v>AUG</v>
      </c>
      <c r="C11" s="261" t="str">
        <f t="shared" si="2"/>
        <v>Q8</v>
      </c>
      <c r="D11" s="256" t="str">
        <f t="shared" si="3"/>
        <v>NGES3Q8</v>
      </c>
      <c r="P11" s="257" t="str">
        <f t="shared" si="4"/>
        <v>Q</v>
      </c>
      <c r="Q11" s="262" t="str">
        <f>RTD("cqg.rtd", ,"ContractData", $Q$1&amp;"?"&amp;R44, "Symbol")</f>
        <v>NGEQ8</v>
      </c>
      <c r="R11" s="263">
        <f>RTD("cqg.rtd", ,"ContractData", Q11, $R$1,,"T")</f>
        <v>2.96</v>
      </c>
      <c r="S11" s="263">
        <f>RTD("cqg.rtd", ,"ContractData", Q11,$S$1,,"T")</f>
        <v>2.9590000000000001</v>
      </c>
      <c r="T11" s="263">
        <f>RTD("cqg.rtd", ,"ContractData", Q11,$T$1,,"T")</f>
        <v>2.9609999999999999</v>
      </c>
      <c r="U11" s="260">
        <f>RTD("cqg.rtd", ,"ContractData", "F."&amp;$Q$1&amp;"?10", $U$1,,"T")</f>
        <v>-0.01</v>
      </c>
      <c r="V11" s="257" t="str">
        <f>M2</f>
        <v>NGES3Q8</v>
      </c>
      <c r="W11" s="260" t="str">
        <f>RTD("cqg.rtd", ,"ContractData", V11, $W$1,,"T")</f>
        <v/>
      </c>
      <c r="X11" s="260">
        <f>RTD("cqg.rtd", ,"ContractData", V11, $X$1,,"T")</f>
        <v>-1E-3</v>
      </c>
      <c r="Y11" s="260">
        <f>RTD("cqg.rtd", ,"ContractData",V11,$Y$1,,"T")</f>
        <v>-0.06</v>
      </c>
      <c r="Z11" s="260">
        <f>RTD("cqg.rtd", ,"ContractData", V11,$Z$1,,"T")</f>
        <v>-5.7000000000000002E-2</v>
      </c>
      <c r="AA11" s="260">
        <f t="shared" si="5"/>
        <v>-5.8499999999999996E-2</v>
      </c>
      <c r="AB11" s="260">
        <f t="shared" si="0"/>
        <v>2.96</v>
      </c>
      <c r="AC11" s="260">
        <f t="shared" si="10"/>
        <v>2.96</v>
      </c>
      <c r="AD11" s="260">
        <f t="shared" si="6"/>
        <v>-5.8499999999999996E-2</v>
      </c>
      <c r="AF11" s="256">
        <f t="shared" si="7"/>
        <v>2.96</v>
      </c>
      <c r="AG11" s="256">
        <f t="shared" si="11"/>
        <v>-5.8499999999999996E-2</v>
      </c>
      <c r="AH11" s="256" t="str">
        <f t="shared" si="8"/>
        <v>AUG</v>
      </c>
      <c r="AI11" s="256" t="str">
        <f>RIGHT(RTD("cqg.rtd",,"ContractData",V11,"LongDescription",,"T"),14)</f>
        <v>Aug 18, Nov 18</v>
      </c>
      <c r="AJ11" s="256">
        <f>RTD("cqg.rtd", ,"ContractData",Q11, "Settlement",,"T")</f>
        <v>2.9689999999999999</v>
      </c>
      <c r="AK11" s="256">
        <f>RTD("cqg.rtd", ,"ContractData",V11, "Settlement",,"T")</f>
        <v>-5.9000000000000004E-2</v>
      </c>
      <c r="AL11" s="256">
        <f t="shared" si="9"/>
        <v>2.9689999999999999</v>
      </c>
    </row>
    <row r="12" spans="1:38" x14ac:dyDescent="0.2">
      <c r="A12" s="255" t="str">
        <f t="shared" si="1"/>
        <v>NGEU8</v>
      </c>
      <c r="B12" s="255" t="str">
        <f>RTD("cqg.rtd", ,"ContractData",A12, "ContractMonth")</f>
        <v>SEP</v>
      </c>
      <c r="C12" s="261" t="str">
        <f t="shared" si="2"/>
        <v>U8</v>
      </c>
      <c r="D12" s="256" t="str">
        <f t="shared" si="3"/>
        <v>NGES3U8</v>
      </c>
      <c r="P12" s="257" t="str">
        <f t="shared" si="4"/>
        <v>U</v>
      </c>
      <c r="Q12" s="262" t="str">
        <f>RTD("cqg.rtd", ,"ContractData", $Q$1&amp;"?"&amp;R45, "Symbol")</f>
        <v>NGEU8</v>
      </c>
      <c r="R12" s="263">
        <f>RTD("cqg.rtd", ,"ContractData", Q12, $R$1,,"T")</f>
        <v>2.9420000000000002</v>
      </c>
      <c r="S12" s="263">
        <f>RTD("cqg.rtd", ,"ContractData", Q12,$S$1,,"T")</f>
        <v>2.9420000000000002</v>
      </c>
      <c r="T12" s="263">
        <f>RTD("cqg.rtd", ,"ContractData", Q12,$T$1,,"T")</f>
        <v>2.944</v>
      </c>
      <c r="U12" s="260">
        <f>RTD("cqg.rtd", ,"ContractData", "F."&amp;$Q$1&amp;"?11",$U$1,,"T")</f>
        <v>-7.0000000000000001E-3</v>
      </c>
      <c r="V12" s="257" t="str">
        <f>N2</f>
        <v>NGES3U8</v>
      </c>
      <c r="W12" s="260">
        <f>RTD("cqg.rtd", ,"ContractData", V12, $W$1,,"T")</f>
        <v>-0.21099999999999999</v>
      </c>
      <c r="X12" s="260">
        <f>RTD("cqg.rtd", ,"ContractData", V12, $X$1,,"T")</f>
        <v>-1E-3</v>
      </c>
      <c r="Y12" s="260">
        <f>RTD("cqg.rtd", ,"ContractData",V12,$Y$1,,"T")</f>
        <v>-0.214</v>
      </c>
      <c r="Z12" s="260">
        <f>RTD("cqg.rtd", ,"ContractData", V12,$Z$1,,"T")</f>
        <v>-0.21099999999999999</v>
      </c>
      <c r="AA12" s="260">
        <f t="shared" si="5"/>
        <v>-0.21099999999999999</v>
      </c>
      <c r="AB12" s="260">
        <f t="shared" si="0"/>
        <v>2.9420000000000002</v>
      </c>
      <c r="AC12" s="260">
        <f t="shared" si="10"/>
        <v>2.9420000000000002</v>
      </c>
      <c r="AD12" s="260">
        <f t="shared" si="6"/>
        <v>-0.21099999999999999</v>
      </c>
      <c r="AF12" s="256">
        <f t="shared" si="7"/>
        <v>2.9420000000000002</v>
      </c>
      <c r="AG12" s="256">
        <f t="shared" si="11"/>
        <v>-0.21099999999999999</v>
      </c>
      <c r="AH12" s="256" t="str">
        <f t="shared" si="8"/>
        <v>SEP</v>
      </c>
      <c r="AI12" s="256" t="str">
        <f>RIGHT(RTD("cqg.rtd",,"ContractData",V12,"LongDescription",,"T"),14)</f>
        <v>Sep 18, Dec 18</v>
      </c>
      <c r="AJ12" s="256">
        <f>RTD("cqg.rtd", ,"ContractData",Q12, "Settlement",,"T")</f>
        <v>2.9510000000000001</v>
      </c>
      <c r="AK12" s="256">
        <f>RTD("cqg.rtd", ,"ContractData",V12, "Settlement",,"T")</f>
        <v>-0.21299999999999999</v>
      </c>
      <c r="AL12" s="256">
        <f t="shared" si="9"/>
        <v>2.9510000000000001</v>
      </c>
    </row>
    <row r="13" spans="1:38" x14ac:dyDescent="0.2">
      <c r="A13" s="255" t="str">
        <f t="shared" si="1"/>
        <v>NGEV8</v>
      </c>
      <c r="B13" s="255" t="str">
        <f>RTD("cqg.rtd", ,"ContractData",A13, "ContractMonth")</f>
        <v>OCT</v>
      </c>
      <c r="C13" s="261" t="str">
        <f t="shared" si="2"/>
        <v>V8</v>
      </c>
      <c r="D13" s="256" t="str">
        <f t="shared" si="3"/>
        <v>NGES3V8</v>
      </c>
      <c r="P13" s="257" t="str">
        <f t="shared" si="4"/>
        <v>V</v>
      </c>
      <c r="Q13" s="262" t="str">
        <f>RTD("cqg.rtd", ,"ContractData", $Q$1&amp;"?"&amp;R46, "Symbol")</f>
        <v>NGEV8</v>
      </c>
      <c r="R13" s="263">
        <f>RTD("cqg.rtd", ,"ContractData", Q13, $R$1,,"T")</f>
        <v>2.9670000000000001</v>
      </c>
      <c r="S13" s="263">
        <f>RTD("cqg.rtd", ,"ContractData", Q13,$S$1,,"T")</f>
        <v>2.964</v>
      </c>
      <c r="T13" s="263">
        <f>RTD("cqg.rtd", ,"ContractData", Q13,$T$1,,"T")</f>
        <v>2.9660000000000002</v>
      </c>
      <c r="U13" s="260">
        <f>RTD("cqg.rtd", ,"ContractData", "F."&amp;$Q$1&amp;"?12",$U$1,,"T")</f>
        <v>-8.0000000000000002E-3</v>
      </c>
      <c r="V13" s="257" t="str">
        <f>O2</f>
        <v>NGES3V8</v>
      </c>
      <c r="W13" s="260">
        <f>RTD("cqg.rtd", ,"ContractData", V13, $W$1,,"T")</f>
        <v>-0.27500000000000002</v>
      </c>
      <c r="X13" s="260">
        <f>RTD("cqg.rtd", ,"ContractData", V13, $X$1,,"T")</f>
        <v>-1E-3</v>
      </c>
      <c r="Y13" s="260">
        <f>RTD("cqg.rtd", ,"ContractData",V13,$Y$1,,"T")</f>
        <v>-0.27500000000000002</v>
      </c>
      <c r="Z13" s="260">
        <f>RTD("cqg.rtd", ,"ContractData", V13,$Z$1,,"T")</f>
        <v>-0.27400000000000002</v>
      </c>
      <c r="AA13" s="260">
        <f t="shared" si="5"/>
        <v>-0.27500000000000002</v>
      </c>
      <c r="AB13" s="260">
        <f t="shared" si="0"/>
        <v>2.9649999999999999</v>
      </c>
      <c r="AC13" s="260">
        <f t="shared" si="10"/>
        <v>2.9649999999999999</v>
      </c>
      <c r="AD13" s="260">
        <f t="shared" si="6"/>
        <v>-0.27500000000000002</v>
      </c>
      <c r="AF13" s="256">
        <f t="shared" si="7"/>
        <v>2.9649999999999999</v>
      </c>
      <c r="AG13" s="256">
        <f t="shared" si="11"/>
        <v>-0.27500000000000002</v>
      </c>
      <c r="AH13" s="256" t="str">
        <f t="shared" si="8"/>
        <v>OCT</v>
      </c>
      <c r="AI13" s="256" t="str">
        <f>RIGHT(RTD("cqg.rtd",,"ContractData",V13,"LongDescription",,"T"),14)</f>
        <v>Oct 18, Jan 19</v>
      </c>
      <c r="AJ13" s="256">
        <f>RTD("cqg.rtd", ,"ContractData",Q13, "Settlement",,"T")</f>
        <v>2.9740000000000002</v>
      </c>
      <c r="AK13" s="256">
        <f>RTD("cqg.rtd", ,"ContractData",V13, "Settlement",,"T")</f>
        <v>-0.27400000000000002</v>
      </c>
      <c r="AL13" s="256">
        <f t="shared" si="9"/>
        <v>2.9740000000000002</v>
      </c>
    </row>
    <row r="14" spans="1:38" x14ac:dyDescent="0.2"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</row>
    <row r="15" spans="1:38" x14ac:dyDescent="0.2">
      <c r="E15" s="256" t="b">
        <v>0</v>
      </c>
      <c r="F15" s="256" t="s">
        <v>24</v>
      </c>
      <c r="G15" s="256" t="s">
        <v>26</v>
      </c>
      <c r="P15" s="257"/>
      <c r="Q15" s="257"/>
      <c r="R15" s="257"/>
      <c r="S15" s="257"/>
      <c r="T15" s="257"/>
      <c r="U15" s="257"/>
    </row>
    <row r="16" spans="1:38" x14ac:dyDescent="0.2">
      <c r="A16" s="256">
        <f>NGECalendars!K4</f>
        <v>9</v>
      </c>
      <c r="B16" s="256">
        <f>NGECalendars!L4</f>
        <v>14</v>
      </c>
      <c r="C16" s="256">
        <f>NGECalendars!M4</f>
        <v>2017</v>
      </c>
      <c r="D16" s="256" t="s">
        <v>210</v>
      </c>
      <c r="E16" s="264">
        <f xml:space="preserve"> RTD("cqg.rtd",,"StudyData", "Close("&amp;$I16&amp;")when (LocalMonth("&amp;$I16&amp;")="&amp;$A$16&amp;" and LocalDay("&amp;$I16&amp;")="&amp;$B$16&amp;" and LocalYear("&amp;$I16&amp;")="&amp;$C$16&amp;")", "Bar", "", "Close",$D$16, "0","ALL","", "",$E$15,$F$15)</f>
        <v>3.1269999999999998</v>
      </c>
      <c r="G16" s="264">
        <f>IFERROR(AF2-E16,"")</f>
        <v>-0.22999999999999954</v>
      </c>
      <c r="I16" s="256" t="str">
        <f>$Q$1&amp;"?"&amp;R35</f>
        <v>NGE?1</v>
      </c>
      <c r="J16" s="256" t="str">
        <f>"NGES3??"&amp;R35</f>
        <v>NGES3??1</v>
      </c>
      <c r="K16" s="256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-0.24299999999999999</v>
      </c>
      <c r="L16" s="256">
        <f>IFERROR(AG2-K16,"")</f>
        <v>-6.3E-2</v>
      </c>
    </row>
    <row r="17" spans="5:29" x14ac:dyDescent="0.2">
      <c r="E17" s="264">
        <f xml:space="preserve"> RTD("cqg.rtd",,"StudyData", "Close("&amp;$I17&amp;")when (LocalMonth("&amp;$I17&amp;")="&amp;$A$16&amp;" and LocalDay("&amp;$I17&amp;")="&amp;$B$16&amp;" and LocalYear("&amp;$I17&amp;")="&amp;$C$16&amp;")", "Bar", "", "Close",$D$16, "0","ALL","", "",$E$15,$F$15)</f>
        <v>3.2709999999999999</v>
      </c>
      <c r="G17" s="264">
        <f t="shared" ref="G17:G27" si="12">IFERROR(AF3-E17,"")</f>
        <v>-0.19999999999999973</v>
      </c>
      <c r="I17" s="256" t="str">
        <f t="shared" ref="I17:I27" si="13">$Q$1&amp;"?"&amp;R36</f>
        <v>NGE?2</v>
      </c>
      <c r="J17" s="256" t="str">
        <f t="shared" ref="J17:J27" si="14">"NGES3??"&amp;R36</f>
        <v>NGES3??2</v>
      </c>
      <c r="K17" s="256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-4.9000000000000002E-2</v>
      </c>
      <c r="L17" s="256">
        <f t="shared" ref="L17:L27" si="15">IFERROR(AG3-K17,"")</f>
        <v>-4.2999999999999997E-2</v>
      </c>
      <c r="AB17" s="264"/>
      <c r="AC17" s="264"/>
    </row>
    <row r="18" spans="5:29" x14ac:dyDescent="0.2">
      <c r="E18" s="264">
        <f xml:space="preserve"> RTD("cqg.rtd",,"StudyData", "Close("&amp;$I18&amp;")when (LocalMonth("&amp;$I18&amp;")="&amp;$A$16&amp;" and LocalDay("&amp;$I18&amp;")="&amp;$B$16&amp;" and LocalYear("&amp;$I18&amp;")="&amp;$C$16&amp;")", "Bar", "", "Close",$D$16, "0","ALL","", "",$E$15,$F$15)</f>
        <v>3.371</v>
      </c>
      <c r="G18" s="264">
        <f t="shared" si="12"/>
        <v>-0.17399999999999993</v>
      </c>
      <c r="I18" s="256" t="str">
        <f t="shared" si="13"/>
        <v>NGE?3</v>
      </c>
      <c r="J18" s="256" t="str">
        <f t="shared" si="14"/>
        <v>NGES3??3</v>
      </c>
      <c r="K18" s="256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0.41099999999999998</v>
      </c>
      <c r="L18" s="256">
        <f t="shared" si="15"/>
        <v>-0.13899999999999996</v>
      </c>
      <c r="AB18" s="264"/>
      <c r="AC18" s="264"/>
    </row>
    <row r="19" spans="5:29" x14ac:dyDescent="0.2">
      <c r="E19" s="264">
        <f xml:space="preserve"> RTD("cqg.rtd",,"StudyData", "Close("&amp;$I19&amp;")when (LocalMonth("&amp;$I19&amp;")="&amp;$A$16&amp;" and LocalDay("&amp;$I19&amp;")="&amp;$B$16&amp;" and LocalYear("&amp;$I19&amp;")="&amp;$C$16&amp;")", "Bar", "", "Close",$D$16, "0","ALL","", "",$E$15,$F$15)</f>
        <v>3.37</v>
      </c>
      <c r="G19" s="264">
        <f t="shared" si="12"/>
        <v>-0.16800000000000015</v>
      </c>
      <c r="I19" s="256" t="str">
        <f t="shared" si="13"/>
        <v>NGE?4</v>
      </c>
      <c r="J19" s="256" t="str">
        <f t="shared" si="14"/>
        <v>NGES3??4</v>
      </c>
      <c r="K19" s="256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0.44800000000000001</v>
      </c>
      <c r="L19" s="256">
        <f t="shared" si="15"/>
        <v>-0.14700000000000002</v>
      </c>
      <c r="AB19" s="264"/>
      <c r="AC19" s="264"/>
    </row>
    <row r="20" spans="5:29" x14ac:dyDescent="0.2">
      <c r="E20" s="264">
        <f xml:space="preserve"> RTD("cqg.rtd",,"StudyData", "Close("&amp;$I20&amp;")when (LocalMonth("&amp;$I20&amp;")="&amp;$A$16&amp;" and LocalDay("&amp;$I20&amp;")="&amp;$B$16&amp;" and LocalYear("&amp;$I20&amp;")="&amp;$C$16&amp;")", "Bar", "", "Close",$D$16, "0","ALL","", "",$E$15,$F$15)</f>
        <v>3.32</v>
      </c>
      <c r="G20" s="264">
        <f t="shared" si="12"/>
        <v>-0.15749999999999975</v>
      </c>
      <c r="I20" s="256" t="str">
        <f t="shared" si="13"/>
        <v>NGE?5</v>
      </c>
      <c r="J20" s="256" t="str">
        <f t="shared" si="14"/>
        <v>NGES3??5</v>
      </c>
      <c r="K20" s="256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0.374</v>
      </c>
      <c r="L20" s="256">
        <f t="shared" si="15"/>
        <v>-0.14099999999999999</v>
      </c>
      <c r="U20" s="265"/>
      <c r="V20" s="265"/>
      <c r="AB20" s="264"/>
      <c r="AC20" s="264"/>
    </row>
    <row r="21" spans="5:29" x14ac:dyDescent="0.2">
      <c r="E21" s="264">
        <f xml:space="preserve"> RTD("cqg.rtd",,"StudyData", "Close("&amp;$I21&amp;")when (LocalMonth("&amp;$I21&amp;")="&amp;$A$16&amp;" and LocalDay("&amp;$I21&amp;")="&amp;$B$16&amp;" and LocalYear("&amp;$I21&amp;")="&amp;$C$16&amp;")", "Bar", "", "Close",$D$16, "0","ALL","", "",$E$15,$F$15)</f>
        <v>2.96</v>
      </c>
      <c r="G21" s="264">
        <f t="shared" si="12"/>
        <v>-3.4999999999999698E-2</v>
      </c>
      <c r="I21" s="256" t="str">
        <f t="shared" si="13"/>
        <v>NGE?6</v>
      </c>
      <c r="J21" s="256" t="str">
        <f t="shared" si="14"/>
        <v>NGES3??6</v>
      </c>
      <c r="K21" s="256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-0.01</v>
      </c>
      <c r="L21" s="256">
        <f t="shared" si="15"/>
        <v>-2.3E-2</v>
      </c>
      <c r="T21" s="264"/>
      <c r="U21" s="264"/>
      <c r="V21" s="264"/>
      <c r="X21" s="264"/>
      <c r="Y21" s="264"/>
      <c r="Z21" s="264"/>
      <c r="AB21" s="264"/>
      <c r="AC21" s="264"/>
    </row>
    <row r="22" spans="5:29" x14ac:dyDescent="0.2">
      <c r="E22" s="264">
        <f xml:space="preserve"> RTD("cqg.rtd",,"StudyData", "Close("&amp;$I22&amp;")when (LocalMonth("&amp;$I22&amp;")="&amp;$A$16&amp;" and LocalDay("&amp;$I22&amp;")="&amp;$B$16&amp;" and LocalYear("&amp;$I22&amp;")="&amp;$C$16&amp;")", "Bar", "", "Close",$D$16, "0","ALL","", "",$E$15,$F$15)</f>
        <v>2.9220000000000002</v>
      </c>
      <c r="G22" s="264">
        <f t="shared" si="12"/>
        <v>-2.1500000000000075E-2</v>
      </c>
      <c r="I22" s="256" t="str">
        <f t="shared" si="13"/>
        <v>NGE?7</v>
      </c>
      <c r="J22" s="256" t="str">
        <f t="shared" si="14"/>
        <v>NGES3??7</v>
      </c>
      <c r="K22" s="256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-5.0999999999999997E-2</v>
      </c>
      <c r="L22" s="256">
        <f t="shared" si="15"/>
        <v>-9.0000000000000011E-3</v>
      </c>
      <c r="T22" s="264"/>
      <c r="U22" s="264"/>
      <c r="V22" s="264"/>
      <c r="X22" s="264"/>
      <c r="Y22" s="264"/>
      <c r="Z22" s="264"/>
      <c r="AB22" s="264"/>
      <c r="AC22" s="264"/>
    </row>
    <row r="23" spans="5:29" x14ac:dyDescent="0.2">
      <c r="E23" s="264">
        <f xml:space="preserve"> RTD("cqg.rtd",,"StudyData", "Close("&amp;$I23&amp;")when (LocalMonth("&amp;$I23&amp;")="&amp;$A$16&amp;" and LocalDay("&amp;$I23&amp;")="&amp;$B$16&amp;" and LocalYear("&amp;$I23&amp;")="&amp;$C$16&amp;")", "Bar", "", "Close",$D$16, "0","ALL","", "",$E$15,$F$15)</f>
        <v>2.9460000000000002</v>
      </c>
      <c r="G23" s="264">
        <f t="shared" si="12"/>
        <v>-1.5000000000000124E-2</v>
      </c>
      <c r="I23" s="256" t="str">
        <f t="shared" si="13"/>
        <v>NGE?8</v>
      </c>
      <c r="J23" s="256" t="str">
        <f t="shared" si="14"/>
        <v>NGES3??8</v>
      </c>
      <c r="K23" s="256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-4.0000000000000001E-3</v>
      </c>
      <c r="L23" s="256">
        <f t="shared" si="15"/>
        <v>-9.0000000000000011E-3</v>
      </c>
      <c r="T23" s="264"/>
      <c r="U23" s="264"/>
      <c r="V23" s="264"/>
      <c r="X23" s="264"/>
      <c r="Y23" s="264"/>
      <c r="Z23" s="264"/>
      <c r="AB23" s="264"/>
      <c r="AC23" s="264"/>
    </row>
    <row r="24" spans="5:29" x14ac:dyDescent="0.2">
      <c r="E24" s="264">
        <f xml:space="preserve"> RTD("cqg.rtd",,"StudyData", "Close("&amp;$I24&amp;")when (LocalMonth("&amp;$I24&amp;")="&amp;$A$16&amp;" and LocalDay("&amp;$I24&amp;")="&amp;$B$16&amp;" and LocalYear("&amp;$I24&amp;")="&amp;$C$16&amp;")", "Bar", "", "Close",$D$16, "0","ALL","", "",$E$15,$F$15)</f>
        <v>2.97</v>
      </c>
      <c r="G24" s="264">
        <f t="shared" si="12"/>
        <v>-1.2000000000000011E-2</v>
      </c>
      <c r="I24" s="256" t="str">
        <f t="shared" si="13"/>
        <v>NGE?9</v>
      </c>
      <c r="J24" s="256" t="str">
        <f t="shared" si="14"/>
        <v>NGES3??9</v>
      </c>
      <c r="K24" s="256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-2E-3</v>
      </c>
      <c r="L24" s="256">
        <f t="shared" si="15"/>
        <v>-6.0000000000000001E-3</v>
      </c>
      <c r="T24" s="264"/>
      <c r="U24" s="264"/>
      <c r="V24" s="264"/>
      <c r="X24" s="264"/>
      <c r="Y24" s="264"/>
      <c r="Z24" s="264"/>
      <c r="AB24" s="264"/>
      <c r="AC24" s="264"/>
    </row>
    <row r="25" spans="5:29" x14ac:dyDescent="0.2">
      <c r="E25" s="264">
        <f xml:space="preserve"> RTD("cqg.rtd",,"StudyData", "Close("&amp;$I25&amp;")when (LocalMonth("&amp;$I25&amp;")="&amp;$A$16&amp;" and LocalDay("&amp;$I25&amp;")="&amp;$B$16&amp;" and LocalYear("&amp;$I25&amp;")="&amp;$C$16&amp;")", "Bar", "", "Close",$D$16, "0","ALL","", "",$E$15,$F$15)</f>
        <v>2.9729999999999999</v>
      </c>
      <c r="G25" s="264">
        <f t="shared" si="12"/>
        <v>-1.2999999999999901E-2</v>
      </c>
      <c r="I25" s="256" t="str">
        <f t="shared" si="13"/>
        <v>NGE?10</v>
      </c>
      <c r="J25" s="256" t="str">
        <f t="shared" si="14"/>
        <v>NGES3??10</v>
      </c>
      <c r="K25" s="256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-4.8000000000000001E-2</v>
      </c>
      <c r="L25" s="256">
        <f t="shared" si="15"/>
        <v>-1.0499999999999995E-2</v>
      </c>
      <c r="T25" s="264"/>
      <c r="U25" s="264"/>
      <c r="V25" s="264"/>
      <c r="X25" s="264"/>
      <c r="Y25" s="264"/>
      <c r="Z25" s="264"/>
    </row>
    <row r="26" spans="5:29" x14ac:dyDescent="0.2">
      <c r="E26" s="264">
        <f xml:space="preserve"> RTD("cqg.rtd",,"StudyData", "Close("&amp;$I26&amp;")when (LocalMonth("&amp;$I26&amp;")="&amp;$A$16&amp;" and LocalDay("&amp;$I26&amp;")="&amp;$B$16&amp;" and LocalYear("&amp;$I26&amp;")="&amp;$C$16&amp;")", "Bar", "", "Close",$D$16, "0","ALL","", "",$E$15,$F$15)</f>
        <v>2.95</v>
      </c>
      <c r="G26" s="264">
        <f t="shared" si="12"/>
        <v>-8.0000000000000071E-3</v>
      </c>
      <c r="I26" s="256" t="str">
        <f t="shared" si="13"/>
        <v>NGE?11</v>
      </c>
      <c r="J26" s="256" t="str">
        <f t="shared" si="14"/>
        <v>NGES3??11</v>
      </c>
      <c r="K26" s="256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-0.20200000000000001</v>
      </c>
      <c r="L26" s="256">
        <f t="shared" si="15"/>
        <v>-8.9999999999999802E-3</v>
      </c>
      <c r="T26" s="264"/>
      <c r="U26" s="264"/>
      <c r="V26" s="264"/>
      <c r="X26" s="264"/>
      <c r="Y26" s="264"/>
      <c r="Z26" s="264"/>
    </row>
    <row r="27" spans="5:29" x14ac:dyDescent="0.2">
      <c r="E27" s="264">
        <f xml:space="preserve"> RTD("cqg.rtd",,"StudyData", "Close("&amp;$I27&amp;")when (LocalMonth("&amp;$I27&amp;")="&amp;$A$16&amp;" and LocalDay("&amp;$I27&amp;")="&amp;$B$16&amp;" and LocalYear("&amp;$I27&amp;")="&amp;$C$16&amp;")", "Bar", "", "Close",$D$16, "0","ALL","", "",$E$15,$F$15)</f>
        <v>2.972</v>
      </c>
      <c r="G27" s="264">
        <f t="shared" si="12"/>
        <v>-7.0000000000001172E-3</v>
      </c>
      <c r="I27" s="256" t="str">
        <f t="shared" si="13"/>
        <v>NGE?12</v>
      </c>
      <c r="J27" s="256" t="str">
        <f t="shared" si="14"/>
        <v>NGES3??12</v>
      </c>
      <c r="K27" s="256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-0.26500000000000001</v>
      </c>
      <c r="L27" s="256">
        <f t="shared" si="15"/>
        <v>-1.0000000000000009E-2</v>
      </c>
      <c r="T27" s="264"/>
      <c r="U27" s="264"/>
      <c r="V27" s="264"/>
      <c r="X27" s="264"/>
      <c r="Y27" s="264"/>
      <c r="Z27" s="264"/>
    </row>
    <row r="28" spans="5:29" x14ac:dyDescent="0.2">
      <c r="T28" s="264"/>
      <c r="U28" s="264"/>
      <c r="V28" s="264"/>
      <c r="X28" s="264"/>
      <c r="Y28" s="264"/>
      <c r="Z28" s="264"/>
    </row>
    <row r="29" spans="5:29" x14ac:dyDescent="0.2">
      <c r="T29" s="264"/>
      <c r="U29" s="264"/>
      <c r="V29" s="264"/>
      <c r="X29" s="264"/>
      <c r="Y29" s="264"/>
      <c r="Z29" s="264"/>
    </row>
    <row r="30" spans="5:29" x14ac:dyDescent="0.2">
      <c r="T30" s="264"/>
      <c r="U30" s="264"/>
      <c r="V30" s="264"/>
      <c r="X30" s="264"/>
      <c r="Y30" s="264"/>
      <c r="Z30" s="264"/>
    </row>
    <row r="31" spans="5:29" x14ac:dyDescent="0.2">
      <c r="T31" s="264"/>
      <c r="U31" s="264"/>
      <c r="V31" s="264"/>
      <c r="X31" s="264"/>
      <c r="Y31" s="264"/>
      <c r="Z31" s="264"/>
    </row>
    <row r="32" spans="5:29" x14ac:dyDescent="0.2">
      <c r="T32" s="264"/>
      <c r="U32" s="264"/>
      <c r="V32" s="264"/>
      <c r="X32" s="264"/>
      <c r="Y32" s="264"/>
      <c r="Z32" s="264"/>
    </row>
    <row r="33" spans="18:26" x14ac:dyDescent="0.2">
      <c r="T33" s="264"/>
      <c r="U33" s="264"/>
      <c r="V33" s="264"/>
    </row>
    <row r="34" spans="18:26" x14ac:dyDescent="0.2">
      <c r="R34" s="256" t="s">
        <v>6</v>
      </c>
      <c r="T34" s="264"/>
      <c r="U34" s="264"/>
      <c r="V34" s="264"/>
      <c r="X34" s="264"/>
      <c r="Y34" s="264"/>
      <c r="Z34" s="256" t="s">
        <v>31</v>
      </c>
    </row>
    <row r="35" spans="18:26" x14ac:dyDescent="0.2">
      <c r="R35" s="256">
        <f>IF(RTD("cqg.rtd", ,"ContractData",Q1&amp;"?", "ContractMonth")=RTD("cqg.rtd", ,"ContractData",Q1&amp;"?1", "ContractMonth"),1,2)</f>
        <v>1</v>
      </c>
      <c r="S35" s="256" t="str">
        <f>RTD("cqg.rtd",,"ContractData",Q1&amp;"?1", "Symbol")</f>
        <v>NGEX7</v>
      </c>
      <c r="T35" s="264"/>
      <c r="U35" s="264"/>
      <c r="V35" s="264"/>
      <c r="X35" s="264"/>
      <c r="Y35" s="264"/>
      <c r="Z35" s="256" t="s">
        <v>32</v>
      </c>
    </row>
    <row r="36" spans="18:26" x14ac:dyDescent="0.2">
      <c r="R36" s="256">
        <f>R35+1</f>
        <v>2</v>
      </c>
      <c r="S36" s="256" t="str">
        <f>RTD("cqg.rtd",,"ContractData",Q1&amp;"?2", "Symbol")</f>
        <v>NGEZ7</v>
      </c>
      <c r="T36" s="264"/>
      <c r="U36" s="264"/>
      <c r="V36" s="264"/>
      <c r="X36" s="264"/>
      <c r="Y36" s="264"/>
      <c r="Z36" s="256" t="s">
        <v>33</v>
      </c>
    </row>
    <row r="37" spans="18:26" x14ac:dyDescent="0.2">
      <c r="R37" s="256">
        <f t="shared" ref="R37:R46" si="16">R36+1</f>
        <v>3</v>
      </c>
      <c r="T37" s="264"/>
      <c r="U37" s="264"/>
      <c r="V37" s="264"/>
      <c r="X37" s="264"/>
      <c r="Y37" s="264"/>
      <c r="Z37" s="256" t="s">
        <v>34</v>
      </c>
    </row>
    <row r="38" spans="18:26" x14ac:dyDescent="0.2">
      <c r="R38" s="256">
        <f t="shared" si="16"/>
        <v>4</v>
      </c>
      <c r="T38" s="264"/>
      <c r="U38" s="264"/>
      <c r="V38" s="264"/>
      <c r="X38" s="264"/>
      <c r="Y38" s="264"/>
      <c r="Z38" s="256" t="s">
        <v>35</v>
      </c>
    </row>
    <row r="39" spans="18:26" x14ac:dyDescent="0.2">
      <c r="R39" s="256">
        <f t="shared" si="16"/>
        <v>5</v>
      </c>
      <c r="T39" s="264"/>
      <c r="U39" s="264"/>
      <c r="V39" s="264"/>
      <c r="X39" s="264"/>
      <c r="Y39" s="264"/>
      <c r="Z39" s="256" t="s">
        <v>36</v>
      </c>
    </row>
    <row r="40" spans="18:26" x14ac:dyDescent="0.2">
      <c r="R40" s="256">
        <f t="shared" si="16"/>
        <v>6</v>
      </c>
      <c r="T40" s="264"/>
      <c r="U40" s="264"/>
      <c r="V40" s="264"/>
      <c r="X40" s="264"/>
      <c r="Y40" s="264"/>
      <c r="Z40" s="256" t="s">
        <v>37</v>
      </c>
    </row>
    <row r="41" spans="18:26" x14ac:dyDescent="0.2">
      <c r="R41" s="256">
        <f t="shared" si="16"/>
        <v>7</v>
      </c>
      <c r="T41" s="264"/>
      <c r="U41" s="264"/>
      <c r="V41" s="264"/>
      <c r="X41" s="264"/>
      <c r="Y41" s="264"/>
      <c r="Z41" s="256" t="s">
        <v>38</v>
      </c>
    </row>
    <row r="42" spans="18:26" x14ac:dyDescent="0.2">
      <c r="R42" s="256">
        <f t="shared" si="16"/>
        <v>8</v>
      </c>
      <c r="T42" s="264"/>
      <c r="U42" s="264"/>
      <c r="V42" s="264"/>
      <c r="X42" s="264"/>
      <c r="Y42" s="264"/>
      <c r="Z42" s="256" t="s">
        <v>39</v>
      </c>
    </row>
    <row r="43" spans="18:26" x14ac:dyDescent="0.2">
      <c r="R43" s="256">
        <f t="shared" si="16"/>
        <v>9</v>
      </c>
      <c r="T43" s="264"/>
      <c r="U43" s="264"/>
      <c r="V43" s="264"/>
      <c r="X43" s="264"/>
      <c r="Y43" s="264"/>
      <c r="Z43" s="256" t="s">
        <v>40</v>
      </c>
    </row>
    <row r="44" spans="18:26" x14ac:dyDescent="0.2">
      <c r="R44" s="256">
        <f t="shared" si="16"/>
        <v>10</v>
      </c>
      <c r="T44" s="264"/>
      <c r="U44" s="264"/>
      <c r="V44" s="264"/>
    </row>
    <row r="45" spans="18:26" x14ac:dyDescent="0.2">
      <c r="R45" s="256">
        <f t="shared" si="16"/>
        <v>11</v>
      </c>
    </row>
    <row r="46" spans="18:26" x14ac:dyDescent="0.2">
      <c r="R46" s="256">
        <f t="shared" si="16"/>
        <v>12</v>
      </c>
      <c r="Z46" s="264"/>
    </row>
  </sheetData>
  <sheetProtection algorithmName="SHA-512" hashValue="blY8L74nnhT2wLyE9S6w/NTds/xanw+h/1JB/EuCEVJt+UwZsus53OmcjlgQtKxf3j+Zyfxmtj64ar9iWBFD/A==" saltValue="Zljr6rKth7cGEN65HA1/J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56"/>
    <col min="18" max="18" width="14.375" style="256" customWidth="1"/>
    <col min="19" max="19" width="9" style="256"/>
    <col min="20" max="20" width="15.25" style="256" customWidth="1"/>
    <col min="21" max="21" width="17.75" style="256" customWidth="1"/>
    <col min="22" max="22" width="11.25" style="256" customWidth="1"/>
    <col min="23" max="23" width="40" style="256" customWidth="1"/>
    <col min="24" max="24" width="12.875" style="256" customWidth="1"/>
    <col min="25" max="16384" width="9" style="256"/>
  </cols>
  <sheetData>
    <row r="1" spans="1:38" x14ac:dyDescent="0.2">
      <c r="A1" s="255"/>
      <c r="B1" s="255"/>
      <c r="C1" s="255" t="s">
        <v>2</v>
      </c>
      <c r="D1" s="256">
        <v>4</v>
      </c>
      <c r="E1" s="256">
        <v>2</v>
      </c>
      <c r="F1" s="256">
        <v>3</v>
      </c>
      <c r="G1" s="256">
        <v>4</v>
      </c>
      <c r="H1" s="256">
        <v>5</v>
      </c>
      <c r="I1" s="256">
        <v>6</v>
      </c>
      <c r="J1" s="256">
        <v>7</v>
      </c>
      <c r="K1" s="256">
        <v>8</v>
      </c>
      <c r="L1" s="256">
        <v>9</v>
      </c>
      <c r="M1" s="256">
        <v>10</v>
      </c>
      <c r="N1" s="256">
        <v>11</v>
      </c>
      <c r="O1" s="256">
        <v>12</v>
      </c>
      <c r="P1" s="257"/>
      <c r="Q1" s="258" t="s">
        <v>30</v>
      </c>
      <c r="R1" s="259" t="s">
        <v>3</v>
      </c>
      <c r="S1" s="259" t="s">
        <v>0</v>
      </c>
      <c r="T1" s="259" t="s">
        <v>1</v>
      </c>
      <c r="U1" s="257" t="s">
        <v>4</v>
      </c>
      <c r="V1" s="257"/>
      <c r="W1" s="259" t="s">
        <v>3</v>
      </c>
      <c r="X1" s="257" t="s">
        <v>4</v>
      </c>
      <c r="Y1" s="259" t="s">
        <v>0</v>
      </c>
      <c r="Z1" s="259" t="s">
        <v>1</v>
      </c>
      <c r="AA1" s="257" t="s">
        <v>5</v>
      </c>
      <c r="AB1" s="257" t="s">
        <v>5</v>
      </c>
      <c r="AC1" s="260"/>
      <c r="AD1" s="257" t="s">
        <v>5</v>
      </c>
    </row>
    <row r="2" spans="1:38" x14ac:dyDescent="0.2">
      <c r="A2" s="255" t="str">
        <f>Q2</f>
        <v>NGEX7</v>
      </c>
      <c r="B2" s="255" t="str">
        <f>RTD("cqg.rtd", ,"ContractData",A2, "ContractMonth")</f>
        <v>NOV</v>
      </c>
      <c r="C2" s="261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56" t="str">
        <f>$Q$1&amp;$C$1&amp;$D$1&amp;$C2</f>
        <v>NGES4X7</v>
      </c>
      <c r="E2" s="256" t="str">
        <f>$Q$1&amp;$C$1&amp;$D$1&amp;$C3</f>
        <v>NGES4Z7</v>
      </c>
      <c r="F2" s="256" t="str">
        <f>$Q$1&amp;$C$1&amp;$D$1&amp;$C4</f>
        <v>NGES4F8</v>
      </c>
      <c r="G2" s="256" t="str">
        <f>$Q$1&amp;$C$1&amp;$D$1&amp;$C5</f>
        <v>NGES4G8</v>
      </c>
      <c r="H2" s="256" t="str">
        <f>$Q$1&amp;$C$1&amp;$D$1&amp;$C6</f>
        <v>NGES4H8</v>
      </c>
      <c r="I2" s="256" t="str">
        <f>$Q$1&amp;$C$1&amp;$D$1&amp;$C7</f>
        <v>NGES4J8</v>
      </c>
      <c r="J2" s="256" t="str">
        <f>$Q$1&amp;$C$1&amp;$D$1&amp;$C8</f>
        <v>NGES4K8</v>
      </c>
      <c r="K2" s="256" t="str">
        <f>$Q$1&amp;$C$1&amp;$D$1&amp;$C9</f>
        <v>NGES4M8</v>
      </c>
      <c r="L2" s="256" t="str">
        <f>$Q$1&amp;$C$1&amp;$D$1&amp;$C10</f>
        <v>NGES4N8</v>
      </c>
      <c r="M2" s="256" t="str">
        <f>$Q$1&amp;$C$1&amp;$D$1&amp;$C11</f>
        <v>NGES4Q8</v>
      </c>
      <c r="N2" s="256" t="str">
        <f>$Q$1&amp;$C$1&amp;$D$1&amp;$C12</f>
        <v>NGES4U8</v>
      </c>
      <c r="O2" s="256" t="str">
        <f>$Q$1&amp;$C$1&amp;$D$1&amp;$C13</f>
        <v>NGES4V8</v>
      </c>
      <c r="P2" s="257" t="str">
        <f>LEFT(RIGHT(Q2,2),1)</f>
        <v>X</v>
      </c>
      <c r="Q2" s="262" t="str">
        <f>RTD("cqg.rtd", ,"ContractData", $Q$1&amp;"?"&amp;R35, "Symbol")</f>
        <v>NGEX7</v>
      </c>
      <c r="R2" s="263">
        <f>RTD("cqg.rtd", ,"ContractData", Q2, $R$1,,"T")</f>
        <v>2.8970000000000002</v>
      </c>
      <c r="S2" s="263">
        <f>RTD("cqg.rtd", ,"ContractData", Q2,$S$1,,"T")</f>
        <v>2.8959999999999999</v>
      </c>
      <c r="T2" s="263">
        <f>RTD("cqg.rtd", ,"ContractData", Q2,$T$1,,"T")</f>
        <v>2.8970000000000002</v>
      </c>
      <c r="U2" s="260">
        <f>RTD("cqg.rtd", ,"ContractData", "F."&amp;$Q$1&amp;"?1", $U$1,,"T")</f>
        <v>-2.6000000000000002E-2</v>
      </c>
      <c r="V2" s="257" t="str">
        <f>D2</f>
        <v>NGES4X7</v>
      </c>
      <c r="W2" s="260">
        <f>RTD("cqg.rtd", ,"ContractData", V2, $W$1,,"T")</f>
        <v>-0.26600000000000001</v>
      </c>
      <c r="X2" s="260">
        <f>RTD("cqg.rtd", ,"ContractData", V2, $X$1,,"T")</f>
        <v>4.0000000000000001E-3</v>
      </c>
      <c r="Y2" s="260">
        <f>RTD("cqg.rtd", ,"ContractData",V2,$Y$1,,"T")</f>
        <v>-0.26700000000000002</v>
      </c>
      <c r="Z2" s="260">
        <f>RTD("cqg.rtd", ,"ContractData", V2,$Z$1,,"T")</f>
        <v>-0.26600000000000001</v>
      </c>
      <c r="AA2" s="260">
        <f>IF(OR(W2="",W2&lt;Y2,W2&gt;Z2),(Y2+Z2)/2,W2)</f>
        <v>-0.26600000000000001</v>
      </c>
      <c r="AB2" s="260">
        <f t="shared" ref="AB2:AB13" si="0">IF(OR(S2="",T2=""),R2,(IF(OR(R2="",R2&lt;S2,R2&gt;T2),(S2+T2)/2,R2)))</f>
        <v>2.8970000000000002</v>
      </c>
      <c r="AC2" s="260">
        <f>IF(OR(R2="",R2&lt;S2,R2&gt;T2),(S2+T2)/2,R2)</f>
        <v>2.8970000000000002</v>
      </c>
      <c r="AD2" s="260">
        <f>IF(OR(Y2="",Z2=""),W2,(IF(OR(W2="",W2&lt;Y2,W2&gt;Z2),(Y2+Z2)/2,W2)))</f>
        <v>-0.26600000000000001</v>
      </c>
      <c r="AF2" s="256">
        <f>IF(ISERROR(AC2),NA(),AC2)</f>
        <v>2.8970000000000002</v>
      </c>
      <c r="AG2" s="256">
        <f>IF(AD2="",NA(),AD2)</f>
        <v>-0.26600000000000001</v>
      </c>
      <c r="AH2" s="256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56" t="str">
        <f>RIGHT(RTD("cqg.rtd",,"ContractData",V2,"LongDescription",,"T"),14)</f>
        <v>Nov 17, Mar 18</v>
      </c>
      <c r="AJ2" s="256">
        <f>RTD("cqg.rtd", ,"ContractData",Q2, "Settlement",,"T")</f>
        <v>2.923</v>
      </c>
      <c r="AK2" s="256">
        <f>RTD("cqg.rtd", ,"ContractData",V2, "Settlement",,"T")</f>
        <v>-0.27</v>
      </c>
      <c r="AL2" s="256">
        <f>IF(AJ2="",NA(),AJ2)</f>
        <v>2.923</v>
      </c>
    </row>
    <row r="3" spans="1:38" x14ac:dyDescent="0.2">
      <c r="A3" s="255" t="str">
        <f t="shared" ref="A3:A13" si="1">Q3</f>
        <v>NGEZ7</v>
      </c>
      <c r="B3" s="255" t="str">
        <f>RTD("cqg.rtd", ,"ContractData",A3, "ContractMonth")</f>
        <v>DEC</v>
      </c>
      <c r="C3" s="261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56" t="str">
        <f t="shared" ref="D3:D13" si="3">$Q$1&amp;$C$1&amp;$D$1&amp;$C3</f>
        <v>NGES4Z7</v>
      </c>
      <c r="P3" s="257" t="str">
        <f t="shared" ref="P3:P13" si="4">LEFT(RIGHT(Q3,2),1)</f>
        <v>Z</v>
      </c>
      <c r="Q3" s="262" t="str">
        <f>RTD("cqg.rtd", ,"ContractData", $Q$1&amp;"?"&amp;R36, "Symbol")</f>
        <v>NGEZ7</v>
      </c>
      <c r="R3" s="263">
        <f>RTD("cqg.rtd", ,"ContractData", Q3, $R$1,,"T")</f>
        <v>3.0710000000000002</v>
      </c>
      <c r="S3" s="263">
        <f>RTD("cqg.rtd", ,"ContractData", Q3,$S$1,,"T")</f>
        <v>3.069</v>
      </c>
      <c r="T3" s="263">
        <f>RTD("cqg.rtd", ,"ContractData", Q3,$T$1,,"T")</f>
        <v>3.0710000000000002</v>
      </c>
      <c r="U3" s="260">
        <f>RTD("cqg.rtd", ,"ContractData", "F."&amp;$Q$1&amp;"?2",  $U$1,,"T")</f>
        <v>-3.2000000000000001E-2</v>
      </c>
      <c r="V3" s="257" t="str">
        <f>E2</f>
        <v>NGES4Z7</v>
      </c>
      <c r="W3" s="260">
        <f>RTD("cqg.rtd", ,"ContractData", V3, $W$1,,"T")</f>
        <v>0.14599999999999999</v>
      </c>
      <c r="X3" s="260">
        <f>RTD("cqg.rtd", ,"ContractData", V3, $X$1,,"T")</f>
        <v>-1.8000000000000002E-2</v>
      </c>
      <c r="Y3" s="260">
        <f>RTD("cqg.rtd", ,"ContractData",V3,$Y$1,,"T")</f>
        <v>0.14499999999999999</v>
      </c>
      <c r="Z3" s="260">
        <f>RTD("cqg.rtd", ,"ContractData", V3,$Z$1,,"T")</f>
        <v>0.14599999999999999</v>
      </c>
      <c r="AA3" s="260">
        <f t="shared" ref="AA3:AA13" si="5">IF(OR(W3="",W3&lt;Y3,W3&gt;Z3),(Y3+Z3)/2,W3)</f>
        <v>0.14599999999999999</v>
      </c>
      <c r="AB3" s="260">
        <f t="shared" si="0"/>
        <v>3.0710000000000002</v>
      </c>
      <c r="AC3" s="260">
        <f>IF(OR(R3="",R3&lt;S3,R3&gt;T3),(S3+T3)/2,R3)</f>
        <v>3.0710000000000002</v>
      </c>
      <c r="AD3" s="260">
        <f t="shared" ref="AD3:AD13" si="6">IF(OR(Y3="",Z3=""),W3,(IF(OR(W3="",W3&lt;Y3,W3&gt;Z3),(Y3+Z3)/2,W3)))</f>
        <v>0.14599999999999999</v>
      </c>
      <c r="AF3" s="256">
        <f t="shared" ref="AF3:AF13" si="7">IF(ISERROR(AC3),NA(),AC3)</f>
        <v>3.0710000000000002</v>
      </c>
      <c r="AG3" s="256">
        <f>IF(AD3="",NA(),AD3)</f>
        <v>0.14599999999999999</v>
      </c>
      <c r="AH3" s="256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56" t="str">
        <f>RIGHT(RTD("cqg.rtd",,"ContractData",V3,"LongDescription",,"T"),14)</f>
        <v>Dec 17, Apr 18</v>
      </c>
      <c r="AJ3" s="256">
        <f>RTD("cqg.rtd", ,"ContractData",Q3, "Settlement",,"T")</f>
        <v>3.1030000000000002</v>
      </c>
      <c r="AK3" s="256">
        <f>RTD("cqg.rtd", ,"ContractData",V3, "Settlement",,"T")</f>
        <v>0.16400000000000001</v>
      </c>
      <c r="AL3" s="256">
        <f t="shared" ref="AL3:AL13" si="9">IF(AJ3="",NA(),AJ3)</f>
        <v>3.1030000000000002</v>
      </c>
    </row>
    <row r="4" spans="1:38" x14ac:dyDescent="0.2">
      <c r="A4" s="255" t="str">
        <f t="shared" si="1"/>
        <v>NGEF8</v>
      </c>
      <c r="B4" s="255" t="str">
        <f>RTD("cqg.rtd", ,"ContractData",A4, "ContractMonth")</f>
        <v>JAN</v>
      </c>
      <c r="C4" s="261" t="str">
        <f t="shared" si="2"/>
        <v>F8</v>
      </c>
      <c r="D4" s="256" t="str">
        <f t="shared" si="3"/>
        <v>NGES4F8</v>
      </c>
      <c r="P4" s="257" t="str">
        <f t="shared" si="4"/>
        <v>F</v>
      </c>
      <c r="Q4" s="262" t="str">
        <f>RTD("cqg.rtd", ,"ContractData", $Q$1&amp;"?"&amp;R37, "Symbol")</f>
        <v>NGEF8</v>
      </c>
      <c r="R4" s="263">
        <f>RTD("cqg.rtd", ,"ContractData", Q4, $R$1,,"T")</f>
        <v>3.1970000000000001</v>
      </c>
      <c r="S4" s="263">
        <f>RTD("cqg.rtd", ,"ContractData", Q4,$S$1,,"T")</f>
        <v>3.1960000000000002</v>
      </c>
      <c r="T4" s="263">
        <f>RTD("cqg.rtd", ,"ContractData", Q4,$T$1,,"T")</f>
        <v>3.1970000000000001</v>
      </c>
      <c r="U4" s="260">
        <f>RTD("cqg.rtd", ,"ContractData", "F."&amp;$Q$1&amp;"?3",  $U$1,,"T")</f>
        <v>-3.3000000000000002E-2</v>
      </c>
      <c r="V4" s="257" t="str">
        <f>F2</f>
        <v>NGES4F8</v>
      </c>
      <c r="W4" s="260">
        <f>RTD("cqg.rtd", ,"ContractData", V4, $W$1,,"T")</f>
        <v>0.29799999999999999</v>
      </c>
      <c r="X4" s="260">
        <f>RTD("cqg.rtd", ,"ContractData", V4, $X$1,,"T")</f>
        <v>-2.3E-2</v>
      </c>
      <c r="Y4" s="260">
        <f>RTD("cqg.rtd", ,"ContractData",V4,$Y$1,,"T")</f>
        <v>0.29499999999999998</v>
      </c>
      <c r="Z4" s="260">
        <f>RTD("cqg.rtd", ,"ContractData", V4,$Z$1,,"T")</f>
        <v>0.29599999999999999</v>
      </c>
      <c r="AA4" s="260">
        <f t="shared" si="5"/>
        <v>0.29549999999999998</v>
      </c>
      <c r="AB4" s="260">
        <f t="shared" si="0"/>
        <v>3.1970000000000001</v>
      </c>
      <c r="AC4" s="260">
        <f t="shared" ref="AC4:AC13" si="10">IF(OR(R4="",R4&lt;S4,R4&gt;T4),(S4+T4)/2,R4)</f>
        <v>3.1970000000000001</v>
      </c>
      <c r="AD4" s="260">
        <f t="shared" si="6"/>
        <v>0.29549999999999998</v>
      </c>
      <c r="AF4" s="256">
        <f t="shared" si="7"/>
        <v>3.1970000000000001</v>
      </c>
      <c r="AG4" s="256">
        <f>IF(AD4="",NA(),AD4)</f>
        <v>0.29549999999999998</v>
      </c>
      <c r="AH4" s="256" t="str">
        <f t="shared" si="8"/>
        <v>JAN</v>
      </c>
      <c r="AI4" s="256" t="str">
        <f>RIGHT(RTD("cqg.rtd",,"ContractData",V4,"LongDescription",,"T"),14)</f>
        <v>Jan 18, May 18</v>
      </c>
      <c r="AJ4" s="256">
        <f>RTD("cqg.rtd", ,"ContractData",Q4, "Settlement",,"T")</f>
        <v>3.23</v>
      </c>
      <c r="AK4" s="256">
        <f>RTD("cqg.rtd", ,"ContractData",V4, "Settlement",,"T")</f>
        <v>0.31900000000000001</v>
      </c>
      <c r="AL4" s="256">
        <f t="shared" si="9"/>
        <v>3.23</v>
      </c>
    </row>
    <row r="5" spans="1:38" x14ac:dyDescent="0.2">
      <c r="A5" s="255" t="str">
        <f t="shared" si="1"/>
        <v>NGEG8</v>
      </c>
      <c r="B5" s="255" t="str">
        <f>RTD("cqg.rtd", ,"ContractData",A5, "ContractMonth")</f>
        <v>FEB</v>
      </c>
      <c r="C5" s="261" t="str">
        <f t="shared" si="2"/>
        <v>G8</v>
      </c>
      <c r="D5" s="256" t="str">
        <f t="shared" si="3"/>
        <v>NGES4G8</v>
      </c>
      <c r="P5" s="257" t="str">
        <f t="shared" si="4"/>
        <v>G</v>
      </c>
      <c r="Q5" s="262" t="str">
        <f>RTD("cqg.rtd", ,"ContractData", $Q$1&amp;"?"&amp;R38, "Symbol")</f>
        <v>NGEG8</v>
      </c>
      <c r="R5" s="263">
        <f>RTD("cqg.rtd", ,"ContractData", Q5, $R$1,,"T")</f>
        <v>3.202</v>
      </c>
      <c r="S5" s="263">
        <f>RTD("cqg.rtd", ,"ContractData", Q5,$S$1,,"T")</f>
        <v>3.2010000000000001</v>
      </c>
      <c r="T5" s="263">
        <f>RTD("cqg.rtd", ,"ContractData", Q5,$T$1,,"T")</f>
        <v>3.2029999999999998</v>
      </c>
      <c r="U5" s="260">
        <f>RTD("cqg.rtd", ,"ContractData", "F."&amp;$Q$1&amp;"?4",  $U$1,,"T")</f>
        <v>-3.2000000000000001E-2</v>
      </c>
      <c r="V5" s="257" t="str">
        <f>G2</f>
        <v>NGES4G8</v>
      </c>
      <c r="W5" s="260">
        <f>RTD("cqg.rtd", ,"ContractData", V5, $W$1,,"T")</f>
        <v>0.27500000000000002</v>
      </c>
      <c r="X5" s="260">
        <f>RTD("cqg.rtd", ,"ContractData", V5, $X$1,,"T")</f>
        <v>-2.1999999999999999E-2</v>
      </c>
      <c r="Y5" s="260">
        <f>RTD("cqg.rtd", ,"ContractData",V5,$Y$1,,"T")</f>
        <v>0.27</v>
      </c>
      <c r="Z5" s="260">
        <f>RTD("cqg.rtd", ,"ContractData", V5,$Z$1,,"T")</f>
        <v>0.27400000000000002</v>
      </c>
      <c r="AA5" s="260">
        <f t="shared" si="5"/>
        <v>0.27200000000000002</v>
      </c>
      <c r="AB5" s="260">
        <f t="shared" si="0"/>
        <v>3.202</v>
      </c>
      <c r="AC5" s="260">
        <f t="shared" si="10"/>
        <v>3.202</v>
      </c>
      <c r="AD5" s="260">
        <f t="shared" si="6"/>
        <v>0.27200000000000002</v>
      </c>
      <c r="AF5" s="256">
        <f t="shared" si="7"/>
        <v>3.202</v>
      </c>
      <c r="AG5" s="256">
        <f t="shared" ref="AG5:AG13" si="11">IF(AD5="",NA(),AD5)</f>
        <v>0.27200000000000002</v>
      </c>
      <c r="AH5" s="256" t="str">
        <f t="shared" si="8"/>
        <v>FEB</v>
      </c>
      <c r="AI5" s="256" t="str">
        <f>RIGHT(RTD("cqg.rtd",,"ContractData",V5,"LongDescription",,"T"),14)</f>
        <v>Feb 18, Jun 18</v>
      </c>
      <c r="AJ5" s="256">
        <f>RTD("cqg.rtd", ,"ContractData",Q5, "Settlement",,"T")</f>
        <v>3.2349999999999999</v>
      </c>
      <c r="AK5" s="256">
        <f>RTD("cqg.rtd", ,"ContractData",V5, "Settlement",,"T")</f>
        <v>0.29599999999999999</v>
      </c>
      <c r="AL5" s="256">
        <f t="shared" si="9"/>
        <v>3.2349999999999999</v>
      </c>
    </row>
    <row r="6" spans="1:38" x14ac:dyDescent="0.2">
      <c r="A6" s="255" t="str">
        <f t="shared" si="1"/>
        <v>NGEH8</v>
      </c>
      <c r="B6" s="255" t="str">
        <f>RTD("cqg.rtd", ,"ContractData",A6, "ContractMonth")</f>
        <v>MAR</v>
      </c>
      <c r="C6" s="261" t="str">
        <f t="shared" si="2"/>
        <v>H8</v>
      </c>
      <c r="D6" s="256" t="str">
        <f t="shared" si="3"/>
        <v>NGES4H8</v>
      </c>
      <c r="P6" s="257" t="str">
        <f t="shared" si="4"/>
        <v>H</v>
      </c>
      <c r="Q6" s="262" t="str">
        <f>RTD("cqg.rtd", ,"ContractData", $Q$1&amp;"?"&amp;R39, "Symbol")</f>
        <v>NGEH8</v>
      </c>
      <c r="R6" s="263">
        <f>RTD("cqg.rtd", ,"ContractData", Q6, $R$1,,"T")</f>
        <v>3.1640000000000001</v>
      </c>
      <c r="S6" s="263">
        <f>RTD("cqg.rtd", ,"ContractData", Q6,$S$1,,"T")</f>
        <v>3.1619999999999999</v>
      </c>
      <c r="T6" s="263">
        <f>RTD("cqg.rtd", ,"ContractData", Q6,$T$1,,"T")</f>
        <v>3.1630000000000003</v>
      </c>
      <c r="U6" s="260">
        <f>RTD("cqg.rtd", ,"ContractData", "F."&amp;$Q$1&amp;"?5",  $U$1,,"T")</f>
        <v>-0.03</v>
      </c>
      <c r="V6" s="257" t="str">
        <f>H2</f>
        <v>NGES4H8</v>
      </c>
      <c r="W6" s="260">
        <f>RTD("cqg.rtd", ,"ContractData", V6, $W$1,,"T")</f>
        <v>0.21299999999999999</v>
      </c>
      <c r="X6" s="260">
        <f>RTD("cqg.rtd", ,"ContractData", V6, $X$1,,"T")</f>
        <v>-2.3E-2</v>
      </c>
      <c r="Y6" s="260">
        <f>RTD("cqg.rtd", ,"ContractData",V6,$Y$1,,"T")</f>
        <v>0.20400000000000001</v>
      </c>
      <c r="Z6" s="260">
        <f>RTD("cqg.rtd", ,"ContractData", V6,$Z$1,,"T")</f>
        <v>0.20700000000000002</v>
      </c>
      <c r="AA6" s="260">
        <f t="shared" si="5"/>
        <v>0.20550000000000002</v>
      </c>
      <c r="AB6" s="260">
        <f t="shared" si="0"/>
        <v>3.1625000000000001</v>
      </c>
      <c r="AC6" s="260">
        <f t="shared" si="10"/>
        <v>3.1625000000000001</v>
      </c>
      <c r="AD6" s="260">
        <f t="shared" si="6"/>
        <v>0.20550000000000002</v>
      </c>
      <c r="AF6" s="256">
        <f t="shared" si="7"/>
        <v>3.1625000000000001</v>
      </c>
      <c r="AG6" s="256">
        <f t="shared" si="11"/>
        <v>0.20550000000000002</v>
      </c>
      <c r="AH6" s="256" t="str">
        <f t="shared" si="8"/>
        <v>MAR</v>
      </c>
      <c r="AI6" s="256" t="str">
        <f>RIGHT(RTD("cqg.rtd",,"ContractData",V6,"LongDescription",,"T"),14)</f>
        <v>Mar 18, Jul 18</v>
      </c>
      <c r="AJ6" s="256">
        <f>RTD("cqg.rtd", ,"ContractData",Q6, "Settlement",,"T")</f>
        <v>3.1930000000000001</v>
      </c>
      <c r="AK6" s="256">
        <f>RTD("cqg.rtd", ,"ContractData",V6, "Settlement",,"T")</f>
        <v>0.22700000000000001</v>
      </c>
      <c r="AL6" s="256">
        <f t="shared" si="9"/>
        <v>3.1930000000000001</v>
      </c>
    </row>
    <row r="7" spans="1:38" x14ac:dyDescent="0.2">
      <c r="A7" s="255" t="str">
        <f t="shared" si="1"/>
        <v>NGEJ8</v>
      </c>
      <c r="B7" s="255" t="str">
        <f>RTD("cqg.rtd", ,"ContractData",A7, "ContractMonth")</f>
        <v>APR</v>
      </c>
      <c r="C7" s="261" t="str">
        <f t="shared" si="2"/>
        <v>J8</v>
      </c>
      <c r="D7" s="256" t="str">
        <f t="shared" si="3"/>
        <v>NGES4J8</v>
      </c>
      <c r="P7" s="257" t="str">
        <f t="shared" si="4"/>
        <v>J</v>
      </c>
      <c r="Q7" s="262" t="str">
        <f>RTD("cqg.rtd", ,"ContractData", $Q$1&amp;"?"&amp;R40, "Symbol")</f>
        <v>NGEJ8</v>
      </c>
      <c r="R7" s="263">
        <f>RTD("cqg.rtd", ,"ContractData", Q7, $R$1,,"T")</f>
        <v>2.9250000000000003</v>
      </c>
      <c r="S7" s="263">
        <f>RTD("cqg.rtd", ,"ContractData", Q7,$S$1,,"T")</f>
        <v>2.9239999999999999</v>
      </c>
      <c r="T7" s="263">
        <f>RTD("cqg.rtd", ,"ContractData", Q7,$T$1,,"T")</f>
        <v>2.9250000000000003</v>
      </c>
      <c r="U7" s="260">
        <f>RTD("cqg.rtd", ,"ContractData", "F."&amp;$Q$1&amp;"?6", $U$1,,"T")</f>
        <v>-1.4E-2</v>
      </c>
      <c r="V7" s="257" t="str">
        <f>I2</f>
        <v>NGES4J8</v>
      </c>
      <c r="W7" s="260">
        <f>RTD("cqg.rtd", ,"ContractData", V7, $W$1,,"T")</f>
        <v>-3.6000000000000004E-2</v>
      </c>
      <c r="X7" s="260">
        <f>RTD("cqg.rtd", ,"ContractData", V7, $X$1,,"T")</f>
        <v>-5.0000000000000001E-3</v>
      </c>
      <c r="Y7" s="260">
        <f>RTD("cqg.rtd", ,"ContractData",V7,$Y$1,,"T")</f>
        <v>-3.6000000000000004E-2</v>
      </c>
      <c r="Z7" s="260">
        <f>RTD("cqg.rtd", ,"ContractData", V7,$Z$1,,"T")</f>
        <v>-3.5000000000000003E-2</v>
      </c>
      <c r="AA7" s="260">
        <f t="shared" si="5"/>
        <v>-3.6000000000000004E-2</v>
      </c>
      <c r="AB7" s="260">
        <f t="shared" si="0"/>
        <v>2.9250000000000003</v>
      </c>
      <c r="AC7" s="260">
        <f t="shared" si="10"/>
        <v>2.9250000000000003</v>
      </c>
      <c r="AD7" s="260">
        <f t="shared" si="6"/>
        <v>-3.6000000000000004E-2</v>
      </c>
      <c r="AF7" s="256">
        <f t="shared" si="7"/>
        <v>2.9250000000000003</v>
      </c>
      <c r="AG7" s="256">
        <f t="shared" si="11"/>
        <v>-3.6000000000000004E-2</v>
      </c>
      <c r="AH7" s="256" t="str">
        <f t="shared" si="8"/>
        <v>APR</v>
      </c>
      <c r="AI7" s="256" t="str">
        <f>RIGHT(RTD("cqg.rtd",,"ContractData",V7,"LongDescription",,"T"),14)</f>
        <v>Apr 18, Aug 18</v>
      </c>
      <c r="AJ7" s="256">
        <f>RTD("cqg.rtd", ,"ContractData",Q7, "Settlement",,"T")</f>
        <v>2.9390000000000001</v>
      </c>
      <c r="AK7" s="256">
        <f>RTD("cqg.rtd", ,"ContractData",V7, "Settlement",,"T")</f>
        <v>-0.03</v>
      </c>
      <c r="AL7" s="256">
        <f t="shared" si="9"/>
        <v>2.9390000000000001</v>
      </c>
    </row>
    <row r="8" spans="1:38" x14ac:dyDescent="0.2">
      <c r="A8" s="255" t="str">
        <f t="shared" si="1"/>
        <v>NGEK8</v>
      </c>
      <c r="B8" s="255" t="str">
        <f>RTD("cqg.rtd", ,"ContractData",A8, "ContractMonth")</f>
        <v>MAY</v>
      </c>
      <c r="C8" s="261" t="str">
        <f t="shared" si="2"/>
        <v>K8</v>
      </c>
      <c r="D8" s="256" t="str">
        <f t="shared" si="3"/>
        <v>NGES4K8</v>
      </c>
      <c r="P8" s="257" t="str">
        <f t="shared" si="4"/>
        <v>K</v>
      </c>
      <c r="Q8" s="262" t="str">
        <f>RTD("cqg.rtd", ,"ContractData", $Q$1&amp;"?"&amp;R41, "Symbol")</f>
        <v>NGEK8</v>
      </c>
      <c r="R8" s="263">
        <f>RTD("cqg.rtd", ,"ContractData", Q8, $R$1,,"T")</f>
        <v>2.9020000000000001</v>
      </c>
      <c r="S8" s="263">
        <f>RTD("cqg.rtd", ,"ContractData", Q8,$S$1,,"T")</f>
        <v>2.9</v>
      </c>
      <c r="T8" s="263">
        <f>RTD("cqg.rtd", ,"ContractData", Q8,$T$1,,"T")</f>
        <v>2.9010000000000002</v>
      </c>
      <c r="U8" s="260">
        <f>RTD("cqg.rtd", ,"ContractData", "F."&amp;$Q$1&amp;"?7", $U$1,,"T")</f>
        <v>-0.01</v>
      </c>
      <c r="V8" s="257" t="str">
        <f>J2</f>
        <v>NGES4K8</v>
      </c>
      <c r="W8" s="260">
        <f>RTD("cqg.rtd", ,"ContractData", V8, $W$1,,"T")</f>
        <v>-4.2000000000000003E-2</v>
      </c>
      <c r="X8" s="260">
        <f>RTD("cqg.rtd", ,"ContractData", V8, $X$1,,"T")</f>
        <v>-1E-3</v>
      </c>
      <c r="Y8" s="260">
        <f>RTD("cqg.rtd", ,"ContractData",V8,$Y$1,,"T")</f>
        <v>-4.3000000000000003E-2</v>
      </c>
      <c r="Z8" s="260">
        <f>RTD("cqg.rtd", ,"ContractData", V8,$Z$1,,"T")</f>
        <v>-4.1000000000000002E-2</v>
      </c>
      <c r="AA8" s="260">
        <f t="shared" si="5"/>
        <v>-4.2000000000000003E-2</v>
      </c>
      <c r="AB8" s="260">
        <f t="shared" si="0"/>
        <v>2.9005000000000001</v>
      </c>
      <c r="AC8" s="260">
        <f t="shared" si="10"/>
        <v>2.9005000000000001</v>
      </c>
      <c r="AD8" s="260">
        <f t="shared" si="6"/>
        <v>-4.2000000000000003E-2</v>
      </c>
      <c r="AF8" s="256">
        <f t="shared" si="7"/>
        <v>2.9005000000000001</v>
      </c>
      <c r="AG8" s="256">
        <f t="shared" si="11"/>
        <v>-4.2000000000000003E-2</v>
      </c>
      <c r="AH8" s="256" t="str">
        <f t="shared" si="8"/>
        <v>MAY</v>
      </c>
      <c r="AI8" s="256" t="str">
        <f>RIGHT(RTD("cqg.rtd",,"ContractData",V8,"LongDescription",,"T"),14)</f>
        <v>May 18, Sep 18</v>
      </c>
      <c r="AJ8" s="256">
        <f>RTD("cqg.rtd", ,"ContractData",Q8, "Settlement",,"T")</f>
        <v>2.911</v>
      </c>
      <c r="AK8" s="256">
        <f>RTD("cqg.rtd", ,"ContractData",V8, "Settlement",,"T")</f>
        <v>-0.04</v>
      </c>
      <c r="AL8" s="256">
        <f t="shared" si="9"/>
        <v>2.911</v>
      </c>
    </row>
    <row r="9" spans="1:38" x14ac:dyDescent="0.2">
      <c r="A9" s="255" t="str">
        <f t="shared" si="1"/>
        <v>NGEM8</v>
      </c>
      <c r="B9" s="255" t="str">
        <f>RTD("cqg.rtd", ,"ContractData",A9, "ContractMonth")</f>
        <v>JUN</v>
      </c>
      <c r="C9" s="261" t="str">
        <f t="shared" si="2"/>
        <v>M8</v>
      </c>
      <c r="D9" s="256" t="str">
        <f t="shared" si="3"/>
        <v>NGES4M8</v>
      </c>
      <c r="P9" s="257" t="str">
        <f t="shared" si="4"/>
        <v>M</v>
      </c>
      <c r="Q9" s="262" t="str">
        <f>RTD("cqg.rtd", ,"ContractData", $Q$1&amp;"?"&amp;R42, "Symbol")</f>
        <v>NGEM8</v>
      </c>
      <c r="R9" s="263">
        <f>RTD("cqg.rtd", ,"ContractData", Q9, $R$1,,"T")</f>
        <v>2.931</v>
      </c>
      <c r="S9" s="263">
        <f>RTD("cqg.rtd", ,"ContractData", Q9,$S$1,,"T")</f>
        <v>2.9290000000000003</v>
      </c>
      <c r="T9" s="263">
        <f>RTD("cqg.rtd", ,"ContractData", Q9,$T$1,,"T")</f>
        <v>2.931</v>
      </c>
      <c r="U9" s="260">
        <f>RTD("cqg.rtd", ,"ContractData", "F."&amp;$Q$1&amp;"?8", $U$1,,"T")</f>
        <v>-8.0000000000000002E-3</v>
      </c>
      <c r="V9" s="257" t="str">
        <f>K2</f>
        <v>NGES4M8</v>
      </c>
      <c r="W9" s="260">
        <f>RTD("cqg.rtd", ,"ContractData", V9, $W$1,,"T")</f>
        <v>-3.6000000000000004E-2</v>
      </c>
      <c r="X9" s="260">
        <f>RTD("cqg.rtd", ,"ContractData", V9, $X$1,,"T")</f>
        <v>1E-3</v>
      </c>
      <c r="Y9" s="260">
        <f>RTD("cqg.rtd", ,"ContractData",V9,$Y$1,,"T")</f>
        <v>-3.6000000000000004E-2</v>
      </c>
      <c r="Z9" s="260">
        <f>RTD("cqg.rtd", ,"ContractData", V9,$Z$1,,"T")</f>
        <v>-3.4000000000000002E-2</v>
      </c>
      <c r="AA9" s="260">
        <f t="shared" si="5"/>
        <v>-3.6000000000000004E-2</v>
      </c>
      <c r="AB9" s="260">
        <f t="shared" si="0"/>
        <v>2.931</v>
      </c>
      <c r="AC9" s="260">
        <f t="shared" si="10"/>
        <v>2.931</v>
      </c>
      <c r="AD9" s="260">
        <f t="shared" si="6"/>
        <v>-3.6000000000000004E-2</v>
      </c>
      <c r="AF9" s="256">
        <f t="shared" si="7"/>
        <v>2.931</v>
      </c>
      <c r="AG9" s="256">
        <f t="shared" si="11"/>
        <v>-3.6000000000000004E-2</v>
      </c>
      <c r="AH9" s="256" t="str">
        <f t="shared" si="8"/>
        <v>JUN</v>
      </c>
      <c r="AI9" s="256" t="str">
        <f>RIGHT(RTD("cqg.rtd",,"ContractData",V9,"LongDescription",,"T"),14)</f>
        <v>Jun 18, Oct 18</v>
      </c>
      <c r="AJ9" s="256">
        <f>RTD("cqg.rtd", ,"ContractData",Q9, "Settlement",,"T")</f>
        <v>2.9390000000000001</v>
      </c>
      <c r="AK9" s="256">
        <f>RTD("cqg.rtd", ,"ContractData",V9, "Settlement",,"T")</f>
        <v>-3.5000000000000003E-2</v>
      </c>
      <c r="AL9" s="256">
        <f t="shared" si="9"/>
        <v>2.9390000000000001</v>
      </c>
    </row>
    <row r="10" spans="1:38" x14ac:dyDescent="0.2">
      <c r="A10" s="255" t="str">
        <f t="shared" si="1"/>
        <v>NGEN8</v>
      </c>
      <c r="B10" s="255" t="str">
        <f>RTD("cqg.rtd", ,"ContractData",A10, "ContractMonth")</f>
        <v>JUL</v>
      </c>
      <c r="C10" s="261" t="str">
        <f t="shared" si="2"/>
        <v>N8</v>
      </c>
      <c r="D10" s="256" t="str">
        <f t="shared" si="3"/>
        <v>NGES4N8</v>
      </c>
      <c r="P10" s="257" t="str">
        <f t="shared" si="4"/>
        <v>N</v>
      </c>
      <c r="Q10" s="262" t="str">
        <f>RTD("cqg.rtd", ,"ContractData", $Q$1&amp;"?"&amp;R43, "Symbol")</f>
        <v>NGEN8</v>
      </c>
      <c r="R10" s="263">
        <f>RTD("cqg.rtd", ,"ContractData", Q10, $R$1,,"T")</f>
        <v>2.9580000000000002</v>
      </c>
      <c r="S10" s="263">
        <f>RTD("cqg.rtd", ,"ContractData", Q10,$S$1,,"T")</f>
        <v>2.956</v>
      </c>
      <c r="T10" s="263">
        <f>RTD("cqg.rtd", ,"ContractData", Q10,$T$1,,"T")</f>
        <v>2.9580000000000002</v>
      </c>
      <c r="U10" s="260">
        <f>RTD("cqg.rtd", ,"ContractData", "F."&amp;$Q$1&amp;"?9", $U$1,,"T")</f>
        <v>-8.0000000000000002E-3</v>
      </c>
      <c r="V10" s="257" t="str">
        <f>L2</f>
        <v>NGES4N8</v>
      </c>
      <c r="W10" s="260" t="str">
        <f>RTD("cqg.rtd", ,"ContractData", V10, $W$1,,"T")</f>
        <v/>
      </c>
      <c r="X10" s="260">
        <f>RTD("cqg.rtd", ,"ContractData", V10, $X$1,,"T")</f>
        <v>3.0000000000000001E-3</v>
      </c>
      <c r="Y10" s="260">
        <f>RTD("cqg.rtd", ,"ContractData",V10,$Y$1,,"T")</f>
        <v>-6.3E-2</v>
      </c>
      <c r="Z10" s="260">
        <f>RTD("cqg.rtd", ,"ContractData", V10,$Z$1,,"T")</f>
        <v>-5.9000000000000004E-2</v>
      </c>
      <c r="AA10" s="260">
        <f t="shared" si="5"/>
        <v>-6.0999999999999999E-2</v>
      </c>
      <c r="AB10" s="260">
        <f t="shared" si="0"/>
        <v>2.9580000000000002</v>
      </c>
      <c r="AC10" s="260">
        <f t="shared" si="10"/>
        <v>2.9580000000000002</v>
      </c>
      <c r="AD10" s="260">
        <f t="shared" si="6"/>
        <v>-6.0999999999999999E-2</v>
      </c>
      <c r="AF10" s="256">
        <f t="shared" si="7"/>
        <v>2.9580000000000002</v>
      </c>
      <c r="AG10" s="256">
        <f t="shared" si="11"/>
        <v>-6.0999999999999999E-2</v>
      </c>
      <c r="AH10" s="256" t="str">
        <f t="shared" si="8"/>
        <v>JUL</v>
      </c>
      <c r="AI10" s="256" t="str">
        <f>RIGHT(RTD("cqg.rtd",,"ContractData",V10,"LongDescription",,"T"),14)</f>
        <v>Jul 18, Nov 18</v>
      </c>
      <c r="AJ10" s="256">
        <f>RTD("cqg.rtd", ,"ContractData",Q10, "Settlement",,"T")</f>
        <v>2.9660000000000002</v>
      </c>
      <c r="AK10" s="256">
        <f>RTD("cqg.rtd", ,"ContractData",V10, "Settlement",,"T")</f>
        <v>-6.2E-2</v>
      </c>
      <c r="AL10" s="256">
        <f t="shared" si="9"/>
        <v>2.9660000000000002</v>
      </c>
    </row>
    <row r="11" spans="1:38" x14ac:dyDescent="0.2">
      <c r="A11" s="255" t="str">
        <f t="shared" si="1"/>
        <v>NGEQ8</v>
      </c>
      <c r="B11" s="255" t="str">
        <f>RTD("cqg.rtd", ,"ContractData",A11, "ContractMonth")</f>
        <v>AUG</v>
      </c>
      <c r="C11" s="261" t="str">
        <f t="shared" si="2"/>
        <v>Q8</v>
      </c>
      <c r="D11" s="256" t="str">
        <f t="shared" si="3"/>
        <v>NGES4Q8</v>
      </c>
      <c r="P11" s="257" t="str">
        <f t="shared" si="4"/>
        <v>Q</v>
      </c>
      <c r="Q11" s="262" t="str">
        <f>RTD("cqg.rtd", ,"ContractData", $Q$1&amp;"?"&amp;R44, "Symbol")</f>
        <v>NGEQ8</v>
      </c>
      <c r="R11" s="263">
        <f>RTD("cqg.rtd", ,"ContractData", Q11, $R$1,,"T")</f>
        <v>2.96</v>
      </c>
      <c r="S11" s="263">
        <f>RTD("cqg.rtd", ,"ContractData", Q11,$S$1,,"T")</f>
        <v>2.9590000000000001</v>
      </c>
      <c r="T11" s="263">
        <f>RTD("cqg.rtd", ,"ContractData", Q11,$T$1,,"T")</f>
        <v>2.9609999999999999</v>
      </c>
      <c r="U11" s="260">
        <f>RTD("cqg.rtd", ,"ContractData", "F."&amp;$Q$1&amp;"?10", $U$1,,"T")</f>
        <v>-0.01</v>
      </c>
      <c r="V11" s="257" t="str">
        <f>M2</f>
        <v>NGES4Q8</v>
      </c>
      <c r="W11" s="260" t="str">
        <f>RTD("cqg.rtd", ,"ContractData", V11, $W$1,,"T")</f>
        <v/>
      </c>
      <c r="X11" s="260">
        <f>RTD("cqg.rtd", ,"ContractData", V11, $X$1,,"T")</f>
        <v>2E-3</v>
      </c>
      <c r="Y11" s="260">
        <f>RTD("cqg.rtd", ,"ContractData",V11,$Y$1,,"T")</f>
        <v>-0.19700000000000001</v>
      </c>
      <c r="Z11" s="260">
        <f>RTD("cqg.rtd", ,"ContractData", V11,$Z$1,,"T")</f>
        <v>-0.193</v>
      </c>
      <c r="AA11" s="260">
        <f t="shared" si="5"/>
        <v>-0.19500000000000001</v>
      </c>
      <c r="AB11" s="260">
        <f t="shared" si="0"/>
        <v>2.96</v>
      </c>
      <c r="AC11" s="260">
        <f t="shared" si="10"/>
        <v>2.96</v>
      </c>
      <c r="AD11" s="260">
        <f t="shared" si="6"/>
        <v>-0.19500000000000001</v>
      </c>
      <c r="AF11" s="256">
        <f t="shared" si="7"/>
        <v>2.96</v>
      </c>
      <c r="AG11" s="256">
        <f t="shared" si="11"/>
        <v>-0.19500000000000001</v>
      </c>
      <c r="AH11" s="256" t="str">
        <f t="shared" si="8"/>
        <v>AUG</v>
      </c>
      <c r="AI11" s="256" t="str">
        <f>RIGHT(RTD("cqg.rtd",,"ContractData",V11,"LongDescription",,"T"),14)</f>
        <v>Aug 18, Dec 18</v>
      </c>
      <c r="AJ11" s="256">
        <f>RTD("cqg.rtd", ,"ContractData",Q11, "Settlement",,"T")</f>
        <v>2.9689999999999999</v>
      </c>
      <c r="AK11" s="256">
        <f>RTD("cqg.rtd", ,"ContractData",V11, "Settlement",,"T")</f>
        <v>-0.19500000000000001</v>
      </c>
      <c r="AL11" s="256">
        <f t="shared" si="9"/>
        <v>2.9689999999999999</v>
      </c>
    </row>
    <row r="12" spans="1:38" x14ac:dyDescent="0.2">
      <c r="A12" s="255" t="str">
        <f t="shared" si="1"/>
        <v>NGEU8</v>
      </c>
      <c r="B12" s="255" t="str">
        <f>RTD("cqg.rtd", ,"ContractData",A12, "ContractMonth")</f>
        <v>SEP</v>
      </c>
      <c r="C12" s="261" t="str">
        <f t="shared" si="2"/>
        <v>U8</v>
      </c>
      <c r="D12" s="256" t="str">
        <f t="shared" si="3"/>
        <v>NGES4U8</v>
      </c>
      <c r="P12" s="257" t="str">
        <f t="shared" si="4"/>
        <v>U</v>
      </c>
      <c r="Q12" s="262" t="str">
        <f>RTD("cqg.rtd", ,"ContractData", $Q$1&amp;"?"&amp;R45, "Symbol")</f>
        <v>NGEU8</v>
      </c>
      <c r="R12" s="263">
        <f>RTD("cqg.rtd", ,"ContractData", Q12, $R$1,,"T")</f>
        <v>2.9420000000000002</v>
      </c>
      <c r="S12" s="263">
        <f>RTD("cqg.rtd", ,"ContractData", Q12,$S$1,,"T")</f>
        <v>2.9420000000000002</v>
      </c>
      <c r="T12" s="263">
        <f>RTD("cqg.rtd", ,"ContractData", Q12,$T$1,,"T")</f>
        <v>2.944</v>
      </c>
      <c r="U12" s="260">
        <f>RTD("cqg.rtd", ,"ContractData", "F."&amp;$Q$1&amp;"?11",$U$1,,"T")</f>
        <v>-7.0000000000000001E-3</v>
      </c>
      <c r="V12" s="257" t="str">
        <f>N2</f>
        <v>NGES4U8</v>
      </c>
      <c r="W12" s="260" t="str">
        <f>RTD("cqg.rtd", ,"ContractData", V12, $W$1,,"T")</f>
        <v/>
      </c>
      <c r="X12" s="260">
        <f>RTD("cqg.rtd", ,"ContractData", V12, $X$1,,"T")</f>
        <v>-2E-3</v>
      </c>
      <c r="Y12" s="260">
        <f>RTD("cqg.rtd", ,"ContractData",V12,$Y$1,,"T")</f>
        <v>-0.29899999999999999</v>
      </c>
      <c r="Z12" s="260">
        <f>RTD("cqg.rtd", ,"ContractData", V12,$Z$1,,"T")</f>
        <v>-0.29499999999999998</v>
      </c>
      <c r="AA12" s="260">
        <f t="shared" si="5"/>
        <v>-0.29699999999999999</v>
      </c>
      <c r="AB12" s="260">
        <f t="shared" si="0"/>
        <v>2.9420000000000002</v>
      </c>
      <c r="AC12" s="260">
        <f t="shared" si="10"/>
        <v>2.9420000000000002</v>
      </c>
      <c r="AD12" s="260">
        <f t="shared" si="6"/>
        <v>-0.29699999999999999</v>
      </c>
      <c r="AF12" s="256">
        <f t="shared" si="7"/>
        <v>2.9420000000000002</v>
      </c>
      <c r="AG12" s="256">
        <f t="shared" si="11"/>
        <v>-0.29699999999999999</v>
      </c>
      <c r="AH12" s="256" t="str">
        <f t="shared" si="8"/>
        <v>SEP</v>
      </c>
      <c r="AI12" s="256" t="str">
        <f>RIGHT(RTD("cqg.rtd",,"ContractData",V12,"LongDescription",,"T"),14)</f>
        <v>Sep 18, Jan 19</v>
      </c>
      <c r="AJ12" s="256">
        <f>RTD("cqg.rtd", ,"ContractData",Q12, "Settlement",,"T")</f>
        <v>2.9510000000000001</v>
      </c>
      <c r="AK12" s="256">
        <f>RTD("cqg.rtd", ,"ContractData",V12, "Settlement",,"T")</f>
        <v>-0.29699999999999999</v>
      </c>
      <c r="AL12" s="256">
        <f t="shared" si="9"/>
        <v>2.9510000000000001</v>
      </c>
    </row>
    <row r="13" spans="1:38" x14ac:dyDescent="0.2">
      <c r="A13" s="255" t="str">
        <f t="shared" si="1"/>
        <v>NGEV8</v>
      </c>
      <c r="B13" s="255" t="str">
        <f>RTD("cqg.rtd", ,"ContractData",A13, "ContractMonth")</f>
        <v>OCT</v>
      </c>
      <c r="C13" s="261" t="str">
        <f t="shared" si="2"/>
        <v>V8</v>
      </c>
      <c r="D13" s="256" t="str">
        <f t="shared" si="3"/>
        <v>NGES4V8</v>
      </c>
      <c r="P13" s="257" t="str">
        <f t="shared" si="4"/>
        <v>V</v>
      </c>
      <c r="Q13" s="262" t="str">
        <f>RTD("cqg.rtd", ,"ContractData", $Q$1&amp;"?"&amp;R46, "Symbol")</f>
        <v>NGEV8</v>
      </c>
      <c r="R13" s="263">
        <f>RTD("cqg.rtd", ,"ContractData", Q13, $R$1,,"T")</f>
        <v>2.9670000000000001</v>
      </c>
      <c r="S13" s="263">
        <f>RTD("cqg.rtd", ,"ContractData", Q13,$S$1,,"T")</f>
        <v>2.964</v>
      </c>
      <c r="T13" s="263">
        <f>RTD("cqg.rtd", ,"ContractData", Q13,$T$1,,"T")</f>
        <v>2.9660000000000002</v>
      </c>
      <c r="U13" s="260">
        <f>RTD("cqg.rtd", ,"ContractData", "F."&amp;$Q$1&amp;"?12",$U$1,,"T")</f>
        <v>-8.0000000000000002E-3</v>
      </c>
      <c r="V13" s="257" t="str">
        <f>O2</f>
        <v>NGES4V8</v>
      </c>
      <c r="W13" s="260" t="str">
        <f>RTD("cqg.rtd", ,"ContractData", V13, $W$1,,"T")</f>
        <v/>
      </c>
      <c r="X13" s="260">
        <f>RTD("cqg.rtd", ,"ContractData", V13, $X$1,,"T")</f>
        <v>-4.0000000000000001E-3</v>
      </c>
      <c r="Y13" s="260">
        <f>RTD("cqg.rtd", ,"ContractData",V13,$Y$1,,"T")</f>
        <v>-0.255</v>
      </c>
      <c r="Z13" s="260">
        <f>RTD("cqg.rtd", ,"ContractData", V13,$Z$1,,"T")</f>
        <v>-0.247</v>
      </c>
      <c r="AA13" s="260">
        <f t="shared" si="5"/>
        <v>-0.251</v>
      </c>
      <c r="AB13" s="260">
        <f t="shared" si="0"/>
        <v>2.9649999999999999</v>
      </c>
      <c r="AC13" s="260">
        <f t="shared" si="10"/>
        <v>2.9649999999999999</v>
      </c>
      <c r="AD13" s="260">
        <f t="shared" si="6"/>
        <v>-0.251</v>
      </c>
      <c r="AF13" s="256">
        <f t="shared" si="7"/>
        <v>2.9649999999999999</v>
      </c>
      <c r="AG13" s="256">
        <f t="shared" si="11"/>
        <v>-0.251</v>
      </c>
      <c r="AH13" s="256" t="str">
        <f t="shared" si="8"/>
        <v>OCT</v>
      </c>
      <c r="AI13" s="256" t="str">
        <f>RIGHT(RTD("cqg.rtd",,"ContractData",V13,"LongDescription",,"T"),14)</f>
        <v>Oct 18, Feb 19</v>
      </c>
      <c r="AJ13" s="256">
        <f>RTD("cqg.rtd", ,"ContractData",Q13, "Settlement",,"T")</f>
        <v>2.9740000000000002</v>
      </c>
      <c r="AK13" s="256">
        <f>RTD("cqg.rtd", ,"ContractData",V13, "Settlement",,"T")</f>
        <v>-0.251</v>
      </c>
      <c r="AL13" s="256">
        <f t="shared" si="9"/>
        <v>2.9740000000000002</v>
      </c>
    </row>
    <row r="14" spans="1:38" x14ac:dyDescent="0.2"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</row>
    <row r="15" spans="1:38" x14ac:dyDescent="0.2">
      <c r="E15" s="256" t="b">
        <v>0</v>
      </c>
      <c r="F15" s="256" t="s">
        <v>24</v>
      </c>
      <c r="G15" s="256" t="s">
        <v>26</v>
      </c>
      <c r="P15" s="257"/>
      <c r="Q15" s="257"/>
      <c r="R15" s="257"/>
      <c r="S15" s="257"/>
      <c r="T15" s="257"/>
      <c r="U15" s="257"/>
    </row>
    <row r="16" spans="1:38" x14ac:dyDescent="0.2">
      <c r="A16" s="256">
        <f>NGECalendars!K4</f>
        <v>9</v>
      </c>
      <c r="B16" s="256">
        <f>NGECalendars!L4</f>
        <v>14</v>
      </c>
      <c r="C16" s="256">
        <f>NGECalendars!M4</f>
        <v>2017</v>
      </c>
      <c r="D16" s="256" t="s">
        <v>210</v>
      </c>
      <c r="E16" s="264">
        <f xml:space="preserve"> RTD("cqg.rtd",,"StudyData", "Close("&amp;$I16&amp;")when (LocalMonth("&amp;$I16&amp;")="&amp;$A$16&amp;" and LocalDay("&amp;$I16&amp;")="&amp;$B$16&amp;" and LocalYear("&amp;$I16&amp;")="&amp;$C$16&amp;")", "Bar", "", "Close",$D$16, "0","ALL","", "",$E$15,$F$15)</f>
        <v>3.1269999999999998</v>
      </c>
      <c r="G16" s="264">
        <f>IFERROR(AF2-E16,"")</f>
        <v>-0.22999999999999954</v>
      </c>
      <c r="I16" s="256" t="str">
        <f>$Q$1&amp;"?"&amp;R35</f>
        <v>NGE?1</v>
      </c>
      <c r="J16" s="256" t="str">
        <f>"NGES4??"&amp;R35</f>
        <v>NGES4??1</v>
      </c>
      <c r="K16" s="256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-0.193</v>
      </c>
      <c r="L16" s="256">
        <f>IFERROR(AG2-K16,"")</f>
        <v>-7.3000000000000009E-2</v>
      </c>
    </row>
    <row r="17" spans="5:29" x14ac:dyDescent="0.2">
      <c r="E17" s="264">
        <f xml:space="preserve"> RTD("cqg.rtd",,"StudyData", "Close("&amp;$I17&amp;")when (LocalMonth("&amp;$I17&amp;")="&amp;$A$16&amp;" and LocalDay("&amp;$I17&amp;")="&amp;$B$16&amp;" and LocalYear("&amp;$I17&amp;")="&amp;$C$16&amp;")", "Bar", "", "Close",$D$16, "0","ALL","", "",$E$15,$F$15)</f>
        <v>3.2709999999999999</v>
      </c>
      <c r="G17" s="264">
        <f t="shared" ref="G17:G27" si="12">IFERROR(AF3-E17,"")</f>
        <v>-0.19999999999999973</v>
      </c>
      <c r="I17" s="256" t="str">
        <f t="shared" ref="I17:I27" si="13">$Q$1&amp;"?"&amp;R36</f>
        <v>NGE?2</v>
      </c>
      <c r="J17" s="256" t="str">
        <f t="shared" ref="J17:J27" si="14">"NGES4??"&amp;R36</f>
        <v>NGES4??2</v>
      </c>
      <c r="K17" s="256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0.311</v>
      </c>
      <c r="L17" s="256">
        <f t="shared" ref="L17:L27" si="15">IFERROR(AG3-K17,"")</f>
        <v>-0.16500000000000001</v>
      </c>
      <c r="AB17" s="264"/>
      <c r="AC17" s="264"/>
    </row>
    <row r="18" spans="5:29" x14ac:dyDescent="0.2">
      <c r="E18" s="264">
        <f xml:space="preserve"> RTD("cqg.rtd",,"StudyData", "Close("&amp;$I18&amp;")when (LocalMonth("&amp;$I18&amp;")="&amp;$A$16&amp;" and LocalDay("&amp;$I18&amp;")="&amp;$B$16&amp;" and LocalYear("&amp;$I18&amp;")="&amp;$C$16&amp;")", "Bar", "", "Close",$D$16, "0","ALL","", "",$E$15,$F$15)</f>
        <v>3.371</v>
      </c>
      <c r="G18" s="264">
        <f t="shared" si="12"/>
        <v>-0.17399999999999993</v>
      </c>
      <c r="I18" s="256" t="str">
        <f t="shared" si="13"/>
        <v>NGE?3</v>
      </c>
      <c r="J18" s="256" t="str">
        <f t="shared" si="14"/>
        <v>NGES4??3</v>
      </c>
      <c r="K18" s="256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0.44900000000000001</v>
      </c>
      <c r="L18" s="256">
        <f t="shared" si="15"/>
        <v>-0.15350000000000003</v>
      </c>
      <c r="AB18" s="264"/>
      <c r="AC18" s="264"/>
    </row>
    <row r="19" spans="5:29" x14ac:dyDescent="0.2">
      <c r="E19" s="264">
        <f xml:space="preserve"> RTD("cqg.rtd",,"StudyData", "Close("&amp;$I19&amp;")when (LocalMonth("&amp;$I19&amp;")="&amp;$A$16&amp;" and LocalDay("&amp;$I19&amp;")="&amp;$B$16&amp;" and LocalYear("&amp;$I19&amp;")="&amp;$C$16&amp;")", "Bar", "", "Close",$D$16, "0","ALL","", "",$E$15,$F$15)</f>
        <v>3.37</v>
      </c>
      <c r="G19" s="264">
        <f t="shared" si="12"/>
        <v>-0.16800000000000015</v>
      </c>
      <c r="I19" s="256" t="str">
        <f t="shared" si="13"/>
        <v>NGE?4</v>
      </c>
      <c r="J19" s="256" t="str">
        <f t="shared" si="14"/>
        <v>NGES4??4</v>
      </c>
      <c r="K19" s="256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0.42399999999999999</v>
      </c>
      <c r="L19" s="256">
        <f t="shared" si="15"/>
        <v>-0.15199999999999997</v>
      </c>
      <c r="AB19" s="264"/>
      <c r="AC19" s="264"/>
    </row>
    <row r="20" spans="5:29" x14ac:dyDescent="0.2">
      <c r="E20" s="264">
        <f xml:space="preserve"> RTD("cqg.rtd",,"StudyData", "Close("&amp;$I20&amp;")when (LocalMonth("&amp;$I20&amp;")="&amp;$A$16&amp;" and LocalDay("&amp;$I20&amp;")="&amp;$B$16&amp;" and LocalYear("&amp;$I20&amp;")="&amp;$C$16&amp;")", "Bar", "", "Close",$D$16, "0","ALL","", "",$E$15,$F$15)</f>
        <v>3.32</v>
      </c>
      <c r="G20" s="264">
        <f t="shared" si="12"/>
        <v>-0.15749999999999975</v>
      </c>
      <c r="I20" s="256" t="str">
        <f t="shared" si="13"/>
        <v>NGE?5</v>
      </c>
      <c r="J20" s="256" t="str">
        <f t="shared" si="14"/>
        <v>NGES4??5</v>
      </c>
      <c r="K20" s="256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0.35</v>
      </c>
      <c r="L20" s="256">
        <f t="shared" si="15"/>
        <v>-0.14449999999999996</v>
      </c>
      <c r="U20" s="265"/>
      <c r="V20" s="265"/>
      <c r="AB20" s="264"/>
      <c r="AC20" s="264"/>
    </row>
    <row r="21" spans="5:29" x14ac:dyDescent="0.2">
      <c r="E21" s="264">
        <f xml:space="preserve"> RTD("cqg.rtd",,"StudyData", "Close("&amp;$I21&amp;")when (LocalMonth("&amp;$I21&amp;")="&amp;$A$16&amp;" and LocalDay("&amp;$I21&amp;")="&amp;$B$16&amp;" and LocalYear("&amp;$I21&amp;")="&amp;$C$16&amp;")", "Bar", "", "Close",$D$16, "0","ALL","", "",$E$15,$F$15)</f>
        <v>2.96</v>
      </c>
      <c r="G21" s="264">
        <f t="shared" si="12"/>
        <v>-3.4999999999999698E-2</v>
      </c>
      <c r="I21" s="256" t="str">
        <f t="shared" si="13"/>
        <v>NGE?6</v>
      </c>
      <c r="J21" s="256" t="str">
        <f t="shared" si="14"/>
        <v>NGES4??6</v>
      </c>
      <c r="K21" s="256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-1.2999999999999999E-2</v>
      </c>
      <c r="L21" s="256">
        <f t="shared" si="15"/>
        <v>-2.3000000000000007E-2</v>
      </c>
      <c r="T21" s="264"/>
      <c r="U21" s="264"/>
      <c r="V21" s="264"/>
      <c r="X21" s="264"/>
      <c r="Y21" s="264"/>
      <c r="Z21" s="264"/>
      <c r="AB21" s="264"/>
      <c r="AC21" s="264"/>
    </row>
    <row r="22" spans="5:29" x14ac:dyDescent="0.2">
      <c r="E22" s="264">
        <f xml:space="preserve"> RTD("cqg.rtd",,"StudyData", "Close("&amp;$I22&amp;")when (LocalMonth("&amp;$I22&amp;")="&amp;$A$16&amp;" and LocalDay("&amp;$I22&amp;")="&amp;$B$16&amp;" and LocalYear("&amp;$I22&amp;")="&amp;$C$16&amp;")", "Bar", "", "Close",$D$16, "0","ALL","", "",$E$15,$F$15)</f>
        <v>2.9220000000000002</v>
      </c>
      <c r="G22" s="264">
        <f t="shared" si="12"/>
        <v>-2.1500000000000075E-2</v>
      </c>
      <c r="I22" s="256" t="str">
        <f t="shared" si="13"/>
        <v>NGE?7</v>
      </c>
      <c r="J22" s="256" t="str">
        <f t="shared" si="14"/>
        <v>NGES4??7</v>
      </c>
      <c r="K22" s="256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-2.8000000000000001E-2</v>
      </c>
      <c r="L22" s="256">
        <f t="shared" si="15"/>
        <v>-1.4000000000000002E-2</v>
      </c>
      <c r="T22" s="264"/>
      <c r="U22" s="264"/>
      <c r="V22" s="264"/>
      <c r="X22" s="264"/>
      <c r="Y22" s="264"/>
      <c r="Z22" s="264"/>
      <c r="AB22" s="264"/>
      <c r="AC22" s="264"/>
    </row>
    <row r="23" spans="5:29" x14ac:dyDescent="0.2">
      <c r="E23" s="264">
        <f xml:space="preserve"> RTD("cqg.rtd",,"StudyData", "Close("&amp;$I23&amp;")when (LocalMonth("&amp;$I23&amp;")="&amp;$A$16&amp;" and LocalDay("&amp;$I23&amp;")="&amp;$B$16&amp;" and LocalYear("&amp;$I23&amp;")="&amp;$C$16&amp;")", "Bar", "", "Close",$D$16, "0","ALL","", "",$E$15,$F$15)</f>
        <v>2.9460000000000002</v>
      </c>
      <c r="G23" s="264">
        <f t="shared" si="12"/>
        <v>-1.5000000000000124E-2</v>
      </c>
      <c r="I23" s="256" t="str">
        <f t="shared" si="13"/>
        <v>NGE?8</v>
      </c>
      <c r="J23" s="256" t="str">
        <f t="shared" si="14"/>
        <v>NGES4??8</v>
      </c>
      <c r="K23" s="256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-2.5999999999999999E-2</v>
      </c>
      <c r="L23" s="256">
        <f t="shared" si="15"/>
        <v>-1.0000000000000005E-2</v>
      </c>
      <c r="T23" s="264"/>
      <c r="U23" s="264"/>
      <c r="V23" s="264"/>
      <c r="X23" s="264"/>
      <c r="Y23" s="264"/>
      <c r="Z23" s="264"/>
      <c r="AB23" s="264"/>
      <c r="AC23" s="264"/>
    </row>
    <row r="24" spans="5:29" x14ac:dyDescent="0.2">
      <c r="E24" s="264">
        <f xml:space="preserve"> RTD("cqg.rtd",,"StudyData", "Close("&amp;$I24&amp;")when (LocalMonth("&amp;$I24&amp;")="&amp;$A$16&amp;" and LocalDay("&amp;$I24&amp;")="&amp;$B$16&amp;" and LocalYear("&amp;$I24&amp;")="&amp;$C$16&amp;")", "Bar", "", "Close",$D$16, "0","ALL","", "",$E$15,$F$15)</f>
        <v>2.97</v>
      </c>
      <c r="G24" s="264">
        <f t="shared" si="12"/>
        <v>-1.2000000000000011E-2</v>
      </c>
      <c r="I24" s="256" t="str">
        <f t="shared" si="13"/>
        <v>NGE?9</v>
      </c>
      <c r="J24" s="256" t="str">
        <f t="shared" si="14"/>
        <v>NGES4??9</v>
      </c>
      <c r="K24" s="256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-5.0999999999999997E-2</v>
      </c>
      <c r="L24" s="256">
        <f t="shared" si="15"/>
        <v>-1.0000000000000002E-2</v>
      </c>
      <c r="T24" s="264"/>
      <c r="U24" s="264"/>
      <c r="V24" s="264"/>
      <c r="X24" s="264"/>
      <c r="Y24" s="264"/>
      <c r="Z24" s="264"/>
      <c r="AB24" s="264"/>
      <c r="AC24" s="264"/>
    </row>
    <row r="25" spans="5:29" x14ac:dyDescent="0.2">
      <c r="E25" s="264">
        <f xml:space="preserve"> RTD("cqg.rtd",,"StudyData", "Close("&amp;$I25&amp;")when (LocalMonth("&amp;$I25&amp;")="&amp;$A$16&amp;" and LocalDay("&amp;$I25&amp;")="&amp;$B$16&amp;" and LocalYear("&amp;$I25&amp;")="&amp;$C$16&amp;")", "Bar", "", "Close",$D$16, "0","ALL","", "",$E$15,$F$15)</f>
        <v>2.9729999999999999</v>
      </c>
      <c r="G25" s="264">
        <f t="shared" si="12"/>
        <v>-1.2999999999999901E-2</v>
      </c>
      <c r="I25" s="256" t="str">
        <f t="shared" si="13"/>
        <v>NGE?10</v>
      </c>
      <c r="J25" s="256" t="str">
        <f t="shared" si="14"/>
        <v>NGES4??10</v>
      </c>
      <c r="K25" s="256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-0.17899999999999999</v>
      </c>
      <c r="L25" s="256">
        <f t="shared" si="15"/>
        <v>-1.6000000000000014E-2</v>
      </c>
      <c r="T25" s="264"/>
      <c r="U25" s="264"/>
      <c r="V25" s="264"/>
      <c r="X25" s="264"/>
      <c r="Y25" s="264"/>
      <c r="Z25" s="264"/>
    </row>
    <row r="26" spans="5:29" x14ac:dyDescent="0.2">
      <c r="E26" s="264">
        <f xml:space="preserve"> RTD("cqg.rtd",,"StudyData", "Close("&amp;$I26&amp;")when (LocalMonth("&amp;$I26&amp;")="&amp;$A$16&amp;" and LocalDay("&amp;$I26&amp;")="&amp;$B$16&amp;" and LocalYear("&amp;$I26&amp;")="&amp;$C$16&amp;")", "Bar", "", "Close",$D$16, "0","ALL","", "",$E$15,$F$15)</f>
        <v>2.95</v>
      </c>
      <c r="G26" s="264">
        <f t="shared" si="12"/>
        <v>-8.0000000000000071E-3</v>
      </c>
      <c r="I26" s="256" t="str">
        <f t="shared" si="13"/>
        <v>NGE?11</v>
      </c>
      <c r="J26" s="256" t="str">
        <f t="shared" si="14"/>
        <v>NGES4??11</v>
      </c>
      <c r="K26" s="256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-0.28699999999999998</v>
      </c>
      <c r="L26" s="256">
        <f t="shared" si="15"/>
        <v>-1.0000000000000009E-2</v>
      </c>
      <c r="T26" s="264"/>
      <c r="U26" s="264"/>
      <c r="V26" s="264"/>
      <c r="X26" s="264"/>
      <c r="Y26" s="264"/>
      <c r="Z26" s="264"/>
    </row>
    <row r="27" spans="5:29" x14ac:dyDescent="0.2">
      <c r="E27" s="264">
        <f xml:space="preserve"> RTD("cqg.rtd",,"StudyData", "Close("&amp;$I27&amp;")when (LocalMonth("&amp;$I27&amp;")="&amp;$A$16&amp;" and LocalDay("&amp;$I27&amp;")="&amp;$B$16&amp;" and LocalYear("&amp;$I27&amp;")="&amp;$C$16&amp;")", "Bar", "", "Close",$D$16, "0","ALL","", "",$E$15,$F$15)</f>
        <v>2.972</v>
      </c>
      <c r="G27" s="264">
        <f t="shared" si="12"/>
        <v>-7.0000000000001172E-3</v>
      </c>
      <c r="I27" s="256" t="str">
        <f t="shared" si="13"/>
        <v>NGE?12</v>
      </c>
      <c r="J27" s="256" t="str">
        <f t="shared" si="14"/>
        <v>NGES4??12</v>
      </c>
      <c r="K27" s="256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-0.24299999999999999</v>
      </c>
      <c r="L27" s="256">
        <f t="shared" si="15"/>
        <v>-8.0000000000000071E-3</v>
      </c>
      <c r="T27" s="264"/>
      <c r="U27" s="264"/>
      <c r="V27" s="264"/>
      <c r="X27" s="264"/>
      <c r="Y27" s="264"/>
      <c r="Z27" s="264"/>
    </row>
    <row r="28" spans="5:29" x14ac:dyDescent="0.2">
      <c r="T28" s="264"/>
      <c r="U28" s="264"/>
      <c r="V28" s="264"/>
      <c r="X28" s="264"/>
      <c r="Y28" s="264"/>
      <c r="Z28" s="264"/>
    </row>
    <row r="29" spans="5:29" x14ac:dyDescent="0.2">
      <c r="T29" s="264"/>
      <c r="U29" s="264"/>
      <c r="V29" s="264"/>
      <c r="X29" s="264"/>
      <c r="Y29" s="264"/>
      <c r="Z29" s="264"/>
    </row>
    <row r="30" spans="5:29" x14ac:dyDescent="0.2">
      <c r="T30" s="264"/>
      <c r="U30" s="264"/>
      <c r="V30" s="264"/>
      <c r="X30" s="264"/>
      <c r="Y30" s="264"/>
      <c r="Z30" s="264"/>
    </row>
    <row r="31" spans="5:29" x14ac:dyDescent="0.2">
      <c r="T31" s="264"/>
      <c r="U31" s="264"/>
      <c r="V31" s="264"/>
      <c r="X31" s="264"/>
      <c r="Y31" s="264"/>
      <c r="Z31" s="264"/>
    </row>
    <row r="32" spans="5:29" x14ac:dyDescent="0.2">
      <c r="T32" s="264"/>
      <c r="U32" s="264"/>
      <c r="V32" s="264"/>
      <c r="X32" s="264"/>
      <c r="Y32" s="264"/>
      <c r="Z32" s="264"/>
    </row>
    <row r="33" spans="18:26" x14ac:dyDescent="0.2">
      <c r="T33" s="264"/>
      <c r="U33" s="264"/>
      <c r="V33" s="264"/>
    </row>
    <row r="34" spans="18:26" x14ac:dyDescent="0.2">
      <c r="R34" s="256" t="s">
        <v>6</v>
      </c>
      <c r="T34" s="264"/>
      <c r="U34" s="264"/>
      <c r="V34" s="264"/>
      <c r="X34" s="264"/>
      <c r="Y34" s="264"/>
      <c r="Z34" s="256" t="s">
        <v>31</v>
      </c>
    </row>
    <row r="35" spans="18:26" x14ac:dyDescent="0.2">
      <c r="R35" s="256">
        <f>IF(RTD("cqg.rtd", ,"ContractData",Q1&amp;"?", "ContractMonth")=RTD("cqg.rtd", ,"ContractData",Q1&amp;"?1", "ContractMonth"),1,2)</f>
        <v>1</v>
      </c>
      <c r="S35" s="256" t="str">
        <f>RTD("cqg.rtd",,"ContractData",Q1&amp;"?1", "Symbol")</f>
        <v>NGEX7</v>
      </c>
      <c r="T35" s="264"/>
      <c r="U35" s="264"/>
      <c r="V35" s="264"/>
      <c r="X35" s="264"/>
      <c r="Y35" s="264"/>
      <c r="Z35" s="256" t="s">
        <v>32</v>
      </c>
    </row>
    <row r="36" spans="18:26" x14ac:dyDescent="0.2">
      <c r="R36" s="256">
        <f>R35+1</f>
        <v>2</v>
      </c>
      <c r="S36" s="256" t="str">
        <f>RTD("cqg.rtd",,"ContractData",Q1&amp;"?2", "Symbol")</f>
        <v>NGEZ7</v>
      </c>
      <c r="T36" s="264"/>
      <c r="U36" s="264"/>
      <c r="V36" s="264"/>
      <c r="X36" s="264"/>
      <c r="Y36" s="264"/>
      <c r="Z36" s="256" t="s">
        <v>33</v>
      </c>
    </row>
    <row r="37" spans="18:26" x14ac:dyDescent="0.2">
      <c r="R37" s="256">
        <f t="shared" ref="R37:R46" si="16">R36+1</f>
        <v>3</v>
      </c>
      <c r="T37" s="264"/>
      <c r="U37" s="264"/>
      <c r="V37" s="264"/>
      <c r="X37" s="264"/>
      <c r="Y37" s="264"/>
      <c r="Z37" s="256" t="s">
        <v>34</v>
      </c>
    </row>
    <row r="38" spans="18:26" x14ac:dyDescent="0.2">
      <c r="R38" s="256">
        <f t="shared" si="16"/>
        <v>4</v>
      </c>
      <c r="T38" s="264"/>
      <c r="U38" s="264"/>
      <c r="V38" s="264"/>
      <c r="X38" s="264"/>
      <c r="Y38" s="264"/>
      <c r="Z38" s="256" t="s">
        <v>35</v>
      </c>
    </row>
    <row r="39" spans="18:26" x14ac:dyDescent="0.2">
      <c r="R39" s="256">
        <f t="shared" si="16"/>
        <v>5</v>
      </c>
      <c r="T39" s="264"/>
      <c r="U39" s="264"/>
      <c r="V39" s="264"/>
      <c r="X39" s="264"/>
      <c r="Y39" s="264"/>
      <c r="Z39" s="256" t="s">
        <v>36</v>
      </c>
    </row>
    <row r="40" spans="18:26" x14ac:dyDescent="0.2">
      <c r="R40" s="256">
        <f t="shared" si="16"/>
        <v>6</v>
      </c>
      <c r="T40" s="264"/>
      <c r="U40" s="264"/>
      <c r="V40" s="264"/>
      <c r="X40" s="264"/>
      <c r="Y40" s="264"/>
      <c r="Z40" s="256" t="s">
        <v>37</v>
      </c>
    </row>
    <row r="41" spans="18:26" x14ac:dyDescent="0.2">
      <c r="R41" s="256">
        <f t="shared" si="16"/>
        <v>7</v>
      </c>
      <c r="T41" s="264"/>
      <c r="U41" s="264"/>
      <c r="V41" s="264"/>
      <c r="X41" s="264"/>
      <c r="Y41" s="264"/>
      <c r="Z41" s="256" t="s">
        <v>38</v>
      </c>
    </row>
    <row r="42" spans="18:26" x14ac:dyDescent="0.2">
      <c r="R42" s="256">
        <f t="shared" si="16"/>
        <v>8</v>
      </c>
      <c r="T42" s="264"/>
      <c r="U42" s="264"/>
      <c r="V42" s="264"/>
      <c r="X42" s="264"/>
      <c r="Y42" s="264"/>
      <c r="Z42" s="256" t="s">
        <v>39</v>
      </c>
    </row>
    <row r="43" spans="18:26" x14ac:dyDescent="0.2">
      <c r="R43" s="256">
        <f t="shared" si="16"/>
        <v>9</v>
      </c>
      <c r="T43" s="264"/>
      <c r="U43" s="264"/>
      <c r="V43" s="264"/>
      <c r="X43" s="264"/>
      <c r="Y43" s="264"/>
      <c r="Z43" s="256" t="s">
        <v>40</v>
      </c>
    </row>
    <row r="44" spans="18:26" x14ac:dyDescent="0.2">
      <c r="R44" s="256">
        <f t="shared" si="16"/>
        <v>10</v>
      </c>
      <c r="T44" s="264"/>
      <c r="U44" s="264"/>
      <c r="V44" s="264"/>
    </row>
    <row r="45" spans="18:26" x14ac:dyDescent="0.2">
      <c r="R45" s="256">
        <f t="shared" si="16"/>
        <v>11</v>
      </c>
    </row>
    <row r="46" spans="18:26" x14ac:dyDescent="0.2">
      <c r="R46" s="256">
        <f t="shared" si="16"/>
        <v>12</v>
      </c>
      <c r="Z46" s="264"/>
    </row>
  </sheetData>
  <sheetProtection algorithmName="SHA-512" hashValue="w3VhVG03AsCk6T/cM6zFu/gW57PutqtD5d9HdSbPrGbsN86GaMX87w6/y3h49WHU+Mf2uhb49qIsHXqNg6Pywg==" saltValue="BezMSjy2NKO4QA2e1htsh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NGECalendars</vt:lpstr>
      <vt:lpstr>NGE Winter Summer Strps</vt:lpstr>
      <vt:lpstr>RollData</vt:lpstr>
      <vt:lpstr>ChartData</vt:lpstr>
      <vt:lpstr>NGE</vt:lpstr>
      <vt:lpstr>NGE2</vt:lpstr>
      <vt:lpstr>NGE3</vt:lpstr>
      <vt:lpstr>NGE4</vt:lpstr>
      <vt:lpstr>NGE5</vt:lpstr>
      <vt:lpstr>NGE6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2017-10-06T14:14:45Z</dcterms:modified>
</cp:coreProperties>
</file>