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drawings/drawing5.xml" ContentType="application/vnd.openxmlformats-officedocument.drawingml.chartshapes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ml.chartshapes+xml"/>
  <Override PartName="/xl/charts/chart12.xml" ContentType="application/vnd.openxmlformats-officedocument.drawingml.chart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HorizontalScroll="0" showVerticalScroll="0" xWindow="-285" yWindow="-60" windowWidth="19170" windowHeight="13170"/>
  </bookViews>
  <sheets>
    <sheet name="Main" sheetId="1" r:id="rId1"/>
    <sheet name="Indicies" sheetId="2" state="hidden" r:id="rId2"/>
    <sheet name="EurozoneYields" sheetId="6" state="hidden" r:id="rId3"/>
    <sheet name="ThreeCurves" sheetId="5" state="hidden" r:id="rId4"/>
    <sheet name="BTCSpreads" sheetId="3" state="hidden" r:id="rId5"/>
  </sheets>
  <definedNames>
    <definedName name="Eurozone">EurozoneYields!$H$4:$H$16</definedName>
  </definedNames>
  <calcPr calcId="152511"/>
</workbook>
</file>

<file path=xl/calcChain.xml><?xml version="1.0" encoding="utf-8"?>
<calcChain xmlns="http://schemas.openxmlformats.org/spreadsheetml/2006/main">
  <c r="G16" i="1" l="1"/>
  <c r="G17" i="1"/>
  <c r="R50" i="1" l="1"/>
  <c r="D14" i="6"/>
  <c r="E12" i="6"/>
  <c r="E30" i="6"/>
  <c r="E8" i="6"/>
  <c r="E47" i="6"/>
  <c r="D19" i="6"/>
  <c r="E39" i="6"/>
  <c r="E40" i="6"/>
  <c r="D5" i="6"/>
  <c r="D21" i="6"/>
  <c r="D37" i="6"/>
  <c r="E53" i="6"/>
  <c r="D10" i="6"/>
  <c r="D40" i="6"/>
  <c r="E32" i="6"/>
  <c r="E5" i="6"/>
  <c r="E36" i="6"/>
  <c r="D49" i="6"/>
  <c r="D44" i="6"/>
  <c r="D13" i="6"/>
  <c r="E7" i="6"/>
  <c r="D42" i="6"/>
  <c r="D4" i="6"/>
  <c r="D36" i="6"/>
  <c r="D20" i="6"/>
  <c r="E9" i="6"/>
  <c r="D6" i="6"/>
  <c r="E10" i="6"/>
  <c r="D27" i="6"/>
  <c r="E6" i="6"/>
  <c r="E41" i="6"/>
  <c r="D30" i="6"/>
  <c r="E4" i="6"/>
  <c r="E35" i="6"/>
  <c r="E43" i="6"/>
  <c r="E21" i="6"/>
  <c r="D15" i="6"/>
  <c r="E15" i="6"/>
  <c r="D22" i="6"/>
  <c r="D46" i="6"/>
  <c r="E49" i="6"/>
  <c r="E42" i="6"/>
  <c r="E34" i="6"/>
  <c r="E18" i="6"/>
  <c r="D33" i="6"/>
  <c r="E28" i="6"/>
  <c r="D53" i="6"/>
  <c r="E45" i="6"/>
  <c r="D16" i="6"/>
  <c r="E38" i="6"/>
  <c r="E31" i="6"/>
  <c r="E14" i="6"/>
  <c r="E22" i="6"/>
  <c r="D43" i="6"/>
  <c r="D32" i="6"/>
  <c r="D45" i="6"/>
  <c r="E17" i="6"/>
  <c r="E11" i="6"/>
  <c r="D9" i="6"/>
  <c r="D18" i="1"/>
  <c r="E46" i="6"/>
  <c r="D38" i="6"/>
  <c r="E19" i="6"/>
  <c r="D28" i="6"/>
  <c r="D11" i="6"/>
  <c r="E48" i="6"/>
  <c r="D47" i="6"/>
  <c r="D17" i="6"/>
  <c r="E29" i="6"/>
  <c r="D29" i="6"/>
  <c r="E37" i="6"/>
  <c r="D35" i="6"/>
  <c r="D7" i="6"/>
  <c r="E16" i="6"/>
  <c r="D39" i="6"/>
  <c r="E27" i="6"/>
  <c r="E33" i="6"/>
  <c r="E44" i="6"/>
  <c r="D34" i="6"/>
  <c r="D12" i="6"/>
  <c r="D31" i="6"/>
  <c r="D48" i="6"/>
  <c r="E13" i="6"/>
  <c r="D8" i="6"/>
  <c r="D41" i="6"/>
  <c r="C18" i="1"/>
  <c r="E20" i="6"/>
  <c r="D18" i="6"/>
  <c r="E52" i="6"/>
  <c r="D50" i="6"/>
  <c r="D17" i="1"/>
  <c r="D16" i="1"/>
  <c r="E51" i="6"/>
  <c r="C15" i="1"/>
  <c r="C16" i="1"/>
  <c r="C17" i="1"/>
  <c r="D14" i="1"/>
  <c r="E50" i="6"/>
  <c r="D51" i="6"/>
  <c r="C14" i="1"/>
  <c r="D52" i="6"/>
  <c r="D15" i="1"/>
  <c r="R10" i="5" l="1"/>
  <c r="Q10" i="5"/>
  <c r="P10" i="5"/>
  <c r="S15" i="5"/>
  <c r="S16" i="5"/>
  <c r="T16" i="5"/>
  <c r="C5" i="3"/>
  <c r="T12" i="5"/>
  <c r="T13" i="5"/>
  <c r="T14" i="5"/>
  <c r="T15" i="5"/>
  <c r="T11" i="5"/>
  <c r="D5" i="3"/>
  <c r="U15" i="5" l="1"/>
  <c r="U16" i="5"/>
  <c r="B7" i="1"/>
  <c r="E10" i="1"/>
  <c r="D10" i="1"/>
  <c r="S11" i="5"/>
  <c r="E41" i="5"/>
  <c r="I43" i="5"/>
  <c r="B10" i="1"/>
  <c r="G43" i="5"/>
  <c r="K41" i="5"/>
  <c r="J40" i="5"/>
  <c r="E39" i="5"/>
  <c r="J42" i="5"/>
  <c r="E7" i="1"/>
  <c r="B5" i="1"/>
  <c r="I41" i="5"/>
  <c r="S13" i="5"/>
  <c r="G40" i="5"/>
  <c r="G41" i="5"/>
  <c r="K43" i="5"/>
  <c r="F40" i="5"/>
  <c r="F39" i="5"/>
  <c r="E40" i="5"/>
  <c r="G13" i="1"/>
  <c r="I42" i="5"/>
  <c r="S14" i="5"/>
  <c r="K42" i="5"/>
  <c r="S12" i="5"/>
  <c r="D7" i="1"/>
  <c r="G42" i="5"/>
  <c r="I40" i="5"/>
  <c r="E44" i="5"/>
  <c r="E42" i="5"/>
  <c r="J43" i="5"/>
  <c r="K40" i="5"/>
  <c r="B6" i="1"/>
  <c r="J41" i="5"/>
  <c r="E6" i="1"/>
  <c r="E9" i="1"/>
  <c r="E12" i="1"/>
  <c r="B11" i="1"/>
  <c r="D5" i="1"/>
  <c r="B9" i="1"/>
  <c r="D9" i="1"/>
  <c r="B12" i="1"/>
  <c r="B8" i="1"/>
  <c r="D11" i="1"/>
  <c r="E11" i="1"/>
  <c r="D6" i="1"/>
  <c r="E8" i="1"/>
  <c r="D8" i="1"/>
  <c r="D12" i="1"/>
  <c r="B4" i="1"/>
  <c r="E5" i="1"/>
  <c r="E4" i="1"/>
  <c r="D4" i="1"/>
  <c r="T2" i="1"/>
  <c r="U13" i="5" l="1"/>
  <c r="U11" i="5"/>
  <c r="U14" i="5"/>
  <c r="U12" i="5"/>
  <c r="B48" i="1"/>
  <c r="F1" i="6"/>
  <c r="C1" i="6"/>
  <c r="K4" i="6"/>
  <c r="F10" i="1"/>
  <c r="F7" i="1"/>
  <c r="L16" i="1"/>
  <c r="J18" i="1"/>
  <c r="L10" i="1"/>
  <c r="L18" i="1"/>
  <c r="G10" i="1"/>
  <c r="L15" i="1"/>
  <c r="L17" i="1"/>
  <c r="K10" i="1"/>
  <c r="J15" i="1"/>
  <c r="H10" i="1"/>
  <c r="H7" i="1"/>
  <c r="H15" i="1"/>
  <c r="H17" i="1"/>
  <c r="D26" i="6"/>
  <c r="G37" i="5"/>
  <c r="K14" i="1"/>
  <c r="F36" i="5"/>
  <c r="I10" i="1"/>
  <c r="F5" i="1"/>
  <c r="E24" i="6"/>
  <c r="D25" i="6"/>
  <c r="K17" i="1"/>
  <c r="H18" i="1"/>
  <c r="M10" i="1"/>
  <c r="N7" i="1"/>
  <c r="F6" i="1"/>
  <c r="E23" i="6"/>
  <c r="G15" i="1"/>
  <c r="K18" i="1"/>
  <c r="K16" i="1"/>
  <c r="G18" i="1"/>
  <c r="H16" i="1"/>
  <c r="G4" i="2"/>
  <c r="J37" i="5"/>
  <c r="J10" i="1"/>
  <c r="D7" i="3"/>
  <c r="C7" i="3"/>
  <c r="F41" i="5"/>
  <c r="G6" i="2"/>
  <c r="C14" i="2"/>
  <c r="D23" i="6"/>
  <c r="M7" i="1"/>
  <c r="G14" i="1"/>
  <c r="B42" i="5"/>
  <c r="J16" i="1"/>
  <c r="K7" i="1"/>
  <c r="C9" i="2"/>
  <c r="K37" i="5"/>
  <c r="D24" i="6"/>
  <c r="K15" i="1"/>
  <c r="G7" i="1"/>
  <c r="C13" i="2"/>
  <c r="C42" i="5"/>
  <c r="C6" i="2"/>
  <c r="G5" i="2"/>
  <c r="N10" i="1"/>
  <c r="E25" i="6"/>
  <c r="G9" i="2"/>
  <c r="E26" i="6"/>
  <c r="C4" i="2"/>
  <c r="L14" i="1"/>
  <c r="H14" i="1"/>
  <c r="J14" i="1"/>
  <c r="I7" i="1"/>
  <c r="J17" i="1"/>
  <c r="L7" i="1"/>
  <c r="C5" i="2"/>
  <c r="F42" i="5"/>
  <c r="J7" i="1"/>
  <c r="G13" i="2"/>
  <c r="G6" i="1"/>
  <c r="H9" i="1"/>
  <c r="L9" i="1"/>
  <c r="L5" i="1"/>
  <c r="F12" i="1"/>
  <c r="B40" i="5"/>
  <c r="B39" i="5"/>
  <c r="F11" i="1"/>
  <c r="C4" i="3"/>
  <c r="M5" i="1"/>
  <c r="K4" i="1"/>
  <c r="I5" i="1"/>
  <c r="J5" i="1"/>
  <c r="K12" i="1"/>
  <c r="G15" i="2"/>
  <c r="G12" i="2"/>
  <c r="C3" i="3"/>
  <c r="M9" i="1"/>
  <c r="H4" i="1"/>
  <c r="N9" i="1"/>
  <c r="C15" i="2"/>
  <c r="I8" i="1"/>
  <c r="L12" i="1"/>
  <c r="J9" i="1"/>
  <c r="H8" i="1"/>
  <c r="C2" i="2"/>
  <c r="I16" i="1"/>
  <c r="C36" i="5"/>
  <c r="I12" i="1"/>
  <c r="I15" i="1"/>
  <c r="H6" i="1"/>
  <c r="L8" i="1"/>
  <c r="G8" i="1"/>
  <c r="K8" i="1"/>
  <c r="C3" i="2"/>
  <c r="G12" i="1"/>
  <c r="I9" i="1"/>
  <c r="G4" i="1"/>
  <c r="M12" i="1"/>
  <c r="C8" i="2"/>
  <c r="N11" i="1"/>
  <c r="D3" i="3"/>
  <c r="I4" i="1"/>
  <c r="C2" i="3"/>
  <c r="N6" i="1"/>
  <c r="H12" i="1"/>
  <c r="I6" i="1"/>
  <c r="K11" i="1"/>
  <c r="J12" i="1"/>
  <c r="C6" i="3"/>
  <c r="C7" i="2"/>
  <c r="F4" i="1"/>
  <c r="M11" i="1"/>
  <c r="D6" i="3"/>
  <c r="G8" i="2"/>
  <c r="K6" i="1"/>
  <c r="G10" i="2"/>
  <c r="K9" i="1"/>
  <c r="B36" i="5"/>
  <c r="M4" i="1"/>
  <c r="G2" i="2"/>
  <c r="F8" i="1"/>
  <c r="J11" i="1"/>
  <c r="I11" i="1"/>
  <c r="L6" i="1"/>
  <c r="G14" i="2"/>
  <c r="H5" i="1"/>
  <c r="G11" i="2"/>
  <c r="K5" i="1"/>
  <c r="G9" i="1"/>
  <c r="J8" i="1"/>
  <c r="D4" i="3"/>
  <c r="C10" i="2"/>
  <c r="I14" i="1"/>
  <c r="N4" i="1"/>
  <c r="B41" i="5"/>
  <c r="G3" i="2"/>
  <c r="G7" i="2"/>
  <c r="H11" i="1"/>
  <c r="J6" i="1"/>
  <c r="L11" i="1"/>
  <c r="L4" i="1"/>
  <c r="C11" i="2"/>
  <c r="C39" i="5"/>
  <c r="C40" i="5"/>
  <c r="C41" i="5"/>
  <c r="F9" i="1"/>
  <c r="C12" i="2"/>
  <c r="N8" i="1"/>
  <c r="N5" i="1"/>
  <c r="I17" i="1"/>
  <c r="N12" i="1"/>
  <c r="G5" i="1"/>
  <c r="D2" i="3"/>
  <c r="I18" i="1"/>
  <c r="J4" i="1"/>
  <c r="G11" i="1"/>
  <c r="M8" i="1"/>
  <c r="M6" i="1"/>
  <c r="G20" i="6" l="1"/>
  <c r="G19" i="6"/>
  <c r="F16" i="1"/>
  <c r="F15" i="1"/>
  <c r="I20" i="6"/>
  <c r="I19" i="6"/>
  <c r="I18" i="6"/>
  <c r="I21" i="6"/>
  <c r="G21" i="6"/>
  <c r="G18" i="6"/>
  <c r="F14" i="1"/>
  <c r="F18" i="1"/>
  <c r="M13" i="1"/>
  <c r="M14" i="1"/>
  <c r="M15" i="1"/>
  <c r="M16" i="1"/>
  <c r="M17" i="1"/>
  <c r="M18" i="1"/>
  <c r="E17" i="1"/>
  <c r="E14" i="1"/>
  <c r="E16" i="1"/>
  <c r="E15" i="1"/>
  <c r="E18" i="1"/>
  <c r="B8" i="5"/>
  <c r="F8" i="5"/>
  <c r="F6" i="5"/>
  <c r="F7" i="5"/>
  <c r="F5" i="5"/>
  <c r="B7" i="5"/>
  <c r="B6" i="5"/>
  <c r="B5" i="5"/>
  <c r="N17" i="1"/>
  <c r="N13" i="1"/>
  <c r="N16" i="1"/>
  <c r="N14" i="1"/>
  <c r="N18" i="1"/>
  <c r="N15" i="1"/>
</calcChain>
</file>

<file path=xl/sharedStrings.xml><?xml version="1.0" encoding="utf-8"?>
<sst xmlns="http://schemas.openxmlformats.org/spreadsheetml/2006/main" count="185" uniqueCount="155">
  <si>
    <t>Last</t>
  </si>
  <si>
    <t>Open</t>
  </si>
  <si>
    <t>High</t>
  </si>
  <si>
    <t>Low</t>
  </si>
  <si>
    <t>Symbol</t>
  </si>
  <si>
    <t>Yield</t>
  </si>
  <si>
    <t>Change</t>
  </si>
  <si>
    <t>BrokerTec 2-yr Yield</t>
  </si>
  <si>
    <t>BrokerTec 5-yr Yield</t>
  </si>
  <si>
    <t>BrokerTec 10-yr Yield</t>
  </si>
  <si>
    <t>BrokerTec 30-yr Yield</t>
  </si>
  <si>
    <t>BUS02Y</t>
  </si>
  <si>
    <t>BUS03Y</t>
  </si>
  <si>
    <t>BUS05Y</t>
  </si>
  <si>
    <t>BUS010Y</t>
  </si>
  <si>
    <t>BUS030Y</t>
  </si>
  <si>
    <t>US to DE 2-yr Spread</t>
  </si>
  <si>
    <t>US to UK 2-yr Spread</t>
  </si>
  <si>
    <t>US to DE 5-yr Spread</t>
  </si>
  <si>
    <t>US to UK 5-yr Spread</t>
  </si>
  <si>
    <t>US to DE 10-yr Spread</t>
  </si>
  <si>
    <t>US to UK 10-yr Spread</t>
  </si>
  <si>
    <t>US to DE 30-yr Spread</t>
  </si>
  <si>
    <t>US to UK 30-yr Spread</t>
  </si>
  <si>
    <t>2-year</t>
  </si>
  <si>
    <t>3-year</t>
  </si>
  <si>
    <t>10-year</t>
  </si>
  <si>
    <t>30-year</t>
  </si>
  <si>
    <t>Belgium</t>
  </si>
  <si>
    <t>Finland</t>
  </si>
  <si>
    <t>France</t>
  </si>
  <si>
    <t>Germany</t>
  </si>
  <si>
    <t>Ireland</t>
  </si>
  <si>
    <t>Italy</t>
  </si>
  <si>
    <t>Netherlands</t>
  </si>
  <si>
    <t>Portugal</t>
  </si>
  <si>
    <t>Spain</t>
  </si>
  <si>
    <t>UK</t>
  </si>
  <si>
    <t>Austria</t>
  </si>
  <si>
    <t>USA</t>
  </si>
  <si>
    <t>YC1</t>
  </si>
  <si>
    <t>Spread</t>
  </si>
  <si>
    <t>2-yr</t>
  </si>
  <si>
    <t>5-yr</t>
  </si>
  <si>
    <t>10-yr</t>
  </si>
  <si>
    <t>30-yr</t>
  </si>
  <si>
    <t>Country:</t>
  </si>
  <si>
    <t>"Italy", D32, IF(C1="Netherlands", D36, IF(C1="Portugal", D40, IF(C1="Spain", D44, IF(C1="UK", D48,IF(C1="USA", D52)))))))))))))</t>
  </si>
  <si>
    <t>Austrian 2</t>
  </si>
  <si>
    <t>Austrian 5</t>
  </si>
  <si>
    <t>Austrian 10</t>
  </si>
  <si>
    <t>Austrian 30</t>
  </si>
  <si>
    <t>Belgium 2</t>
  </si>
  <si>
    <t>Belgium 5</t>
  </si>
  <si>
    <t>Belgium 10</t>
  </si>
  <si>
    <t>Belgium 30</t>
  </si>
  <si>
    <t>Finland 2</t>
  </si>
  <si>
    <t>Finland 5</t>
  </si>
  <si>
    <t>Finland 10</t>
  </si>
  <si>
    <t>France 30</t>
  </si>
  <si>
    <t>France 2</t>
  </si>
  <si>
    <t>France 5</t>
  </si>
  <si>
    <t>France 10</t>
  </si>
  <si>
    <t>Germany 2</t>
  </si>
  <si>
    <t>Germany 5</t>
  </si>
  <si>
    <t>Germany 10</t>
  </si>
  <si>
    <t>Germany 30</t>
  </si>
  <si>
    <t>Greece 2</t>
  </si>
  <si>
    <t>Greece 5</t>
  </si>
  <si>
    <t>Greece 10</t>
  </si>
  <si>
    <t>Greece 30</t>
  </si>
  <si>
    <t>Ireland 2</t>
  </si>
  <si>
    <t>Ireland 5</t>
  </si>
  <si>
    <t>Ireland 10</t>
  </si>
  <si>
    <t>Italy 2</t>
  </si>
  <si>
    <t>Italy 5</t>
  </si>
  <si>
    <t>Italy 10</t>
  </si>
  <si>
    <t>Italy 30</t>
  </si>
  <si>
    <t>Netherlands 2</t>
  </si>
  <si>
    <t>Netherlands 5</t>
  </si>
  <si>
    <t>Netherlands 10</t>
  </si>
  <si>
    <t>Netherlands 30</t>
  </si>
  <si>
    <t>Portugal 2</t>
  </si>
  <si>
    <t>Portugal 5</t>
  </si>
  <si>
    <t>Portugal 10</t>
  </si>
  <si>
    <t>Portugal 30</t>
  </si>
  <si>
    <t>Spain 2</t>
  </si>
  <si>
    <t>Spain 5</t>
  </si>
  <si>
    <t>Spain 10</t>
  </si>
  <si>
    <t>Spain 30</t>
  </si>
  <si>
    <t>UK 2</t>
  </si>
  <si>
    <t>UK 5</t>
  </si>
  <si>
    <t>UK 10</t>
  </si>
  <si>
    <t>UK 30</t>
  </si>
  <si>
    <t>UST 2</t>
  </si>
  <si>
    <t>UST 5</t>
  </si>
  <si>
    <t>UST 10</t>
  </si>
  <si>
    <t>UST30</t>
  </si>
  <si>
    <t>US</t>
  </si>
  <si>
    <t>German</t>
  </si>
  <si>
    <t>EP</t>
  </si>
  <si>
    <t>ENQ</t>
  </si>
  <si>
    <t>TFE</t>
  </si>
  <si>
    <t>QFA</t>
  </si>
  <si>
    <t>DD</t>
  </si>
  <si>
    <t>DSX</t>
  </si>
  <si>
    <t>CLE</t>
  </si>
  <si>
    <t>GCE</t>
  </si>
  <si>
    <t>DJI</t>
  </si>
  <si>
    <t>PIL</t>
  </si>
  <si>
    <t>IND</t>
  </si>
  <si>
    <t>EU6</t>
  </si>
  <si>
    <t>BIX</t>
  </si>
  <si>
    <t>JNK</t>
  </si>
  <si>
    <t>ESB</t>
  </si>
  <si>
    <t xml:space="preserve">  BrokerTec 2-yr Treasury Yield</t>
  </si>
  <si>
    <t xml:space="preserve">  BrokerTec 3-yr Treasury Yield</t>
  </si>
  <si>
    <t xml:space="preserve">  BrokerTec 5-yr Treasury Yield</t>
  </si>
  <si>
    <t xml:space="preserve">  BrokerTec 10-yr Treasury Yield</t>
  </si>
  <si>
    <t xml:space="preserve">  BrokerTec 30-yr Treasury Yield</t>
  </si>
  <si>
    <t>Percent Net Change</t>
  </si>
  <si>
    <t>Bid Vol</t>
  </si>
  <si>
    <t>Bid</t>
  </si>
  <si>
    <t>Ask</t>
  </si>
  <si>
    <t>Ask Vol</t>
  </si>
  <si>
    <t>Percent NC</t>
  </si>
  <si>
    <t>NC</t>
  </si>
  <si>
    <t>Long Description</t>
  </si>
  <si>
    <t>Net Change</t>
  </si>
  <si>
    <t>CQG Markets and Fixed Income</t>
  </si>
  <si>
    <t>Fixed Income Description</t>
  </si>
  <si>
    <t>Copyright © 2017    Designed by Thom Hartle</t>
  </si>
  <si>
    <t>Year</t>
  </si>
  <si>
    <t>Month</t>
  </si>
  <si>
    <t>Day</t>
  </si>
  <si>
    <t>T.US.BUS02Y</t>
  </si>
  <si>
    <t>T.US.BUS03Y</t>
  </si>
  <si>
    <t>T.US.BUS05Y</t>
  </si>
  <si>
    <t>T.US.BUS07Y</t>
  </si>
  <si>
    <t>T.US.BUS10Y</t>
  </si>
  <si>
    <t>T.US.BUS30Y</t>
  </si>
  <si>
    <t>Historical Yield Curve</t>
  </si>
  <si>
    <t>BUS07Y</t>
  </si>
  <si>
    <t>BUS10Y</t>
  </si>
  <si>
    <t>BUS30Y</t>
  </si>
  <si>
    <t xml:space="preserve">Enter Month: </t>
  </si>
  <si>
    <t xml:space="preserve">Day: </t>
  </si>
  <si>
    <t xml:space="preserve">Year: </t>
  </si>
  <si>
    <t>Spr to 10y</t>
  </si>
  <si>
    <t>XBI</t>
  </si>
  <si>
    <t>RYT</t>
  </si>
  <si>
    <t>Sovereign Debt</t>
  </si>
  <si>
    <t>German Yield Curve</t>
  </si>
  <si>
    <t>United Kingdom Yield Curve</t>
  </si>
  <si>
    <t>US Treasury Yield Curve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</si>
</sst>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[$-F400]h:mm:ss\ AM/PM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0"/>
      <name val="Tahoma"/>
      <family val="2"/>
    </font>
    <font>
      <sz val="11"/>
      <color theme="0"/>
      <name val="Tahoma"/>
      <family val="2"/>
    </font>
    <font>
      <b/>
      <sz val="10"/>
      <color theme="0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entury Gothic"/>
      <family val="2"/>
    </font>
    <font>
      <sz val="12"/>
      <color theme="0"/>
      <name val="Tahoma"/>
      <family val="2"/>
    </font>
    <font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24"/>
      <color theme="4"/>
      <name val="Century Gothic"/>
      <family val="2"/>
    </font>
    <font>
      <sz val="11"/>
      <color rgb="FF00000F"/>
      <name val="Century Gothic"/>
      <family val="2"/>
    </font>
    <font>
      <sz val="11"/>
      <color rgb="FF00B050"/>
      <name val="Century Gothic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</fills>
  <borders count="65">
    <border>
      <left/>
      <right/>
      <top/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/>
      <top style="medium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medium">
        <color rgb="FF002060"/>
      </bottom>
      <diagonal/>
    </border>
    <border>
      <left style="medium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thin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/>
      <right/>
      <top style="medium">
        <color rgb="FF002060"/>
      </top>
      <bottom style="thin">
        <color rgb="FF002060"/>
      </bottom>
      <diagonal/>
    </border>
    <border>
      <left/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rgb="FF002060"/>
      </right>
      <top style="thin">
        <color theme="4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theme="4"/>
      </top>
      <bottom style="thin">
        <color rgb="FF002060"/>
      </bottom>
      <diagonal/>
    </border>
    <border>
      <left style="thin">
        <color rgb="FF002060"/>
      </left>
      <right/>
      <top style="thin">
        <color theme="4"/>
      </top>
      <bottom style="thin">
        <color rgb="FF002060"/>
      </bottom>
      <diagonal/>
    </border>
    <border>
      <left/>
      <right style="thin">
        <color rgb="FF002060"/>
      </right>
      <top style="thin">
        <color theme="4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theme="4"/>
      </top>
      <bottom style="thin">
        <color rgb="FF002060"/>
      </bottom>
      <diagonal/>
    </border>
    <border>
      <left style="thin">
        <color rgb="FF002060"/>
      </left>
      <right style="thin">
        <color theme="4"/>
      </right>
      <top style="thin">
        <color theme="4"/>
      </top>
      <bottom style="thin">
        <color rgb="FF002060"/>
      </bottom>
      <diagonal/>
    </border>
    <border>
      <left style="thin">
        <color theme="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theme="4"/>
      </right>
      <top style="thin">
        <color rgb="FF002060"/>
      </top>
      <bottom style="thin">
        <color rgb="FF002060"/>
      </bottom>
      <diagonal/>
    </border>
    <border>
      <left/>
      <right style="thin">
        <color theme="4"/>
      </right>
      <top style="thin">
        <color rgb="FF002060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theme="4"/>
      </left>
      <right/>
      <top style="thin">
        <color rgb="FF002060"/>
      </top>
      <bottom style="medium">
        <color rgb="FF002060"/>
      </bottom>
      <diagonal/>
    </border>
    <border>
      <left style="thin">
        <color theme="4"/>
      </left>
      <right/>
      <top style="medium">
        <color rgb="FF002060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 style="medium">
        <color rgb="FF002060"/>
      </bottom>
      <diagonal/>
    </border>
    <border>
      <left style="thin">
        <color theme="4"/>
      </left>
      <right/>
      <top/>
      <bottom style="medium">
        <color rgb="FF002060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medium">
        <color rgb="FF002060"/>
      </right>
      <top/>
      <bottom style="thin">
        <color theme="4"/>
      </bottom>
      <diagonal/>
    </border>
    <border>
      <left style="medium">
        <color rgb="FF002060"/>
      </left>
      <right/>
      <top/>
      <bottom style="thin">
        <color theme="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theme="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</borders>
  <cellStyleXfs count="2">
    <xf numFmtId="0" fontId="0" fillId="0" borderId="0"/>
    <xf numFmtId="0" fontId="7" fillId="0" borderId="0"/>
  </cellStyleXfs>
  <cellXfs count="154">
    <xf numFmtId="0" fontId="0" fillId="0" borderId="0" xfId="0"/>
    <xf numFmtId="0" fontId="0" fillId="2" borderId="0" xfId="0" applyFill="1"/>
    <xf numFmtId="0" fontId="13" fillId="3" borderId="31" xfId="0" applyFont="1" applyFill="1" applyBorder="1" applyAlignment="1" applyProtection="1">
      <alignment horizontal="left"/>
      <protection locked="0"/>
    </xf>
    <xf numFmtId="0" fontId="13" fillId="3" borderId="32" xfId="0" applyFont="1" applyFill="1" applyBorder="1" applyAlignment="1" applyProtection="1">
      <alignment horizontal="left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4" xfId="0" applyFont="1" applyFill="1" applyBorder="1" applyAlignment="1" applyProtection="1">
      <alignment horizontal="center" shrinkToFit="1"/>
      <protection locked="0"/>
    </xf>
    <xf numFmtId="0" fontId="13" fillId="0" borderId="5" xfId="0" applyFont="1" applyFill="1" applyBorder="1" applyAlignment="1" applyProtection="1">
      <alignment horizontal="center" shrinkToFit="1"/>
      <protection locked="0"/>
    </xf>
    <xf numFmtId="0" fontId="13" fillId="0" borderId="18" xfId="0" applyFont="1" applyFill="1" applyBorder="1" applyAlignment="1" applyProtection="1">
      <alignment shrinkToFit="1"/>
      <protection locked="0"/>
    </xf>
    <xf numFmtId="0" fontId="13" fillId="0" borderId="19" xfId="0" applyFont="1" applyFill="1" applyBorder="1" applyAlignment="1" applyProtection="1">
      <alignment shrinkToFit="1"/>
      <protection locked="0"/>
    </xf>
    <xf numFmtId="0" fontId="0" fillId="2" borderId="0" xfId="0" applyFill="1" applyBorder="1"/>
    <xf numFmtId="164" fontId="0" fillId="2" borderId="0" xfId="0" applyNumberFormat="1" applyFill="1" applyBorder="1"/>
    <xf numFmtId="2" fontId="0" fillId="2" borderId="0" xfId="0" applyNumberFormat="1" applyFill="1"/>
    <xf numFmtId="0" fontId="10" fillId="2" borderId="0" xfId="0" applyFont="1" applyFill="1" applyBorder="1"/>
    <xf numFmtId="0" fontId="6" fillId="2" borderId="0" xfId="1" applyFont="1" applyFill="1" applyBorder="1"/>
    <xf numFmtId="164" fontId="6" fillId="2" borderId="0" xfId="1" applyNumberFormat="1" applyFont="1" applyFill="1" applyBorder="1"/>
    <xf numFmtId="164" fontId="6" fillId="2" borderId="0" xfId="1" applyNumberFormat="1" applyFont="1" applyFill="1" applyBorder="1" applyAlignment="1">
      <alignment horizontal="center" vertical="center"/>
    </xf>
    <xf numFmtId="2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18" fillId="2" borderId="0" xfId="0" applyFont="1" applyFill="1"/>
    <xf numFmtId="164" fontId="0" fillId="2" borderId="0" xfId="0" applyNumberFormat="1" applyFill="1" applyAlignment="1">
      <alignment horizontal="center"/>
    </xf>
    <xf numFmtId="164" fontId="0" fillId="2" borderId="0" xfId="0" applyNumberFormat="1" applyFill="1"/>
    <xf numFmtId="0" fontId="6" fillId="2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right" vertical="center"/>
    </xf>
    <xf numFmtId="0" fontId="9" fillId="2" borderId="0" xfId="0" applyFont="1" applyFill="1"/>
    <xf numFmtId="164" fontId="12" fillId="2" borderId="0" xfId="0" applyNumberFormat="1" applyFont="1" applyFill="1"/>
    <xf numFmtId="164" fontId="9" fillId="2" borderId="0" xfId="0" applyNumberFormat="1" applyFont="1" applyFill="1"/>
    <xf numFmtId="164" fontId="8" fillId="2" borderId="0" xfId="0" applyNumberFormat="1" applyFont="1" applyFill="1"/>
    <xf numFmtId="164" fontId="5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0" fillId="2" borderId="0" xfId="0" applyFill="1" applyAlignment="1">
      <alignment horizontal="center" vertical="center"/>
    </xf>
    <xf numFmtId="10" fontId="0" fillId="2" borderId="0" xfId="0" applyNumberFormat="1" applyFill="1" applyAlignment="1">
      <alignment horizontal="left"/>
    </xf>
    <xf numFmtId="10" fontId="0" fillId="2" borderId="0" xfId="0" applyNumberFormat="1" applyFill="1" applyAlignment="1">
      <alignment horizontal="right"/>
    </xf>
    <xf numFmtId="0" fontId="4" fillId="2" borderId="0" xfId="0" applyFont="1" applyFill="1" applyProtection="1"/>
    <xf numFmtId="2" fontId="4" fillId="2" borderId="0" xfId="0" applyNumberFormat="1" applyFont="1" applyFill="1" applyProtection="1"/>
    <xf numFmtId="0" fontId="0" fillId="2" borderId="0" xfId="0" applyFill="1" applyProtection="1"/>
    <xf numFmtId="0" fontId="0" fillId="0" borderId="0" xfId="0" applyProtection="1"/>
    <xf numFmtId="0" fontId="3" fillId="2" borderId="0" xfId="0" applyFont="1" applyFill="1" applyAlignment="1" applyProtection="1">
      <alignment horizontal="center"/>
    </xf>
    <xf numFmtId="0" fontId="4" fillId="4" borderId="37" xfId="0" applyFont="1" applyFill="1" applyBorder="1" applyProtection="1"/>
    <xf numFmtId="0" fontId="14" fillId="2" borderId="0" xfId="0" applyFont="1" applyFill="1" applyAlignment="1" applyProtection="1">
      <alignment horizontal="center" vertical="center"/>
    </xf>
    <xf numFmtId="0" fontId="15" fillId="3" borderId="38" xfId="0" applyFont="1" applyFill="1" applyBorder="1" applyAlignment="1" applyProtection="1">
      <alignment horizontal="center" vertical="center"/>
    </xf>
    <xf numFmtId="0" fontId="15" fillId="3" borderId="39" xfId="0" applyFont="1" applyFill="1" applyBorder="1" applyAlignment="1" applyProtection="1">
      <alignment horizontal="center" vertical="center" shrinkToFit="1"/>
    </xf>
    <xf numFmtId="2" fontId="15" fillId="3" borderId="39" xfId="0" applyNumberFormat="1" applyFont="1" applyFill="1" applyBorder="1" applyAlignment="1" applyProtection="1">
      <alignment horizontal="center" vertical="center" shrinkToFit="1"/>
    </xf>
    <xf numFmtId="2" fontId="15" fillId="3" borderId="60" xfId="0" applyNumberFormat="1" applyFont="1" applyFill="1" applyBorder="1" applyAlignment="1" applyProtection="1">
      <alignment horizontal="center" vertical="center" shrinkToFit="1"/>
    </xf>
    <xf numFmtId="0" fontId="15" fillId="3" borderId="40" xfId="0" applyFont="1" applyFill="1" applyBorder="1" applyAlignment="1" applyProtection="1">
      <alignment horizontal="center" vertical="center" shrinkToFit="1"/>
    </xf>
    <xf numFmtId="0" fontId="16" fillId="2" borderId="0" xfId="0" applyFont="1" applyFill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13" fillId="3" borderId="44" xfId="0" applyFont="1" applyFill="1" applyBorder="1" applyAlignment="1" applyProtection="1">
      <alignment shrinkToFit="1"/>
    </xf>
    <xf numFmtId="10" fontId="13" fillId="0" borderId="5" xfId="0" applyNumberFormat="1" applyFont="1" applyFill="1" applyBorder="1" applyProtection="1"/>
    <xf numFmtId="10" fontId="2" fillId="0" borderId="5" xfId="0" applyNumberFormat="1" applyFont="1" applyFill="1" applyBorder="1" applyAlignment="1" applyProtection="1">
      <alignment horizontal="center" shrinkToFit="1"/>
    </xf>
    <xf numFmtId="2" fontId="13" fillId="0" borderId="5" xfId="0" applyNumberFormat="1" applyFont="1" applyFill="1" applyBorder="1" applyAlignment="1" applyProtection="1">
      <alignment shrinkToFit="1"/>
    </xf>
    <xf numFmtId="1" fontId="13" fillId="0" borderId="11" xfId="0" applyNumberFormat="1" applyFont="1" applyFill="1" applyBorder="1" applyAlignment="1" applyProtection="1">
      <alignment horizontal="center" shrinkToFit="1"/>
    </xf>
    <xf numFmtId="2" fontId="13" fillId="0" borderId="62" xfId="0" applyNumberFormat="1" applyFont="1" applyFill="1" applyBorder="1" applyAlignment="1" applyProtection="1">
      <alignment horizontal="center" shrinkToFit="1"/>
    </xf>
    <xf numFmtId="2" fontId="13" fillId="0" borderId="61" xfId="0" applyNumberFormat="1" applyFont="1" applyFill="1" applyBorder="1" applyAlignment="1" applyProtection="1">
      <alignment horizontal="center" shrinkToFit="1"/>
    </xf>
    <xf numFmtId="1" fontId="13" fillId="0" borderId="58" xfId="0" applyNumberFormat="1" applyFont="1" applyFill="1" applyBorder="1" applyAlignment="1" applyProtection="1">
      <alignment horizontal="center" shrinkToFit="1"/>
    </xf>
    <xf numFmtId="2" fontId="13" fillId="0" borderId="11" xfId="0" applyNumberFormat="1" applyFont="1" applyFill="1" applyBorder="1" applyAlignment="1" applyProtection="1">
      <alignment shrinkToFit="1"/>
    </xf>
    <xf numFmtId="0" fontId="13" fillId="0" borderId="13" xfId="0" applyFont="1" applyFill="1" applyBorder="1" applyProtection="1"/>
    <xf numFmtId="0" fontId="13" fillId="0" borderId="14" xfId="0" applyFont="1" applyFill="1" applyBorder="1" applyProtection="1"/>
    <xf numFmtId="0" fontId="13" fillId="0" borderId="46" xfId="0" applyFont="1" applyFill="1" applyBorder="1" applyProtection="1"/>
    <xf numFmtId="0" fontId="13" fillId="0" borderId="15" xfId="0" applyFont="1" applyFill="1" applyBorder="1" applyProtection="1"/>
    <xf numFmtId="0" fontId="13" fillId="0" borderId="0" xfId="0" applyFont="1" applyFill="1" applyBorder="1" applyProtection="1"/>
    <xf numFmtId="0" fontId="13" fillId="0" borderId="47" xfId="0" applyFont="1" applyFill="1" applyBorder="1" applyProtection="1"/>
    <xf numFmtId="10" fontId="13" fillId="0" borderId="8" xfId="0" applyNumberFormat="1" applyFont="1" applyFill="1" applyBorder="1" applyProtection="1"/>
    <xf numFmtId="10" fontId="2" fillId="0" borderId="8" xfId="0" applyNumberFormat="1" applyFont="1" applyFill="1" applyBorder="1" applyAlignment="1" applyProtection="1">
      <alignment horizontal="center" shrinkToFit="1"/>
    </xf>
    <xf numFmtId="2" fontId="13" fillId="0" borderId="8" xfId="0" applyNumberFormat="1" applyFont="1" applyFill="1" applyBorder="1" applyAlignment="1" applyProtection="1">
      <alignment shrinkToFit="1"/>
    </xf>
    <xf numFmtId="1" fontId="13" fillId="0" borderId="12" xfId="0" applyNumberFormat="1" applyFont="1" applyFill="1" applyBorder="1" applyAlignment="1" applyProtection="1">
      <alignment horizontal="center" shrinkToFit="1"/>
    </xf>
    <xf numFmtId="1" fontId="13" fillId="0" borderId="59" xfId="0" applyNumberFormat="1" applyFont="1" applyFill="1" applyBorder="1" applyAlignment="1" applyProtection="1">
      <alignment horizontal="center" shrinkToFit="1"/>
    </xf>
    <xf numFmtId="2" fontId="13" fillId="0" borderId="12" xfId="0" applyNumberFormat="1" applyFont="1" applyFill="1" applyBorder="1" applyAlignment="1" applyProtection="1">
      <alignment shrinkToFit="1"/>
    </xf>
    <xf numFmtId="0" fontId="13" fillId="3" borderId="48" xfId="0" applyFont="1" applyFill="1" applyBorder="1" applyAlignment="1" applyProtection="1">
      <alignment horizontal="center" vertical="center"/>
    </xf>
    <xf numFmtId="0" fontId="13" fillId="3" borderId="2" xfId="0" applyFont="1" applyFill="1" applyBorder="1" applyAlignment="1" applyProtection="1">
      <alignment horizontal="center" vertical="center" shrinkToFit="1"/>
    </xf>
    <xf numFmtId="0" fontId="13" fillId="3" borderId="3" xfId="0" applyFont="1" applyFill="1" applyBorder="1" applyAlignment="1" applyProtection="1">
      <alignment horizontal="center" vertical="center" shrinkToFit="1"/>
    </xf>
    <xf numFmtId="0" fontId="13" fillId="3" borderId="1" xfId="0" applyFont="1" applyFill="1" applyBorder="1" applyAlignment="1" applyProtection="1">
      <alignment horizontal="center"/>
    </xf>
    <xf numFmtId="2" fontId="13" fillId="0" borderId="3" xfId="0" applyNumberFormat="1" applyFont="1" applyFill="1" applyBorder="1" applyAlignment="1" applyProtection="1">
      <alignment horizontal="center" shrinkToFit="1"/>
    </xf>
    <xf numFmtId="0" fontId="13" fillId="3" borderId="44" xfId="0" applyFont="1" applyFill="1" applyBorder="1" applyAlignment="1" applyProtection="1">
      <alignment horizontal="left"/>
    </xf>
    <xf numFmtId="164" fontId="13" fillId="0" borderId="5" xfId="0" applyNumberFormat="1" applyFont="1" applyFill="1" applyBorder="1" applyAlignment="1" applyProtection="1">
      <alignment horizontal="center" vertical="center" shrinkToFit="1"/>
    </xf>
    <xf numFmtId="164" fontId="13" fillId="0" borderId="11" xfId="0" applyNumberFormat="1" applyFont="1" applyFill="1" applyBorder="1" applyAlignment="1" applyProtection="1">
      <alignment horizontal="center" vertical="center" shrinkToFit="1"/>
    </xf>
    <xf numFmtId="164" fontId="13" fillId="0" borderId="6" xfId="0" applyNumberFormat="1" applyFont="1" applyFill="1" applyBorder="1" applyAlignment="1" applyProtection="1">
      <alignment horizontal="center" vertical="center" shrinkToFit="1"/>
    </xf>
    <xf numFmtId="0" fontId="13" fillId="3" borderId="25" xfId="0" applyFont="1" applyFill="1" applyBorder="1" applyAlignment="1" applyProtection="1">
      <alignment horizontal="center"/>
    </xf>
    <xf numFmtId="0" fontId="13" fillId="3" borderId="4" xfId="0" applyFont="1" applyFill="1" applyBorder="1" applyAlignment="1" applyProtection="1">
      <alignment horizontal="center"/>
    </xf>
    <xf numFmtId="2" fontId="13" fillId="0" borderId="6" xfId="0" applyNumberFormat="1" applyFont="1" applyFill="1" applyBorder="1" applyAlignment="1" applyProtection="1">
      <alignment horizontal="center" shrinkToFit="1"/>
    </xf>
    <xf numFmtId="0" fontId="13" fillId="0" borderId="29" xfId="0" applyFont="1" applyFill="1" applyBorder="1" applyAlignment="1" applyProtection="1">
      <alignment horizontal="center"/>
    </xf>
    <xf numFmtId="2" fontId="13" fillId="0" borderId="63" xfId="0" applyNumberFormat="1" applyFont="1" applyFill="1" applyBorder="1" applyAlignment="1" applyProtection="1">
      <alignment horizontal="center" shrinkToFit="1"/>
    </xf>
    <xf numFmtId="0" fontId="13" fillId="3" borderId="58" xfId="0" applyFont="1" applyFill="1" applyBorder="1" applyAlignment="1" applyProtection="1">
      <alignment horizontal="center"/>
    </xf>
    <xf numFmtId="0" fontId="13" fillId="3" borderId="49" xfId="0" applyFont="1" applyFill="1" applyBorder="1" applyAlignment="1" applyProtection="1">
      <alignment horizontal="left"/>
    </xf>
    <xf numFmtId="164" fontId="13" fillId="0" borderId="21" xfId="0" applyNumberFormat="1" applyFont="1" applyFill="1" applyBorder="1" applyAlignment="1" applyProtection="1">
      <alignment horizontal="center" vertical="center" shrinkToFit="1"/>
    </xf>
    <xf numFmtId="1" fontId="13" fillId="0" borderId="64" xfId="0" applyNumberFormat="1" applyFont="1" applyFill="1" applyBorder="1" applyAlignment="1" applyProtection="1">
      <alignment horizontal="center"/>
    </xf>
    <xf numFmtId="2" fontId="13" fillId="0" borderId="9" xfId="0" applyNumberFormat="1" applyFont="1" applyFill="1" applyBorder="1" applyAlignment="1" applyProtection="1">
      <alignment horizontal="center" shrinkToFit="1"/>
    </xf>
    <xf numFmtId="0" fontId="13" fillId="0" borderId="50" xfId="0" applyFont="1" applyFill="1" applyBorder="1" applyProtection="1"/>
    <xf numFmtId="0" fontId="13" fillId="0" borderId="23" xfId="0" applyFont="1" applyFill="1" applyBorder="1" applyProtection="1"/>
    <xf numFmtId="0" fontId="13" fillId="0" borderId="24" xfId="0" applyFont="1" applyFill="1" applyBorder="1" applyProtection="1"/>
    <xf numFmtId="164" fontId="13" fillId="0" borderId="22" xfId="0" applyNumberFormat="1" applyFont="1" applyFill="1" applyBorder="1" applyProtection="1"/>
    <xf numFmtId="0" fontId="13" fillId="0" borderId="51" xfId="0" applyFont="1" applyFill="1" applyBorder="1" applyProtection="1"/>
    <xf numFmtId="0" fontId="13" fillId="0" borderId="16" xfId="0" applyFont="1" applyFill="1" applyBorder="1" applyProtection="1"/>
    <xf numFmtId="0" fontId="13" fillId="0" borderId="0" xfId="0" applyFont="1" applyFill="1" applyBorder="1" applyAlignment="1" applyProtection="1">
      <alignment horizontal="center" vertical="center"/>
    </xf>
    <xf numFmtId="0" fontId="13" fillId="0" borderId="16" xfId="0" applyFont="1" applyFill="1" applyBorder="1" applyAlignment="1" applyProtection="1">
      <alignment horizontal="center" vertical="center"/>
    </xf>
    <xf numFmtId="0" fontId="13" fillId="0" borderId="15" xfId="0" applyFont="1" applyFill="1" applyBorder="1" applyAlignment="1" applyProtection="1">
      <alignment horizontal="center" vertical="center"/>
    </xf>
    <xf numFmtId="164" fontId="13" fillId="0" borderId="16" xfId="0" applyNumberFormat="1" applyFont="1" applyFill="1" applyBorder="1" applyAlignment="1" applyProtection="1">
      <alignment horizontal="center" vertical="center"/>
    </xf>
    <xf numFmtId="164" fontId="13" fillId="0" borderId="15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Protection="1"/>
    <xf numFmtId="0" fontId="13" fillId="0" borderId="15" xfId="0" applyFont="1" applyFill="1" applyBorder="1" applyAlignment="1" applyProtection="1">
      <alignment horizontal="center" shrinkToFit="1"/>
    </xf>
    <xf numFmtId="0" fontId="13" fillId="0" borderId="0" xfId="0" applyFont="1" applyFill="1" applyBorder="1" applyAlignment="1" applyProtection="1">
      <alignment horizontal="center" shrinkToFit="1"/>
    </xf>
    <xf numFmtId="0" fontId="13" fillId="0" borderId="17" xfId="0" applyFont="1" applyFill="1" applyBorder="1" applyProtection="1"/>
    <xf numFmtId="0" fontId="13" fillId="0" borderId="18" xfId="0" applyFont="1" applyFill="1" applyBorder="1" applyProtection="1"/>
    <xf numFmtId="0" fontId="13" fillId="0" borderId="19" xfId="0" applyFont="1" applyFill="1" applyBorder="1" applyProtection="1"/>
    <xf numFmtId="0" fontId="13" fillId="0" borderId="52" xfId="0" applyFont="1" applyFill="1" applyBorder="1" applyProtection="1"/>
    <xf numFmtId="0" fontId="13" fillId="3" borderId="31" xfId="0" applyFont="1" applyFill="1" applyBorder="1" applyAlignment="1" applyProtection="1">
      <alignment horizontal="right"/>
    </xf>
    <xf numFmtId="0" fontId="13" fillId="0" borderId="17" xfId="0" applyFont="1" applyFill="1" applyBorder="1" applyAlignment="1" applyProtection="1">
      <alignment shrinkToFit="1"/>
    </xf>
    <xf numFmtId="0" fontId="13" fillId="0" borderId="18" xfId="0" applyFont="1" applyFill="1" applyBorder="1" applyAlignment="1" applyProtection="1">
      <alignment shrinkToFit="1"/>
    </xf>
    <xf numFmtId="0" fontId="13" fillId="0" borderId="53" xfId="0" applyFont="1" applyFill="1" applyBorder="1" applyProtection="1"/>
    <xf numFmtId="0" fontId="13" fillId="0" borderId="54" xfId="0" applyFont="1" applyFill="1" applyBorder="1" applyProtection="1"/>
    <xf numFmtId="0" fontId="13" fillId="0" borderId="33" xfId="0" applyFont="1" applyFill="1" applyBorder="1" applyProtection="1"/>
    <xf numFmtId="0" fontId="13" fillId="0" borderId="55" xfId="0" applyFont="1" applyFill="1" applyBorder="1" applyProtection="1"/>
    <xf numFmtId="0" fontId="13" fillId="0" borderId="56" xfId="0" applyFont="1" applyFill="1" applyBorder="1" applyProtection="1"/>
    <xf numFmtId="0" fontId="13" fillId="0" borderId="34" xfId="0" applyFont="1" applyFill="1" applyBorder="1" applyProtection="1"/>
    <xf numFmtId="0" fontId="13" fillId="2" borderId="0" xfId="0" applyFont="1" applyFill="1" applyProtection="1"/>
    <xf numFmtId="22" fontId="13" fillId="3" borderId="54" xfId="0" applyNumberFormat="1" applyFont="1" applyFill="1" applyBorder="1" applyAlignment="1" applyProtection="1">
      <alignment horizontal="center"/>
    </xf>
    <xf numFmtId="0" fontId="13" fillId="3" borderId="33" xfId="0" applyFont="1" applyFill="1" applyBorder="1" applyAlignment="1" applyProtection="1"/>
    <xf numFmtId="0" fontId="13" fillId="3" borderId="34" xfId="0" applyFont="1" applyFill="1" applyBorder="1" applyAlignment="1" applyProtection="1"/>
    <xf numFmtId="0" fontId="11" fillId="2" borderId="0" xfId="0" applyFont="1" applyFill="1" applyProtection="1"/>
    <xf numFmtId="0" fontId="0" fillId="2" borderId="0" xfId="0" applyFont="1" applyFill="1" applyProtection="1"/>
    <xf numFmtId="14" fontId="0" fillId="2" borderId="0" xfId="0" applyNumberFormat="1" applyFont="1" applyFill="1" applyProtection="1"/>
    <xf numFmtId="0" fontId="1" fillId="2" borderId="0" xfId="0" applyFont="1" applyFill="1" applyProtection="1"/>
    <xf numFmtId="0" fontId="20" fillId="2" borderId="0" xfId="0" applyFont="1" applyFill="1" applyProtection="1"/>
    <xf numFmtId="0" fontId="13" fillId="6" borderId="7" xfId="0" applyFont="1" applyFill="1" applyBorder="1" applyAlignment="1" applyProtection="1">
      <alignment horizontal="center"/>
    </xf>
    <xf numFmtId="0" fontId="13" fillId="5" borderId="30" xfId="0" applyFont="1" applyFill="1" applyBorder="1" applyAlignment="1" applyProtection="1">
      <alignment horizontal="center"/>
    </xf>
    <xf numFmtId="0" fontId="13" fillId="5" borderId="31" xfId="0" applyFont="1" applyFill="1" applyBorder="1" applyAlignment="1" applyProtection="1">
      <alignment horizontal="center"/>
    </xf>
    <xf numFmtId="0" fontId="13" fillId="5" borderId="32" xfId="0" applyFont="1" applyFill="1" applyBorder="1" applyAlignment="1" applyProtection="1">
      <alignment horizontal="center"/>
    </xf>
    <xf numFmtId="165" fontId="17" fillId="4" borderId="36" xfId="0" applyNumberFormat="1" applyFont="1" applyFill="1" applyBorder="1" applyAlignment="1" applyProtection="1">
      <alignment horizontal="center"/>
    </xf>
    <xf numFmtId="165" fontId="17" fillId="4" borderId="35" xfId="0" applyNumberFormat="1" applyFont="1" applyFill="1" applyBorder="1" applyAlignment="1" applyProtection="1">
      <alignment horizontal="center"/>
    </xf>
    <xf numFmtId="0" fontId="17" fillId="0" borderId="36" xfId="0" applyFont="1" applyFill="1" applyBorder="1" applyAlignment="1" applyProtection="1">
      <alignment horizontal="center"/>
    </xf>
    <xf numFmtId="0" fontId="15" fillId="3" borderId="42" xfId="0" applyFont="1" applyFill="1" applyBorder="1" applyAlignment="1" applyProtection="1">
      <alignment horizontal="center" vertical="center"/>
    </xf>
    <xf numFmtId="0" fontId="15" fillId="3" borderId="39" xfId="0" applyFont="1" applyFill="1" applyBorder="1" applyAlignment="1" applyProtection="1">
      <alignment horizontal="center" vertical="center"/>
    </xf>
    <xf numFmtId="0" fontId="13" fillId="3" borderId="39" xfId="0" applyFont="1" applyFill="1" applyBorder="1" applyAlignment="1" applyProtection="1">
      <alignment horizontal="center"/>
    </xf>
    <xf numFmtId="0" fontId="13" fillId="3" borderId="43" xfId="0" applyFont="1" applyFill="1" applyBorder="1" applyAlignment="1" applyProtection="1">
      <alignment horizontal="center"/>
    </xf>
    <xf numFmtId="0" fontId="13" fillId="3" borderId="5" xfId="0" applyFont="1" applyFill="1" applyBorder="1" applyAlignment="1" applyProtection="1">
      <alignment horizontal="center"/>
    </xf>
    <xf numFmtId="0" fontId="13" fillId="3" borderId="45" xfId="0" applyFont="1" applyFill="1" applyBorder="1" applyAlignment="1" applyProtection="1">
      <alignment horizontal="center"/>
    </xf>
    <xf numFmtId="0" fontId="13" fillId="0" borderId="15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15" fillId="3" borderId="40" xfId="0" applyFont="1" applyFill="1" applyBorder="1" applyAlignment="1" applyProtection="1">
      <alignment horizontal="center" vertical="center" shrinkToFit="1"/>
    </xf>
    <xf numFmtId="0" fontId="15" fillId="3" borderId="41" xfId="0" applyFont="1" applyFill="1" applyBorder="1" applyAlignment="1" applyProtection="1">
      <alignment horizontal="center" vertical="center" shrinkToFit="1"/>
    </xf>
    <xf numFmtId="0" fontId="13" fillId="3" borderId="26" xfId="0" applyFont="1" applyFill="1" applyBorder="1" applyAlignment="1" applyProtection="1">
      <alignment horizontal="center"/>
    </xf>
    <xf numFmtId="0" fontId="13" fillId="3" borderId="27" xfId="0" applyFont="1" applyFill="1" applyBorder="1" applyAlignment="1" applyProtection="1">
      <alignment horizontal="center"/>
    </xf>
    <xf numFmtId="0" fontId="13" fillId="3" borderId="18" xfId="0" applyFont="1" applyFill="1" applyBorder="1" applyAlignment="1" applyProtection="1">
      <alignment horizontal="center"/>
    </xf>
    <xf numFmtId="0" fontId="13" fillId="3" borderId="28" xfId="0" applyFont="1" applyFill="1" applyBorder="1" applyAlignment="1" applyProtection="1">
      <alignment horizontal="center"/>
    </xf>
    <xf numFmtId="0" fontId="13" fillId="3" borderId="10" xfId="0" applyFont="1" applyFill="1" applyBorder="1" applyAlignment="1" applyProtection="1">
      <alignment horizontal="center" vertical="center" shrinkToFit="1"/>
    </xf>
    <xf numFmtId="0" fontId="13" fillId="3" borderId="20" xfId="0" applyFont="1" applyFill="1" applyBorder="1" applyAlignment="1" applyProtection="1">
      <alignment horizontal="center" vertical="center" shrinkToFit="1"/>
    </xf>
    <xf numFmtId="0" fontId="13" fillId="3" borderId="30" xfId="0" applyFont="1" applyFill="1" applyBorder="1" applyAlignment="1" applyProtection="1">
      <alignment horizontal="center"/>
    </xf>
    <xf numFmtId="0" fontId="13" fillId="3" borderId="31" xfId="0" applyFont="1" applyFill="1" applyBorder="1" applyAlignment="1" applyProtection="1">
      <alignment horizontal="center"/>
    </xf>
    <xf numFmtId="0" fontId="13" fillId="3" borderId="31" xfId="0" applyFont="1" applyFill="1" applyBorder="1" applyAlignment="1" applyProtection="1">
      <alignment horizontal="right"/>
    </xf>
    <xf numFmtId="0" fontId="0" fillId="2" borderId="0" xfId="0" applyFill="1" applyAlignment="1">
      <alignment horizontal="right"/>
    </xf>
    <xf numFmtId="164" fontId="19" fillId="0" borderId="57" xfId="0" applyNumberFormat="1" applyFont="1" applyFill="1" applyBorder="1" applyAlignment="1" applyProtection="1">
      <alignment horizontal="center" shrinkToFit="1"/>
    </xf>
    <xf numFmtId="0" fontId="13" fillId="0" borderId="63" xfId="0" applyNumberFormat="1" applyFont="1" applyFill="1" applyBorder="1" applyAlignment="1" applyProtection="1">
      <alignment horizontal="center" shrinkToFi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7</v>
        <stp/>
        <stp>ContractData</stp>
        <stp>ENQ</stp>
        <stp>MT_LastBidVolume</stp>
        <stp/>
        <stp>T</stp>
        <tr r="H5" s="1"/>
      </tp>
      <tp>
        <v>1336.4</v>
        <stp/>
        <stp>ContractData</stp>
        <stp>GCE</stp>
        <stp>LastTrade</stp>
        <stp/>
        <stp>T</stp>
        <tr r="F12" s="1"/>
      </tp>
      <tp>
        <v>403</v>
        <stp/>
        <stp>ContractData</stp>
        <stp>ESB</stp>
        <stp>MT_LastBidVolume</stp>
        <stp/>
        <stp>T</stp>
        <tr r="H10" s="1"/>
      </tp>
      <tp>
        <v>2644</v>
        <stp/>
        <stp>ContractData</stp>
        <stp>DSX</stp>
        <stp>MT_LastBidVolume</stp>
        <stp/>
        <stp>T</stp>
        <tr r="H9" s="1"/>
      </tp>
      <tp>
        <v>30</v>
        <stp/>
        <stp>ContractData</stp>
        <stp>GCE</stp>
        <stp>MT_LastBidVolume</stp>
        <stp/>
        <stp>T</stp>
        <tr r="H12" s="1"/>
      </tp>
      <tp>
        <v>1219</v>
        <stp/>
        <stp>ContractData</stp>
        <stp>FVA</stp>
        <stp>MT_LastBidVolume</stp>
        <stp/>
        <stp>T</stp>
        <tr r="H18" s="1"/>
      </tp>
      <tp>
        <v>1606.5</v>
        <stp/>
        <stp>ContractData</stp>
        <stp>TFE</stp>
        <stp>LastTrade</stp>
        <stp/>
        <stp>T</stp>
        <tr r="F6" s="1"/>
      </tp>
      <tp>
        <v>7680.5</v>
        <stp/>
        <stp>ContractData</stp>
        <stp>QFA</stp>
        <stp>LastTrade</stp>
        <stp/>
        <stp>T</stp>
        <tr r="F7" s="1"/>
      </tp>
      <tp>
        <v>22</v>
        <stp/>
        <stp>ContractData</stp>
        <stp>CLE</stp>
        <stp>MT_LastBidVolume</stp>
        <stp/>
        <stp>T</stp>
        <tr r="H11" s="1"/>
      </tp>
      <tp>
        <v>-0.70000000000000007</v>
        <stp/>
        <stp>ContractData</stp>
        <stp>ESB</stp>
        <stp>NetChange</stp>
        <stp/>
        <stp>T</stp>
        <tr r="G10" s="1"/>
      </tp>
      <tp>
        <v>4</v>
        <stp/>
        <stp>ContractData</stp>
        <stp>DSX</stp>
        <stp>NetChange</stp>
        <stp/>
        <stp>T</stp>
        <tr r="G9" s="1"/>
      </tp>
      <tp>
        <v>53</v>
        <stp/>
        <stp>ContractData</stp>
        <stp>ULA</stp>
        <stp>MT_LastAskVolume</stp>
        <stp/>
        <stp>T</stp>
        <tr r="L15" s="1"/>
      </tp>
      <tp>
        <v>296</v>
        <stp/>
        <stp>ContractData</stp>
        <stp>USA</stp>
        <stp>MT_LastAskVolume</stp>
        <stp/>
        <stp>T</stp>
        <tr r="K15" s="1"/>
      </tp>
      <tp>
        <v>68</v>
        <stp/>
        <stp>ContractData</stp>
        <stp>TNA</stp>
        <stp>MT_LastAskVolume</stp>
        <stp/>
        <stp>T</stp>
        <tr r="J15" s="1"/>
      </tp>
      <tp>
        <v>12</v>
        <stp/>
        <stp>ContractData</stp>
        <stp>TFE</stp>
        <stp>MT_LastAskVolume</stp>
        <stp/>
        <stp>T</stp>
        <tr r="K6" s="1"/>
      </tp>
      <tp>
        <v>1364</v>
        <stp/>
        <stp>ContractData</stp>
        <stp>TYA</stp>
        <stp>MT_LastAskVolume</stp>
        <stp/>
        <stp>T</stp>
        <tr r="I15" s="1"/>
      </tp>
      <tp>
        <v>416855</v>
        <stp/>
        <stp>ContractData</stp>
        <stp>TUA</stp>
        <stp>MT_LastAskVolume</stp>
        <stp/>
        <stp>T</stp>
        <tr r="G15" s="1"/>
      </tp>
      <tp>
        <v>6970</v>
        <stp/>
        <stp>ContractData</stp>
        <stp>ENQ</stp>
        <stp>LastTrade</stp>
        <stp/>
        <stp>T</stp>
        <tr r="F5" s="1"/>
      </tp>
      <tp>
        <v>17</v>
        <stp/>
        <stp>ContractData</stp>
        <stp>QFA</stp>
        <stp>MT_LastAskVolume</stp>
        <stp/>
        <stp>T</stp>
        <tr r="K7" s="1"/>
      </tp>
      <tp>
        <v>64.61</v>
        <stp/>
        <stp>ContractData</stp>
        <stp>CLE</stp>
        <stp>LastTrade</stp>
        <stp/>
        <stp>T</stp>
        <tr r="F11" s="1"/>
      </tp>
      <tp>
        <v>61</v>
        <stp/>
        <stp>ContractData</stp>
        <stp>ULA</stp>
        <stp>MT_LastBidVolume</stp>
        <stp/>
        <stp>T</stp>
        <tr r="L18" s="1"/>
      </tp>
      <tp>
        <v>141.5</v>
        <stp/>
        <stp>ContractData</stp>
        <stp>ESB</stp>
        <stp>LastTrade</stp>
        <stp/>
        <stp>T</stp>
        <tr r="F10" s="1"/>
      </tp>
      <tp>
        <v>391</v>
        <stp/>
        <stp>ContractData</stp>
        <stp>USA</stp>
        <stp>MT_LastBidVolume</stp>
        <stp/>
        <stp>T</stp>
        <tr r="K18" s="1"/>
      </tp>
      <tp>
        <v>3659</v>
        <stp/>
        <stp>ContractData</stp>
        <stp>DSX</stp>
        <stp>LastTrade</stp>
        <stp/>
        <stp>T</stp>
        <tr r="F9" s="1"/>
      </tp>
      <tp>
        <v>4</v>
        <stp/>
        <stp>ContractData</stp>
        <stp>TFE</stp>
        <stp>MT_LastBidVolume</stp>
        <stp/>
        <stp>T</stp>
        <tr r="H6" s="1"/>
      </tp>
      <tp>
        <v>317</v>
        <stp/>
        <stp>ContractData</stp>
        <stp>TNA</stp>
        <stp>MT_LastBidVolume</stp>
        <stp/>
        <stp>T</stp>
        <tr r="J18" s="1"/>
      </tp>
      <tp>
        <v>2895</v>
        <stp/>
        <stp>ContractData</stp>
        <stp>TUA</stp>
        <stp>MT_LastBidVolume</stp>
        <stp/>
        <stp>T</stp>
        <tr r="G18" s="1"/>
      </tp>
      <tp>
        <v>3191</v>
        <stp/>
        <stp>ContractData</stp>
        <stp>TYA</stp>
        <stp>MT_LastBidVolume</stp>
        <stp/>
        <stp>T</stp>
        <tr r="I18" s="1"/>
      </tp>
      <tp>
        <v>-4.0000000000000001E-3</v>
        <stp/>
        <stp>ContractData</stp>
        <stp>IGB10Y</stp>
        <stp>NetChange</stp>
        <stp/>
        <stp>T</stp>
        <tr r="K42" s="5"/>
      </tp>
      <tp>
        <v>-1.0999999999999999E-2</v>
        <stp/>
        <stp>ContractData</stp>
        <stp>IGB30Y</stp>
        <stp>NetChange</stp>
        <stp/>
        <stp>T</stp>
        <tr r="K43" s="5"/>
      </tp>
      <tp>
        <v>-1.3000000000000001E-2</v>
        <stp/>
        <stp>ContractData</stp>
        <stp>IDE10Y</stp>
        <stp>NetChange</stp>
        <stp/>
        <stp>T</stp>
        <tr r="G42" s="5"/>
      </tp>
      <tp>
        <v>-2.1000000000000001E-2</v>
        <stp/>
        <stp>ContractData</stp>
        <stp>IDE30Y</stp>
        <stp>NetChange</stp>
        <stp/>
        <stp>T</stp>
        <tr r="G43" s="5"/>
      </tp>
      <tp>
        <v>-0.5</v>
        <stp/>
        <stp>ContractData</stp>
        <stp>TFE</stp>
        <stp>NetChange</stp>
        <stp/>
        <stp>T</stp>
        <tr r="G6" s="1"/>
      </tp>
      <tp>
        <v>2</v>
        <stp/>
        <stp>ContractData</stp>
        <stp>QFA</stp>
        <stp>NetChange</stp>
        <stp/>
        <stp>T</stp>
        <tr r="G7" s="1"/>
      </tp>
      <tp>
        <v>3.1E-2</v>
        <stp/>
        <stp>ContractData</stp>
        <stp>IGB02Y</stp>
        <stp>NetChange</stp>
        <stp/>
        <stp>T</stp>
        <tr r="K40" s="5"/>
      </tp>
      <tp>
        <v>-1E-3</v>
        <stp/>
        <stp>ContractData</stp>
        <stp>IDE02Y</stp>
        <stp>NetChange</stp>
        <stp/>
        <stp>T</stp>
        <tr r="G40" s="5"/>
      </tp>
      <tp>
        <v>10</v>
        <stp/>
        <stp>ContractData</stp>
        <stp>QFA</stp>
        <stp>MT_LastBidVolume</stp>
        <stp/>
        <stp>T</stp>
        <tr r="H7" s="1"/>
      </tp>
      <tp>
        <v>1.2E-2</v>
        <stp/>
        <stp>ContractData</stp>
        <stp>IGB05Y</stp>
        <stp>NetChange</stp>
        <stp/>
        <stp>T</stp>
        <tr r="K41" s="5"/>
      </tp>
      <tp>
        <v>-1E-3</v>
        <stp/>
        <stp>ContractData</stp>
        <stp>IDE05Y</stp>
        <stp>NetChange</stp>
        <stp/>
        <stp>T</stp>
        <tr r="G41" s="5"/>
      </tp>
      <tp>
        <v>4.5</v>
        <stp/>
        <stp>ContractData</stp>
        <stp>GCE</stp>
        <stp>NetChange</stp>
        <stp/>
        <stp>T</stp>
        <tr r="G12" s="1"/>
      </tp>
      <tp>
        <v>1.04</v>
        <stp/>
        <stp>ContractData</stp>
        <stp>CLE</stp>
        <stp>NetChange</stp>
        <stp/>
        <stp>T</stp>
        <tr r="G11" s="1"/>
      </tp>
      <tp>
        <v>34</v>
        <stp/>
        <stp>ContractData</stp>
        <stp>GCE</stp>
        <stp>MT_LastAskVolume</stp>
        <stp/>
        <stp>T</stp>
        <tr r="K12" s="1"/>
      </tp>
      <tp>
        <v>-8.0000000000000002E-3</v>
        <stp/>
        <stp>ContractData</stp>
        <stp>BUS02Y</stp>
        <stp>NetChange</stp>
        <stp/>
        <stp>T</stp>
        <tr r="D2" s="3"/>
        <tr r="C39" s="5"/>
      </tp>
      <tp>
        <v>3325</v>
        <stp/>
        <stp>ContractData</stp>
        <stp>FVA</stp>
        <stp>MT_LastAskVolume</stp>
        <stp/>
        <stp>T</stp>
        <tr r="H15" s="1"/>
      </tp>
      <tp>
        <v>-1.9E-2</v>
        <stp/>
        <stp>ContractData</stp>
        <stp>BUS03Y</stp>
        <stp>NetChange</stp>
        <stp/>
        <stp>T</stp>
        <tr r="D3" s="3"/>
      </tp>
      <tp>
        <v>-4.0000000000000001E-3</v>
        <stp/>
        <stp>IPTY05!NetChange,T</stp>
        <tr r="E39" s="6"/>
      </tp>
      <tp>
        <v>-1E-3</v>
        <stp/>
        <stp>IPTY02!NetChange,T</stp>
        <tr r="E38" s="6"/>
      </tp>
      <tp>
        <v>-1.7000000000000001E-2</v>
        <stp/>
        <stp>INLY02!NetChange,T</stp>
        <tr r="E34" s="6"/>
      </tp>
      <tp>
        <v>1.7000000000000001E-2</v>
        <stp/>
        <stp>IIEY05!NetChange,T</stp>
        <tr r="E28" s="6"/>
      </tp>
      <tp>
        <v>-6.6000000000000003E-2</v>
        <stp/>
        <stp>IITY05!NetChange,T</stp>
        <tr r="E31" s="6"/>
      </tp>
      <tp>
        <v>2E-3</v>
        <stp/>
        <stp>INLY05!NetChange,T</stp>
        <tr r="E35" s="6"/>
      </tp>
      <tp>
        <v>9.0000000000000011E-3</v>
        <stp/>
        <stp>IIEY02!NetChange,T</stp>
        <tr r="E27" s="6"/>
      </tp>
      <tp>
        <v>-1.0999999999999999E-2</v>
        <stp/>
        <stp>IITY02!NetChange,T</stp>
        <tr r="E30" s="6"/>
      </tp>
      <tp>
        <v>3.1E-2</v>
        <stp/>
        <stp>IGBY02!NetChange,T</stp>
        <tr r="E46" s="6"/>
      </tp>
      <tp>
        <v>5.0000000000000001E-3</v>
        <stp/>
        <stp>IFIY02!NetChange,T</stp>
        <tr r="E12" s="6"/>
      </tp>
      <tp>
        <v>2E-3</v>
        <stp/>
        <stp>IATY05!NetChange,T</stp>
        <tr r="E5" s="6"/>
      </tp>
      <tp>
        <v>9.0000000000000011E-3</v>
        <stp/>
        <stp>IFRY02!NetChange,T</stp>
        <tr r="E15" s="6"/>
      </tp>
      <tp>
        <v>7.0000000000000001E-3</v>
        <stp/>
        <stp>IBEY05!NetChange,T</stp>
        <tr r="E9" s="6"/>
      </tp>
      <tp>
        <v>-1.8000000000000002E-2</v>
        <stp/>
        <stp>IESY02!NetChange,T</stp>
        <tr r="E42" s="6"/>
      </tp>
      <tp>
        <v>-1E-3</v>
        <stp/>
        <stp>IDEY02!NetChange,T</stp>
        <tr r="E19" s="6"/>
      </tp>
      <tp>
        <v>-1E-3</v>
        <stp/>
        <stp>IDEY05!NetChange,T</stp>
        <tr r="E20" s="6"/>
      </tp>
      <tp>
        <v>-2.1999999999999999E-2</v>
        <stp/>
        <stp>IESY05!NetChange,T</stp>
        <tr r="E43" s="6"/>
      </tp>
      <tp>
        <v>-3.0000000000000001E-3</v>
        <stp/>
        <stp>IFIY05!NetChange,T</stp>
        <tr r="E13" s="6"/>
      </tp>
      <tp>
        <v>-1.6E-2</v>
        <stp/>
        <stp>IATY02!NetChange,T</stp>
        <tr r="E4" s="6"/>
      </tp>
      <tp>
        <v>-5.0000000000000001E-3</v>
        <stp/>
        <stp>IFRY05!NetChange,T</stp>
        <tr r="E16" s="6"/>
      </tp>
      <tp>
        <v>1.2E-2</v>
        <stp/>
        <stp>IGBY05!NetChange,T</stp>
        <tr r="E47" s="6"/>
      </tp>
      <tp>
        <v>-8.0000000000000002E-3</v>
        <stp/>
        <stp>IPTY10!NetChange,T</stp>
        <tr r="E40" s="6"/>
      </tp>
      <tp>
        <v>-7.0000000000000001E-3</v>
        <stp/>
        <stp>INLY10!NetChange,T</stp>
        <tr r="E36" s="6"/>
      </tp>
      <tp>
        <v>-3.0000000000000001E-3</v>
        <stp/>
        <stp>IIEY10!NetChange,T</stp>
        <tr r="E29" s="6"/>
      </tp>
      <tp>
        <v>-7.2999999999999995E-2</v>
        <stp/>
        <stp>IITY10!NetChange,T</stp>
        <tr r="E32" s="6"/>
      </tp>
      <tp>
        <v>-8.3000000000000004E-2</v>
        <stp/>
        <stp>IESY10!NetChange,T</stp>
        <tr r="E44" s="6"/>
      </tp>
      <tp>
        <v>-1.3000000000000001E-2</v>
        <stp/>
        <stp>IDEY10!NetChange,T</stp>
        <tr r="E21" s="6"/>
      </tp>
      <tp>
        <v>-4.0000000000000001E-3</v>
        <stp/>
        <stp>IGBY10!NetChange,T</stp>
        <tr r="E48" s="6"/>
      </tp>
      <tp>
        <v>-2E-3</v>
        <stp/>
        <stp>IFIY10!NetChange,T</stp>
        <tr r="E14" s="6"/>
      </tp>
      <tp>
        <v>-1.3000000000000001E-2</v>
        <stp/>
        <stp>IFRY10!NetChange,T</stp>
        <tr r="E17" s="6"/>
      </tp>
      <tp>
        <v>0</v>
        <stp/>
        <stp>IATY10!NetChange,T</stp>
        <tr r="E6" s="6"/>
      </tp>
      <tp>
        <v>-4.0000000000000001E-3</v>
        <stp/>
        <stp>IBEY10!NetChange,T</stp>
        <tr r="E10" s="6"/>
      </tp>
      <tp>
        <v>-1.2E-2</v>
        <stp/>
        <stp>IPTY30!NetChange,T</stp>
        <tr r="E41" s="6"/>
      </tp>
      <tp>
        <v>-1.6E-2</v>
        <stp/>
        <stp>INLY30!NetChange,T</stp>
        <tr r="E37" s="6"/>
      </tp>
      <tp>
        <v>-6.8000000000000005E-2</v>
        <stp/>
        <stp>IITY30!NetChange,T</stp>
        <tr r="E33" s="6"/>
      </tp>
      <tp>
        <v>-8.3000000000000004E-2</v>
        <stp/>
        <stp>IESY30!NetChange,T</stp>
        <tr r="E45" s="6"/>
      </tp>
      <tp>
        <v>-2.1000000000000001E-2</v>
        <stp/>
        <stp>IDEY30!NetChange,T</stp>
        <tr r="E22" s="6"/>
      </tp>
      <tp>
        <v>-1.0999999999999999E-2</v>
        <stp/>
        <stp>IGBY30!NetChange,T</stp>
        <tr r="E49" s="6"/>
      </tp>
      <tp>
        <v>-1.2E-2</v>
        <stp/>
        <stp>IFRY30!NetChange,T</stp>
        <tr r="E18" s="6"/>
      </tp>
      <tp>
        <v>-9.0000000000000011E-3</v>
        <stp/>
        <stp>IATY30!NetChange,T</stp>
        <tr r="E7" s="6"/>
      </tp>
      <tp>
        <v>-1.0999999999999999E-2</v>
        <stp/>
        <stp>IBEY30!NetChange,T</stp>
        <tr r="E11" s="6"/>
      </tp>
      <tp>
        <v>26</v>
        <stp/>
        <stp>ContractData</stp>
        <stp>ENQ</stp>
        <stp>MT_LastAskVolume</stp>
        <stp/>
        <stp>T</stp>
        <tr r="K5" s="1"/>
      </tp>
      <tp>
        <v>38.75</v>
        <stp/>
        <stp>ContractData</stp>
        <stp>ENQ</stp>
        <stp>NetChange</stp>
        <stp/>
        <stp>T</stp>
        <tr r="G5" s="1"/>
      </tp>
      <tp>
        <v>1563</v>
        <stp/>
        <stp>ContractData</stp>
        <stp>ESB</stp>
        <stp>MT_LastAskVolume</stp>
        <stp/>
        <stp>T</stp>
        <tr r="K10" s="1"/>
      </tp>
      <tp>
        <v>-2.8000000000000001E-2</v>
        <stp/>
        <stp>ContractData</stp>
        <stp>BUS10Y</stp>
        <stp>NetChange</stp>
        <stp/>
        <stp>T</stp>
        <tr r="C41" s="5"/>
        <tr r="D6" s="3"/>
        <tr r="C36" s="5"/>
      </tp>
      <tp>
        <v>-0.02</v>
        <stp/>
        <stp>ContractData</stp>
        <stp>BUS30Y</stp>
        <stp>NetChange</stp>
        <stp/>
        <stp>T</stp>
        <tr r="C42" s="5"/>
        <tr r="D7" s="3"/>
      </tp>
      <tp>
        <v>263</v>
        <stp/>
        <stp>ContractData</stp>
        <stp>DSX</stp>
        <stp>MT_LastAskVolume</stp>
        <stp/>
        <stp>T</stp>
        <tr r="K9" s="1"/>
      </tp>
      <tp>
        <v>86</v>
        <stp/>
        <stp>ContractData</stp>
        <stp>CLE</stp>
        <stp>MT_LastAskVolume</stp>
        <stp/>
        <stp>T</stp>
        <tr r="K11" s="1"/>
      </tp>
      <tp>
        <v>-4.0000000000000001E-3</v>
        <stp/>
        <stp>ContractData</stp>
        <stp>DEY10Y</stp>
        <stp>NetChange</stp>
        <stp/>
        <stp>T</stp>
        <tr r="G37" s="5"/>
      </tp>
      <tp>
        <v>-0.03</v>
        <stp/>
        <stp>ContractData</stp>
        <stp>BUS07Y</stp>
        <stp>NetChange</stp>
        <stp/>
        <stp>T</stp>
        <tr r="D5" s="3"/>
      </tp>
      <tp>
        <v>-2.4E-2</v>
        <stp/>
        <stp>ContractData</stp>
        <stp>BUS05Y</stp>
        <stp>NetChange</stp>
        <stp/>
        <stp>T</stp>
        <tr r="C40" s="5"/>
        <tr r="D4" s="3"/>
      </tp>
      <tp>
        <v>-3.0000000000000001E-3</v>
        <stp/>
        <stp>ContractData</stp>
        <stp>GBY10Y</stp>
        <stp>NetChange</stp>
        <stp/>
        <stp>T</stp>
        <tr r="K37" s="5"/>
      </tp>
      <tp>
        <v>3.7010000000000001</v>
        <stp/>
        <stp>IPTY30!LastPrice,T</stp>
        <tr r="D41" s="6"/>
      </tp>
      <tp>
        <v>1.2989999999999999</v>
        <stp/>
        <stp>INLY30!LastPrice,T</stp>
        <tr r="D37" s="6"/>
      </tp>
      <tp>
        <v>3.0270000000000001</v>
        <stp/>
        <stp>IITY30!LastPrice,T</stp>
        <tr r="D33" s="6"/>
      </tp>
      <tp>
        <v>2.5609999999999999</v>
        <stp/>
        <stp>IESY30!LastPrice,T</stp>
        <tr r="D45" s="6"/>
      </tp>
      <tp>
        <v>1.855</v>
        <stp/>
        <stp>IGBY30!LastPrice,T</stp>
        <tr r="D49" s="6"/>
      </tp>
      <tp>
        <v>1.7630000000000001</v>
        <stp/>
        <stp>IFRY30!LastPrice,T</stp>
        <tr r="D18" s="6"/>
      </tp>
      <tp>
        <v>1.5270000000000001</v>
        <stp/>
        <stp>IATY30!LastPrice,T</stp>
        <tr r="D7" s="6"/>
      </tp>
      <tp>
        <v>1.708</v>
        <stp/>
        <stp>IBEY30!LastPrice,T</stp>
        <tr r="D11" s="6"/>
      </tp>
      <tp>
        <v>2.6539999999999999</v>
        <stp/>
        <stp>IPTY10!LastPrice,T</stp>
        <tr r="D40" s="6"/>
      </tp>
      <tp>
        <v>0.61399999999999999</v>
        <stp/>
        <stp>INLY10!LastPrice,T</stp>
        <tr r="D36" s="6"/>
      </tp>
      <tp>
        <v>1.8880000000000001</v>
        <stp/>
        <stp>IITY10!LastPrice,T</stp>
        <tr r="D32" s="6"/>
      </tp>
      <tp>
        <v>0.98199999999999998</v>
        <stp/>
        <stp>IIEY10!LastPrice,T</stp>
        <tr r="D29" s="6"/>
      </tp>
      <tp>
        <v>1.363</v>
        <stp/>
        <stp>IESY10!LastPrice,T</stp>
        <tr r="D44" s="6"/>
      </tp>
      <tp>
        <v>0.56100000000000005</v>
        <stp/>
        <stp>IDEY10!LastPrice,T</stp>
        <tr r="D21" s="6"/>
      </tp>
      <tp>
        <v>1.3560000000000001</v>
        <stp/>
        <stp>IGBY10!LastPrice,T</stp>
        <tr r="D48" s="6"/>
      </tp>
      <tp>
        <v>0.84699999999999998</v>
        <stp/>
        <stp>IFRY10!LastPrice,T</stp>
        <tr r="D17" s="6"/>
      </tp>
      <tp>
        <v>0.67200000000000004</v>
        <stp/>
        <stp>IFIY10!LastPrice,T</stp>
        <tr r="D14" s="6"/>
      </tp>
      <tp>
        <v>0.66500000000000004</v>
        <stp/>
        <stp>IATY10!LastPrice,T</stp>
        <tr r="D6" s="6"/>
      </tp>
      <tp>
        <v>0.71299999999999997</v>
        <stp/>
        <stp>IBEY10!LastPrice,T</stp>
        <tr r="D10" s="6"/>
      </tp>
      <tp>
        <v>1.175</v>
        <stp/>
        <stp>IPTY05!LastPrice,T</stp>
        <tr r="D39" s="6"/>
      </tp>
      <tp>
        <v>-0.08</v>
        <stp/>
        <stp>IPTY02!LastPrice,T</stp>
        <tr r="D38" s="6"/>
      </tp>
      <tp>
        <v>0.60499999999999998</v>
        <stp/>
        <stp>IITY05!LastPrice,T</stp>
        <tr r="D31" s="6"/>
      </tp>
      <tp>
        <v>-0.55500000000000005</v>
        <stp/>
        <stp>INLY02!LastPrice,T</stp>
        <tr r="D34" s="6"/>
      </tp>
      <tp>
        <v>7.2000000000000008E-2</v>
        <stp/>
        <stp>IIEY05!LastPrice,T</stp>
        <tr r="D28" s="6"/>
      </tp>
      <tp>
        <v>-0.23100000000000001</v>
        <stp/>
        <stp>IITY02!LastPrice,T</stp>
        <tr r="D30" s="6"/>
      </tp>
      <tp>
        <v>-0.121</v>
        <stp/>
        <stp>INLY05!LastPrice,T</stp>
        <tr r="D35" s="6"/>
      </tp>
      <tp>
        <v>-0.45600000000000002</v>
        <stp/>
        <stp>IIEY02!LastPrice,T</stp>
        <tr r="D27" s="6"/>
      </tp>
      <tp>
        <v>0.57200000000000006</v>
        <stp/>
        <stp>IGBY02!LastPrice,T</stp>
        <tr r="D46" s="6"/>
      </tp>
      <tp>
        <v>-2.7E-2</v>
        <stp/>
        <stp>IATY05!LastPrice,T</stp>
        <tr r="D5" s="6"/>
      </tp>
      <tp>
        <v>-0.375</v>
        <stp/>
        <stp>IFRY02!LastPrice,T</stp>
        <tr r="D15" s="6"/>
      </tp>
      <tp>
        <v>-0.47700000000000004</v>
        <stp/>
        <stp>IFIY02!LastPrice,T</stp>
        <tr r="D12" s="6"/>
      </tp>
      <tp>
        <v>-0.251</v>
        <stp/>
        <stp>IESY02!LastPrice,T</stp>
        <tr r="D42" s="6"/>
      </tp>
      <tp>
        <v>-6.2E-2</v>
        <stp/>
        <stp>IBEY05!LastPrice,T</stp>
        <tr r="D9" s="6"/>
      </tp>
      <tp>
        <v>-0.54300000000000004</v>
        <stp/>
        <stp>IDEY02!LastPrice,T</stp>
        <tr r="D19" s="6"/>
      </tp>
      <tp>
        <v>-0.13100000000000001</v>
        <stp/>
        <stp>IDEY05!LastPrice,T</stp>
        <tr r="D20" s="6"/>
      </tp>
      <tp>
        <v>0.35000000000000003</v>
        <stp/>
        <stp>IESY05!LastPrice,T</stp>
        <tr r="D43" s="6"/>
      </tp>
      <tp>
        <v>-0.47600000000000003</v>
        <stp/>
        <stp>IBEY02!LastPrice,T</stp>
        <tr r="D8" s="6"/>
      </tp>
      <tp>
        <v>-0.51300000000000001</v>
        <stp/>
        <stp>IATY02!LastPrice,T</stp>
        <tr r="D4" s="6"/>
      </tp>
      <tp>
        <v>4.2000000000000003E-2</v>
        <stp/>
        <stp>IFRY05!LastPrice,T</stp>
        <tr r="D16" s="6"/>
      </tp>
      <tp>
        <v>-6.3E-2</v>
        <stp/>
        <stp>IFIY05!LastPrice,T</stp>
        <tr r="D13" s="6"/>
      </tp>
      <tp>
        <v>0.875</v>
        <stp/>
        <stp>IGBY05!LastPrice,T</stp>
        <tr r="D47" s="6"/>
      </tp>
      <tp>
        <v>2.8580000000000001</v>
        <stp/>
        <stp>StudyData</stp>
        <stp>Close(T.US.BUS30Y)when (LocalMonth(T.US.BUS30Y)=8 and LocalDay(T.US.BUS30Y)=1 and LocalYear(T.US.BUS30Y)=2017)</stp>
        <stp>Bar</stp>
        <stp/>
        <stp>Close</stp>
        <stp>D</stp>
        <stp>0</stp>
        <stp>all</stp>
        <stp/>
        <stp/>
        <stp>FALSE</stp>
        <stp>T</stp>
        <tr r="S16" s="5"/>
      </tp>
      <tp>
        <v>1.343</v>
        <stp/>
        <stp>StudyData</stp>
        <stp>Close(T.US.BUS02Y)when (LocalMonth(T.US.BUS02Y)=8 and LocalDay(T.US.BUS02Y)=1 and LocalYear(T.US.BUS02Y)=2017)</stp>
        <stp>Bar</stp>
        <stp/>
        <stp>Close</stp>
        <stp>D</stp>
        <stp>0</stp>
        <stp>all</stp>
        <stp/>
        <stp/>
        <stp>FALSE</stp>
        <stp>T</stp>
        <tr r="S11" s="5"/>
      </tp>
      <tp>
        <v>1.4890000000000001</v>
        <stp/>
        <stp>StudyData</stp>
        <stp>Close(T.US.BUS03Y)when (LocalMonth(T.US.BUS03Y)=8 and LocalDay(T.US.BUS03Y)=1 and LocalYear(T.US.BUS03Y)=2017)</stp>
        <stp>Bar</stp>
        <stp/>
        <stp>Close</stp>
        <stp>D</stp>
        <stp>0</stp>
        <stp>all</stp>
        <stp/>
        <stp/>
        <stp>FALSE</stp>
        <stp>T</stp>
        <tr r="S12" s="5"/>
      </tp>
      <tp>
        <v>2.0670000000000002</v>
        <stp/>
        <stp>StudyData</stp>
        <stp>Close(T.US.BUS07Y)when (LocalMonth(T.US.BUS07Y)=8 and LocalDay(T.US.BUS07Y)=1 and LocalYear(T.US.BUS07Y)=2017)</stp>
        <stp>Bar</stp>
        <stp/>
        <stp>Close</stp>
        <stp>D</stp>
        <stp>0</stp>
        <stp>all</stp>
        <stp/>
        <stp/>
        <stp>FALSE</stp>
        <stp>T</stp>
        <tr r="S14" s="5"/>
      </tp>
      <tp>
        <v>1.8009999999999999</v>
        <stp/>
        <stp>StudyData</stp>
        <stp>Close(T.US.BUS05Y)when (LocalMonth(T.US.BUS05Y)=8 and LocalDay(T.US.BUS05Y)=1 and LocalYear(T.US.BUS05Y)=2017)</stp>
        <stp>Bar</stp>
        <stp/>
        <stp>Close</stp>
        <stp>D</stp>
        <stp>0</stp>
        <stp>all</stp>
        <stp/>
        <stp/>
        <stp>FALSE</stp>
        <stp>T</stp>
        <tr r="S13" s="5"/>
      </tp>
      <tp t="s">
        <v>SPDR S&amp;P Biotech ETF</v>
        <stp/>
        <stp>ContractData</stp>
        <stp>XBI</stp>
        <stp>LongDescription</stp>
        <tr r="C8" s="2"/>
      </tp>
      <tp>
        <v>2.2530000000000001</v>
        <stp/>
        <stp>StudyData</stp>
        <stp>Close(T.US.BUS10Y)when (LocalMonth(T.US.BUS10Y)=8 and LocalDay(T.US.BUS10Y)=1 and LocalYear(T.US.BUS10Y)=2017)</stp>
        <stp>Bar</stp>
        <stp/>
        <stp>Close</stp>
        <stp>D</stp>
        <stp>0</stp>
        <stp>all</stp>
        <stp/>
        <stp/>
        <stp>FALSE</stp>
        <stp>T</stp>
        <tr r="S15" s="5"/>
      </tp>
      <tp t="s">
        <v>Russell 2000 Index Mini, Mar 18</v>
        <stp/>
        <stp>ContractData</stp>
        <stp>TFE</stp>
        <stp>LongDescription</stp>
        <tr r="C13" s="2"/>
        <tr r="B6" s="1"/>
      </tp>
      <tp>
        <v>99</v>
        <stp/>
        <stp>ContractData</stp>
        <stp>DD</stp>
        <stp>NetChange</stp>
        <stp/>
        <stp>T</stp>
        <tr r="G8" s="1"/>
      </tp>
      <tp t="s">
        <v>Guggenheim S&amp;P 500 Eq Wt Technology ETF</v>
        <stp/>
        <stp>ContractData</stp>
        <stp>RYT</stp>
        <stp>LongDescription</stp>
        <tr r="C7" s="2"/>
      </tp>
      <tp>
        <v>6.5</v>
        <stp/>
        <stp>ContractData</stp>
        <stp>EP</stp>
        <stp>NetChange</stp>
        <stp/>
        <stp>T</stp>
        <tr r="G4" s="1"/>
      </tp>
      <tp t="s">
        <v>FTSE 100 - Stnd Index, Mar 18</v>
        <stp/>
        <stp>ContractData</stp>
        <stp>QFA</stp>
        <stp>LongDescription</stp>
        <tr r="B7" s="1"/>
      </tp>
      <tp t="s">
        <v>CAC40, Feb 18</v>
        <stp/>
        <stp>ContractData</stp>
        <stp>PIL</stp>
        <stp>LongDescription</stp>
        <tr r="C9" s="2"/>
      </tp>
      <tp>
        <v>2.891</v>
        <stp/>
        <stp>ContractData</stp>
        <stp>BUS30Y</stp>
        <stp>LastQuoteToday</stp>
        <stp/>
        <stp>T</stp>
        <tr r="B42" s="5"/>
        <tr r="C7" s="3"/>
      </tp>
      <tp>
        <v>2.62</v>
        <stp/>
        <stp>ContractData</stp>
        <stp>BUS10Y</stp>
        <stp>LastQuoteToday</stp>
        <stp/>
        <stp>T</stp>
        <tr r="B41" s="5"/>
        <tr r="B36" s="5"/>
        <tr r="C6" s="3"/>
      </tp>
      <tp>
        <v>2.5489999999999999</v>
        <stp/>
        <stp>ContractData</stp>
        <stp>BUS07Y</stp>
        <stp>LastQuoteToday</stp>
        <stp/>
        <stp>T</stp>
        <tr r="C5" s="3"/>
      </tp>
      <tp>
        <v>2.4220000000000002</v>
        <stp/>
        <stp>ContractData</stp>
        <stp>BUS05Y</stp>
        <stp>LastQuoteToday</stp>
        <stp/>
        <stp>T</stp>
        <tr r="C4" s="3"/>
        <tr r="B40" s="5"/>
      </tp>
      <tp>
        <v>2.1800000000000002</v>
        <stp/>
        <stp>ContractData</stp>
        <stp>BUS03Y</stp>
        <stp>LastQuoteToday</stp>
        <stp/>
        <stp>T</stp>
        <tr r="C3" s="3"/>
      </tp>
      <tp>
        <v>2.0529999999999999</v>
        <stp/>
        <stp>ContractData</stp>
        <stp>BUS02Y</stp>
        <stp>LastQuoteToday</stp>
        <stp/>
        <stp>T</stp>
        <tr r="C2" s="3"/>
        <tr r="B39" s="5"/>
      </tp>
      <tp t="s">
        <v>Nikkei 225 (Osaka), Mar 18</v>
        <stp/>
        <stp>ContractData</stp>
        <stp>JNK</stp>
        <stp>LongDescription</stp>
        <tr r="C4" s="2"/>
      </tp>
      <tp t="s">
        <v>Ibovespa Index, Feb 18</v>
        <stp/>
        <stp>ContractData</stp>
        <stp>IND</stp>
        <stp>LongDescription</stp>
        <tr r="C6" s="2"/>
      </tp>
      <tp t="s">
        <v>Gold (Globex), Feb 18</v>
        <stp/>
        <stp>ContractData</stp>
        <stp>GCE</stp>
        <stp>LongDescription</stp>
        <tr r="C3" s="2"/>
        <tr r="B12" s="1"/>
      </tp>
      <tp>
        <v>1.355</v>
        <stp/>
        <stp>ContractData</stp>
        <stp>GBY10Y</stp>
        <stp>LastQuoteToday</stp>
        <stp/>
        <stp>T</stp>
        <tr r="J37" s="5"/>
      </tp>
      <tp t="s">
        <v>+0'05.50</v>
        <stp/>
        <stp>ContractData</stp>
        <stp>FVAH8</stp>
        <stp>NetChange</stp>
        <stp/>
        <stp>B</stp>
        <tr r="N14" s="1"/>
      </tp>
      <tp t="s">
        <v>+0'22.0</v>
        <stp/>
        <stp>ContractData</stp>
        <stp>USAH8</stp>
        <stp>NetChange</stp>
        <stp/>
        <stp>B</stp>
        <tr r="N17" s="1"/>
      </tp>
      <tp t="s">
        <v>+1'01.0</v>
        <stp/>
        <stp>ContractData</stp>
        <stp>ULAH8</stp>
        <stp>NetChange</stp>
        <stp/>
        <stp>B</stp>
        <tr r="N18" s="1"/>
      </tp>
      <tp t="s">
        <v>+0'10.5</v>
        <stp/>
        <stp>ContractData</stp>
        <stp>TYAH8</stp>
        <stp>NetChange</stp>
        <stp/>
        <stp>B</stp>
        <tr r="N15" s="1"/>
      </tp>
      <tp t="s">
        <v>+0'01.00</v>
        <stp/>
        <stp>ContractData</stp>
        <stp>TUAH8</stp>
        <stp>NetChange</stp>
        <stp/>
        <stp>B</stp>
        <tr r="N13" s="1"/>
      </tp>
      <tp t="s">
        <v>+0'14.5</v>
        <stp/>
        <stp>ContractData</stp>
        <stp>TNAH8</stp>
        <stp>NetChange</stp>
        <stp/>
        <stp>B</stp>
        <tr r="N16" s="1"/>
      </tp>
      <tp>
        <v>-7.0000000000000001E-3</v>
        <stp/>
        <stp>'IBEY02'!NetChange,T</stp>
        <tr r="E8" s="6"/>
      </tp>
      <tp t="s">
        <v>Euro FX (Globex), Mar 18</v>
        <stp/>
        <stp>ContractData</stp>
        <stp>EU6</stp>
        <stp>LongDescription</stp>
        <tr r="C2" s="2"/>
      </tp>
      <tp t="s">
        <v>Euro STOXX Banks, Mar 18</v>
        <stp/>
        <stp>ContractData</stp>
        <stp>ESB</stp>
        <stp>LongDescription</stp>
        <tr r="B10" s="1"/>
      </tp>
      <tp t="s">
        <v>E-mini NASDAQ-100, Mar 18</v>
        <stp/>
        <stp>ContractData</stp>
        <stp>ENQ</stp>
        <stp>LongDescription</stp>
        <tr r="C14" s="2"/>
        <tr r="B5" s="1"/>
      </tp>
      <tp>
        <v>2841.75</v>
        <stp/>
        <stp>ContractData</stp>
        <stp>EP</stp>
        <stp>LastTrade</stp>
        <stp/>
        <stp>T</stp>
        <tr r="F4" s="1"/>
      </tp>
      <tp>
        <v>13596</v>
        <stp/>
        <stp>ContractData</stp>
        <stp>DD</stp>
        <stp>High</stp>
        <stp/>
        <stp>T</stp>
        <tr r="M8" s="1"/>
      </tp>
      <tp>
        <v>2844.75</v>
        <stp/>
        <stp>ContractData</stp>
        <stp>EP</stp>
        <stp>High</stp>
        <stp/>
        <stp>T</stp>
        <tr r="M4" s="1"/>
      </tp>
      <tp>
        <v>13545</v>
        <stp/>
        <stp>ContractData</stp>
        <stp>DD</stp>
        <stp>LastTrade</stp>
        <stp/>
        <stp>T</stp>
        <tr r="F8" s="1"/>
      </tp>
      <tp t="s">
        <v>Euro STOXX 50, Mar 18</v>
        <stp/>
        <stp>ContractData</stp>
        <stp>DSX</stp>
        <stp>LongDescription</stp>
        <tr r="C10" s="2"/>
        <tr r="B9" s="1"/>
      </tp>
      <tp t="s">
        <v>DJ Industrial Average</v>
        <stp/>
        <stp>ContractData</stp>
        <stp>DJI</stp>
        <stp>LongDescription</stp>
        <tr r="C12" s="2"/>
      </tp>
      <tp t="s">
        <v>Crude Light (Globex), Mar 18</v>
        <stp/>
        <stp>ContractData</stp>
        <stp>CLE</stp>
        <stp>LongDescription</stp>
        <tr r="B11" s="1"/>
      </tp>
      <tp t="s">
        <v>S&amp;P Banks Index</v>
        <stp/>
        <stp>ContractData</stp>
        <stp>BIX</stp>
        <stp>LongDescription</stp>
        <tr r="C5" s="2"/>
      </tp>
      <tp>
        <v>1.855</v>
        <stp/>
        <stp>ContractData</stp>
        <stp>IGB30Y</stp>
        <stp>LastQuoteToday</stp>
        <stp/>
        <stp>T</stp>
        <tr r="J43" s="5"/>
      </tp>
      <tp>
        <v>1.3560000000000001</v>
        <stp/>
        <stp>ContractData</stp>
        <stp>IGB10Y</stp>
        <stp>LastQuoteToday</stp>
        <stp/>
        <stp>T</stp>
        <tr r="J42" s="5"/>
      </tp>
      <tp>
        <v>0.875</v>
        <stp/>
        <stp>ContractData</stp>
        <stp>IGB05Y</stp>
        <stp>LastQuoteToday</stp>
        <stp/>
        <stp>T</stp>
        <tr r="J41" s="5"/>
      </tp>
      <tp>
        <v>0.57200000000000006</v>
        <stp/>
        <stp>ContractData</stp>
        <stp>IGB02Y</stp>
        <stp>LastQuoteToday</stp>
        <stp/>
        <stp>T</stp>
        <tr r="J40" s="5"/>
      </tp>
      <tp>
        <v>2835.25</v>
        <stp/>
        <stp>ContractData</stp>
        <stp>EP</stp>
        <stp>Open</stp>
        <stp/>
        <stp>T</stp>
        <tr r="L4" s="1"/>
      </tp>
      <tp>
        <v>13548</v>
        <stp/>
        <stp>ContractData</stp>
        <stp>DD</stp>
        <stp>Open</stp>
        <stp/>
        <stp>T</stp>
        <tr r="L8" s="1"/>
      </tp>
      <tp>
        <v>-0.13100000000000001</v>
        <stp/>
        <stp>ContractData</stp>
        <stp>IDE05Y</stp>
        <stp>LastQuoteToday</stp>
        <stp/>
        <stp>T</stp>
        <tr r="F40" s="5"/>
      </tp>
      <tp>
        <v>-0.54300000000000004</v>
        <stp/>
        <stp>ContractData</stp>
        <stp>IDE02Y</stp>
        <stp>LastQuoteToday</stp>
        <stp/>
        <stp>T</stp>
        <tr r="F39" s="5"/>
      </tp>
      <tp>
        <v>0.2292566793051759</v>
        <stp/>
        <stp>ContractData</stp>
        <stp>EP</stp>
        <stp>PerCentNetLastQuote</stp>
        <tr r="G15" s="2"/>
      </tp>
      <tp>
        <v>0.73625106905142601</v>
        <stp/>
        <stp>ContractData</stp>
        <stp>DD</stp>
        <stp>PerCentNetLastQuote</stp>
        <tr r="G11" s="2"/>
      </tp>
      <tp>
        <v>43159</v>
        <stp/>
        <stp>ContractData</stp>
        <stp>TUA</stp>
        <stp>FirstNoticeDate</stp>
        <stp/>
        <stp>T</stp>
        <tr r="G13" s="1"/>
      </tp>
      <tp>
        <v>1.298</v>
        <stp/>
        <stp>ContractData</stp>
        <stp>DEY30Y</stp>
        <stp>LastQuoteToday</stp>
        <stp/>
        <stp>T</stp>
        <tr r="F42" s="5"/>
      </tp>
      <tp>
        <v>0.497</v>
        <stp/>
        <stp>ContractData</stp>
        <stp>DEY10Y</stp>
        <stp>LastQuoteToday</stp>
        <stp/>
        <stp>T</stp>
        <tr r="F41" s="5"/>
        <tr r="F36" s="5"/>
      </tp>
      <tp>
        <v>3</v>
        <stp/>
        <stp>ContractData</stp>
        <stp>DD</stp>
        <stp>MT_LastAskVolume</stp>
        <stp/>
        <stp>T</stp>
        <tr r="K8" s="1"/>
      </tp>
      <tp>
        <v>280</v>
        <stp/>
        <stp>ContractData</stp>
        <stp>EP</stp>
        <stp>MT_LastAskVolume</stp>
        <stp/>
        <stp>T</stp>
        <tr r="K4" s="1"/>
      </tp>
      <tp t="s">
        <v>ICAP UK 5yr Benchmark Yield</v>
        <stp/>
        <stp>ContractData</stp>
        <stp>IGB05Y</stp>
        <stp>LongDescription</stp>
        <stp/>
        <stp>T</stp>
        <tr r="I41" s="5"/>
      </tp>
      <tp t="s">
        <v>ICAP UK 2yr Benchmark Yield</v>
        <stp/>
        <stp>ContractData</stp>
        <stp>IGB02Y</stp>
        <stp>LongDescription</stp>
        <stp/>
        <stp>T</stp>
        <tr r="I40" s="5"/>
      </tp>
      <tp t="s">
        <v>ICAP UK 10yr Benchmark Yield</v>
        <stp/>
        <stp>ContractData</stp>
        <stp>IGB10Y</stp>
        <stp>LongDescription</stp>
        <stp/>
        <stp>T</stp>
        <tr r="I42" s="5"/>
      </tp>
      <tp t="s">
        <v>ICAP UK 30yr Benchmark Yield</v>
        <stp/>
        <stp>ContractData</stp>
        <stp>IGB30Y</stp>
        <stp>LongDescription</stp>
        <stp/>
        <stp>T</stp>
        <tr r="I43" s="5"/>
      </tp>
      <tp>
        <v>1.3</v>
        <stp/>
        <stp>IDEY30!LastQuoteToday,T</stp>
        <tr r="D22" s="6"/>
      </tp>
      <tp t="s">
        <v>ICAP German 5yr Benchmark Yield</v>
        <stp/>
        <stp>ContractData</stp>
        <stp>IDE05Y</stp>
        <stp>LongDescription</stp>
        <stp/>
        <stp>T</stp>
        <tr r="E42" s="5"/>
        <tr r="E40" s="5"/>
        <tr r="E41" s="5"/>
      </tp>
      <tp t="s">
        <v>ICAP German 2yr Benchmark Yield</v>
        <stp/>
        <stp>ContractData</stp>
        <stp>IDE02Y</stp>
        <stp>LongDescription</stp>
        <stp/>
        <stp>T</stp>
        <tr r="E39" s="5"/>
      </tp>
      <tp>
        <v>2.891</v>
        <stp/>
        <stp>BUS30Y!LastPrice,T</stp>
        <tr r="D53" s="6"/>
      </tp>
      <tp>
        <v>2.0529999999999999</v>
        <stp/>
        <stp>BUS02Y!LastPrice,T</stp>
        <tr r="D50" s="6"/>
      </tp>
      <tp>
        <v>2.4220000000000002</v>
        <stp/>
        <stp>BUS05Y!LastPrice,T</stp>
        <tr r="D51" s="6"/>
      </tp>
      <tp>
        <v>2.62</v>
        <stp/>
        <stp>BUS10Y!LastPrice,T</stp>
        <tr r="D52" s="6"/>
      </tp>
      <tp>
        <v>2.4220000000000002</v>
        <stp/>
        <stp>BUS05Y!LastQuoteToday,T</stp>
        <tr r="C16" s="1"/>
      </tp>
      <tp>
        <v>2.0529999999999999</v>
        <stp/>
        <stp>BUS02Y!LastQuoteToday,T</stp>
        <tr r="C14" s="1"/>
      </tp>
      <tp>
        <v>2.1800000000000002</v>
        <stp/>
        <stp>BUS03Y!LastQuoteToday,T</stp>
        <tr r="C15" s="1"/>
      </tp>
      <tp>
        <v>2.891</v>
        <stp/>
        <stp>BUS30Y!LastQuoteToday,T</stp>
        <tr r="C18" s="1"/>
      </tp>
      <tp>
        <v>2.62</v>
        <stp/>
        <stp>BUS10Y!LastQuoteToday,T</stp>
        <tr r="C17" s="1"/>
      </tp>
      <tp t="s">
        <v>FVAH8</v>
        <stp/>
        <stp>ContractData</stp>
        <stp>FVA</stp>
        <stp>Symbol</stp>
        <stp/>
        <stp>T</stp>
        <tr r="H14" s="1"/>
      </tp>
      <tp t="s">
        <v>TNAH8</v>
        <stp/>
        <stp>ContractData</stp>
        <stp>TNA</stp>
        <stp>Symbol</stp>
        <stp/>
        <stp>T</stp>
        <tr r="J14" s="1"/>
      </tp>
      <tp t="s">
        <v>TUAH8</v>
        <stp/>
        <stp>ContractData</stp>
        <stp>TUA</stp>
        <stp>Symbol</stp>
        <stp/>
        <stp>T</stp>
        <tr r="G14" s="1"/>
      </tp>
      <tp t="s">
        <v>TYAH8</v>
        <stp/>
        <stp>ContractData</stp>
        <stp>TYA</stp>
        <stp>Symbol</stp>
        <stp/>
        <stp>T</stp>
        <tr r="I14" s="1"/>
      </tp>
      <tp t="s">
        <v>ULAH8</v>
        <stp/>
        <stp>ContractData</stp>
        <stp>ULA</stp>
        <stp>Symbol</stp>
        <stp/>
        <stp>T</stp>
        <tr r="L14" s="1"/>
      </tp>
      <tp t="s">
        <v>USAH8</v>
        <stp/>
        <stp>ContractData</stp>
        <stp>USA</stp>
        <stp>Symbol</stp>
        <stp/>
        <stp>T</stp>
        <tr r="K14" s="1"/>
      </tp>
      <tp>
        <v>43123.429849537039</v>
        <stp/>
        <stp>SystemInfo</stp>
        <stp>Linetime</stp>
        <tr r="T2" s="1"/>
      </tp>
      <tp>
        <v>2.891</v>
        <stp/>
        <stp>ContractData</stp>
        <stp>T.US.BUS30Y</stp>
        <stp>LastQuoteToday</stp>
        <stp/>
        <stp>T</stp>
        <tr r="T16" s="5"/>
      </tp>
      <tp>
        <v>2.62</v>
        <stp/>
        <stp>ContractData</stp>
        <stp>T.US.BUS10Y</stp>
        <stp>LastQuoteToday</stp>
        <stp/>
        <stp>T</stp>
        <tr r="T15" s="5"/>
      </tp>
      <tp>
        <v>2.4220000000000002</v>
        <stp/>
        <stp>ContractData</stp>
        <stp>T.US.BUS05Y</stp>
        <stp>LastQuoteToday</stp>
        <stp/>
        <stp>T</stp>
        <tr r="T13" s="5"/>
      </tp>
      <tp>
        <v>2.5489999999999999</v>
        <stp/>
        <stp>ContractData</stp>
        <stp>T.US.BUS07Y</stp>
        <stp>LastQuoteToday</stp>
        <stp/>
        <stp>T</stp>
        <tr r="T14" s="5"/>
      </tp>
      <tp>
        <v>2.1800000000000002</v>
        <stp/>
        <stp>ContractData</stp>
        <stp>T.US.BUS03Y</stp>
        <stp>LastQuoteToday</stp>
        <stp/>
        <stp>T</stp>
        <tr r="T12" s="5"/>
      </tp>
      <tp>
        <v>2.0529999999999999</v>
        <stp/>
        <stp>ContractData</stp>
        <stp>T.US.BUS02Y</stp>
        <stp>LastQuoteToday</stp>
        <stp/>
        <stp>T</stp>
        <tr r="T11" s="5"/>
      </tp>
      <tp t="s">
        <v>German 30yr Bond Yield</v>
        <stp/>
        <stp>ContractData</stp>
        <stp>DEY30Y</stp>
        <stp>LongDescription</stp>
        <stp/>
        <stp>T</stp>
        <tr r="E44" s="5"/>
      </tp>
      <tp>
        <v>121</v>
        <stp/>
        <stp>ContractData</stp>
        <stp>EP</stp>
        <stp>MT_LastBidVolume</stp>
        <stp/>
        <stp>T</stp>
        <tr r="H4" s="1"/>
      </tp>
      <tp>
        <v>3</v>
        <stp/>
        <stp>ContractData</stp>
        <stp>DD</stp>
        <stp>MT_LastBidVolume</stp>
        <stp/>
        <stp>T</stp>
        <tr r="H8" s="1"/>
      </tp>
      <tp>
        <v>3681</v>
        <stp/>
        <stp>ContractData</stp>
        <stp>DSX</stp>
        <stp>High</stp>
        <stp/>
        <stp>T</stp>
        <tr r="M9" s="1"/>
      </tp>
      <tp>
        <v>63.88</v>
        <stp/>
        <stp>ContractData</stp>
        <stp>CLE</stp>
        <stp>Open</stp>
        <stp/>
        <stp>T</stp>
        <tr r="L11" s="1"/>
      </tp>
      <tp t="s">
        <v>DAX Index, Mar 18</v>
        <stp/>
        <stp>ContractData</stp>
        <stp>DD</stp>
        <stp>LongDescription</stp>
        <tr r="C11" s="2"/>
        <tr r="B8" s="1"/>
      </tp>
      <tp t="s">
        <v>E-Mini S&amp;P 500, Mar 18</v>
        <stp/>
        <stp>ContractData</stp>
        <stp>EP</stp>
        <stp>LongDescription</stp>
        <tr r="C15" s="2"/>
        <tr r="B4" s="1"/>
      </tp>
      <tp>
        <v>143.5</v>
        <stp/>
        <stp>ContractData</stp>
        <stp>ESB</stp>
        <stp>High</stp>
        <stp/>
        <stp>T</stp>
        <tr r="M10" s="1"/>
      </tp>
      <tp>
        <v>6978.75</v>
        <stp/>
        <stp>ContractData</stp>
        <stp>ENQ</stp>
        <stp>High</stp>
        <stp/>
        <stp>T</stp>
        <tr r="M5" s="1"/>
      </tp>
      <tp>
        <v>0.11464759513020691</v>
        <stp/>
        <stp>ContractData</stp>
        <stp>BIX</stp>
        <stp>PerCentNetLastQuote</stp>
        <tr r="G5" s="2"/>
      </tp>
      <tp>
        <v>1338.5</v>
        <stp/>
        <stp>ContractData</stp>
        <stp>GCE</stp>
        <stp>High</stp>
        <stp/>
        <stp>T</stp>
        <tr r="M12" s="1"/>
      </tp>
      <tp>
        <v>1333</v>
        <stp/>
        <stp>ContractData</stp>
        <stp>GCE</stp>
        <stp>Open</stp>
        <stp/>
        <stp>T</stp>
        <tr r="L12" s="1"/>
      </tp>
      <tp>
        <v>2.9372944847527713E-2</v>
        <stp/>
        <stp>ContractData</stp>
        <stp>DJI</stp>
        <stp>PerCentNetLastQuote</stp>
        <tr r="G12" s="2"/>
      </tp>
      <tp>
        <v>0.10946907498631636</v>
        <stp/>
        <stp>ContractData</stp>
        <stp>DSX</stp>
        <stp>PerCentNetLastQuote</stp>
        <tr r="G10" s="2"/>
      </tp>
      <tp>
        <v>0.55908238349444528</v>
        <stp/>
        <stp>ContractData</stp>
        <stp>ENQ</stp>
        <stp>PerCentNetLastQuote</stp>
        <tr r="G14" s="2"/>
      </tp>
      <tp>
        <v>0.17073864791251678</v>
        <stp/>
        <stp>ContractData</stp>
        <stp>EU6</stp>
        <stp>PerCentNetLastQuote</stp>
        <tr r="G2" s="2"/>
      </tp>
      <tp>
        <v>6929.75</v>
        <stp/>
        <stp>ContractData</stp>
        <stp>ENQ</stp>
        <stp>Open</stp>
        <stp/>
        <stp>T</stp>
        <tr r="L5" s="1"/>
      </tp>
      <tp>
        <v>143</v>
        <stp/>
        <stp>ContractData</stp>
        <stp>ESB</stp>
        <stp>Open</stp>
        <stp/>
        <stp>T</stp>
        <tr r="L10" s="1"/>
      </tp>
      <tp>
        <v>0.33786320294316391</v>
        <stp/>
        <stp>ContractData</stp>
        <stp>GCE</stp>
        <stp>PerCentNetLastQuote</stp>
        <tr r="G3" s="2"/>
      </tp>
      <tp>
        <v>3675</v>
        <stp/>
        <stp>ContractData</stp>
        <stp>DSX</stp>
        <stp>Open</stp>
        <stp/>
        <stp>T</stp>
        <tr r="L9" s="1"/>
      </tp>
      <tp>
        <v>64.680000000000007</v>
        <stp/>
        <stp>ContractData</stp>
        <stp>CLE</stp>
        <stp>High</stp>
        <stp/>
        <stp>T</stp>
        <tr r="M11" s="1"/>
      </tp>
      <tp>
        <v>-0.74229623480001949</v>
        <stp/>
        <stp>ContractData</stp>
        <stp>IND</stp>
        <stp>PerCentNetLastQuote</stp>
        <tr r="G6" s="2"/>
      </tp>
      <tp>
        <v>-0.29021558872305142</v>
        <stp/>
        <stp>ContractData</stp>
        <stp>JNK</stp>
        <stp>PerCentNetLastQuote</stp>
        <tr r="G4" s="2"/>
      </tp>
      <tp t="s">
        <v/>
        <stp/>
        <stp>IGRY05!LastPrice</stp>
        <tr r="D24" s="6"/>
      </tp>
      <tp t="s">
        <v/>
        <stp/>
        <stp>IGRY05!NetChange</stp>
        <tr r="E24" s="6"/>
      </tp>
      <tp t="s">
        <v/>
        <stp/>
        <stp>IGRY02!LastPrice</stp>
        <tr r="D23" s="6"/>
      </tp>
      <tp t="s">
        <v/>
        <stp/>
        <stp>IGRY02!NetChange</stp>
        <tr r="E23" s="6"/>
      </tp>
      <tp t="s">
        <v/>
        <stp/>
        <stp>IGRY30!LastPrice</stp>
        <tr r="D26" s="6"/>
      </tp>
      <tp t="s">
        <v/>
        <stp/>
        <stp>IGRY10!LastPrice</stp>
        <tr r="D25" s="6"/>
      </tp>
      <tp t="s">
        <v/>
        <stp/>
        <stp>IGRY10!NetChange</stp>
        <tr r="E25" s="6"/>
      </tp>
      <tp t="s">
        <v/>
        <stp/>
        <stp>IGRY30!NetChange</stp>
        <tr r="E26" s="6"/>
      </tp>
      <tp>
        <v>-2.4E-2</v>
        <stp/>
        <stp>BUS05Y!NetChange,T</stp>
        <tr r="E51" s="6"/>
        <tr r="D16" s="1"/>
      </tp>
      <tp>
        <v>-1.9E-2</v>
        <stp/>
        <stp>BUS03Y!NetChange,T</stp>
        <tr r="D15" s="1"/>
      </tp>
      <tp>
        <v>-8.0000000000000002E-3</v>
        <stp/>
        <stp>BUS02Y!NetChange,T</stp>
        <tr r="E50" s="6"/>
        <tr r="D14" s="1"/>
      </tp>
      <tp>
        <v>63.7</v>
        <stp/>
        <stp>ContractData</stp>
        <stp>CLE</stp>
        <stp>Low</stp>
        <stp/>
        <stp>T</stp>
        <tr r="N11" s="1"/>
      </tp>
      <tp>
        <v>6919.75</v>
        <stp/>
        <stp>ContractData</stp>
        <stp>ENQ</stp>
        <stp>Low</stp>
        <stp/>
        <stp>T</stp>
        <tr r="N5" s="1"/>
      </tp>
      <tp>
        <v>141.1</v>
        <stp/>
        <stp>ContractData</stp>
        <stp>ESB</stp>
        <stp>Low</stp>
        <stp/>
        <stp>T</stp>
        <tr r="N10" s="1"/>
      </tp>
      <tp>
        <v>3653</v>
        <stp/>
        <stp>ContractData</stp>
        <stp>DSX</stp>
        <stp>Low</stp>
        <stp/>
        <stp>T</stp>
        <tr r="N9" s="1"/>
      </tp>
      <tp>
        <v>1330.7</v>
        <stp/>
        <stp>ContractData</stp>
        <stp>GCE</stp>
        <stp>Low</stp>
        <stp/>
        <stp>T</stp>
        <tr r="N12" s="1"/>
      </tp>
      <tp>
        <v>-0.44136191677175285</v>
        <stp/>
        <stp>ContractData</stp>
        <stp>PIL</stp>
        <stp>PerCentNetLastQuote</stp>
        <tr r="G9" s="2"/>
      </tp>
      <tp>
        <v>3659</v>
        <stp/>
        <stp>ContractData</stp>
        <stp>DSX</stp>
        <stp>Ask</stp>
        <stp/>
        <stp>T</stp>
        <tr r="J9" s="1"/>
      </tp>
      <tp>
        <v>1336.4</v>
        <stp/>
        <stp>ContractData</stp>
        <stp>GCE</stp>
        <stp>Bid</stp>
        <stp/>
        <stp>T</stp>
        <tr r="I12" s="1"/>
      </tp>
      <tp>
        <v>141.5</v>
        <stp/>
        <stp>ContractData</stp>
        <stp>ESB</stp>
        <stp>Ask</stp>
        <stp/>
        <stp>T</stp>
        <tr r="J10" s="1"/>
      </tp>
      <tp t="s">
        <v>115'06.75</v>
        <stp/>
        <stp>ContractData</stp>
        <stp>FVA</stp>
        <stp>Bid</stp>
        <stp/>
        <stp>B</stp>
        <tr r="H17" s="1"/>
      </tp>
      <tp>
        <v>6970</v>
        <stp/>
        <stp>ContractData</stp>
        <stp>ENQ</stp>
        <stp>Ask</stp>
        <stp/>
        <stp>T</stp>
        <tr r="J5" s="1"/>
      </tp>
      <tp>
        <v>6969.75</v>
        <stp/>
        <stp>ContractData</stp>
        <stp>ENQ</stp>
        <stp>Bid</stp>
        <stp/>
        <stp>T</stp>
        <tr r="I5" s="1"/>
      </tp>
      <tp t="s">
        <v>115'07.00</v>
        <stp/>
        <stp>ContractData</stp>
        <stp>FVA</stp>
        <stp>Ask</stp>
        <stp/>
        <stp>B</stp>
        <tr r="H16" s="1"/>
      </tp>
      <tp>
        <v>141.4</v>
        <stp/>
        <stp>ContractData</stp>
        <stp>ESB</stp>
        <stp>Bid</stp>
        <stp/>
        <stp>T</stp>
        <tr r="I10" s="1"/>
      </tp>
      <tp>
        <v>1336.5</v>
        <stp/>
        <stp>ContractData</stp>
        <stp>GCE</stp>
        <stp>Ask</stp>
        <stp/>
        <stp>T</stp>
        <tr r="J12" s="1"/>
      </tp>
      <tp>
        <v>3658</v>
        <stp/>
        <stp>ContractData</stp>
        <stp>DSX</stp>
        <stp>Bid</stp>
        <stp/>
        <stp>T</stp>
        <tr r="I9" s="1"/>
      </tp>
      <tp>
        <v>64.61</v>
        <stp/>
        <stp>ContractData</stp>
        <stp>CLE</stp>
        <stp>Bid</stp>
        <stp/>
        <stp>T</stp>
        <tr r="I11" s="1"/>
      </tp>
      <tp>
        <v>64.62</v>
        <stp/>
        <stp>ContractData</stp>
        <stp>CLE</stp>
        <stp>Ask</stp>
        <stp/>
        <stp>T</stp>
        <tr r="J11" s="1"/>
      </tp>
      <tp>
        <v>7656</v>
        <stp/>
        <stp>ContractData</stp>
        <stp>QFA</stp>
        <stp>Low</stp>
        <stp/>
        <stp>T</stp>
        <tr r="N7" s="1"/>
      </tp>
      <tp>
        <v>1599.8</v>
        <stp/>
        <stp>ContractData</stp>
        <stp>TFE</stp>
        <stp>Low</stp>
        <stp/>
        <stp>T</stp>
        <tr r="N6" s="1"/>
      </tp>
      <tp t="s">
        <v>131'08.0</v>
        <stp/>
        <stp>ContractData</stp>
        <stp>TNA</stp>
        <stp>Ask</stp>
        <stp/>
        <stp>B</stp>
        <tr r="J16" s="1"/>
      </tp>
      <tp>
        <v>1606.7</v>
        <stp/>
        <stp>ContractData</stp>
        <stp>TFE</stp>
        <stp>Ask</stp>
        <stp/>
        <stp>T</stp>
        <tr r="J6" s="1"/>
      </tp>
      <tp t="s">
        <v>106'24.50</v>
        <stp/>
        <stp>ContractData</stp>
        <stp>TUA</stp>
        <stp>Ask</stp>
        <stp/>
        <stp>B</stp>
        <tr r="G16" s="1"/>
      </tp>
      <tp t="s">
        <v>122'13.5</v>
        <stp/>
        <stp>ContractData</stp>
        <stp>TYA</stp>
        <stp>Ask</stp>
        <stp/>
        <stp>B</stp>
        <tr r="I16" s="1"/>
      </tp>
      <tp t="s">
        <v>163'06.0</v>
        <stp/>
        <stp>ContractData</stp>
        <stp>ULA</stp>
        <stp>Ask</stp>
        <stp/>
        <stp>B</stp>
        <tr r="L16" s="1"/>
      </tp>
      <tp t="s">
        <v>149'12.0</v>
        <stp/>
        <stp>ContractData</stp>
        <stp>USA</stp>
        <stp>Ask</stp>
        <stp/>
        <stp>B</stp>
        <tr r="K16" s="1"/>
      </tp>
      <tp t="s">
        <v>149'11.0</v>
        <stp/>
        <stp>ContractData</stp>
        <stp>USA</stp>
        <stp>Bid</stp>
        <stp/>
        <stp>B</stp>
        <tr r="K17" s="1"/>
      </tp>
      <tp t="s">
        <v>163'05.0</v>
        <stp/>
        <stp>ContractData</stp>
        <stp>ULA</stp>
        <stp>Bid</stp>
        <stp/>
        <stp>B</stp>
        <tr r="L17" s="1"/>
      </tp>
      <tp t="s">
        <v>122'13.0</v>
        <stp/>
        <stp>ContractData</stp>
        <stp>TYA</stp>
        <stp>Bid</stp>
        <stp/>
        <stp>B</stp>
        <tr r="I17" s="1"/>
      </tp>
      <tp>
        <v>1606.5</v>
        <stp/>
        <stp>ContractData</stp>
        <stp>TFE</stp>
        <stp>Bid</stp>
        <stp/>
        <stp>T</stp>
        <tr r="I6" s="1"/>
      </tp>
      <tp t="s">
        <v>106'24.25</v>
        <stp/>
        <stp>ContractData</stp>
        <stp>TUA</stp>
        <stp>Bid</stp>
        <stp/>
        <stp>B</stp>
        <tr r="G17" s="1"/>
      </tp>
      <tp t="s">
        <v>131'07.5</v>
        <stp/>
        <stp>ContractData</stp>
        <stp>TNA</stp>
        <stp>Bid</stp>
        <stp/>
        <stp>B</stp>
        <tr r="J17" s="1"/>
      </tp>
      <tp>
        <v>7680.5</v>
        <stp/>
        <stp>ContractData</stp>
        <stp>QFA</stp>
        <stp>Ask</stp>
        <stp/>
        <stp>T</stp>
        <tr r="J7" s="1"/>
      </tp>
      <tp>
        <v>1612</v>
        <stp/>
        <stp>ContractData</stp>
        <stp>TFE</stp>
        <stp>High</stp>
        <stp/>
        <stp>T</stp>
        <tr r="M6" s="1"/>
      </tp>
      <tp>
        <v>7680</v>
        <stp/>
        <stp>ContractData</stp>
        <stp>QFA</stp>
        <stp>Bid</stp>
        <stp/>
        <stp>T</stp>
        <tr r="I7" s="1"/>
      </tp>
      <tp>
        <v>0.2292566793051759</v>
        <stp/>
        <stp>ContractData</stp>
        <stp>EP</stp>
        <stp>PerCentNetLastTrade</stp>
        <stp/>
        <stp>T</stp>
        <tr r="D4" s="1"/>
        <tr r="E4" s="1"/>
      </tp>
      <tp>
        <v>0.73253262930874208</v>
        <stp/>
        <stp>ContractData</stp>
        <stp>DD</stp>
        <stp>PerCentNetLastTrade</stp>
        <stp/>
        <stp>T</stp>
        <tr r="D8" s="1"/>
        <tr r="E8" s="1"/>
      </tp>
      <tp>
        <v>-2.8000000000000001E-2</v>
        <stp/>
        <stp>BUS10Y!NetChange,T</stp>
        <tr r="D17" s="1"/>
        <tr r="E52" s="6"/>
      </tp>
      <tp>
        <v>7679</v>
        <stp/>
        <stp>ContractData</stp>
        <stp>QFA</stp>
        <stp>Open</stp>
        <stp/>
        <stp>T</stp>
        <tr r="L7" s="1"/>
      </tp>
      <tp>
        <v>0.50325827472740181</v>
        <stp/>
        <stp>ContractData</stp>
        <stp>RYT</stp>
        <stp>PerCentNetLastQuote</stp>
        <tr r="G7" s="2"/>
      </tp>
      <tp>
        <v>-0.02</v>
        <stp/>
        <stp>BUS30Y!NetChange,T</stp>
        <tr r="D18" s="1"/>
        <tr r="E53" s="6"/>
      </tp>
      <tp>
        <v>-3.1113876789047916E-2</v>
        <stp/>
        <stp>ContractData</stp>
        <stp>TFE</stp>
        <stp>PerCentNetLastQuote</stp>
        <tr r="G13" s="2"/>
      </tp>
      <tp>
        <v>7692</v>
        <stp/>
        <stp>ContractData</stp>
        <stp>QFA</stp>
        <stp>High</stp>
        <stp/>
        <stp>T</stp>
        <tr r="M7" s="1"/>
      </tp>
      <tp>
        <v>1606.5</v>
        <stp/>
        <stp>ContractData</stp>
        <stp>TFE</stp>
        <stp>Open</stp>
        <stp/>
        <stp>T</stp>
        <tr r="L6" s="1"/>
      </tp>
      <tp>
        <v>1.0331238683565875</v>
        <stp/>
        <stp>ContractData</stp>
        <stp>XBI</stp>
        <stp>PerCentNetLastQuote</stp>
        <tr r="G8" s="2"/>
      </tp>
      <tp>
        <v>0.33786320294316391</v>
        <stp/>
        <stp>ContractData</stp>
        <stp>GCE</stp>
        <stp>PerCentNetLastTrade</stp>
        <stp/>
        <stp>T</stp>
        <tr r="D12" s="1"/>
        <tr r="E12" s="1"/>
      </tp>
      <tp>
        <v>0.56268936661376423</v>
        <stp/>
        <stp>ContractData</stp>
        <stp>ENQ</stp>
        <stp>PerCentNetLastTrade</stp>
        <stp/>
        <stp>T</stp>
        <tr r="E5" s="1"/>
        <tr r="D5" s="1"/>
      </tp>
      <tp>
        <v>-0.42223786066150598</v>
        <stp/>
        <stp>ContractData</stp>
        <stp>ESB</stp>
        <stp>PerCentNetLastTrade</stp>
        <stp/>
        <stp>T</stp>
        <tr r="D10" s="1"/>
        <tr r="E10" s="1"/>
      </tp>
      <tp>
        <v>0.13683634373289547</v>
        <stp/>
        <stp>ContractData</stp>
        <stp>DSX</stp>
        <stp>PerCentNetLastTrade</stp>
        <stp/>
        <stp>T</stp>
        <tr r="D9" s="1"/>
        <tr r="E9" s="1"/>
      </tp>
      <tp>
        <v>1.6359918200408998</v>
        <stp/>
        <stp>ContractData</stp>
        <stp>CLE</stp>
        <stp>PerCentNetLastTrade</stp>
        <stp/>
        <stp>T</stp>
        <tr r="E11" s="1"/>
        <tr r="D11" s="1"/>
      </tp>
      <tp>
        <v>-3.1113876789047916E-2</v>
        <stp/>
        <stp>ContractData</stp>
        <stp>TFE</stp>
        <stp>PerCentNetLastTrade</stp>
        <stp/>
        <stp>T</stp>
        <tr r="D6" s="1"/>
        <tr r="E6" s="1"/>
      </tp>
      <tp>
        <v>2.604675392329231E-2</v>
        <stp/>
        <stp>ContractData</stp>
        <stp>QFA</stp>
        <stp>PerCentNetLastTrade</stp>
        <stp/>
        <stp>T</stp>
        <tr r="D7" s="1"/>
        <tr r="E7" s="1"/>
      </tp>
      <tp>
        <v>2841.75</v>
        <stp/>
        <stp>ContractData</stp>
        <stp>EP</stp>
        <stp>Bid</stp>
        <stp/>
        <stp>T</stp>
        <tr r="I4" s="1"/>
      </tp>
      <tp>
        <v>13545.5</v>
        <stp/>
        <stp>ContractData</stp>
        <stp>DD</stp>
        <stp>Bid</stp>
        <stp/>
        <stp>T</stp>
        <tr r="I8" s="1"/>
      </tp>
      <tp>
        <v>2842</v>
        <stp/>
        <stp>ContractData</stp>
        <stp>EP</stp>
        <stp>Ask</stp>
        <stp/>
        <stp>T</stp>
        <tr r="J4" s="1"/>
      </tp>
      <tp>
        <v>13546.5</v>
        <stp/>
        <stp>ContractData</stp>
        <stp>DD</stp>
        <stp>Ask</stp>
        <stp/>
        <stp>T</stp>
        <tr r="J8" s="1"/>
      </tp>
      <tp>
        <v>2828.75</v>
        <stp/>
        <stp>ContractData</stp>
        <stp>EP</stp>
        <stp>Low</stp>
        <stp/>
        <stp>T</stp>
        <tr r="N4" s="1"/>
      </tp>
      <tp>
        <v>13512</v>
        <stp/>
        <stp>ContractData</stp>
        <stp>DD</stp>
        <stp>Low</stp>
        <stp/>
        <stp>T</stp>
        <tr r="N8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volatileDependencies" Target="volatileDependenci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768778707308645"/>
          <c:y val="3.1386092306080388E-2"/>
          <c:w val="0.6889232563366291"/>
          <c:h val="0.89387347084855739"/>
        </c:manualLayout>
      </c:layout>
      <c:barChart>
        <c:barDir val="bar"/>
        <c:grouping val="clustered"/>
        <c:varyColors val="0"/>
        <c:ser>
          <c:idx val="3"/>
          <c:order val="0"/>
          <c:spPr>
            <a:gradFill flip="none" rotWithShape="1">
              <a:gsLst>
                <a:gs pos="0">
                  <a:schemeClr val="tx2">
                    <a:lumMod val="60000"/>
                    <a:lumOff val="40000"/>
                  </a:schemeClr>
                </a:gs>
                <a:gs pos="16000">
                  <a:srgbClr val="00CCCC"/>
                </a:gs>
                <a:gs pos="47000">
                  <a:srgbClr val="9999FF"/>
                </a:gs>
                <a:gs pos="60001">
                  <a:srgbClr val="2E6792"/>
                </a:gs>
                <a:gs pos="71001">
                  <a:srgbClr val="3333CC"/>
                </a:gs>
                <a:gs pos="81000">
                  <a:srgbClr val="1170FF"/>
                </a:gs>
                <a:gs pos="100000">
                  <a:srgbClr val="006699"/>
                </a:gs>
              </a:gsLst>
              <a:lin ang="5400000" scaled="0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 i="0" baseline="0">
                    <a:solidFill>
                      <a:schemeClr val="bg1"/>
                    </a:solidFill>
                    <a:latin typeface="Century Gothic" panose="020B0502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Indicies!$C$2:$C$15</c:f>
              <c:strCache>
                <c:ptCount val="14"/>
                <c:pt idx="0">
                  <c:v>Euro FX (Globex), Mar 18</c:v>
                </c:pt>
                <c:pt idx="1">
                  <c:v>Gold (Globex), Feb 18</c:v>
                </c:pt>
                <c:pt idx="2">
                  <c:v>Nikkei 225 (Osaka), Mar 18</c:v>
                </c:pt>
                <c:pt idx="3">
                  <c:v>S&amp;P Banks Index</c:v>
                </c:pt>
                <c:pt idx="4">
                  <c:v>Ibovespa Index, Feb 18</c:v>
                </c:pt>
                <c:pt idx="5">
                  <c:v>Guggenheim S&amp;P 500 Eq Wt Technology ETF</c:v>
                </c:pt>
                <c:pt idx="6">
                  <c:v>SPDR S&amp;P Biotech ETF</c:v>
                </c:pt>
                <c:pt idx="7">
                  <c:v>CAC40, Feb 18</c:v>
                </c:pt>
                <c:pt idx="8">
                  <c:v>Euro STOXX 50, Mar 18</c:v>
                </c:pt>
                <c:pt idx="9">
                  <c:v>DAX Index, Mar 18</c:v>
                </c:pt>
                <c:pt idx="10">
                  <c:v>DJ Industrial Average</c:v>
                </c:pt>
                <c:pt idx="11">
                  <c:v>Russell 2000 Index Mini, Mar 18</c:v>
                </c:pt>
                <c:pt idx="12">
                  <c:v>E-mini NASDAQ-100, Mar 18</c:v>
                </c:pt>
                <c:pt idx="13">
                  <c:v>E-Mini S&amp;P 500, Mar 18</c:v>
                </c:pt>
              </c:strCache>
            </c:strRef>
          </c:cat>
          <c:val>
            <c:numRef>
              <c:f>Indicies!$G$2:$G$15</c:f>
              <c:numCache>
                <c:formatCode>0.00%</c:formatCode>
                <c:ptCount val="14"/>
                <c:pt idx="0">
                  <c:v>1.7073864791251677E-3</c:v>
                </c:pt>
                <c:pt idx="1">
                  <c:v>3.3786320294316389E-3</c:v>
                </c:pt>
                <c:pt idx="2">
                  <c:v>-2.9021558872305143E-3</c:v>
                </c:pt>
                <c:pt idx="3">
                  <c:v>1.1464759513020691E-3</c:v>
                </c:pt>
                <c:pt idx="4">
                  <c:v>-7.4229623480001946E-3</c:v>
                </c:pt>
                <c:pt idx="5">
                  <c:v>5.0325827472740177E-3</c:v>
                </c:pt>
                <c:pt idx="6">
                  <c:v>1.0331238683565875E-2</c:v>
                </c:pt>
                <c:pt idx="7">
                  <c:v>-4.4136191677175288E-3</c:v>
                </c:pt>
                <c:pt idx="8">
                  <c:v>1.0946907498631637E-3</c:v>
                </c:pt>
                <c:pt idx="9">
                  <c:v>7.3625106905142604E-3</c:v>
                </c:pt>
                <c:pt idx="10">
                  <c:v>2.937294484752771E-4</c:v>
                </c:pt>
                <c:pt idx="11">
                  <c:v>-3.1113876789047915E-4</c:v>
                </c:pt>
                <c:pt idx="12">
                  <c:v>5.590823834944453E-3</c:v>
                </c:pt>
                <c:pt idx="13">
                  <c:v>2.292566793051759E-3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41360272"/>
        <c:axId val="241358032"/>
      </c:barChart>
      <c:catAx>
        <c:axId val="241360272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>
            <a:solidFill>
              <a:srgbClr val="002060"/>
            </a:solidFill>
            <a:prstDash val="sysDot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chemeClr val="bg1"/>
                </a:solidFill>
                <a:latin typeface="Century Gothic" panose="020B0502020202020204" pitchFamily="34" charset="0"/>
                <a:ea typeface="Arial"/>
                <a:cs typeface="Arial"/>
              </a:defRPr>
            </a:pPr>
            <a:endParaRPr lang="en-US"/>
          </a:p>
        </c:txPr>
        <c:crossAx val="241358032"/>
        <c:crosses val="autoZero"/>
        <c:auto val="1"/>
        <c:lblAlgn val="ctr"/>
        <c:lblOffset val="500"/>
        <c:noMultiLvlLbl val="0"/>
      </c:catAx>
      <c:valAx>
        <c:axId val="241358032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0.00%" sourceLinked="0"/>
        <c:majorTickMark val="out"/>
        <c:minorTickMark val="none"/>
        <c:tickLblPos val="nextTo"/>
        <c:spPr>
          <a:noFill/>
          <a:ln w="3175">
            <a:solidFill>
              <a:schemeClr val="tx2"/>
            </a:solidFill>
            <a:prstDash val="sysDot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chemeClr val="bg1"/>
                </a:solidFill>
                <a:latin typeface="Century Gothic" panose="020B0502020202020204" pitchFamily="34" charset="0"/>
                <a:ea typeface="Arial"/>
                <a:cs typeface="Arial"/>
              </a:defRPr>
            </a:pPr>
            <a:endParaRPr lang="en-US"/>
          </a:p>
        </c:txPr>
        <c:crossAx val="241360272"/>
        <c:crosses val="autoZero"/>
        <c:crossBetween val="between"/>
      </c:valAx>
      <c:spPr>
        <a:noFill/>
        <a:ln w="12700"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22225">
      <a:noFill/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302025782688771E-2"/>
          <c:y val="3.6561692935567158E-2"/>
          <c:w val="0.91880437742512333"/>
          <c:h val="0.86115992970122957"/>
        </c:manualLayout>
      </c:layout>
      <c:lineChart>
        <c:grouping val="standard"/>
        <c:varyColors val="0"/>
        <c:ser>
          <c:idx val="0"/>
          <c:order val="0"/>
          <c:tx>
            <c:strRef>
              <c:f>EurozoneYields!$C$1</c:f>
              <c:strCache>
                <c:ptCount val="1"/>
                <c:pt idx="0">
                  <c:v>Netherlands</c:v>
                </c:pt>
              </c:strCache>
            </c:strRef>
          </c:tx>
          <c:cat>
            <c:strRef>
              <c:f>EurozoneYields!$H$18:$H$21</c:f>
              <c:strCache>
                <c:ptCount val="4"/>
                <c:pt idx="0">
                  <c:v>2-yr</c:v>
                </c:pt>
                <c:pt idx="1">
                  <c:v>5-yr</c:v>
                </c:pt>
                <c:pt idx="2">
                  <c:v>10-yr</c:v>
                </c:pt>
                <c:pt idx="3">
                  <c:v>30-yr</c:v>
                </c:pt>
              </c:strCache>
            </c:strRef>
          </c:cat>
          <c:val>
            <c:numRef>
              <c:f>EurozoneYields!$G$18:$G$21</c:f>
              <c:numCache>
                <c:formatCode>0.000</c:formatCode>
                <c:ptCount val="4"/>
                <c:pt idx="0">
                  <c:v>-0.55500000000000005</c:v>
                </c:pt>
                <c:pt idx="1">
                  <c:v>-0.121</c:v>
                </c:pt>
                <c:pt idx="2">
                  <c:v>0.61399999999999999</c:v>
                </c:pt>
                <c:pt idx="3">
                  <c:v>1.2989999999999999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EurozoneYields!$F$1</c:f>
              <c:strCache>
                <c:ptCount val="1"/>
                <c:pt idx="0">
                  <c:v>Portugal</c:v>
                </c:pt>
              </c:strCache>
            </c:strRef>
          </c:tx>
          <c:val>
            <c:numRef>
              <c:f>EurozoneYields!$I$18:$I$21</c:f>
              <c:numCache>
                <c:formatCode>0.000</c:formatCode>
                <c:ptCount val="4"/>
                <c:pt idx="0" formatCode="General">
                  <c:v>-0.08</c:v>
                </c:pt>
                <c:pt idx="1">
                  <c:v>1.175</c:v>
                </c:pt>
                <c:pt idx="2">
                  <c:v>2.6539999999999999</c:v>
                </c:pt>
                <c:pt idx="3">
                  <c:v>3.7010000000000001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730688"/>
        <c:axId val="806195536"/>
      </c:lineChart>
      <c:catAx>
        <c:axId val="2347306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3175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chemeClr val="bg1"/>
                </a:solidFill>
                <a:latin typeface="Tahoma" pitchFamily="34" charset="0"/>
                <a:ea typeface="Arial"/>
                <a:cs typeface="Arial"/>
              </a:defRPr>
            </a:pPr>
            <a:endParaRPr lang="en-US"/>
          </a:p>
        </c:txPr>
        <c:crossAx val="80619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6195536"/>
        <c:scaling>
          <c:orientation val="minMax"/>
        </c:scaling>
        <c:delete val="0"/>
        <c:axPos val="l"/>
        <c:majorGridlines>
          <c:spPr>
            <a:ln w="3175" cap="rnd">
              <a:solidFill>
                <a:schemeClr val="bg2">
                  <a:lumMod val="90000"/>
                </a:schemeClr>
              </a:solidFill>
              <a:prstDash val="sysDot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chemeClr val="bg1"/>
                </a:solidFill>
                <a:latin typeface="Tahoma" pitchFamily="34" charset="0"/>
                <a:ea typeface="Arial"/>
                <a:cs typeface="Arial"/>
              </a:defRPr>
            </a:pPr>
            <a:endParaRPr lang="en-US"/>
          </a:p>
        </c:txPr>
        <c:crossAx val="234730688"/>
        <c:crosses val="autoZero"/>
        <c:crossBetween val="between"/>
      </c:valAx>
      <c:spPr>
        <a:solidFill>
          <a:sysClr val="windowText" lastClr="000000"/>
        </a:solidFill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16352201257861632"/>
          <c:y val="4.7396984122235239E-2"/>
          <c:w val="0.28716981132076436"/>
          <c:h val="0.1826907896055"/>
        </c:manualLayout>
      </c:layout>
      <c:overlay val="0"/>
      <c:txPr>
        <a:bodyPr/>
        <a:lstStyle/>
        <a:p>
          <a:pPr>
            <a:defRPr sz="1000" baseline="0">
              <a:solidFill>
                <a:schemeClr val="bg1"/>
              </a:solidFill>
              <a:latin typeface="Tahoma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12700">
      <a:solidFill>
        <a:schemeClr val="bg1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91317500973922"/>
          <c:y val="7.2555205047318813E-2"/>
          <c:w val="0.85869656366400271"/>
          <c:h val="0.79179810725553823"/>
        </c:manualLayout>
      </c:layout>
      <c:lineChart>
        <c:grouping val="standard"/>
        <c:varyColors val="0"/>
        <c:ser>
          <c:idx val="0"/>
          <c:order val="0"/>
          <c:marker>
            <c:symbol val="circle"/>
            <c:size val="7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</c:spPr>
          </c:marker>
          <c:cat>
            <c:strRef>
              <c:f>BTCSpreads!$B$2:$B$7</c:f>
              <c:strCache>
                <c:ptCount val="6"/>
                <c:pt idx="0">
                  <c:v>BUS02Y</c:v>
                </c:pt>
                <c:pt idx="1">
                  <c:v>BUS03Y</c:v>
                </c:pt>
                <c:pt idx="2">
                  <c:v>BUS05Y</c:v>
                </c:pt>
                <c:pt idx="3">
                  <c:v>BUS07Y</c:v>
                </c:pt>
                <c:pt idx="4">
                  <c:v>BUS010Y</c:v>
                </c:pt>
                <c:pt idx="5">
                  <c:v>BUS030Y</c:v>
                </c:pt>
              </c:strCache>
            </c:strRef>
          </c:cat>
          <c:val>
            <c:numRef>
              <c:f>BTCSpreads!$C$2:$C$7</c:f>
              <c:numCache>
                <c:formatCode>0.000</c:formatCode>
                <c:ptCount val="6"/>
                <c:pt idx="0">
                  <c:v>2.0529999999999999</c:v>
                </c:pt>
                <c:pt idx="1">
                  <c:v>2.1800000000000002</c:v>
                </c:pt>
                <c:pt idx="2">
                  <c:v>2.4220000000000002</c:v>
                </c:pt>
                <c:pt idx="3">
                  <c:v>2.5489999999999999</c:v>
                </c:pt>
                <c:pt idx="4">
                  <c:v>2.62</c:v>
                </c:pt>
                <c:pt idx="5">
                  <c:v>2.891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497744"/>
        <c:axId val="837498304"/>
      </c:lineChart>
      <c:catAx>
        <c:axId val="83749774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3175" cmpd="sng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837498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7498304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/>
              </a:solidFill>
              <a:prstDash val="sysDot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8374977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tx1"/>
    </a:solidFill>
    <a:ln w="12700">
      <a:solidFill>
        <a:schemeClr val="bg1"/>
      </a:solidFill>
      <a:prstDash val="solid"/>
    </a:ln>
  </c:spPr>
  <c:txPr>
    <a:bodyPr/>
    <a:lstStyle/>
    <a:p>
      <a:pPr>
        <a:defRPr sz="800" b="0" i="0" u="none" strike="noStrike" baseline="0">
          <a:solidFill>
            <a:schemeClr val="bg1"/>
          </a:solidFill>
          <a:latin typeface="Tahoma" pitchFamily="34" charset="0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200" verticalDpi="20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1751360554436"/>
          <c:y val="0.20472519656280208"/>
          <c:w val="0.85217481761087244"/>
          <c:h val="0.5984274976450916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000FF"/>
                </a:gs>
                <a:gs pos="50000">
                  <a:srgbClr val="3366FF"/>
                </a:gs>
                <a:gs pos="100000">
                  <a:srgbClr val="0000FF"/>
                </a:gs>
              </a:gsLst>
              <a:lin ang="5400000" scaled="1"/>
            </a:gradFill>
          </c:spPr>
          <c:invertIfNegative val="0"/>
          <c:val>
            <c:numRef>
              <c:f>BTCSpreads!$D$2:$D$7</c:f>
              <c:numCache>
                <c:formatCode>0.000</c:formatCode>
                <c:ptCount val="6"/>
                <c:pt idx="0">
                  <c:v>-8.0000000000000002E-3</c:v>
                </c:pt>
                <c:pt idx="1">
                  <c:v>-1.9E-2</c:v>
                </c:pt>
                <c:pt idx="2">
                  <c:v>-2.4E-2</c:v>
                </c:pt>
                <c:pt idx="3">
                  <c:v>-0.03</c:v>
                </c:pt>
                <c:pt idx="4">
                  <c:v>-2.8000000000000001E-2</c:v>
                </c:pt>
                <c:pt idx="5">
                  <c:v>-0.02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6864560"/>
        <c:axId val="836865120"/>
      </c:barChart>
      <c:catAx>
        <c:axId val="836864560"/>
        <c:scaling>
          <c:orientation val="minMax"/>
        </c:scaling>
        <c:delete val="0"/>
        <c:axPos val="b"/>
        <c:majorTickMark val="cross"/>
        <c:minorTickMark val="none"/>
        <c:tickLblPos val="none"/>
        <c:spPr>
          <a:ln w="3175">
            <a:solidFill>
              <a:schemeClr val="bg1"/>
            </a:solidFill>
            <a:prstDash val="solid"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836865120"/>
        <c:crosses val="autoZero"/>
        <c:auto val="1"/>
        <c:lblAlgn val="ctr"/>
        <c:lblOffset val="100"/>
        <c:tickMarkSkip val="1"/>
        <c:noMultiLvlLbl val="0"/>
      </c:catAx>
      <c:valAx>
        <c:axId val="836865120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8368645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tx1"/>
    </a:solidFill>
    <a:ln w="12700">
      <a:solidFill>
        <a:schemeClr val="bg1"/>
      </a:solidFill>
      <a:prstDash val="solid"/>
    </a:ln>
  </c:spPr>
  <c:txPr>
    <a:bodyPr/>
    <a:lstStyle/>
    <a:p>
      <a:pPr>
        <a:defRPr sz="800" b="1" i="0" u="none" strike="noStrike" baseline="0">
          <a:solidFill>
            <a:schemeClr val="bg1"/>
          </a:solidFill>
          <a:latin typeface="Tahoma" pitchFamily="34" charset="0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200" verticalDpi="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10725179897239E-2"/>
          <c:y val="0.15373311640910892"/>
          <c:w val="0.89489903309441332"/>
          <c:h val="0.77758567632170306"/>
        </c:manualLayout>
      </c:layout>
      <c:lineChart>
        <c:grouping val="standard"/>
        <c:varyColors val="0"/>
        <c:ser>
          <c:idx val="0"/>
          <c:order val="0"/>
          <c:spPr>
            <a:ln w="19050"/>
          </c:spPr>
          <c:marker>
            <c:symbol val="circle"/>
            <c:size val="7"/>
            <c:spPr>
              <a:gradFill flip="none" rotWithShape="1">
                <a:gsLst>
                  <a:gs pos="0">
                    <a:schemeClr val="tx2"/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10800000" scaled="1"/>
                <a:tileRect/>
              </a:gra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BTCSpreads!$B$2:$B$7</c:f>
              <c:strCache>
                <c:ptCount val="6"/>
                <c:pt idx="0">
                  <c:v>BUS02Y</c:v>
                </c:pt>
                <c:pt idx="1">
                  <c:v>BUS03Y</c:v>
                </c:pt>
                <c:pt idx="2">
                  <c:v>BUS05Y</c:v>
                </c:pt>
                <c:pt idx="3">
                  <c:v>BUS07Y</c:v>
                </c:pt>
                <c:pt idx="4">
                  <c:v>BUS010Y</c:v>
                </c:pt>
                <c:pt idx="5">
                  <c:v>BUS030Y</c:v>
                </c:pt>
              </c:strCache>
            </c:strRef>
          </c:cat>
          <c:val>
            <c:numRef>
              <c:f>BTCSpreads!$C$2:$C$7</c:f>
              <c:numCache>
                <c:formatCode>0.000</c:formatCode>
                <c:ptCount val="6"/>
                <c:pt idx="0">
                  <c:v>2.0529999999999999</c:v>
                </c:pt>
                <c:pt idx="1">
                  <c:v>2.1800000000000002</c:v>
                </c:pt>
                <c:pt idx="2">
                  <c:v>2.4220000000000002</c:v>
                </c:pt>
                <c:pt idx="3">
                  <c:v>2.5489999999999999</c:v>
                </c:pt>
                <c:pt idx="4">
                  <c:v>2.62</c:v>
                </c:pt>
                <c:pt idx="5">
                  <c:v>2.891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970352"/>
        <c:axId val="837057984"/>
      </c:lineChart>
      <c:catAx>
        <c:axId val="239970352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high"/>
        <c:spPr>
          <a:noFill/>
          <a:ln w="3175" cmpd="sng">
            <a:solidFill>
              <a:srgbClr val="002060"/>
            </a:solidFill>
            <a:prstDash val="solid"/>
          </a:ln>
        </c:spPr>
        <c:txPr>
          <a:bodyPr rot="0" vert="horz"/>
          <a:lstStyle/>
          <a:p>
            <a:pPr>
              <a:defRPr sz="90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837057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7057984"/>
        <c:scaling>
          <c:orientation val="minMax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ot"/>
            </a:ln>
          </c:spPr>
        </c:majorGridlines>
        <c:numFmt formatCode="0.00" sourceLinked="0"/>
        <c:majorTickMark val="out"/>
        <c:minorTickMark val="none"/>
        <c:tickLblPos val="nextTo"/>
        <c:spPr>
          <a:noFill/>
          <a:ln>
            <a:solidFill>
              <a:srgbClr val="002060"/>
            </a:solidFill>
            <a:prstDash val="sysDot"/>
          </a:ln>
        </c:spPr>
        <c:txPr>
          <a:bodyPr rot="0" vert="horz"/>
          <a:lstStyle/>
          <a:p>
            <a:pPr>
              <a:defRPr sz="90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239970352"/>
        <c:crosses val="autoZero"/>
        <c:crossBetween val="between"/>
      </c:valAx>
      <c:spPr>
        <a:noFill/>
        <a:ln w="12700">
          <a:solidFill>
            <a:srgbClr val="002060"/>
          </a:solidFill>
          <a:prstDash val="solid"/>
        </a:ln>
      </c:spPr>
    </c:plotArea>
    <c:plotVisOnly val="1"/>
    <c:dispBlanksAs val="gap"/>
    <c:showDLblsOverMax val="0"/>
  </c:chart>
  <c:spPr>
    <a:noFill/>
    <a:ln w="22225">
      <a:noFill/>
      <a:prstDash val="solid"/>
    </a:ln>
  </c:spPr>
  <c:txPr>
    <a:bodyPr/>
    <a:lstStyle/>
    <a:p>
      <a:pPr>
        <a:defRPr sz="800" b="0" i="0" u="none" strike="noStrike" baseline="0">
          <a:solidFill>
            <a:schemeClr val="bg1"/>
          </a:solidFill>
          <a:latin typeface="Tahoma" pitchFamily="34" charset="0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200" verticalDpi="2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42537966572819E-2"/>
          <c:y val="0.28456119263451363"/>
          <c:w val="0.89425816423092619"/>
          <c:h val="0.51859139007934518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000FF"/>
                </a:gs>
                <a:gs pos="50000">
                  <a:srgbClr val="3366FF"/>
                </a:gs>
                <a:gs pos="100000">
                  <a:srgbClr val="0000FF"/>
                </a:gs>
              </a:gsLst>
              <a:lin ang="5400000" scaled="1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BTCSpreads!$D$2:$D$7</c:f>
              <c:numCache>
                <c:formatCode>0.000</c:formatCode>
                <c:ptCount val="6"/>
                <c:pt idx="0">
                  <c:v>-8.0000000000000002E-3</c:v>
                </c:pt>
                <c:pt idx="1">
                  <c:v>-1.9E-2</c:v>
                </c:pt>
                <c:pt idx="2">
                  <c:v>-2.4E-2</c:v>
                </c:pt>
                <c:pt idx="3">
                  <c:v>-0.03</c:v>
                </c:pt>
                <c:pt idx="4">
                  <c:v>-2.8000000000000001E-2</c:v>
                </c:pt>
                <c:pt idx="5">
                  <c:v>-0.02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491968"/>
        <c:axId val="840492528"/>
      </c:barChart>
      <c:catAx>
        <c:axId val="840491968"/>
        <c:scaling>
          <c:orientation val="minMax"/>
        </c:scaling>
        <c:delete val="0"/>
        <c:axPos val="b"/>
        <c:majorTickMark val="cross"/>
        <c:minorTickMark val="none"/>
        <c:tickLblPos val="none"/>
        <c:spPr>
          <a:noFill/>
          <a:ln w="3175">
            <a:solidFill>
              <a:srgbClr val="002060"/>
            </a:solidFill>
            <a:prstDash val="sysDot"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840492528"/>
        <c:crosses val="autoZero"/>
        <c:auto val="1"/>
        <c:lblAlgn val="ctr"/>
        <c:lblOffset val="100"/>
        <c:tickMarkSkip val="1"/>
        <c:noMultiLvlLbl val="0"/>
      </c:catAx>
      <c:valAx>
        <c:axId val="84049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ot"/>
            </a:ln>
          </c:spPr>
        </c:majorGridlines>
        <c:numFmt formatCode="0.000" sourceLinked="1"/>
        <c:majorTickMark val="out"/>
        <c:minorTickMark val="none"/>
        <c:tickLblPos val="nextTo"/>
        <c:spPr>
          <a:noFill/>
          <a:ln w="3175">
            <a:solidFill>
              <a:srgbClr val="002060"/>
            </a:solidFill>
            <a:prstDash val="sysDot"/>
          </a:ln>
        </c:spPr>
        <c:txPr>
          <a:bodyPr rot="0" vert="horz"/>
          <a:lstStyle/>
          <a:p>
            <a:pPr>
              <a:defRPr sz="90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840491968"/>
        <c:crosses val="autoZero"/>
        <c:crossBetween val="between"/>
      </c:valAx>
      <c:spPr>
        <a:noFill/>
        <a:ln w="12700">
          <a:solidFill>
            <a:srgbClr val="002060"/>
          </a:solidFill>
          <a:prstDash val="solid"/>
        </a:ln>
      </c:spPr>
    </c:plotArea>
    <c:plotVisOnly val="1"/>
    <c:dispBlanksAs val="gap"/>
    <c:showDLblsOverMax val="0"/>
  </c:chart>
  <c:spPr>
    <a:noFill/>
    <a:ln w="22225">
      <a:noFill/>
      <a:prstDash val="solid"/>
    </a:ln>
  </c:spPr>
  <c:txPr>
    <a:bodyPr/>
    <a:lstStyle/>
    <a:p>
      <a:pPr>
        <a:defRPr sz="800" b="1" i="0" u="none" strike="noStrike" baseline="0">
          <a:solidFill>
            <a:schemeClr val="bg1"/>
          </a:solidFill>
          <a:latin typeface="Tahoma" pitchFamily="34" charset="0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200" verticalDpi="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36397803898444E-2"/>
          <c:y val="3.6561912061878282E-2"/>
          <c:w val="0.9281636021961015"/>
          <c:h val="0.91685535397424045"/>
        </c:manualLayout>
      </c:layout>
      <c:lineChart>
        <c:grouping val="standard"/>
        <c:varyColors val="0"/>
        <c:ser>
          <c:idx val="0"/>
          <c:order val="0"/>
          <c:tx>
            <c:strRef>
              <c:f>Main!$G$32</c:f>
              <c:strCache>
                <c:ptCount val="1"/>
                <c:pt idx="0">
                  <c:v>Netherlands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diamond"/>
            <c:size val="7"/>
            <c:spPr>
              <a:gradFill>
                <a:gsLst>
                  <a:gs pos="0">
                    <a:schemeClr val="accent2">
                      <a:lumMod val="40000"/>
                      <a:lumOff val="60000"/>
                    </a:schemeClr>
                  </a:gs>
                  <a:gs pos="64999">
                    <a:srgbClr val="F0EBD5"/>
                  </a:gs>
                  <a:gs pos="100000">
                    <a:srgbClr val="D1C39F"/>
                  </a:gs>
                </a:gsLst>
                <a:lin ang="5400000" scaled="0"/>
              </a:gradFill>
            </c:spPr>
          </c:marker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EurozoneYields!$H$18:$H$21</c:f>
              <c:strCache>
                <c:ptCount val="4"/>
                <c:pt idx="0">
                  <c:v>2-yr</c:v>
                </c:pt>
                <c:pt idx="1">
                  <c:v>5-yr</c:v>
                </c:pt>
                <c:pt idx="2">
                  <c:v>10-yr</c:v>
                </c:pt>
                <c:pt idx="3">
                  <c:v>30-yr</c:v>
                </c:pt>
              </c:strCache>
            </c:strRef>
          </c:cat>
          <c:val>
            <c:numRef>
              <c:f>EurozoneYields!$G$18:$G$21</c:f>
              <c:numCache>
                <c:formatCode>0.000</c:formatCode>
                <c:ptCount val="4"/>
                <c:pt idx="0">
                  <c:v>-0.55500000000000005</c:v>
                </c:pt>
                <c:pt idx="1">
                  <c:v>-0.121</c:v>
                </c:pt>
                <c:pt idx="2">
                  <c:v>0.61399999999999999</c:v>
                </c:pt>
                <c:pt idx="3">
                  <c:v>1.2989999999999999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Main!$N$32</c:f>
              <c:strCache>
                <c:ptCount val="1"/>
                <c:pt idx="0">
                  <c:v>Portugal</c:v>
                </c:pt>
              </c:strCache>
            </c:strRef>
          </c:tx>
          <c:spPr>
            <a:ln w="19050">
              <a:solidFill>
                <a:srgbClr val="FFFF00"/>
              </a:solidFill>
            </a:ln>
          </c:spPr>
          <c:marker>
            <c:symbol val="circle"/>
            <c:size val="6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EurozoneYields!$I$18:$I$21</c:f>
              <c:numCache>
                <c:formatCode>0.000</c:formatCode>
                <c:ptCount val="4"/>
                <c:pt idx="0" formatCode="General">
                  <c:v>-0.08</c:v>
                </c:pt>
                <c:pt idx="1">
                  <c:v>1.175</c:v>
                </c:pt>
                <c:pt idx="2">
                  <c:v>2.6539999999999999</c:v>
                </c:pt>
                <c:pt idx="3">
                  <c:v>3.7010000000000001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402528"/>
        <c:axId val="837403088"/>
      </c:lineChart>
      <c:catAx>
        <c:axId val="837402528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>
            <a:solidFill>
              <a:srgbClr val="002060"/>
            </a:solidFill>
            <a:prstDash val="sysDot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chemeClr val="bg1"/>
                </a:solidFill>
                <a:latin typeface="Century Gothic" panose="020B0502020202020204" pitchFamily="34" charset="0"/>
                <a:ea typeface="Arial"/>
                <a:cs typeface="Arial"/>
              </a:defRPr>
            </a:pPr>
            <a:endParaRPr lang="en-US"/>
          </a:p>
        </c:txPr>
        <c:crossAx val="837403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7403088"/>
        <c:scaling>
          <c:orientation val="minMax"/>
        </c:scaling>
        <c:delete val="0"/>
        <c:axPos val="l"/>
        <c:majorGridlines>
          <c:spPr>
            <a:ln w="3175" cap="rnd">
              <a:solidFill>
                <a:srgbClr val="002060"/>
              </a:solidFill>
              <a:prstDash val="sysDot"/>
            </a:ln>
          </c:spPr>
        </c:majorGridlines>
        <c:numFmt formatCode="#,##0.00" sourceLinked="0"/>
        <c:majorTickMark val="out"/>
        <c:minorTickMark val="none"/>
        <c:tickLblPos val="nextTo"/>
        <c:spPr>
          <a:noFill/>
          <a:ln w="3175">
            <a:solidFill>
              <a:srgbClr val="002060"/>
            </a:solidFill>
            <a:prstDash val="sysDot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chemeClr val="bg1"/>
                </a:solidFill>
                <a:latin typeface="Century Gothic" panose="020B0502020202020204" pitchFamily="34" charset="0"/>
                <a:ea typeface="Arial"/>
                <a:cs typeface="Arial"/>
              </a:defRPr>
            </a:pPr>
            <a:endParaRPr lang="en-US"/>
          </a:p>
        </c:txPr>
        <c:crossAx val="837402528"/>
        <c:crosses val="autoZero"/>
        <c:crossBetween val="between"/>
      </c:valAx>
      <c:spPr>
        <a:noFill/>
        <a:ln w="25400">
          <a:noFill/>
          <a:prstDash val="solid"/>
        </a:ln>
      </c:spPr>
    </c:plotArea>
    <c:legend>
      <c:legendPos val="l"/>
      <c:legendEntry>
        <c:idx val="0"/>
        <c:txPr>
          <a:bodyPr/>
          <a:lstStyle/>
          <a:p>
            <a:pPr>
              <a:defRPr sz="1000"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000"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168623751796308"/>
          <c:y val="3.9014407301171276E-2"/>
          <c:w val="0.36224739305059139"/>
          <c:h val="0.11256244969779491"/>
        </c:manualLayout>
      </c:layout>
      <c:overlay val="0"/>
      <c:spPr>
        <a:gradFill flip="none" rotWithShape="1">
          <a:gsLst>
            <a:gs pos="0">
              <a:schemeClr val="tx2"/>
            </a:gs>
            <a:gs pos="50000">
              <a:schemeClr val="accent1"/>
            </a:gs>
            <a:gs pos="100000">
              <a:schemeClr val="tx2"/>
            </a:gs>
          </a:gsLst>
          <a:lin ang="5400000" scaled="1"/>
          <a:tileRect/>
        </a:gradFill>
      </c:spPr>
      <c:txPr>
        <a:bodyPr/>
        <a:lstStyle/>
        <a:p>
          <a:pPr>
            <a:defRPr sz="1000" b="0" i="0" baseline="0">
              <a:solidFill>
                <a:schemeClr val="bg1"/>
              </a:solidFill>
              <a:latin typeface="Century Gothic" panose="020B0502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22225">
      <a:noFill/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636152954808912E-2"/>
          <c:y val="2.401937822045808E-2"/>
          <c:w val="0.89339513325609365"/>
          <c:h val="0.95045873667271052"/>
        </c:manualLayout>
      </c:layout>
      <c:lineChart>
        <c:grouping val="standard"/>
        <c:varyColors val="0"/>
        <c:ser>
          <c:idx val="0"/>
          <c:order val="0"/>
          <c:tx>
            <c:strRef>
              <c:f>ThreeCurves!$A$12</c:f>
              <c:strCache>
                <c:ptCount val="1"/>
                <c:pt idx="0">
                  <c:v>US Treasury Yield Curve</c:v>
                </c:pt>
              </c:strCache>
            </c:strRef>
          </c:tx>
          <c:spPr>
            <a:ln w="19050">
              <a:solidFill>
                <a:schemeClr val="bg1"/>
              </a:solidFill>
              <a:prstDash val="solid"/>
            </a:ln>
          </c:spPr>
          <c:marker>
            <c:symbol val="circle"/>
            <c:size val="8"/>
            <c:spPr>
              <a:gradFill>
                <a:gsLst>
                  <a:gs pos="0">
                    <a:srgbClr val="03D4A8"/>
                  </a:gs>
                  <a:gs pos="25000">
                    <a:srgbClr val="21D6E0"/>
                  </a:gs>
                  <a:gs pos="75000">
                    <a:srgbClr val="0087E6"/>
                  </a:gs>
                  <a:gs pos="100000">
                    <a:srgbClr val="005CBF"/>
                  </a:gs>
                </a:gsLst>
                <a:lin ang="5400000" scaled="0"/>
              </a:gradFill>
              <a:ln cap="rnd">
                <a:solidFill>
                  <a:srgbClr val="000080"/>
                </a:solidFill>
                <a:prstDash val="solid"/>
              </a:ln>
            </c:spPr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 i="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ThreeCurves!$A$15:$A$19</c:f>
              <c:strCache>
                <c:ptCount val="4"/>
                <c:pt idx="0">
                  <c:v>2-year</c:v>
                </c:pt>
                <c:pt idx="1">
                  <c:v>3-year</c:v>
                </c:pt>
                <c:pt idx="2">
                  <c:v>10-year</c:v>
                </c:pt>
                <c:pt idx="3">
                  <c:v>30-year</c:v>
                </c:pt>
              </c:strCache>
            </c:strRef>
          </c:cat>
          <c:val>
            <c:numRef>
              <c:f>ThreeCurves!$B$39:$B$42</c:f>
              <c:numCache>
                <c:formatCode>General</c:formatCode>
                <c:ptCount val="4"/>
                <c:pt idx="0">
                  <c:v>2.0529999999999999</c:v>
                </c:pt>
                <c:pt idx="1">
                  <c:v>2.4220000000000002</c:v>
                </c:pt>
                <c:pt idx="2">
                  <c:v>2.62</c:v>
                </c:pt>
                <c:pt idx="3">
                  <c:v>2.891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ThreeCurves!$E$12</c:f>
              <c:strCache>
                <c:ptCount val="1"/>
                <c:pt idx="0">
                  <c:v>German Yield Curve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 i="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ThreeCurves!$A$15:$A$19</c:f>
              <c:strCache>
                <c:ptCount val="4"/>
                <c:pt idx="0">
                  <c:v>2-year</c:v>
                </c:pt>
                <c:pt idx="1">
                  <c:v>3-year</c:v>
                </c:pt>
                <c:pt idx="2">
                  <c:v>10-year</c:v>
                </c:pt>
                <c:pt idx="3">
                  <c:v>30-year</c:v>
                </c:pt>
              </c:strCache>
            </c:strRef>
          </c:cat>
          <c:val>
            <c:numRef>
              <c:f>ThreeCurves!$F$39:$F$42</c:f>
              <c:numCache>
                <c:formatCode>General</c:formatCode>
                <c:ptCount val="4"/>
                <c:pt idx="0">
                  <c:v>-0.54300000000000004</c:v>
                </c:pt>
                <c:pt idx="1">
                  <c:v>-0.13100000000000001</c:v>
                </c:pt>
                <c:pt idx="2">
                  <c:v>0.497</c:v>
                </c:pt>
                <c:pt idx="3">
                  <c:v>1.298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ThreeCurves!$I$13</c:f>
              <c:strCache>
                <c:ptCount val="1"/>
                <c:pt idx="0">
                  <c:v>United Kingdom Yield Curve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triangle"/>
            <c:size val="7"/>
            <c:spPr>
              <a:gradFill>
                <a:gsLst>
                  <a:gs pos="0">
                    <a:srgbClr val="0033CC"/>
                  </a:gs>
                  <a:gs pos="16000">
                    <a:srgbClr val="00CCCC"/>
                  </a:gs>
                  <a:gs pos="47000">
                    <a:srgbClr val="9999FF"/>
                  </a:gs>
                  <a:gs pos="60001">
                    <a:srgbClr val="2E6792"/>
                  </a:gs>
                  <a:gs pos="71001">
                    <a:srgbClr val="3333CC"/>
                  </a:gs>
                  <a:gs pos="81000">
                    <a:srgbClr val="1170FF"/>
                  </a:gs>
                  <a:gs pos="100000">
                    <a:srgbClr val="006699"/>
                  </a:gs>
                </a:gsLst>
                <a:lin ang="5400000" scaled="0"/>
              </a:gra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 i="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ThreeCurves!$A$15:$A$19</c:f>
              <c:strCache>
                <c:ptCount val="4"/>
                <c:pt idx="0">
                  <c:v>2-year</c:v>
                </c:pt>
                <c:pt idx="1">
                  <c:v>3-year</c:v>
                </c:pt>
                <c:pt idx="2">
                  <c:v>10-year</c:v>
                </c:pt>
                <c:pt idx="3">
                  <c:v>30-year</c:v>
                </c:pt>
              </c:strCache>
            </c:strRef>
          </c:cat>
          <c:val>
            <c:numRef>
              <c:f>ThreeCurves!$J$40:$J$43</c:f>
              <c:numCache>
                <c:formatCode>General</c:formatCode>
                <c:ptCount val="4"/>
                <c:pt idx="0">
                  <c:v>0.57200000000000006</c:v>
                </c:pt>
                <c:pt idx="1">
                  <c:v>0.875</c:v>
                </c:pt>
                <c:pt idx="2">
                  <c:v>1.3560000000000001</c:v>
                </c:pt>
                <c:pt idx="3">
                  <c:v>1.855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984608"/>
        <c:axId val="837985168"/>
      </c:lineChart>
      <c:catAx>
        <c:axId val="837984608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2060"/>
            </a:solidFill>
            <a:prstDash val="sysDot"/>
          </a:ln>
        </c:spPr>
        <c:txPr>
          <a:bodyPr rot="0" vert="horz"/>
          <a:lstStyle/>
          <a:p>
            <a:pPr>
              <a:defRPr b="0" i="0" baseline="0"/>
            </a:pPr>
            <a:endParaRPr lang="en-US"/>
          </a:p>
        </c:txPr>
        <c:crossAx val="837985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7985168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sysDot"/>
            </a:ln>
          </c:spPr>
        </c:majorGridlines>
        <c:numFmt formatCode="#,##0.00" sourceLinked="0"/>
        <c:majorTickMark val="out"/>
        <c:minorTickMark val="none"/>
        <c:tickLblPos val="nextTo"/>
        <c:spPr>
          <a:noFill/>
          <a:ln w="3175">
            <a:solidFill>
              <a:srgbClr val="002060"/>
            </a:solidFill>
            <a:prstDash val="solid"/>
          </a:ln>
        </c:spPr>
        <c:txPr>
          <a:bodyPr rot="0" vert="horz"/>
          <a:lstStyle/>
          <a:p>
            <a:pPr>
              <a:defRPr b="0" i="0" baseline="0"/>
            </a:pPr>
            <a:endParaRPr lang="en-US"/>
          </a:p>
        </c:txPr>
        <c:crossAx val="837984608"/>
        <c:crosses val="autoZero"/>
        <c:crossBetween val="between"/>
      </c:valAx>
      <c:spPr>
        <a:noFill/>
        <a:ln w="12700">
          <a:solidFill>
            <a:srgbClr val="00206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9086110558748847"/>
          <c:y val="0.78517233052270341"/>
          <c:w val="0.47161506339114406"/>
          <c:h val="0.14525274046626732"/>
        </c:manualLayout>
      </c:layout>
      <c:overlay val="0"/>
      <c:spPr>
        <a:gradFill>
          <a:gsLst>
            <a:gs pos="0">
              <a:schemeClr val="tx2"/>
            </a:gs>
            <a:gs pos="50000">
              <a:schemeClr val="accent1"/>
            </a:gs>
            <a:gs pos="100000">
              <a:schemeClr val="tx2"/>
            </a:gs>
          </a:gsLst>
          <a:lin ang="5400000" scaled="0"/>
        </a:gradFill>
        <a:ln w="3175">
          <a:solidFill>
            <a:schemeClr val="tx2"/>
          </a:solidFill>
          <a:prstDash val="solid"/>
        </a:ln>
      </c:spPr>
      <c:txPr>
        <a:bodyPr/>
        <a:lstStyle/>
        <a:p>
          <a:pPr>
            <a:defRPr sz="1000" b="0" i="0" baseline="0"/>
          </a:pPr>
          <a:endParaRPr lang="en-US"/>
        </a:p>
      </c:txPr>
    </c:legend>
    <c:plotVisOnly val="1"/>
    <c:dispBlanksAs val="gap"/>
    <c:showDLblsOverMax val="0"/>
  </c:chart>
  <c:spPr>
    <a:noFill/>
    <a:ln w="22225">
      <a:noFill/>
      <a:prstDash val="solid"/>
    </a:ln>
  </c:spPr>
  <c:txPr>
    <a:bodyPr/>
    <a:lstStyle/>
    <a:p>
      <a:pPr>
        <a:defRPr sz="900" b="1" i="0" u="none" strike="noStrike" baseline="0">
          <a:solidFill>
            <a:schemeClr val="bg1"/>
          </a:solidFill>
          <a:latin typeface="Century Gothic" panose="020B0502020202020204" pitchFamily="34" charset="0"/>
          <a:ea typeface="Arial"/>
          <a:cs typeface="Arial"/>
        </a:defRPr>
      </a:pPr>
      <a:endParaRPr lang="en-US"/>
    </a:p>
  </c:txPr>
  <c:printSettings>
    <c:headerFooter alignWithMargins="0"/>
    <c:pageMargins b="1" l="0.75000000000001421" r="0.7500000000000142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1696083861077"/>
          <c:y val="0.27033989501312333"/>
          <c:w val="0.91657010428735242"/>
          <c:h val="0.5677989597083541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C00000"/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rgbClr val="FF0000"/>
                </a:gs>
              </a:gsLst>
              <a:lin ang="1620000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ThreeCurves!$B$5:$B$8</c:f>
              <c:numCache>
                <c:formatCode>0.000</c:formatCode>
                <c:ptCount val="4"/>
                <c:pt idx="0">
                  <c:v>-2.5960000000000001</c:v>
                </c:pt>
                <c:pt idx="1">
                  <c:v>-2.5529999999999999</c:v>
                </c:pt>
                <c:pt idx="2">
                  <c:v>-2.1230000000000002</c:v>
                </c:pt>
                <c:pt idx="3">
                  <c:v>-1.593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37989552"/>
        <c:axId val="837990112"/>
      </c:barChart>
      <c:catAx>
        <c:axId val="837989552"/>
        <c:scaling>
          <c:orientation val="minMax"/>
        </c:scaling>
        <c:delete val="0"/>
        <c:axPos val="b"/>
        <c:numFmt formatCode="#,##0.000" sourceLinked="0"/>
        <c:majorTickMark val="cross"/>
        <c:minorTickMark val="none"/>
        <c:tickLblPos val="none"/>
        <c:spPr>
          <a:noFill/>
          <a:ln w="3175">
            <a:solidFill>
              <a:srgbClr val="002060"/>
            </a:solidFill>
            <a:prstDash val="sysDot"/>
          </a:ln>
        </c:spPr>
        <c:crossAx val="837990112"/>
        <c:crosses val="autoZero"/>
        <c:auto val="1"/>
        <c:lblAlgn val="ctr"/>
        <c:lblOffset val="100"/>
        <c:tickMarkSkip val="1"/>
        <c:noMultiLvlLbl val="0"/>
      </c:catAx>
      <c:valAx>
        <c:axId val="83799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ot"/>
            </a:ln>
          </c:spPr>
        </c:majorGridlines>
        <c:numFmt formatCode="0.000" sourceLinked="1"/>
        <c:majorTickMark val="out"/>
        <c:minorTickMark val="none"/>
        <c:tickLblPos val="nextTo"/>
        <c:spPr>
          <a:noFill/>
          <a:ln w="3175">
            <a:solidFill>
              <a:srgbClr val="002060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bg1"/>
                </a:solidFill>
                <a:latin typeface="Century Gothic" panose="020B0502020202020204" pitchFamily="34" charset="0"/>
                <a:ea typeface="Arial"/>
                <a:cs typeface="Arial"/>
              </a:defRPr>
            </a:pPr>
            <a:endParaRPr lang="en-US"/>
          </a:p>
        </c:txPr>
        <c:crossAx val="837989552"/>
        <c:crosses val="autoZero"/>
        <c:crossBetween val="between"/>
      </c:valAx>
      <c:spPr>
        <a:noFill/>
        <a:ln w="12700">
          <a:solidFill>
            <a:srgbClr val="002060"/>
          </a:solidFill>
          <a:prstDash val="solid"/>
        </a:ln>
      </c:spPr>
    </c:plotArea>
    <c:plotVisOnly val="1"/>
    <c:dispBlanksAs val="gap"/>
    <c:showDLblsOverMax val="0"/>
  </c:chart>
  <c:spPr>
    <a:noFill/>
    <a:ln w="22225">
      <a:noFill/>
      <a:prstDash val="sysDot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21" r="0.75000000000001421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462971253150915E-2"/>
          <c:y val="0.18457105787167649"/>
          <c:w val="0.91657010428735242"/>
          <c:h val="0.6751063448266797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tx2"/>
                </a:gs>
                <a:gs pos="50000">
                  <a:schemeClr val="accent1"/>
                </a:gs>
                <a:gs pos="100000">
                  <a:schemeClr val="tx2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baseline="0">
                    <a:solidFill>
                      <a:schemeClr val="bg1"/>
                    </a:solidFill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ThreeCurves!$F$5:$F$8</c:f>
              <c:numCache>
                <c:formatCode>0.000</c:formatCode>
                <c:ptCount val="4"/>
                <c:pt idx="0">
                  <c:v>-1.4809999999999999</c:v>
                </c:pt>
                <c:pt idx="1">
                  <c:v>-1.5470000000000002</c:v>
                </c:pt>
                <c:pt idx="2" formatCode="General">
                  <c:v>-1.264</c:v>
                </c:pt>
                <c:pt idx="3" formatCode="General">
                  <c:v>-1.036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0452784"/>
        <c:axId val="840453344"/>
      </c:barChart>
      <c:catAx>
        <c:axId val="840452784"/>
        <c:scaling>
          <c:orientation val="minMax"/>
        </c:scaling>
        <c:delete val="0"/>
        <c:axPos val="b"/>
        <c:majorTickMark val="cross"/>
        <c:minorTickMark val="none"/>
        <c:tickLblPos val="none"/>
        <c:spPr>
          <a:noFill/>
          <a:ln w="3175">
            <a:solidFill>
              <a:srgbClr val="002060"/>
            </a:solidFill>
            <a:prstDash val="sysDot"/>
          </a:ln>
        </c:spPr>
        <c:crossAx val="840453344"/>
        <c:crosses val="autoZero"/>
        <c:auto val="1"/>
        <c:lblAlgn val="ctr"/>
        <c:lblOffset val="100"/>
        <c:tickMarkSkip val="1"/>
        <c:noMultiLvlLbl val="0"/>
      </c:catAx>
      <c:valAx>
        <c:axId val="840453344"/>
        <c:scaling>
          <c:orientation val="minMax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ot"/>
            </a:ln>
          </c:spPr>
        </c:majorGridlines>
        <c:numFmt formatCode="0.000" sourceLinked="1"/>
        <c:majorTickMark val="out"/>
        <c:minorTickMark val="none"/>
        <c:tickLblPos val="nextTo"/>
        <c:spPr>
          <a:noFill/>
          <a:ln w="3175">
            <a:solidFill>
              <a:srgbClr val="002060"/>
            </a:solidFill>
            <a:prstDash val="sysDot"/>
          </a:ln>
        </c:spPr>
        <c:txPr>
          <a:bodyPr rot="0" vert="horz"/>
          <a:lstStyle/>
          <a:p>
            <a:pPr>
              <a:defRPr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840452784"/>
        <c:crosses val="autoZero"/>
        <c:crossBetween val="between"/>
      </c:valAx>
      <c:spPr>
        <a:noFill/>
        <a:ln w="12700">
          <a:solidFill>
            <a:srgbClr val="002060"/>
          </a:solidFill>
          <a:prstDash val="solid"/>
        </a:ln>
      </c:spPr>
    </c:plotArea>
    <c:plotVisOnly val="1"/>
    <c:dispBlanksAs val="gap"/>
    <c:showDLblsOverMax val="0"/>
  </c:chart>
  <c:spPr>
    <a:noFill/>
    <a:ln w="22225">
      <a:noFill/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ahoma" pitchFamily="34" charset="0"/>
          <a:ea typeface="Arial"/>
          <a:cs typeface="Tahoma" pitchFamily="34" charset="0"/>
        </a:defRPr>
      </a:pPr>
      <a:endParaRPr lang="en-US"/>
    </a:p>
  </c:txPr>
  <c:printSettings>
    <c:headerFooter alignWithMargins="0"/>
    <c:pageMargins b="1" l="0.75000000000001421" r="0.75000000000001421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10725179897239E-2"/>
          <c:y val="0.15373311640910892"/>
          <c:w val="0.89489903309441332"/>
          <c:h val="0.77758567632170306"/>
        </c:manualLayout>
      </c:layout>
      <c:lineChart>
        <c:grouping val="standard"/>
        <c:varyColors val="0"/>
        <c:ser>
          <c:idx val="0"/>
          <c:order val="0"/>
          <c:spPr>
            <a:ln w="19050"/>
          </c:spPr>
          <c:marker>
            <c:symbol val="circle"/>
            <c:size val="7"/>
            <c:spPr>
              <a:gradFill flip="none" rotWithShape="1">
                <a:gsLst>
                  <a:gs pos="0">
                    <a:schemeClr val="tx2"/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10800000" scaled="1"/>
                <a:tileRect/>
              </a:gra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ThreeCurves!$M$11:$M$16</c:f>
              <c:strCache>
                <c:ptCount val="6"/>
                <c:pt idx="0">
                  <c:v>BUS02Y</c:v>
                </c:pt>
                <c:pt idx="1">
                  <c:v>BUS03Y</c:v>
                </c:pt>
                <c:pt idx="2">
                  <c:v>BUS05Y</c:v>
                </c:pt>
                <c:pt idx="3">
                  <c:v>BUS07Y</c:v>
                </c:pt>
                <c:pt idx="4">
                  <c:v>BUS10Y</c:v>
                </c:pt>
                <c:pt idx="5">
                  <c:v>BUS30Y</c:v>
                </c:pt>
              </c:strCache>
            </c:strRef>
          </c:cat>
          <c:val>
            <c:numRef>
              <c:f>ThreeCurves!$S$11:$S$16</c:f>
              <c:numCache>
                <c:formatCode>0.000</c:formatCode>
                <c:ptCount val="6"/>
                <c:pt idx="0">
                  <c:v>1.343</c:v>
                </c:pt>
                <c:pt idx="1">
                  <c:v>1.4890000000000001</c:v>
                </c:pt>
                <c:pt idx="2">
                  <c:v>1.8009999999999999</c:v>
                </c:pt>
                <c:pt idx="3">
                  <c:v>2.0670000000000002</c:v>
                </c:pt>
                <c:pt idx="4">
                  <c:v>2.2530000000000001</c:v>
                </c:pt>
                <c:pt idx="5">
                  <c:v>2.8580000000000001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455584"/>
        <c:axId val="840456320"/>
      </c:lineChart>
      <c:catAx>
        <c:axId val="840455584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high"/>
        <c:spPr>
          <a:noFill/>
          <a:ln w="3175" cmpd="sng">
            <a:solidFill>
              <a:srgbClr val="002060"/>
            </a:solidFill>
            <a:prstDash val="solid"/>
          </a:ln>
        </c:spPr>
        <c:txPr>
          <a:bodyPr rot="0" vert="horz"/>
          <a:lstStyle/>
          <a:p>
            <a:pPr>
              <a:defRPr sz="90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84045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045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ot"/>
            </a:ln>
          </c:spPr>
        </c:majorGridlines>
        <c:numFmt formatCode="0.00" sourceLinked="0"/>
        <c:majorTickMark val="out"/>
        <c:minorTickMark val="none"/>
        <c:tickLblPos val="nextTo"/>
        <c:spPr>
          <a:noFill/>
          <a:ln>
            <a:solidFill>
              <a:srgbClr val="002060"/>
            </a:solidFill>
            <a:prstDash val="sysDot"/>
          </a:ln>
        </c:spPr>
        <c:txPr>
          <a:bodyPr rot="0" vert="horz"/>
          <a:lstStyle/>
          <a:p>
            <a:pPr>
              <a:defRPr sz="90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840455584"/>
        <c:crosses val="autoZero"/>
        <c:crossBetween val="between"/>
      </c:valAx>
      <c:spPr>
        <a:noFill/>
        <a:ln w="12700">
          <a:solidFill>
            <a:srgbClr val="002060"/>
          </a:solidFill>
          <a:prstDash val="solid"/>
        </a:ln>
      </c:spPr>
    </c:plotArea>
    <c:plotVisOnly val="1"/>
    <c:dispBlanksAs val="gap"/>
    <c:showDLblsOverMax val="0"/>
  </c:chart>
  <c:spPr>
    <a:noFill/>
    <a:ln w="22225">
      <a:noFill/>
      <a:prstDash val="solid"/>
    </a:ln>
  </c:spPr>
  <c:txPr>
    <a:bodyPr/>
    <a:lstStyle/>
    <a:p>
      <a:pPr>
        <a:defRPr sz="800" b="0" i="0" u="none" strike="noStrike" baseline="0">
          <a:solidFill>
            <a:schemeClr val="bg1"/>
          </a:solidFill>
          <a:latin typeface="Tahoma" pitchFamily="34" charset="0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200" verticalDpi="2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1736212094793E-2"/>
          <c:y val="0.25427270953898184"/>
          <c:w val="0.88888334007655101"/>
          <c:h val="0.5488796410689924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000FF"/>
                </a:gs>
                <a:gs pos="50000">
                  <a:srgbClr val="3366FF"/>
                </a:gs>
                <a:gs pos="100000">
                  <a:srgbClr val="0000FF"/>
                </a:gs>
              </a:gsLst>
              <a:lin ang="5400000" scaled="1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ThreeCurves!$U$11:$U$16</c:f>
              <c:numCache>
                <c:formatCode>0.000</c:formatCode>
                <c:ptCount val="6"/>
                <c:pt idx="0">
                  <c:v>0.71</c:v>
                </c:pt>
                <c:pt idx="1">
                  <c:v>0.69100000000000006</c:v>
                </c:pt>
                <c:pt idx="2">
                  <c:v>0.62100000000000022</c:v>
                </c:pt>
                <c:pt idx="3">
                  <c:v>0.48199999999999976</c:v>
                </c:pt>
                <c:pt idx="4">
                  <c:v>0.36699999999999999</c:v>
                </c:pt>
                <c:pt idx="5">
                  <c:v>3.2999999999999918E-2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458560"/>
        <c:axId val="840459120"/>
      </c:barChart>
      <c:catAx>
        <c:axId val="840458560"/>
        <c:scaling>
          <c:orientation val="minMax"/>
        </c:scaling>
        <c:delete val="0"/>
        <c:axPos val="b"/>
        <c:majorTickMark val="cross"/>
        <c:minorTickMark val="none"/>
        <c:tickLblPos val="none"/>
        <c:spPr>
          <a:noFill/>
          <a:ln w="3175">
            <a:solidFill>
              <a:srgbClr val="002060"/>
            </a:solidFill>
            <a:prstDash val="sysDot"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840459120"/>
        <c:crosses val="autoZero"/>
        <c:auto val="1"/>
        <c:lblAlgn val="ctr"/>
        <c:lblOffset val="100"/>
        <c:tickMarkSkip val="1"/>
        <c:noMultiLvlLbl val="0"/>
      </c:catAx>
      <c:valAx>
        <c:axId val="840459120"/>
        <c:scaling>
          <c:orientation val="minMax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ot"/>
            </a:ln>
          </c:spPr>
        </c:majorGridlines>
        <c:numFmt formatCode="0.000" sourceLinked="1"/>
        <c:majorTickMark val="out"/>
        <c:minorTickMark val="none"/>
        <c:tickLblPos val="nextTo"/>
        <c:spPr>
          <a:noFill/>
          <a:ln w="3175">
            <a:solidFill>
              <a:srgbClr val="002060"/>
            </a:solidFill>
            <a:prstDash val="sysDot"/>
          </a:ln>
        </c:spPr>
        <c:txPr>
          <a:bodyPr rot="0" vert="horz"/>
          <a:lstStyle/>
          <a:p>
            <a:pPr>
              <a:defRPr sz="90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840458560"/>
        <c:crosses val="autoZero"/>
        <c:crossBetween val="between"/>
      </c:valAx>
      <c:spPr>
        <a:noFill/>
        <a:ln w="12700">
          <a:solidFill>
            <a:srgbClr val="002060"/>
          </a:solidFill>
          <a:prstDash val="solid"/>
        </a:ln>
      </c:spPr>
    </c:plotArea>
    <c:plotVisOnly val="1"/>
    <c:dispBlanksAs val="gap"/>
    <c:showDLblsOverMax val="0"/>
  </c:chart>
  <c:spPr>
    <a:noFill/>
    <a:ln w="22225">
      <a:noFill/>
      <a:prstDash val="solid"/>
    </a:ln>
  </c:spPr>
  <c:txPr>
    <a:bodyPr/>
    <a:lstStyle/>
    <a:p>
      <a:pPr>
        <a:defRPr sz="800" b="1" i="0" u="none" strike="noStrike" baseline="0">
          <a:solidFill>
            <a:schemeClr val="bg1"/>
          </a:solidFill>
          <a:latin typeface="Tahoma" pitchFamily="34" charset="0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200" verticalDpi="2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9.xml"/><Relationship Id="rId5" Type="http://schemas.openxmlformats.org/officeDocument/2006/relationships/chart" Target="../charts/chart5.xml"/><Relationship Id="rId10" Type="http://schemas.openxmlformats.org/officeDocument/2006/relationships/chart" Target="../charts/chart8.xml"/><Relationship Id="rId4" Type="http://schemas.openxmlformats.org/officeDocument/2006/relationships/chart" Target="../charts/chart4.xml"/><Relationship Id="rId9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39602</xdr:colOff>
      <xdr:row>4</xdr:row>
      <xdr:rowOff>180474</xdr:rowOff>
    </xdr:from>
    <xdr:to>
      <xdr:col>22</xdr:col>
      <xdr:colOff>782052</xdr:colOff>
      <xdr:row>29</xdr:row>
      <xdr:rowOff>170447</xdr:rowOff>
    </xdr:to>
    <xdr:graphicFrame macro="">
      <xdr:nvGraphicFramePr>
        <xdr:cNvPr id="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619898</xdr:colOff>
      <xdr:row>18</xdr:row>
      <xdr:rowOff>30079</xdr:rowOff>
    </xdr:from>
    <xdr:to>
      <xdr:col>13</xdr:col>
      <xdr:colOff>721895</xdr:colOff>
      <xdr:row>26</xdr:row>
      <xdr:rowOff>180473</xdr:rowOff>
    </xdr:to>
    <xdr:graphicFrame macro="">
      <xdr:nvGraphicFramePr>
        <xdr:cNvPr id="1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30079</xdr:colOff>
      <xdr:row>26</xdr:row>
      <xdr:rowOff>50527</xdr:rowOff>
    </xdr:from>
    <xdr:to>
      <xdr:col>14</xdr:col>
      <xdr:colOff>80210</xdr:colOff>
      <xdr:row>30</xdr:row>
      <xdr:rowOff>46931</xdr:rowOff>
    </xdr:to>
    <xdr:graphicFrame macro="">
      <xdr:nvGraphicFramePr>
        <xdr:cNvPr id="1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80210</xdr:colOff>
      <xdr:row>32</xdr:row>
      <xdr:rowOff>11972</xdr:rowOff>
    </xdr:from>
    <xdr:to>
      <xdr:col>13</xdr:col>
      <xdr:colOff>608539</xdr:colOff>
      <xdr:row>45</xdr:row>
      <xdr:rowOff>219075</xdr:rowOff>
    </xdr:to>
    <xdr:graphicFrame macro="">
      <xdr:nvGraphicFramePr>
        <xdr:cNvPr id="1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60157</xdr:colOff>
      <xdr:row>18</xdr:row>
      <xdr:rowOff>30079</xdr:rowOff>
    </xdr:from>
    <xdr:to>
      <xdr:col>4</xdr:col>
      <xdr:colOff>661736</xdr:colOff>
      <xdr:row>35</xdr:row>
      <xdr:rowOff>140367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50132</xdr:colOff>
      <xdr:row>35</xdr:row>
      <xdr:rowOff>136213</xdr:rowOff>
    </xdr:from>
    <xdr:to>
      <xdr:col>4</xdr:col>
      <xdr:colOff>640427</xdr:colOff>
      <xdr:row>41</xdr:row>
      <xdr:rowOff>16891</xdr:rowOff>
    </xdr:to>
    <xdr:graphicFrame macro="">
      <xdr:nvGraphicFramePr>
        <xdr:cNvPr id="1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60158</xdr:colOff>
      <xdr:row>40</xdr:row>
      <xdr:rowOff>200526</xdr:rowOff>
    </xdr:from>
    <xdr:to>
      <xdr:col>4</xdr:col>
      <xdr:colOff>691815</xdr:colOff>
      <xdr:row>45</xdr:row>
      <xdr:rowOff>159420</xdr:rowOff>
    </xdr:to>
    <xdr:graphicFrame macro="">
      <xdr:nvGraphicFramePr>
        <xdr:cNvPr id="2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21</xdr:col>
      <xdr:colOff>360949</xdr:colOff>
      <xdr:row>2</xdr:row>
      <xdr:rowOff>280737</xdr:rowOff>
    </xdr:from>
    <xdr:to>
      <xdr:col>22</xdr:col>
      <xdr:colOff>556521</xdr:colOff>
      <xdr:row>3</xdr:row>
      <xdr:rowOff>125854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6686" y="812132"/>
          <a:ext cx="977624" cy="226117"/>
        </a:xfrm>
        <a:prstGeom prst="rect">
          <a:avLst/>
        </a:prstGeom>
      </xdr:spPr>
    </xdr:pic>
    <xdr:clientData/>
  </xdr:twoCellAnchor>
  <xdr:twoCellAnchor editAs="oneCell">
    <xdr:from>
      <xdr:col>1</xdr:col>
      <xdr:colOff>701842</xdr:colOff>
      <xdr:row>1</xdr:row>
      <xdr:rowOff>120315</xdr:rowOff>
    </xdr:from>
    <xdr:to>
      <xdr:col>1</xdr:col>
      <xdr:colOff>1923872</xdr:colOff>
      <xdr:row>1</xdr:row>
      <xdr:rowOff>402961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10815"/>
          <a:ext cx="1222030" cy="282646"/>
        </a:xfrm>
        <a:prstGeom prst="rect">
          <a:avLst/>
        </a:prstGeom>
      </xdr:spPr>
    </xdr:pic>
    <xdr:clientData/>
  </xdr:twoCellAnchor>
  <xdr:twoCellAnchor editAs="oneCell">
    <xdr:from>
      <xdr:col>1</xdr:col>
      <xdr:colOff>2185736</xdr:colOff>
      <xdr:row>47</xdr:row>
      <xdr:rowOff>80211</xdr:rowOff>
    </xdr:from>
    <xdr:to>
      <xdr:col>1</xdr:col>
      <xdr:colOff>2613447</xdr:colOff>
      <xdr:row>47</xdr:row>
      <xdr:rowOff>179137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5894" y="9895974"/>
          <a:ext cx="427711" cy="98926"/>
        </a:xfrm>
        <a:prstGeom prst="rect">
          <a:avLst/>
        </a:prstGeom>
      </xdr:spPr>
    </xdr:pic>
    <xdr:clientData/>
  </xdr:twoCellAnchor>
  <xdr:twoCellAnchor editAs="oneCell">
    <xdr:from>
      <xdr:col>14</xdr:col>
      <xdr:colOff>180473</xdr:colOff>
      <xdr:row>31</xdr:row>
      <xdr:rowOff>110289</xdr:rowOff>
    </xdr:from>
    <xdr:to>
      <xdr:col>14</xdr:col>
      <xdr:colOff>608184</xdr:colOff>
      <xdr:row>31</xdr:row>
      <xdr:rowOff>209215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1841" y="6938210"/>
          <a:ext cx="427711" cy="98926"/>
        </a:xfrm>
        <a:prstGeom prst="rect">
          <a:avLst/>
        </a:prstGeom>
      </xdr:spPr>
    </xdr:pic>
    <xdr:clientData/>
  </xdr:twoCellAnchor>
  <xdr:twoCellAnchor editAs="oneCell">
    <xdr:from>
      <xdr:col>14</xdr:col>
      <xdr:colOff>160421</xdr:colOff>
      <xdr:row>5</xdr:row>
      <xdr:rowOff>80211</xdr:rowOff>
    </xdr:from>
    <xdr:to>
      <xdr:col>14</xdr:col>
      <xdr:colOff>588132</xdr:colOff>
      <xdr:row>5</xdr:row>
      <xdr:rowOff>179137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0132" y="1513974"/>
          <a:ext cx="427711" cy="98926"/>
        </a:xfrm>
        <a:prstGeom prst="rect">
          <a:avLst/>
        </a:prstGeom>
      </xdr:spPr>
    </xdr:pic>
    <xdr:clientData/>
  </xdr:twoCellAnchor>
  <xdr:twoCellAnchor editAs="oneCell">
    <xdr:from>
      <xdr:col>5</xdr:col>
      <xdr:colOff>130342</xdr:colOff>
      <xdr:row>18</xdr:row>
      <xdr:rowOff>80210</xdr:rowOff>
    </xdr:from>
    <xdr:to>
      <xdr:col>5</xdr:col>
      <xdr:colOff>558053</xdr:colOff>
      <xdr:row>18</xdr:row>
      <xdr:rowOff>179136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3237" y="4271210"/>
          <a:ext cx="427711" cy="98926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31</xdr:row>
      <xdr:rowOff>0</xdr:rowOff>
    </xdr:from>
    <xdr:to>
      <xdr:col>23</xdr:col>
      <xdr:colOff>31813</xdr:colOff>
      <xdr:row>42</xdr:row>
      <xdr:rowOff>200526</xdr:rowOff>
    </xdr:to>
    <xdr:graphicFrame macro="">
      <xdr:nvGraphicFramePr>
        <xdr:cNvPr id="2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90237</xdr:colOff>
      <xdr:row>42</xdr:row>
      <xdr:rowOff>40106</xdr:rowOff>
    </xdr:from>
    <xdr:to>
      <xdr:col>23</xdr:col>
      <xdr:colOff>140367</xdr:colOff>
      <xdr:row>47</xdr:row>
      <xdr:rowOff>26483</xdr:rowOff>
    </xdr:to>
    <xdr:graphicFrame macro="">
      <xdr:nvGraphicFramePr>
        <xdr:cNvPr id="2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641683</xdr:colOff>
      <xdr:row>42</xdr:row>
      <xdr:rowOff>10027</xdr:rowOff>
    </xdr:from>
    <xdr:to>
      <xdr:col>22</xdr:col>
      <xdr:colOff>691816</xdr:colOff>
      <xdr:row>43</xdr:row>
      <xdr:rowOff>60158</xdr:rowOff>
    </xdr:to>
    <xdr:sp macro="" textlink="$R$50">
      <xdr:nvSpPr>
        <xdr:cNvPr id="25" name="Text Box 1"/>
        <xdr:cNvSpPr txBox="1">
          <a:spLocks noChangeArrowheads="1"/>
        </xdr:cNvSpPr>
      </xdr:nvSpPr>
      <xdr:spPr bwMode="auto">
        <a:xfrm>
          <a:off x="12593051" y="9154027"/>
          <a:ext cx="6306554" cy="260684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wrap="square" lIns="27432" tIns="22860" rIns="27432" bIns="2286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fld id="{157C4496-1EC2-48B6-B5CE-E05CE22A25F2}" type="TxLink">
            <a:rPr lang="en-US" sz="1000" b="0" i="0" u="none" strike="noStrike" baseline="0">
              <a:solidFill>
                <a:srgbClr val="FFFFFF"/>
              </a:solidFill>
              <a:latin typeface="Calibri"/>
              <a:cs typeface="Arial"/>
            </a:rPr>
            <a:pPr algn="ctr" rtl="0">
              <a:defRPr sz="1000"/>
            </a:pPr>
            <a:t>Today's Net Change from 08/01/2017</a:t>
          </a:fld>
          <a:endParaRPr lang="en-US" sz="900" b="0" i="0" u="none" strike="noStrike" baseline="0">
            <a:solidFill>
              <a:schemeClr val="bg1"/>
            </a:solidFill>
            <a:latin typeface="Century Gothic" panose="020B0502020202020204" pitchFamily="34" charset="0"/>
            <a:cs typeface="Arial"/>
          </a:endParaRP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0.15031</cdr:x>
      <cdr:y>0.12005</cdr:y>
    </cdr:from>
    <cdr:to>
      <cdr:x>0.68251</cdr:x>
      <cdr:y>0.18256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8600" y="305316"/>
          <a:ext cx="2331835" cy="158974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25" b="1" i="0" u="none" strike="noStrike" baseline="0">
              <a:solidFill>
                <a:schemeClr val="bg1"/>
              </a:solidFill>
              <a:latin typeface="Tahoma" pitchFamily="34" charset="0"/>
              <a:cs typeface="Arial"/>
            </a:rPr>
            <a:t>BrokerTec Benchmark Yield Curve</a:t>
          </a:r>
        </a:p>
      </cdr:txBody>
    </cdr:sp>
  </cdr:relSizeAnchor>
  <cdr:relSizeAnchor xmlns:cdr="http://schemas.openxmlformats.org/drawingml/2006/chartDrawing">
    <cdr:from>
      <cdr:x>0.01957</cdr:x>
      <cdr:y>0.92744</cdr:y>
    </cdr:from>
    <cdr:to>
      <cdr:x>0.12391</cdr:x>
      <cdr:y>0.9628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5746" y="2800336"/>
          <a:ext cx="457179" cy="106754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0.41269</cdr:x>
      <cdr:y>0.03906</cdr:y>
    </cdr:from>
    <cdr:to>
      <cdr:x>0.67707</cdr:x>
      <cdr:y>0.15038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15290" y="50800"/>
          <a:ext cx="1160933" cy="13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u="none" strike="noStrike" baseline="0">
              <a:solidFill>
                <a:schemeClr val="bg1"/>
              </a:solidFill>
              <a:latin typeface="Tahoma" pitchFamily="34" charset="0"/>
              <a:cs typeface="Arial"/>
            </a:rPr>
            <a:t>Net Change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0.61958</cdr:x>
      <cdr:y>0.67848</cdr:y>
    </cdr:from>
    <cdr:to>
      <cdr:x>0.95998</cdr:x>
      <cdr:y>0.83427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80590" y="1244883"/>
          <a:ext cx="2406726" cy="285846"/>
        </a:xfrm>
        <a:prstGeom xmlns:a="http://schemas.openxmlformats.org/drawingml/2006/main" prst="rect">
          <a:avLst/>
        </a:prstGeom>
        <a:gradFill xmlns:a="http://schemas.openxmlformats.org/drawingml/2006/main">
          <a:gsLst>
            <a:gs pos="0">
              <a:schemeClr val="tx2"/>
            </a:gs>
            <a:gs pos="50000">
              <a:schemeClr val="accent1"/>
            </a:gs>
            <a:gs pos="100000">
              <a:schemeClr val="tx2"/>
            </a:gs>
          </a:gsLst>
          <a:lin ang="5400000" scaled="0"/>
        </a:gra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chemeClr val="bg1"/>
              </a:solidFill>
              <a:latin typeface="Century Gothic" panose="020B0502020202020204" pitchFamily="34" charset="0"/>
              <a:cs typeface="Arial"/>
            </a:rPr>
            <a:t>UST</a:t>
          </a:r>
          <a:r>
            <a:rPr lang="en-US" sz="1000" b="1" i="0" u="none" strike="noStrike" baseline="0">
              <a:solidFill>
                <a:schemeClr val="bg1"/>
              </a:solidFill>
              <a:latin typeface="Century Gothic" panose="020B0502020202020204" pitchFamily="34" charset="0"/>
              <a:cs typeface="Arial"/>
            </a:rPr>
            <a:t> </a:t>
          </a:r>
          <a:r>
            <a:rPr lang="en-US" sz="1000" b="0" i="0" u="none" strike="noStrike" baseline="0">
              <a:solidFill>
                <a:schemeClr val="bg1"/>
              </a:solidFill>
              <a:latin typeface="Century Gothic" panose="020B0502020202020204" pitchFamily="34" charset="0"/>
              <a:cs typeface="Arial"/>
            </a:rPr>
            <a:t>Benchmark</a:t>
          </a:r>
          <a:r>
            <a:rPr lang="en-US" sz="1000" b="1" i="0" u="none" strike="noStrike" baseline="0">
              <a:solidFill>
                <a:schemeClr val="bg1"/>
              </a:solidFill>
              <a:latin typeface="Century Gothic" panose="020B0502020202020204" pitchFamily="34" charset="0"/>
              <a:cs typeface="Arial"/>
            </a:rPr>
            <a:t> </a:t>
          </a:r>
          <a:r>
            <a:rPr lang="en-US" sz="1000" b="0" i="0" u="none" strike="noStrike" baseline="0">
              <a:solidFill>
                <a:schemeClr val="bg1"/>
              </a:solidFill>
              <a:latin typeface="Century Gothic" panose="020B0502020202020204" pitchFamily="34" charset="0"/>
              <a:cs typeface="Arial"/>
            </a:rPr>
            <a:t>Yield Curve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0.12851</cdr:x>
      <cdr:y>0.02682</cdr:y>
    </cdr:from>
    <cdr:to>
      <cdr:x>0.97744</cdr:x>
      <cdr:y>0.25065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618" y="20881"/>
          <a:ext cx="2686050" cy="1742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0" i="0" u="none" strike="noStrike" baseline="0">
              <a:solidFill>
                <a:schemeClr val="bg1"/>
              </a:solidFill>
              <a:latin typeface="Century Gothic" panose="020B0502020202020204" pitchFamily="34" charset="0"/>
              <a:cs typeface="Arial"/>
            </a:rPr>
            <a:t>Today's Net</a:t>
          </a:r>
          <a:r>
            <a:rPr lang="en-US" sz="900" b="1" i="0" u="none" strike="noStrike" baseline="0">
              <a:solidFill>
                <a:schemeClr val="bg1"/>
              </a:solidFill>
              <a:latin typeface="Century Gothic" panose="020B0502020202020204" pitchFamily="34" charset="0"/>
              <a:cs typeface="Arial"/>
            </a:rPr>
            <a:t> </a:t>
          </a:r>
          <a:r>
            <a:rPr lang="en-US" sz="900" b="0" i="0" u="none" strike="noStrike" baseline="0">
              <a:solidFill>
                <a:schemeClr val="bg1"/>
              </a:solidFill>
              <a:latin typeface="Century Gothic" panose="020B0502020202020204" pitchFamily="34" charset="0"/>
              <a:cs typeface="Arial"/>
            </a:rPr>
            <a:t>Change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0.38791</cdr:x>
      <cdr:y>0.09398</cdr:y>
    </cdr:from>
    <cdr:to>
      <cdr:x>0.67258</cdr:x>
      <cdr:y>0.21374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35285" y="109393"/>
          <a:ext cx="1346820" cy="1394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0" i="0" u="none" strike="noStrike" baseline="0">
              <a:solidFill>
                <a:schemeClr val="bg1"/>
              </a:solidFill>
              <a:latin typeface="Century Gothic" panose="020B0502020202020204" pitchFamily="34" charset="0"/>
              <a:cs typeface="Arial"/>
            </a:rPr>
            <a:t>US to DE 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0.40792</cdr:x>
      <cdr:y>0.03354</cdr:y>
    </cdr:from>
    <cdr:to>
      <cdr:x>0.69259</cdr:x>
      <cdr:y>0.15353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9924" y="35726"/>
          <a:ext cx="1346820" cy="127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0" i="0" u="none" strike="noStrike" baseline="0">
              <a:solidFill>
                <a:schemeClr val="bg1"/>
              </a:solidFill>
              <a:latin typeface="Century Gothic" panose="020B0502020202020204" pitchFamily="34" charset="0"/>
              <a:cs typeface="Arial"/>
            </a:rPr>
            <a:t>US to UK Spread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0.62667</cdr:x>
      <cdr:y>0.7778</cdr:y>
    </cdr:from>
    <cdr:to>
      <cdr:x>0.96707</cdr:x>
      <cdr:y>0.89243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0722" y="1957409"/>
          <a:ext cx="2406726" cy="288479"/>
        </a:xfrm>
        <a:prstGeom xmlns:a="http://schemas.openxmlformats.org/drawingml/2006/main" prst="rect">
          <a:avLst/>
        </a:prstGeom>
        <a:gradFill xmlns:a="http://schemas.openxmlformats.org/drawingml/2006/main">
          <a:gsLst>
            <a:gs pos="0">
              <a:schemeClr val="tx2"/>
            </a:gs>
            <a:gs pos="50000">
              <a:schemeClr val="accent1"/>
            </a:gs>
            <a:gs pos="100000">
              <a:schemeClr val="tx2"/>
            </a:gs>
          </a:gsLst>
          <a:lin ang="5400000" scaled="0"/>
        </a:gra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chemeClr val="bg1"/>
              </a:solidFill>
              <a:latin typeface="Century Gothic" panose="020B0502020202020204" pitchFamily="34" charset="0"/>
              <a:cs typeface="Arial"/>
            </a:rPr>
            <a:t>UST</a:t>
          </a:r>
          <a:r>
            <a:rPr lang="en-US" sz="1000" b="1" i="0" u="none" strike="noStrike" baseline="0">
              <a:solidFill>
                <a:schemeClr val="bg1"/>
              </a:solidFill>
              <a:latin typeface="Century Gothic" panose="020B0502020202020204" pitchFamily="34" charset="0"/>
              <a:cs typeface="Arial"/>
            </a:rPr>
            <a:t> </a:t>
          </a:r>
          <a:r>
            <a:rPr lang="en-US" sz="1000" b="0" i="0" u="none" strike="noStrike" baseline="0">
              <a:solidFill>
                <a:schemeClr val="bg1"/>
              </a:solidFill>
              <a:latin typeface="Century Gothic" panose="020B0502020202020204" pitchFamily="34" charset="0"/>
              <a:cs typeface="Arial"/>
            </a:rPr>
            <a:t>Historical</a:t>
          </a:r>
          <a:r>
            <a:rPr lang="en-US" sz="1000" b="1" i="0" u="none" strike="noStrike" baseline="0">
              <a:solidFill>
                <a:schemeClr val="bg1"/>
              </a:solidFill>
              <a:latin typeface="Century Gothic" panose="020B0502020202020204" pitchFamily="34" charset="0"/>
              <a:cs typeface="Arial"/>
            </a:rPr>
            <a:t>  </a:t>
          </a:r>
          <a:r>
            <a:rPr lang="en-US" sz="1000" b="0" i="0" u="none" strike="noStrike" baseline="0">
              <a:solidFill>
                <a:schemeClr val="bg1"/>
              </a:solidFill>
              <a:latin typeface="Century Gothic" panose="020B0502020202020204" pitchFamily="34" charset="0"/>
              <a:cs typeface="Arial"/>
            </a:rPr>
            <a:t>Benchmark</a:t>
          </a:r>
          <a:r>
            <a:rPr lang="en-US" sz="1000" b="1" i="0" u="none" strike="noStrike" baseline="0">
              <a:solidFill>
                <a:schemeClr val="bg1"/>
              </a:solidFill>
              <a:latin typeface="Century Gothic" panose="020B0502020202020204" pitchFamily="34" charset="0"/>
              <a:cs typeface="Arial"/>
            </a:rPr>
            <a:t> </a:t>
          </a:r>
          <a:r>
            <a:rPr lang="en-US" sz="1000" b="0" i="0" u="none" strike="noStrike" baseline="0">
              <a:solidFill>
                <a:schemeClr val="bg1"/>
              </a:solidFill>
              <a:latin typeface="Century Gothic" panose="020B0502020202020204" pitchFamily="34" charset="0"/>
              <a:cs typeface="Arial"/>
            </a:rPr>
            <a:t>Yield Curve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23</xdr:row>
      <xdr:rowOff>0</xdr:rowOff>
    </xdr:from>
    <xdr:to>
      <xdr:col>12</xdr:col>
      <xdr:colOff>381000</xdr:colOff>
      <xdr:row>36</xdr:row>
      <xdr:rowOff>19050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0.02594</cdr:x>
      <cdr:y>0.93103</cdr:y>
    </cdr:from>
    <cdr:to>
      <cdr:x>0.14406</cdr:x>
      <cdr:y>0.96615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04775" y="2571750"/>
          <a:ext cx="477043" cy="97000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9</xdr:col>
      <xdr:colOff>114300</xdr:colOff>
      <xdr:row>22</xdr:row>
      <xdr:rowOff>66674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8</xdr:row>
      <xdr:rowOff>123825</xdr:rowOff>
    </xdr:from>
    <xdr:to>
      <xdr:col>18</xdr:col>
      <xdr:colOff>114300</xdr:colOff>
      <xdr:row>14</xdr:row>
      <xdr:rowOff>142874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P63"/>
  <sheetViews>
    <sheetView showGridLines="0" showRowColHeaders="0" tabSelected="1" zoomScale="95" zoomScaleNormal="95" workbookViewId="0">
      <selection activeCell="S31" sqref="S31"/>
    </sheetView>
  </sheetViews>
  <sheetFormatPr defaultRowHeight="15" x14ac:dyDescent="0.25"/>
  <cols>
    <col min="1" max="1" width="0.85546875" style="37" customWidth="1"/>
    <col min="2" max="2" width="40.7109375" style="37" customWidth="1"/>
    <col min="3" max="5" width="10.7109375" style="37" customWidth="1"/>
    <col min="6" max="23" width="11.7109375" style="37" customWidth="1"/>
    <col min="24" max="16384" width="9.140625" style="37"/>
  </cols>
  <sheetData>
    <row r="1" spans="1:41" ht="6.75" customHeight="1" x14ac:dyDescent="0.25">
      <c r="A1" s="34"/>
      <c r="B1" s="34"/>
      <c r="C1" s="34"/>
      <c r="D1" s="34"/>
      <c r="E1" s="35"/>
      <c r="F1" s="35"/>
      <c r="G1" s="34"/>
      <c r="H1" s="34"/>
      <c r="I1" s="34"/>
      <c r="J1" s="34"/>
      <c r="K1" s="34"/>
      <c r="L1" s="34"/>
      <c r="M1" s="34"/>
      <c r="N1" s="34"/>
      <c r="O1" s="34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</row>
    <row r="2" spans="1:41" ht="35.1" customHeight="1" x14ac:dyDescent="0.4">
      <c r="A2" s="38"/>
      <c r="B2" s="39"/>
      <c r="C2" s="130" t="s">
        <v>129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28">
        <f>RTD("cqg.rtd", ,"SystemInfo", "Linetime")</f>
        <v>43123.429849537039</v>
      </c>
      <c r="U2" s="128"/>
      <c r="V2" s="128"/>
      <c r="W2" s="129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</row>
    <row r="3" spans="1:41" s="47" customFormat="1" ht="30" customHeight="1" x14ac:dyDescent="0.25">
      <c r="A3" s="40"/>
      <c r="B3" s="41" t="s">
        <v>127</v>
      </c>
      <c r="C3" s="42" t="s">
        <v>4</v>
      </c>
      <c r="D3" s="140" t="s">
        <v>125</v>
      </c>
      <c r="E3" s="141"/>
      <c r="F3" s="43" t="s">
        <v>0</v>
      </c>
      <c r="G3" s="43" t="s">
        <v>126</v>
      </c>
      <c r="H3" s="43" t="s">
        <v>121</v>
      </c>
      <c r="I3" s="44" t="s">
        <v>122</v>
      </c>
      <c r="J3" s="44" t="s">
        <v>123</v>
      </c>
      <c r="K3" s="43" t="s">
        <v>124</v>
      </c>
      <c r="L3" s="42" t="s">
        <v>1</v>
      </c>
      <c r="M3" s="42" t="s">
        <v>2</v>
      </c>
      <c r="N3" s="45" t="s">
        <v>3</v>
      </c>
      <c r="O3" s="131" t="s">
        <v>120</v>
      </c>
      <c r="P3" s="132"/>
      <c r="Q3" s="132"/>
      <c r="R3" s="132"/>
      <c r="S3" s="132"/>
      <c r="T3" s="132"/>
      <c r="U3" s="132"/>
      <c r="V3" s="133"/>
      <c r="W3" s="134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</row>
    <row r="4" spans="1:41" ht="16.5" x14ac:dyDescent="0.3">
      <c r="A4" s="34"/>
      <c r="B4" s="48" t="str">
        <f>"  "&amp;RTD("cqg.rtd", , "ContractData",C4,"LongDescription")</f>
        <v xml:space="preserve">  E-Mini S&amp;P 500, Mar 18</v>
      </c>
      <c r="C4" s="4" t="s">
        <v>100</v>
      </c>
      <c r="D4" s="49">
        <f>IFERROR(RTD("cqg.rtd", , "ContractData",C4,"PerCentNetLastTrade",,"T")/100,"")</f>
        <v>2.292566793051759E-3</v>
      </c>
      <c r="E4" s="50">
        <f>IFERROR(RTD("cqg.rtd", , "ContractData",C4,"PerCentNetLastTrade",,"T")/100,"")</f>
        <v>2.292566793051759E-3</v>
      </c>
      <c r="F4" s="51">
        <f>RTD("cqg.rtd", , "ContractData",C4,"LastTrade",,"T")</f>
        <v>2841.75</v>
      </c>
      <c r="G4" s="51">
        <f>RTD("cqg.rtd", , "ContractData",C4,"NetChange",,"T")</f>
        <v>6.5</v>
      </c>
      <c r="H4" s="52">
        <f>RTD("cqg.rtd", ,"ContractData",C4, "MT_LastBidVolume",, "T")</f>
        <v>121</v>
      </c>
      <c r="I4" s="53">
        <f>RTD("cqg.rtd", ,"ContractData",C4, "Bid",, "T")</f>
        <v>2841.75</v>
      </c>
      <c r="J4" s="54">
        <f>RTD("cqg.rtd", ,"ContractData",C4, "Ask",, "T")</f>
        <v>2842</v>
      </c>
      <c r="K4" s="55">
        <f>RTD("cqg.rtd", ,"ContractData",C4, "MT_LastAskVolume",, "T")</f>
        <v>280</v>
      </c>
      <c r="L4" s="51">
        <f>RTD("cqg.rtd", , "ContractData",C4,"Open",,"T")</f>
        <v>2835.25</v>
      </c>
      <c r="M4" s="51">
        <f>RTD("cqg.rtd", , "ContractData",C4,"High",,"T")</f>
        <v>2844.75</v>
      </c>
      <c r="N4" s="56">
        <f>RTD("cqg.rtd", , "ContractData",C4,"Low",,"T")</f>
        <v>2828.75</v>
      </c>
      <c r="O4" s="6" t="s">
        <v>100</v>
      </c>
      <c r="P4" s="7" t="s">
        <v>101</v>
      </c>
      <c r="Q4" s="7" t="s">
        <v>102</v>
      </c>
      <c r="R4" s="7" t="s">
        <v>108</v>
      </c>
      <c r="S4" s="7" t="s">
        <v>104</v>
      </c>
      <c r="T4" s="7" t="s">
        <v>105</v>
      </c>
      <c r="U4" s="7" t="s">
        <v>109</v>
      </c>
      <c r="V4" s="135"/>
      <c r="W4" s="1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</row>
    <row r="5" spans="1:41" ht="16.5" x14ac:dyDescent="0.3">
      <c r="A5" s="34"/>
      <c r="B5" s="48" t="str">
        <f>"  "&amp;RTD("cqg.rtd", , "ContractData",C5,"LongDescription")</f>
        <v xml:space="preserve">  E-mini NASDAQ-100, Mar 18</v>
      </c>
      <c r="C5" s="4" t="s">
        <v>101</v>
      </c>
      <c r="D5" s="49">
        <f>IFERROR(RTD("cqg.rtd", , "ContractData",C5,"PerCentNetLastTrade",,"T")/100,"")</f>
        <v>5.6268936661376424E-3</v>
      </c>
      <c r="E5" s="50">
        <f>IFERROR(RTD("cqg.rtd", , "ContractData",C5,"PerCentNetLastTrade",,"T")/100,"")</f>
        <v>5.6268936661376424E-3</v>
      </c>
      <c r="F5" s="51">
        <f>RTD("cqg.rtd", , "ContractData",C5,"LastTrade",,"T")</f>
        <v>6970</v>
      </c>
      <c r="G5" s="51">
        <f>RTD("cqg.rtd", , "ContractData",C5,"NetChange",,"T")</f>
        <v>38.75</v>
      </c>
      <c r="H5" s="52">
        <f>RTD("cqg.rtd", ,"ContractData",C5, "MT_LastBidVolume",, "T")</f>
        <v>7</v>
      </c>
      <c r="I5" s="53">
        <f>RTD("cqg.rtd", ,"ContractData",C5, "Bid",, "T")</f>
        <v>6969.75</v>
      </c>
      <c r="J5" s="54">
        <f>RTD("cqg.rtd", ,"ContractData",C5, "Ask",, "T")</f>
        <v>6970</v>
      </c>
      <c r="K5" s="55">
        <f>RTD("cqg.rtd", ,"ContractData",C5, "MT_LastAskVolume",, "T")</f>
        <v>26</v>
      </c>
      <c r="L5" s="51">
        <f>RTD("cqg.rtd", , "ContractData",C5,"Open",,"T")</f>
        <v>6929.75</v>
      </c>
      <c r="M5" s="51">
        <f>RTD("cqg.rtd", , "ContractData",C5,"High",,"T")</f>
        <v>6978.75</v>
      </c>
      <c r="N5" s="56">
        <f>RTD("cqg.rtd", , "ContractData",C5,"Low",,"T")</f>
        <v>6919.75</v>
      </c>
      <c r="O5" s="6" t="s">
        <v>149</v>
      </c>
      <c r="P5" s="7" t="s">
        <v>150</v>
      </c>
      <c r="Q5" s="7" t="s">
        <v>110</v>
      </c>
      <c r="R5" s="7" t="s">
        <v>112</v>
      </c>
      <c r="S5" s="7" t="s">
        <v>113</v>
      </c>
      <c r="T5" s="7" t="s">
        <v>107</v>
      </c>
      <c r="U5" s="7" t="s">
        <v>111</v>
      </c>
      <c r="V5" s="135"/>
      <c r="W5" s="1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</row>
    <row r="6" spans="1:41" ht="16.5" x14ac:dyDescent="0.3">
      <c r="A6" s="34"/>
      <c r="B6" s="48" t="str">
        <f>"  "&amp;RTD("cqg.rtd", , "ContractData",C6,"LongDescription")</f>
        <v xml:space="preserve">  Russell 2000 Index Mini, Mar 18</v>
      </c>
      <c r="C6" s="4" t="s">
        <v>102</v>
      </c>
      <c r="D6" s="49">
        <f>IFERROR(RTD("cqg.rtd", , "ContractData",C6,"PerCentNetLastTrade",,"T")/100,"")</f>
        <v>-3.1113876789047915E-4</v>
      </c>
      <c r="E6" s="50">
        <f>IFERROR(RTD("cqg.rtd", , "ContractData",C6,"PerCentNetLastTrade",,"T")/100,"")</f>
        <v>-3.1113876789047915E-4</v>
      </c>
      <c r="F6" s="51">
        <f>RTD("cqg.rtd", , "ContractData",C6,"LastTrade",,"T")</f>
        <v>1606.5</v>
      </c>
      <c r="G6" s="51">
        <f>RTD("cqg.rtd", , "ContractData",C6,"NetChange",,"T")</f>
        <v>-0.5</v>
      </c>
      <c r="H6" s="52">
        <f>RTD("cqg.rtd", ,"ContractData",C6, "MT_LastBidVolume",, "T")</f>
        <v>4</v>
      </c>
      <c r="I6" s="53">
        <f>RTD("cqg.rtd", ,"ContractData",C6, "Bid",, "T")</f>
        <v>1606.5</v>
      </c>
      <c r="J6" s="54">
        <f>RTD("cqg.rtd", ,"ContractData",C6, "Ask",, "T")</f>
        <v>1606.7</v>
      </c>
      <c r="K6" s="55">
        <f>RTD("cqg.rtd", ,"ContractData",C6, "MT_LastAskVolume",, "T")</f>
        <v>12</v>
      </c>
      <c r="L6" s="51">
        <f>RTD("cqg.rtd", , "ContractData",C6,"Open",,"T")</f>
        <v>1606.5</v>
      </c>
      <c r="M6" s="51">
        <f>RTD("cqg.rtd", , "ContractData",C6,"High",,"T")</f>
        <v>1612</v>
      </c>
      <c r="N6" s="56">
        <f>RTD("cqg.rtd", , "ContractData",C6,"Low",,"T")</f>
        <v>1599.8</v>
      </c>
      <c r="O6" s="57"/>
      <c r="P6" s="58"/>
      <c r="Q6" s="58"/>
      <c r="R6" s="58"/>
      <c r="S6" s="58"/>
      <c r="T6" s="58"/>
      <c r="U6" s="58"/>
      <c r="V6" s="58"/>
      <c r="W6" s="59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</row>
    <row r="7" spans="1:41" ht="16.5" x14ac:dyDescent="0.3">
      <c r="A7" s="34"/>
      <c r="B7" s="48" t="str">
        <f>"  "&amp;RTD("cqg.rtd", , "ContractData",C7,"LongDescription")</f>
        <v xml:space="preserve">  FTSE 100 - Stnd Index, Mar 18</v>
      </c>
      <c r="C7" s="4" t="s">
        <v>103</v>
      </c>
      <c r="D7" s="49">
        <f>IFERROR(RTD("cqg.rtd", , "ContractData",C7,"PerCentNetLastTrade",,"T")/100,"")</f>
        <v>2.6046753923292308E-4</v>
      </c>
      <c r="E7" s="50">
        <f>IFERROR(RTD("cqg.rtd",,"ContractData",C7,"PerCentNetLastTrade",,"T")/100,"")</f>
        <v>2.6046753923292308E-4</v>
      </c>
      <c r="F7" s="51">
        <f>RTD("cqg.rtd", , "ContractData",C7,"LastTrade",,"T")</f>
        <v>7680.5</v>
      </c>
      <c r="G7" s="51">
        <f>RTD("cqg.rtd", , "ContractData",C7,"NetChange",,"T")</f>
        <v>2</v>
      </c>
      <c r="H7" s="52">
        <f>RTD("cqg.rtd", ,"ContractData",C7, "MT_LastBidVolume",, "T")</f>
        <v>10</v>
      </c>
      <c r="I7" s="53">
        <f>RTD("cqg.rtd", ,"ContractData",C7, "Bid",, "T")</f>
        <v>7680</v>
      </c>
      <c r="J7" s="54">
        <f>RTD("cqg.rtd", ,"ContractData",C7, "Ask",, "T")</f>
        <v>7680.5</v>
      </c>
      <c r="K7" s="55">
        <f>RTD("cqg.rtd", ,"ContractData",C7, "MT_LastAskVolume",, "T")</f>
        <v>17</v>
      </c>
      <c r="L7" s="51">
        <f>RTD("cqg.rtd", , "ContractData",C7,"Open",,"T")</f>
        <v>7679</v>
      </c>
      <c r="M7" s="51">
        <f>RTD("cqg.rtd", , "ContractData",C7,"High",,"T")</f>
        <v>7692</v>
      </c>
      <c r="N7" s="56">
        <f>RTD("cqg.rtd", , "ContractData",C7,"Low",,"T")</f>
        <v>7656</v>
      </c>
      <c r="O7" s="60"/>
      <c r="P7" s="61"/>
      <c r="Q7" s="61"/>
      <c r="R7" s="61"/>
      <c r="S7" s="61"/>
      <c r="T7" s="61"/>
      <c r="U7" s="61"/>
      <c r="V7" s="61"/>
      <c r="W7" s="62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</row>
    <row r="8" spans="1:41" ht="16.5" x14ac:dyDescent="0.3">
      <c r="A8" s="34"/>
      <c r="B8" s="48" t="str">
        <f>"  "&amp;RTD("cqg.rtd", , "ContractData",C8,"LongDescription")</f>
        <v xml:space="preserve">  DAX Index, Mar 18</v>
      </c>
      <c r="C8" s="4" t="s">
        <v>104</v>
      </c>
      <c r="D8" s="49">
        <f>IFERROR(RTD("cqg.rtd", , "ContractData",C8,"PerCentNetLastTrade",,"T")/100,"")</f>
        <v>7.3253262930874207E-3</v>
      </c>
      <c r="E8" s="50">
        <f>IFERROR(RTD("cqg.rtd", , "ContractData",C8,"PerCentNetLastTrade",,"T")/100,"")</f>
        <v>7.3253262930874207E-3</v>
      </c>
      <c r="F8" s="51">
        <f>RTD("cqg.rtd", , "ContractData",C8,"LastTrade",,"T")</f>
        <v>13545</v>
      </c>
      <c r="G8" s="51">
        <f>RTD("cqg.rtd", , "ContractData",C8,"NetChange",,"T")</f>
        <v>99</v>
      </c>
      <c r="H8" s="52">
        <f>RTD("cqg.rtd", ,"ContractData",C8, "MT_LastBidVolume",, "T")</f>
        <v>3</v>
      </c>
      <c r="I8" s="53">
        <f>RTD("cqg.rtd", ,"ContractData",C8, "Bid",, "T")</f>
        <v>13545.5</v>
      </c>
      <c r="J8" s="54">
        <f>RTD("cqg.rtd", ,"ContractData",C8, "Ask",, "T")</f>
        <v>13546.5</v>
      </c>
      <c r="K8" s="55">
        <f>RTD("cqg.rtd", ,"ContractData",C8, "MT_LastAskVolume",, "T")</f>
        <v>3</v>
      </c>
      <c r="L8" s="51">
        <f>RTD("cqg.rtd", , "ContractData",C8,"Open",,"T")</f>
        <v>13548</v>
      </c>
      <c r="M8" s="51">
        <f>RTD("cqg.rtd", , "ContractData",C8,"High",,"T")</f>
        <v>13596</v>
      </c>
      <c r="N8" s="56">
        <f>RTD("cqg.rtd", , "ContractData",C8,"Low",,"T")</f>
        <v>13512</v>
      </c>
      <c r="O8" s="60"/>
      <c r="P8" s="61"/>
      <c r="Q8" s="61"/>
      <c r="R8" s="61"/>
      <c r="S8" s="61"/>
      <c r="T8" s="61"/>
      <c r="U8" s="61"/>
      <c r="V8" s="61"/>
      <c r="W8" s="62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</row>
    <row r="9" spans="1:41" ht="16.5" x14ac:dyDescent="0.3">
      <c r="A9" s="34"/>
      <c r="B9" s="48" t="str">
        <f>"  "&amp;RTD("cqg.rtd", , "ContractData",C9,"LongDescription")</f>
        <v xml:space="preserve">  Euro STOXX 50, Mar 18</v>
      </c>
      <c r="C9" s="4" t="s">
        <v>105</v>
      </c>
      <c r="D9" s="49">
        <f>IFERROR(RTD("cqg.rtd", , "ContractData",C9,"PerCentNetLastTrade",,"T")/100,"")</f>
        <v>1.3683634373289546E-3</v>
      </c>
      <c r="E9" s="50">
        <f>IFERROR(RTD("cqg.rtd", , "ContractData",C9,"PerCentNetLastTrade",,"T")/100,"")</f>
        <v>1.3683634373289546E-3</v>
      </c>
      <c r="F9" s="51">
        <f>RTD("cqg.rtd", , "ContractData",C9,"LastTrade",,"T")</f>
        <v>3659</v>
      </c>
      <c r="G9" s="51">
        <f>RTD("cqg.rtd", , "ContractData",C9,"NetChange",,"T")</f>
        <v>4</v>
      </c>
      <c r="H9" s="52">
        <f>RTD("cqg.rtd", ,"ContractData",C9, "MT_LastBidVolume",, "T")</f>
        <v>2644</v>
      </c>
      <c r="I9" s="53">
        <f>RTD("cqg.rtd", ,"ContractData",C9, "Bid",, "T")</f>
        <v>3658</v>
      </c>
      <c r="J9" s="54">
        <f>RTD("cqg.rtd", ,"ContractData",C9, "Ask",, "T")</f>
        <v>3659</v>
      </c>
      <c r="K9" s="55">
        <f>RTD("cqg.rtd", ,"ContractData",C9, "MT_LastAskVolume",, "T")</f>
        <v>263</v>
      </c>
      <c r="L9" s="51">
        <f>RTD("cqg.rtd", , "ContractData",C9,"Open",,"T")</f>
        <v>3675</v>
      </c>
      <c r="M9" s="51">
        <f>RTD("cqg.rtd", , "ContractData",C9,"High",,"T")</f>
        <v>3681</v>
      </c>
      <c r="N9" s="56">
        <f>RTD("cqg.rtd", , "ContractData",C9,"Low",,"T")</f>
        <v>3653</v>
      </c>
      <c r="O9" s="60"/>
      <c r="P9" s="61"/>
      <c r="Q9" s="61"/>
      <c r="R9" s="61"/>
      <c r="S9" s="61"/>
      <c r="T9" s="61"/>
      <c r="U9" s="61"/>
      <c r="V9" s="61"/>
      <c r="W9" s="62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</row>
    <row r="10" spans="1:41" ht="16.5" customHeight="1" x14ac:dyDescent="0.3">
      <c r="A10" s="34"/>
      <c r="B10" s="48" t="str">
        <f>"  "&amp;RTD("cqg.rtd", , "ContractData",C10,"LongDescription")</f>
        <v xml:space="preserve">  Euro STOXX Banks, Mar 18</v>
      </c>
      <c r="C10" s="4" t="s">
        <v>114</v>
      </c>
      <c r="D10" s="49">
        <f>IFERROR(RTD("cqg.rtd", , "ContractData",C10,"PerCentNetLastTrade",,"T")/100,"")</f>
        <v>-4.22237860661506E-3</v>
      </c>
      <c r="E10" s="50">
        <f>IFERROR(RTD("cqg.rtd", , "ContractData",C10,"PerCentNetLastTrade",,"T")/100,"")</f>
        <v>-4.22237860661506E-3</v>
      </c>
      <c r="F10" s="51">
        <f>RTD("cqg.rtd", , "ContractData",C10,"LastTrade",,"T")</f>
        <v>141.5</v>
      </c>
      <c r="G10" s="51">
        <f>RTD("cqg.rtd", , "ContractData",C10,"NetChange",,"T")</f>
        <v>-0.70000000000000007</v>
      </c>
      <c r="H10" s="52">
        <f>RTD("cqg.rtd", ,"ContractData",C10, "MT_LastBidVolume",, "T")</f>
        <v>403</v>
      </c>
      <c r="I10" s="53">
        <f>RTD("cqg.rtd", ,"ContractData",C10, "Bid",, "T")</f>
        <v>141.4</v>
      </c>
      <c r="J10" s="54">
        <f>RTD("cqg.rtd", ,"ContractData",C10, "Ask",, "T")</f>
        <v>141.5</v>
      </c>
      <c r="K10" s="55">
        <f>RTD("cqg.rtd", ,"ContractData",C10, "MT_LastAskVolume",, "T")</f>
        <v>1563</v>
      </c>
      <c r="L10" s="51">
        <f>RTD("cqg.rtd", , "ContractData",C10,"Open",,"T")</f>
        <v>143</v>
      </c>
      <c r="M10" s="51">
        <f>RTD("cqg.rtd", , "ContractData",C10,"High",,"T")</f>
        <v>143.5</v>
      </c>
      <c r="N10" s="56">
        <f>RTD("cqg.rtd", , "ContractData",C10,"Low",,"T")</f>
        <v>141.1</v>
      </c>
      <c r="O10" s="60"/>
      <c r="P10" s="61"/>
      <c r="Q10" s="61"/>
      <c r="R10" s="61"/>
      <c r="S10" s="61"/>
      <c r="T10" s="61"/>
      <c r="U10" s="61"/>
      <c r="V10" s="61"/>
      <c r="W10" s="62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</row>
    <row r="11" spans="1:41" ht="16.5" customHeight="1" x14ac:dyDescent="0.3">
      <c r="A11" s="34"/>
      <c r="B11" s="48" t="str">
        <f>"  "&amp;RTD("cqg.rtd", , "ContractData",C11,"LongDescription")</f>
        <v xml:space="preserve">  Crude Light (Globex), Mar 18</v>
      </c>
      <c r="C11" s="4" t="s">
        <v>106</v>
      </c>
      <c r="D11" s="49">
        <f>IFERROR(RTD("cqg.rtd", , "ContractData",C11,"PerCentNetLastTrade",,"T")/100,"")</f>
        <v>1.6359918200408999E-2</v>
      </c>
      <c r="E11" s="50">
        <f>IFERROR(RTD("cqg.rtd", , "ContractData",C11,"PerCentNetLastTrade",,"T")/100,"")</f>
        <v>1.6359918200408999E-2</v>
      </c>
      <c r="F11" s="51">
        <f>RTD("cqg.rtd", , "ContractData",C11,"LastTrade",,"T")</f>
        <v>64.61</v>
      </c>
      <c r="G11" s="51">
        <f>RTD("cqg.rtd", , "ContractData",C11,"NetChange",,"T")</f>
        <v>1.04</v>
      </c>
      <c r="H11" s="52">
        <f>RTD("cqg.rtd", ,"ContractData",C11, "MT_LastBidVolume",, "T")</f>
        <v>22</v>
      </c>
      <c r="I11" s="53">
        <f>RTD("cqg.rtd", ,"ContractData",C11, "Bid",, "T")</f>
        <v>64.61</v>
      </c>
      <c r="J11" s="54">
        <f>RTD("cqg.rtd", ,"ContractData",C11, "Ask",, "T")</f>
        <v>64.62</v>
      </c>
      <c r="K11" s="55">
        <f>RTD("cqg.rtd", ,"ContractData",C11, "MT_LastAskVolume",, "T")</f>
        <v>86</v>
      </c>
      <c r="L11" s="51">
        <f>RTD("cqg.rtd", , "ContractData",C11,"Open",,"T")</f>
        <v>63.88</v>
      </c>
      <c r="M11" s="51">
        <f>RTD("cqg.rtd", , "ContractData",C11,"High",,"T")</f>
        <v>64.680000000000007</v>
      </c>
      <c r="N11" s="56">
        <f>RTD("cqg.rtd", , "ContractData",C11,"Low",,"T")</f>
        <v>63.7</v>
      </c>
      <c r="O11" s="60"/>
      <c r="P11" s="61"/>
      <c r="Q11" s="61"/>
      <c r="R11" s="61"/>
      <c r="S11" s="61"/>
      <c r="T11" s="61"/>
      <c r="U11" s="61"/>
      <c r="V11" s="61"/>
      <c r="W11" s="62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</row>
    <row r="12" spans="1:41" ht="17.25" thickBot="1" x14ac:dyDescent="0.35">
      <c r="A12" s="34"/>
      <c r="B12" s="48" t="str">
        <f>"  "&amp;RTD("cqg.rtd", , "ContractData",C12,"LongDescription")</f>
        <v xml:space="preserve">  Gold (Globex), Feb 18</v>
      </c>
      <c r="C12" s="5" t="s">
        <v>107</v>
      </c>
      <c r="D12" s="63">
        <f>IFERROR(RTD("cqg.rtd", , "ContractData",C12,"PerCentNetLastTrade",,"T")/100,"")</f>
        <v>3.3786320294316389E-3</v>
      </c>
      <c r="E12" s="64">
        <f>IFERROR(RTD("cqg.rtd", , "ContractData",C12,"PerCentNetLastTrade",,"T")/100,"")</f>
        <v>3.3786320294316389E-3</v>
      </c>
      <c r="F12" s="65">
        <f>RTD("cqg.rtd", , "ContractData",C12,"LastTrade",,"T")</f>
        <v>1336.4</v>
      </c>
      <c r="G12" s="65">
        <f>RTD("cqg.rtd", , "ContractData",C12,"NetChange",,"T")</f>
        <v>4.5</v>
      </c>
      <c r="H12" s="66">
        <f>RTD("cqg.rtd", ,"ContractData",C12, "MT_LastBidVolume",, "T")</f>
        <v>30</v>
      </c>
      <c r="I12" s="53">
        <f>RTD("cqg.rtd", ,"ContractData",C12, "Bid",, "T")</f>
        <v>1336.4</v>
      </c>
      <c r="J12" s="54">
        <f>RTD("cqg.rtd", ,"ContractData",C12, "Ask",, "T")</f>
        <v>1336.5</v>
      </c>
      <c r="K12" s="67">
        <f>RTD("cqg.rtd", ,"ContractData",C12, "MT_LastAskVolume",, "T")</f>
        <v>34</v>
      </c>
      <c r="L12" s="65">
        <f>RTD("cqg.rtd", , "ContractData",C12,"Open",,"T")</f>
        <v>1333</v>
      </c>
      <c r="M12" s="65">
        <f>RTD("cqg.rtd", , "ContractData",C12,"High",,"T")</f>
        <v>1338.5</v>
      </c>
      <c r="N12" s="68">
        <f>RTD("cqg.rtd", , "ContractData",C12,"Low",,"T")</f>
        <v>1330.7</v>
      </c>
      <c r="O12" s="60"/>
      <c r="P12" s="61"/>
      <c r="Q12" s="61"/>
      <c r="R12" s="61"/>
      <c r="S12" s="61"/>
      <c r="T12" s="61"/>
      <c r="U12" s="61"/>
      <c r="V12" s="61"/>
      <c r="W12" s="62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</row>
    <row r="13" spans="1:41" ht="17.25" thickBot="1" x14ac:dyDescent="0.35">
      <c r="A13" s="36"/>
      <c r="B13" s="69" t="s">
        <v>130</v>
      </c>
      <c r="C13" s="70" t="s">
        <v>5</v>
      </c>
      <c r="D13" s="146" t="s">
        <v>128</v>
      </c>
      <c r="E13" s="147"/>
      <c r="F13" s="71" t="s">
        <v>148</v>
      </c>
      <c r="G13" s="142" t="str">
        <f>"Globex Treasury Futures Level 1 (First Notice Date: "&amp;TEXT(RTD("cqg.rtd",,"ContractData","TUA","FirstNoticeDate",,"T"),"mm/dd/yy")&amp;")"</f>
        <v>Globex Treasury Futures Level 1 (First Notice Date: 02/28/18)</v>
      </c>
      <c r="H13" s="143"/>
      <c r="I13" s="144"/>
      <c r="J13" s="144"/>
      <c r="K13" s="143"/>
      <c r="L13" s="145"/>
      <c r="M13" s="72" t="str">
        <f>G14</f>
        <v>TUAH8</v>
      </c>
      <c r="N13" s="73" t="str">
        <f>RTD("cqg.rtd", , "ContractData",M13,"NetChange",,"B")</f>
        <v>+0'01.00</v>
      </c>
      <c r="O13" s="60"/>
      <c r="P13" s="61"/>
      <c r="Q13" s="61"/>
      <c r="R13" s="61"/>
      <c r="S13" s="61"/>
      <c r="T13" s="61"/>
      <c r="U13" s="61"/>
      <c r="V13" s="61"/>
      <c r="W13" s="62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1" ht="16.5" customHeight="1" x14ac:dyDescent="0.3">
      <c r="A14" s="36"/>
      <c r="B14" s="74" t="s">
        <v>115</v>
      </c>
      <c r="C14" s="75">
        <f>RTD("cqg.rtd",,"BUS02Y!LastQuoteToday,T")</f>
        <v>2.0529999999999999</v>
      </c>
      <c r="D14" s="75">
        <f>RTD("cqg.rtd",,"BUS02Y!NetChange,T")</f>
        <v>-8.0000000000000002E-3</v>
      </c>
      <c r="E14" s="76">
        <f>D14</f>
        <v>-8.0000000000000002E-3</v>
      </c>
      <c r="F14" s="77">
        <f>C14-$C$17</f>
        <v>-0.56700000000000017</v>
      </c>
      <c r="G14" s="78" t="str">
        <f>RTD("cqg.rtd", ,"ContractData","TUA", "Symbol",, "T")</f>
        <v>TUAH8</v>
      </c>
      <c r="H14" s="78" t="str">
        <f>RTD("cqg.rtd", ,"ContractData","FVA", "Symbol",, "T")</f>
        <v>FVAH8</v>
      </c>
      <c r="I14" s="78" t="str">
        <f>RTD("cqg.rtd", ,"ContractData","TYA", "Symbol",, "T")</f>
        <v>TYAH8</v>
      </c>
      <c r="J14" s="78" t="str">
        <f>RTD("cqg.rtd", ,"ContractData","TNA", "Symbol",, "T")</f>
        <v>TNAH8</v>
      </c>
      <c r="K14" s="78" t="str">
        <f>RTD("cqg.rtd", ,"ContractData","USA", "Symbol",, "T")</f>
        <v>USAH8</v>
      </c>
      <c r="L14" s="78" t="str">
        <f>RTD("cqg.rtd", ,"ContractData","ULA", "Symbol",, "T")</f>
        <v>ULAH8</v>
      </c>
      <c r="M14" s="79" t="str">
        <f>H14</f>
        <v>FVAH8</v>
      </c>
      <c r="N14" s="80" t="str">
        <f>RTD("cqg.rtd", , "ContractData",M14,"NetChange",,"B")</f>
        <v>+0'05.50</v>
      </c>
      <c r="O14" s="60"/>
      <c r="P14" s="61"/>
      <c r="Q14" s="61"/>
      <c r="R14" s="61"/>
      <c r="S14" s="61"/>
      <c r="T14" s="61"/>
      <c r="U14" s="61"/>
      <c r="V14" s="61"/>
      <c r="W14" s="62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</row>
    <row r="15" spans="1:41" ht="16.5" customHeight="1" x14ac:dyDescent="0.3">
      <c r="A15" s="36"/>
      <c r="B15" s="74" t="s">
        <v>116</v>
      </c>
      <c r="C15" s="75">
        <f>RTD("cqg.rtd",,"BUS03Y!LastQuoteToday,T")</f>
        <v>2.1800000000000002</v>
      </c>
      <c r="D15" s="75">
        <f>RTD("cqg.rtd",,"BUS03Y!NetChange,T")</f>
        <v>-1.9E-2</v>
      </c>
      <c r="E15" s="76">
        <f>D15</f>
        <v>-1.9E-2</v>
      </c>
      <c r="F15" s="77">
        <f t="shared" ref="F15:F18" si="0">C15-$C$17</f>
        <v>-0.43999999999999995</v>
      </c>
      <c r="G15" s="81">
        <f>RTD("cqg.rtd", ,"ContractData","TUA", "MT_LastAskVolume",, "T")</f>
        <v>416855</v>
      </c>
      <c r="H15" s="81">
        <f>RTD("cqg.rtd", ,"ContractData","FVA", "MT_LastAskVolume",, "T")</f>
        <v>3325</v>
      </c>
      <c r="I15" s="81">
        <f>RTD("cqg.rtd", ,"ContractData","TYA", "MT_LastAskVolume",, "T")</f>
        <v>1364</v>
      </c>
      <c r="J15" s="81">
        <f>RTD("cqg.rtd", ,"ContractData","TNA", "MT_LastAskVolume",, "T")</f>
        <v>68</v>
      </c>
      <c r="K15" s="81">
        <f>RTD("cqg.rtd", ,"ContractData","USA", "MT_LastAskVolume",, "T")</f>
        <v>296</v>
      </c>
      <c r="L15" s="81">
        <f>RTD("cqg.rtd", ,"ContractData","ULA", "MT_LastAskVolume",, "T")</f>
        <v>53</v>
      </c>
      <c r="M15" s="79" t="str">
        <f>I14</f>
        <v>TYAH8</v>
      </c>
      <c r="N15" s="80" t="str">
        <f>RTD("cqg.rtd", , "ContractData",M15,"NetChange",,"B")</f>
        <v>+0'10.5</v>
      </c>
      <c r="O15" s="60"/>
      <c r="P15" s="61"/>
      <c r="Q15" s="61"/>
      <c r="R15" s="61"/>
      <c r="S15" s="61"/>
      <c r="T15" s="61"/>
      <c r="U15" s="61"/>
      <c r="V15" s="61"/>
      <c r="W15" s="62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</row>
    <row r="16" spans="1:41" ht="16.5" customHeight="1" x14ac:dyDescent="0.3">
      <c r="A16" s="36"/>
      <c r="B16" s="74" t="s">
        <v>117</v>
      </c>
      <c r="C16" s="75">
        <f>RTD("cqg.rtd",,"BUS05Y!LastQuoteToday,T")</f>
        <v>2.4220000000000002</v>
      </c>
      <c r="D16" s="75">
        <f>RTD("cqg.rtd",,"BUS05Y!NetChange,T")</f>
        <v>-2.4E-2</v>
      </c>
      <c r="E16" s="76">
        <f>D16</f>
        <v>-2.4E-2</v>
      </c>
      <c r="F16" s="76">
        <f t="shared" si="0"/>
        <v>-0.19799999999999995</v>
      </c>
      <c r="G16" s="153" t="str">
        <f>RTD("cqg.rtd", ,"ContractData","TUA", "Ask",, "B")</f>
        <v>106'24.50</v>
      </c>
      <c r="H16" s="82" t="str">
        <f>RTD("cqg.rtd", ,"ContractData","FVA", "Ask",, "B")</f>
        <v>115'07.00</v>
      </c>
      <c r="I16" s="82" t="str">
        <f>RTD("cqg.rtd", ,"ContractData","TYA", "Ask",, "B")</f>
        <v>122'13.5</v>
      </c>
      <c r="J16" s="82" t="str">
        <f>RTD("cqg.rtd", ,"ContractData","TNA", "Ask",, "B")</f>
        <v>131'08.0</v>
      </c>
      <c r="K16" s="82" t="str">
        <f>RTD("cqg.rtd", ,"ContractData","USA", "Ask",, "B")</f>
        <v>149'12.0</v>
      </c>
      <c r="L16" s="82" t="str">
        <f>RTD("cqg.rtd", ,"ContractData","ULA", "Ask",, "B")</f>
        <v>163'06.0</v>
      </c>
      <c r="M16" s="83" t="str">
        <f>J14</f>
        <v>TNAH8</v>
      </c>
      <c r="N16" s="80" t="str">
        <f>RTD("cqg.rtd", , "ContractData",M16,"NetChange",,"B")</f>
        <v>+0'14.5</v>
      </c>
      <c r="O16" s="60"/>
      <c r="P16" s="61"/>
      <c r="Q16" s="61"/>
      <c r="R16" s="61"/>
      <c r="S16" s="61"/>
      <c r="T16" s="61"/>
      <c r="U16" s="61"/>
      <c r="V16" s="61"/>
      <c r="W16" s="62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</row>
    <row r="17" spans="1:42" ht="16.5" customHeight="1" x14ac:dyDescent="0.3">
      <c r="A17" s="36"/>
      <c r="B17" s="74" t="s">
        <v>118</v>
      </c>
      <c r="C17" s="75">
        <f>RTD("cqg.rtd",,"BUS10Y!LastQuoteToday,T")</f>
        <v>2.62</v>
      </c>
      <c r="D17" s="75">
        <f>RTD("cqg.rtd",,"BUS10Y!NetChange,T")</f>
        <v>-2.8000000000000001E-2</v>
      </c>
      <c r="E17" s="76">
        <f>D17</f>
        <v>-2.8000000000000001E-2</v>
      </c>
      <c r="F17" s="76"/>
      <c r="G17" s="152" t="str">
        <f>RTD("cqg.rtd", ,"ContractData","TUA", "Bid",, "B")</f>
        <v>106'24.25</v>
      </c>
      <c r="H17" s="152" t="str">
        <f>RTD("cqg.rtd", ,"ContractData","FVA", "Bid",, "B")</f>
        <v>115'06.75</v>
      </c>
      <c r="I17" s="152" t="str">
        <f>RTD("cqg.rtd", ,"ContractData","TYA", "Bid",, "B")</f>
        <v>122'13.0</v>
      </c>
      <c r="J17" s="152" t="str">
        <f>RTD("cqg.rtd", ,"ContractData","TNA", "Bid",, "B")</f>
        <v>131'07.5</v>
      </c>
      <c r="K17" s="152" t="str">
        <f>RTD("cqg.rtd", ,"ContractData","USA", "Bid",, "B")</f>
        <v>149'11.0</v>
      </c>
      <c r="L17" s="152" t="str">
        <f>RTD("cqg.rtd", ,"ContractData","ULA", "Bid",, "B")</f>
        <v>163'05.0</v>
      </c>
      <c r="M17" s="83" t="str">
        <f>K14</f>
        <v>USAH8</v>
      </c>
      <c r="N17" s="80" t="str">
        <f>RTD("cqg.rtd", , "ContractData",M17,"NetChange",,"B")</f>
        <v>+0'22.0</v>
      </c>
      <c r="O17" s="60"/>
      <c r="P17" s="61"/>
      <c r="Q17" s="61"/>
      <c r="R17" s="61"/>
      <c r="S17" s="61"/>
      <c r="T17" s="61"/>
      <c r="U17" s="61"/>
      <c r="V17" s="61"/>
      <c r="W17" s="62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</row>
    <row r="18" spans="1:42" ht="16.5" customHeight="1" thickBot="1" x14ac:dyDescent="0.35">
      <c r="A18" s="36"/>
      <c r="B18" s="84" t="s">
        <v>119</v>
      </c>
      <c r="C18" s="85">
        <f>RTD("cqg.rtd",,"BUS30Y!LastQuoteToday,T")</f>
        <v>2.891</v>
      </c>
      <c r="D18" s="85">
        <f>RTD("cqg.rtd",,"BUS30Y!NetChange,T")</f>
        <v>-0.02</v>
      </c>
      <c r="E18" s="76">
        <f>D18</f>
        <v>-0.02</v>
      </c>
      <c r="F18" s="77">
        <f t="shared" si="0"/>
        <v>0.27099999999999991</v>
      </c>
      <c r="G18" s="86">
        <f>RTD("cqg.rtd", ,"ContractData","TUA", "MT_LastBidVolume",, "T")</f>
        <v>2895</v>
      </c>
      <c r="H18" s="86">
        <f>RTD("cqg.rtd", ,"ContractData","FVA", "MT_LastBidVolume",, "T")</f>
        <v>1219</v>
      </c>
      <c r="I18" s="86">
        <f>RTD("cqg.rtd", ,"ContractData","TYA", "MT_LastBidVolume",, "T")</f>
        <v>3191</v>
      </c>
      <c r="J18" s="86">
        <f>RTD("cqg.rtd", ,"ContractData","TNA", "MT_LastBidVolume",, "T")</f>
        <v>317</v>
      </c>
      <c r="K18" s="86">
        <f>RTD("cqg.rtd", ,"ContractData","USA", "MT_LastBidVolume",, "T")</f>
        <v>391</v>
      </c>
      <c r="L18" s="86">
        <f>RTD("cqg.rtd", ,"ContractData","ULA", "MT_LastBidVolume",, "T")</f>
        <v>61</v>
      </c>
      <c r="M18" s="124" t="str">
        <f>L14</f>
        <v>ULAH8</v>
      </c>
      <c r="N18" s="87" t="str">
        <f>RTD("cqg.rtd", , "ContractData",M18,"NetChange",,"B")</f>
        <v>+1'01.0</v>
      </c>
      <c r="O18" s="60"/>
      <c r="P18" s="61"/>
      <c r="Q18" s="61"/>
      <c r="R18" s="61"/>
      <c r="S18" s="61"/>
      <c r="T18" s="61"/>
      <c r="U18" s="61"/>
      <c r="V18" s="61"/>
      <c r="W18" s="62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</row>
    <row r="19" spans="1:42" ht="16.5" customHeight="1" x14ac:dyDescent="0.3">
      <c r="A19" s="36"/>
      <c r="B19" s="88"/>
      <c r="C19" s="89"/>
      <c r="D19" s="89"/>
      <c r="E19" s="90"/>
      <c r="F19" s="91"/>
      <c r="G19" s="89"/>
      <c r="H19" s="89"/>
      <c r="I19" s="89"/>
      <c r="J19" s="89"/>
      <c r="K19" s="89"/>
      <c r="L19" s="89"/>
      <c r="M19" s="89"/>
      <c r="N19" s="90"/>
      <c r="O19" s="61"/>
      <c r="P19" s="61"/>
      <c r="Q19" s="61"/>
      <c r="R19" s="61"/>
      <c r="S19" s="61"/>
      <c r="T19" s="61"/>
      <c r="U19" s="61"/>
      <c r="V19" s="61"/>
      <c r="W19" s="62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</row>
    <row r="20" spans="1:42" ht="16.5" customHeight="1" x14ac:dyDescent="0.3">
      <c r="A20" s="36"/>
      <c r="B20" s="92"/>
      <c r="C20" s="61"/>
      <c r="D20" s="61"/>
      <c r="E20" s="93"/>
      <c r="F20" s="60"/>
      <c r="G20" s="61"/>
      <c r="H20" s="61"/>
      <c r="I20" s="61"/>
      <c r="J20" s="61"/>
      <c r="K20" s="61"/>
      <c r="L20" s="61"/>
      <c r="M20" s="61"/>
      <c r="N20" s="93"/>
      <c r="O20" s="61"/>
      <c r="P20" s="61"/>
      <c r="Q20" s="61"/>
      <c r="R20" s="61"/>
      <c r="S20" s="61"/>
      <c r="T20" s="61"/>
      <c r="U20" s="61"/>
      <c r="V20" s="61"/>
      <c r="W20" s="62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</row>
    <row r="21" spans="1:42" ht="16.5" customHeight="1" x14ac:dyDescent="0.3">
      <c r="A21" s="36"/>
      <c r="B21" s="92"/>
      <c r="C21" s="61"/>
      <c r="D21" s="61"/>
      <c r="E21" s="93"/>
      <c r="F21" s="60"/>
      <c r="G21" s="61"/>
      <c r="H21" s="61"/>
      <c r="I21" s="61"/>
      <c r="J21" s="61"/>
      <c r="K21" s="61"/>
      <c r="L21" s="61"/>
      <c r="M21" s="61"/>
      <c r="N21" s="93"/>
      <c r="O21" s="61"/>
      <c r="P21" s="61"/>
      <c r="Q21" s="61"/>
      <c r="R21" s="61"/>
      <c r="S21" s="61"/>
      <c r="T21" s="61"/>
      <c r="U21" s="61"/>
      <c r="V21" s="61"/>
      <c r="W21" s="62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</row>
    <row r="22" spans="1:42" ht="16.5" customHeight="1" x14ac:dyDescent="0.3">
      <c r="A22" s="36"/>
      <c r="B22" s="92"/>
      <c r="C22" s="61"/>
      <c r="D22" s="61"/>
      <c r="E22" s="93"/>
      <c r="F22" s="60"/>
      <c r="G22" s="61"/>
      <c r="H22" s="61"/>
      <c r="I22" s="61"/>
      <c r="J22" s="61"/>
      <c r="K22" s="61"/>
      <c r="L22" s="61"/>
      <c r="M22" s="61"/>
      <c r="N22" s="93"/>
      <c r="O22" s="61"/>
      <c r="P22" s="61"/>
      <c r="Q22" s="61"/>
      <c r="R22" s="61"/>
      <c r="S22" s="61"/>
      <c r="T22" s="61"/>
      <c r="U22" s="61"/>
      <c r="V22" s="61"/>
      <c r="W22" s="62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</row>
    <row r="23" spans="1:42" ht="16.5" customHeight="1" x14ac:dyDescent="0.3">
      <c r="A23" s="36"/>
      <c r="B23" s="92"/>
      <c r="C23" s="61"/>
      <c r="D23" s="94"/>
      <c r="E23" s="95"/>
      <c r="F23" s="96"/>
      <c r="G23" s="61"/>
      <c r="H23" s="61"/>
      <c r="I23" s="61"/>
      <c r="J23" s="61"/>
      <c r="K23" s="61"/>
      <c r="L23" s="61"/>
      <c r="M23" s="61"/>
      <c r="N23" s="93"/>
      <c r="O23" s="60"/>
      <c r="P23" s="61"/>
      <c r="Q23" s="61"/>
      <c r="R23" s="61"/>
      <c r="S23" s="61"/>
      <c r="T23" s="61"/>
      <c r="U23" s="61"/>
      <c r="V23" s="61"/>
      <c r="W23" s="62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</row>
    <row r="24" spans="1:42" ht="16.5" customHeight="1" x14ac:dyDescent="0.3">
      <c r="A24" s="36"/>
      <c r="B24" s="92"/>
      <c r="C24" s="61"/>
      <c r="D24" s="61"/>
      <c r="E24" s="97"/>
      <c r="F24" s="98"/>
      <c r="G24" s="61"/>
      <c r="H24" s="61"/>
      <c r="I24" s="61"/>
      <c r="J24" s="61"/>
      <c r="K24" s="61"/>
      <c r="L24" s="61"/>
      <c r="M24" s="61"/>
      <c r="N24" s="93"/>
      <c r="O24" s="60"/>
      <c r="P24" s="61"/>
      <c r="Q24" s="99"/>
      <c r="R24" s="61"/>
      <c r="S24" s="61"/>
      <c r="T24" s="61"/>
      <c r="U24" s="61"/>
      <c r="V24" s="61"/>
      <c r="W24" s="62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</row>
    <row r="25" spans="1:42" ht="16.5" customHeight="1" x14ac:dyDescent="0.3">
      <c r="A25" s="36"/>
      <c r="B25" s="92"/>
      <c r="C25" s="61"/>
      <c r="D25" s="61"/>
      <c r="E25" s="97"/>
      <c r="F25" s="98"/>
      <c r="G25" s="61"/>
      <c r="H25" s="61"/>
      <c r="I25" s="61"/>
      <c r="J25" s="61"/>
      <c r="K25" s="61"/>
      <c r="L25" s="61"/>
      <c r="M25" s="61"/>
      <c r="N25" s="93"/>
      <c r="O25" s="137"/>
      <c r="P25" s="138"/>
      <c r="Q25" s="138"/>
      <c r="R25" s="138"/>
      <c r="S25" s="138"/>
      <c r="T25" s="138"/>
      <c r="U25" s="138"/>
      <c r="V25" s="138"/>
      <c r="W25" s="139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</row>
    <row r="26" spans="1:42" ht="16.5" customHeight="1" x14ac:dyDescent="0.3">
      <c r="A26" s="36"/>
      <c r="B26" s="92"/>
      <c r="C26" s="61"/>
      <c r="D26" s="61"/>
      <c r="E26" s="97"/>
      <c r="F26" s="98"/>
      <c r="G26" s="61"/>
      <c r="H26" s="61"/>
      <c r="I26" s="61"/>
      <c r="J26" s="61"/>
      <c r="K26" s="61"/>
      <c r="L26" s="61"/>
      <c r="M26" s="61"/>
      <c r="N26" s="93"/>
      <c r="O26" s="100"/>
      <c r="P26" s="101"/>
      <c r="Q26" s="101"/>
      <c r="R26" s="101"/>
      <c r="S26" s="101"/>
      <c r="T26" s="101"/>
      <c r="U26" s="101"/>
      <c r="V26" s="138"/>
      <c r="W26" s="139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</row>
    <row r="27" spans="1:42" ht="16.5" customHeight="1" x14ac:dyDescent="0.3">
      <c r="A27" s="36"/>
      <c r="B27" s="92"/>
      <c r="C27" s="61"/>
      <c r="D27" s="61"/>
      <c r="E27" s="97"/>
      <c r="F27" s="98"/>
      <c r="G27" s="61"/>
      <c r="H27" s="61"/>
      <c r="I27" s="61"/>
      <c r="J27" s="61"/>
      <c r="K27" s="61"/>
      <c r="L27" s="61"/>
      <c r="M27" s="61"/>
      <c r="N27" s="93"/>
      <c r="O27" s="100"/>
      <c r="P27" s="101"/>
      <c r="Q27" s="101"/>
      <c r="R27" s="101"/>
      <c r="S27" s="101"/>
      <c r="T27" s="101"/>
      <c r="U27" s="101"/>
      <c r="V27" s="138"/>
      <c r="W27" s="139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</row>
    <row r="28" spans="1:42" ht="16.5" customHeight="1" x14ac:dyDescent="0.3">
      <c r="A28" s="36"/>
      <c r="B28" s="92"/>
      <c r="C28" s="61"/>
      <c r="D28" s="61"/>
      <c r="E28" s="97"/>
      <c r="F28" s="98"/>
      <c r="G28" s="61"/>
      <c r="H28" s="61"/>
      <c r="I28" s="61"/>
      <c r="J28" s="61"/>
      <c r="K28" s="61"/>
      <c r="L28" s="61"/>
      <c r="M28" s="61"/>
      <c r="N28" s="61"/>
      <c r="O28" s="60"/>
      <c r="P28" s="61"/>
      <c r="Q28" s="61"/>
      <c r="R28" s="61"/>
      <c r="S28" s="61"/>
      <c r="T28" s="61"/>
      <c r="U28" s="61"/>
      <c r="V28" s="61"/>
      <c r="W28" s="62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</row>
    <row r="29" spans="1:42" ht="16.5" customHeight="1" x14ac:dyDescent="0.3">
      <c r="A29" s="36"/>
      <c r="B29" s="92"/>
      <c r="C29" s="61"/>
      <c r="D29" s="61"/>
      <c r="E29" s="93"/>
      <c r="F29" s="60"/>
      <c r="G29" s="61"/>
      <c r="H29" s="61"/>
      <c r="I29" s="61"/>
      <c r="J29" s="61"/>
      <c r="K29" s="61"/>
      <c r="L29" s="61"/>
      <c r="M29" s="61"/>
      <c r="N29" s="61"/>
      <c r="O29" s="60"/>
      <c r="P29" s="61"/>
      <c r="Q29" s="61"/>
      <c r="R29" s="61"/>
      <c r="S29" s="61"/>
      <c r="T29" s="61"/>
      <c r="U29" s="61"/>
      <c r="V29" s="61"/>
      <c r="W29" s="62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</row>
    <row r="30" spans="1:42" ht="16.5" customHeight="1" thickBot="1" x14ac:dyDescent="0.35">
      <c r="A30" s="36"/>
      <c r="B30" s="92"/>
      <c r="C30" s="61"/>
      <c r="D30" s="61"/>
      <c r="E30" s="93"/>
      <c r="F30" s="102"/>
      <c r="G30" s="103"/>
      <c r="H30" s="103"/>
      <c r="I30" s="103"/>
      <c r="J30" s="103"/>
      <c r="K30" s="103"/>
      <c r="L30" s="103"/>
      <c r="M30" s="103"/>
      <c r="N30" s="104"/>
      <c r="O30" s="102"/>
      <c r="P30" s="103"/>
      <c r="Q30" s="103"/>
      <c r="R30" s="103"/>
      <c r="S30" s="103"/>
      <c r="T30" s="103"/>
      <c r="U30" s="103"/>
      <c r="V30" s="103"/>
      <c r="W30" s="105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</row>
    <row r="31" spans="1:42" ht="16.5" customHeight="1" x14ac:dyDescent="0.3">
      <c r="A31" s="36"/>
      <c r="B31" s="92"/>
      <c r="C31" s="61"/>
      <c r="D31" s="61"/>
      <c r="E31" s="93"/>
      <c r="F31" s="125" t="s">
        <v>151</v>
      </c>
      <c r="G31" s="126"/>
      <c r="H31" s="126"/>
      <c r="I31" s="126"/>
      <c r="J31" s="126"/>
      <c r="K31" s="126"/>
      <c r="L31" s="126"/>
      <c r="M31" s="126"/>
      <c r="N31" s="127"/>
      <c r="O31" s="148" t="s">
        <v>141</v>
      </c>
      <c r="P31" s="149"/>
      <c r="Q31" s="150" t="s">
        <v>145</v>
      </c>
      <c r="R31" s="150"/>
      <c r="S31" s="2">
        <v>8</v>
      </c>
      <c r="T31" s="106" t="s">
        <v>146</v>
      </c>
      <c r="U31" s="2">
        <v>1</v>
      </c>
      <c r="V31" s="106" t="s">
        <v>147</v>
      </c>
      <c r="W31" s="3">
        <v>2017</v>
      </c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</row>
    <row r="32" spans="1:42" ht="16.5" customHeight="1" thickBot="1" x14ac:dyDescent="0.35">
      <c r="A32" s="36"/>
      <c r="B32" s="92"/>
      <c r="C32" s="61"/>
      <c r="D32" s="61"/>
      <c r="E32" s="93"/>
      <c r="F32" s="107" t="s">
        <v>46</v>
      </c>
      <c r="G32" s="8" t="s">
        <v>34</v>
      </c>
      <c r="H32" s="103"/>
      <c r="I32" s="103"/>
      <c r="J32" s="103"/>
      <c r="K32" s="103"/>
      <c r="L32" s="103"/>
      <c r="M32" s="108" t="s">
        <v>46</v>
      </c>
      <c r="N32" s="9" t="s">
        <v>35</v>
      </c>
      <c r="O32" s="60"/>
      <c r="P32" s="61"/>
      <c r="Q32" s="61"/>
      <c r="R32" s="61"/>
      <c r="S32" s="61"/>
      <c r="T32" s="61"/>
      <c r="U32" s="61"/>
      <c r="V32" s="61"/>
      <c r="W32" s="62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</row>
    <row r="33" spans="1:41" ht="16.5" customHeight="1" x14ac:dyDescent="0.3">
      <c r="A33" s="36"/>
      <c r="B33" s="92"/>
      <c r="C33" s="61"/>
      <c r="D33" s="61"/>
      <c r="E33" s="93"/>
      <c r="F33" s="61"/>
      <c r="G33" s="61"/>
      <c r="H33" s="61"/>
      <c r="I33" s="61"/>
      <c r="J33" s="61"/>
      <c r="K33" s="61"/>
      <c r="L33" s="61"/>
      <c r="M33" s="61"/>
      <c r="N33" s="61"/>
      <c r="O33" s="60"/>
      <c r="P33" s="61"/>
      <c r="Q33" s="61"/>
      <c r="R33" s="61"/>
      <c r="S33" s="61"/>
      <c r="T33" s="61"/>
      <c r="U33" s="61"/>
      <c r="V33" s="61"/>
      <c r="W33" s="62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</row>
    <row r="34" spans="1:41" ht="16.5" customHeight="1" x14ac:dyDescent="0.3">
      <c r="A34" s="36"/>
      <c r="B34" s="92"/>
      <c r="C34" s="61"/>
      <c r="D34" s="61"/>
      <c r="E34" s="93"/>
      <c r="F34" s="61"/>
      <c r="G34" s="61"/>
      <c r="H34" s="61"/>
      <c r="I34" s="61"/>
      <c r="J34" s="61"/>
      <c r="K34" s="61"/>
      <c r="L34" s="61"/>
      <c r="M34" s="61"/>
      <c r="N34" s="61"/>
      <c r="O34" s="60"/>
      <c r="P34" s="61"/>
      <c r="Q34" s="61"/>
      <c r="R34" s="61"/>
      <c r="S34" s="61"/>
      <c r="T34" s="61"/>
      <c r="U34" s="61"/>
      <c r="V34" s="61"/>
      <c r="W34" s="62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</row>
    <row r="35" spans="1:41" ht="16.5" customHeight="1" x14ac:dyDescent="0.3">
      <c r="A35" s="36"/>
      <c r="B35" s="92"/>
      <c r="C35" s="61"/>
      <c r="D35" s="61"/>
      <c r="E35" s="93"/>
      <c r="F35" s="61"/>
      <c r="G35" s="61"/>
      <c r="H35" s="61"/>
      <c r="I35" s="61"/>
      <c r="J35" s="61"/>
      <c r="K35" s="61"/>
      <c r="L35" s="61"/>
      <c r="M35" s="61"/>
      <c r="N35" s="61"/>
      <c r="O35" s="60"/>
      <c r="P35" s="61"/>
      <c r="Q35" s="61"/>
      <c r="R35" s="61"/>
      <c r="S35" s="61"/>
      <c r="T35" s="61"/>
      <c r="U35" s="61"/>
      <c r="V35" s="61"/>
      <c r="W35" s="62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</row>
    <row r="36" spans="1:41" ht="16.5" customHeight="1" thickBot="1" x14ac:dyDescent="0.35">
      <c r="A36" s="36"/>
      <c r="B36" s="109"/>
      <c r="C36" s="103"/>
      <c r="D36" s="103"/>
      <c r="E36" s="104"/>
      <c r="F36" s="61"/>
      <c r="G36" s="61"/>
      <c r="H36" s="61"/>
      <c r="I36" s="61"/>
      <c r="J36" s="61"/>
      <c r="K36" s="61"/>
      <c r="L36" s="61"/>
      <c r="M36" s="61"/>
      <c r="N36" s="61"/>
      <c r="O36" s="60"/>
      <c r="P36" s="61"/>
      <c r="Q36" s="61"/>
      <c r="R36" s="61"/>
      <c r="S36" s="61"/>
      <c r="T36" s="61"/>
      <c r="U36" s="61"/>
      <c r="V36" s="61"/>
      <c r="W36" s="62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</row>
    <row r="37" spans="1:41" ht="16.5" customHeight="1" x14ac:dyDescent="0.3">
      <c r="A37" s="36"/>
      <c r="B37" s="88"/>
      <c r="C37" s="89"/>
      <c r="D37" s="89"/>
      <c r="E37" s="90"/>
      <c r="F37" s="61"/>
      <c r="G37" s="61"/>
      <c r="H37" s="61"/>
      <c r="I37" s="61"/>
      <c r="J37" s="61"/>
      <c r="K37" s="61"/>
      <c r="L37" s="61"/>
      <c r="M37" s="61"/>
      <c r="N37" s="61"/>
      <c r="O37" s="60"/>
      <c r="P37" s="61"/>
      <c r="Q37" s="61"/>
      <c r="R37" s="61"/>
      <c r="S37" s="61"/>
      <c r="T37" s="61"/>
      <c r="U37" s="61"/>
      <c r="V37" s="61"/>
      <c r="W37" s="62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</row>
    <row r="38" spans="1:41" ht="16.5" customHeight="1" x14ac:dyDescent="0.3">
      <c r="A38" s="36"/>
      <c r="B38" s="92"/>
      <c r="C38" s="61"/>
      <c r="D38" s="61"/>
      <c r="E38" s="93"/>
      <c r="F38" s="61"/>
      <c r="G38" s="61"/>
      <c r="H38" s="61"/>
      <c r="I38" s="61"/>
      <c r="J38" s="61"/>
      <c r="K38" s="61"/>
      <c r="L38" s="61"/>
      <c r="M38" s="61"/>
      <c r="N38" s="61"/>
      <c r="O38" s="60"/>
      <c r="P38" s="61"/>
      <c r="Q38" s="61"/>
      <c r="R38" s="61"/>
      <c r="S38" s="61"/>
      <c r="T38" s="61"/>
      <c r="U38" s="61"/>
      <c r="V38" s="61"/>
      <c r="W38" s="62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</row>
    <row r="39" spans="1:41" ht="16.5" customHeight="1" x14ac:dyDescent="0.3">
      <c r="A39" s="36"/>
      <c r="B39" s="92"/>
      <c r="C39" s="61"/>
      <c r="D39" s="61"/>
      <c r="E39" s="93"/>
      <c r="F39" s="61"/>
      <c r="G39" s="61"/>
      <c r="H39" s="61"/>
      <c r="I39" s="61"/>
      <c r="J39" s="61"/>
      <c r="K39" s="61"/>
      <c r="L39" s="61"/>
      <c r="M39" s="61"/>
      <c r="N39" s="61"/>
      <c r="O39" s="60"/>
      <c r="P39" s="61"/>
      <c r="Q39" s="61"/>
      <c r="R39" s="61"/>
      <c r="S39" s="61"/>
      <c r="T39" s="61"/>
      <c r="U39" s="61"/>
      <c r="V39" s="61"/>
      <c r="W39" s="62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</row>
    <row r="40" spans="1:41" ht="16.5" customHeight="1" x14ac:dyDescent="0.3">
      <c r="A40" s="36"/>
      <c r="B40" s="92"/>
      <c r="C40" s="61"/>
      <c r="D40" s="61"/>
      <c r="E40" s="93"/>
      <c r="F40" s="61"/>
      <c r="G40" s="61"/>
      <c r="H40" s="61"/>
      <c r="I40" s="61"/>
      <c r="J40" s="61"/>
      <c r="K40" s="61"/>
      <c r="L40" s="61"/>
      <c r="M40" s="61"/>
      <c r="N40" s="61"/>
      <c r="O40" s="60"/>
      <c r="P40" s="61"/>
      <c r="Q40" s="61"/>
      <c r="R40" s="61"/>
      <c r="S40" s="61"/>
      <c r="T40" s="61"/>
      <c r="U40" s="61"/>
      <c r="V40" s="61"/>
      <c r="W40" s="62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</row>
    <row r="41" spans="1:41" ht="16.5" customHeight="1" thickBot="1" x14ac:dyDescent="0.35">
      <c r="A41" s="36"/>
      <c r="B41" s="109"/>
      <c r="C41" s="103"/>
      <c r="D41" s="103"/>
      <c r="E41" s="104"/>
      <c r="F41" s="61"/>
      <c r="G41" s="61"/>
      <c r="H41" s="61"/>
      <c r="I41" s="61"/>
      <c r="J41" s="61"/>
      <c r="K41" s="61"/>
      <c r="L41" s="61"/>
      <c r="M41" s="61"/>
      <c r="N41" s="61"/>
      <c r="O41" s="60"/>
      <c r="P41" s="61"/>
      <c r="Q41" s="61"/>
      <c r="R41" s="61"/>
      <c r="S41" s="61"/>
      <c r="T41" s="61"/>
      <c r="U41" s="61"/>
      <c r="V41" s="61"/>
      <c r="W41" s="62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</row>
    <row r="42" spans="1:41" ht="16.5" customHeight="1" x14ac:dyDescent="0.3">
      <c r="A42" s="36"/>
      <c r="B42" s="88"/>
      <c r="C42" s="89"/>
      <c r="D42" s="89"/>
      <c r="E42" s="90"/>
      <c r="F42" s="61"/>
      <c r="G42" s="61"/>
      <c r="H42" s="61"/>
      <c r="I42" s="61"/>
      <c r="J42" s="61"/>
      <c r="K42" s="61"/>
      <c r="L42" s="61"/>
      <c r="M42" s="61"/>
      <c r="N42" s="61"/>
      <c r="O42" s="60"/>
      <c r="P42" s="61"/>
      <c r="Q42" s="61"/>
      <c r="R42" s="61"/>
      <c r="S42" s="61"/>
      <c r="T42" s="61"/>
      <c r="U42" s="61"/>
      <c r="V42" s="61"/>
      <c r="W42" s="62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</row>
    <row r="43" spans="1:41" ht="16.5" customHeight="1" x14ac:dyDescent="0.3">
      <c r="A43" s="36"/>
      <c r="B43" s="92"/>
      <c r="C43" s="61"/>
      <c r="D43" s="61"/>
      <c r="E43" s="93"/>
      <c r="F43" s="61"/>
      <c r="G43" s="61"/>
      <c r="H43" s="61"/>
      <c r="I43" s="61"/>
      <c r="J43" s="61"/>
      <c r="K43" s="61"/>
      <c r="L43" s="61"/>
      <c r="M43" s="61"/>
      <c r="N43" s="61"/>
      <c r="O43" s="60"/>
      <c r="P43" s="61"/>
      <c r="Q43" s="61"/>
      <c r="R43" s="61"/>
      <c r="S43" s="61"/>
      <c r="T43" s="61"/>
      <c r="U43" s="61"/>
      <c r="V43" s="61"/>
      <c r="W43" s="62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</row>
    <row r="44" spans="1:41" ht="16.5" customHeight="1" x14ac:dyDescent="0.3">
      <c r="A44" s="36"/>
      <c r="B44" s="92"/>
      <c r="C44" s="61"/>
      <c r="D44" s="61"/>
      <c r="E44" s="93"/>
      <c r="F44" s="61"/>
      <c r="G44" s="61"/>
      <c r="H44" s="61"/>
      <c r="I44" s="61"/>
      <c r="J44" s="61"/>
      <c r="K44" s="61"/>
      <c r="L44" s="61"/>
      <c r="M44" s="61"/>
      <c r="N44" s="61"/>
      <c r="O44" s="60"/>
      <c r="P44" s="61"/>
      <c r="Q44" s="61"/>
      <c r="R44" s="61"/>
      <c r="S44" s="61"/>
      <c r="T44" s="61"/>
      <c r="U44" s="61"/>
      <c r="V44" s="61"/>
      <c r="W44" s="62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</row>
    <row r="45" spans="1:41" ht="16.5" customHeight="1" x14ac:dyDescent="0.3">
      <c r="A45" s="36"/>
      <c r="B45" s="92"/>
      <c r="C45" s="61"/>
      <c r="D45" s="61"/>
      <c r="E45" s="93"/>
      <c r="F45" s="61"/>
      <c r="G45" s="61"/>
      <c r="H45" s="61"/>
      <c r="I45" s="61"/>
      <c r="J45" s="61"/>
      <c r="K45" s="61"/>
      <c r="L45" s="61"/>
      <c r="M45" s="61"/>
      <c r="N45" s="61"/>
      <c r="O45" s="60"/>
      <c r="P45" s="61"/>
      <c r="Q45" s="61"/>
      <c r="R45" s="61"/>
      <c r="S45" s="61"/>
      <c r="T45" s="61"/>
      <c r="U45" s="61"/>
      <c r="V45" s="61"/>
      <c r="W45" s="62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</row>
    <row r="46" spans="1:41" ht="16.5" customHeight="1" x14ac:dyDescent="0.3">
      <c r="A46" s="36"/>
      <c r="B46" s="110"/>
      <c r="C46" s="111"/>
      <c r="D46" s="111"/>
      <c r="E46" s="112"/>
      <c r="F46" s="113"/>
      <c r="G46" s="111"/>
      <c r="H46" s="111"/>
      <c r="I46" s="111"/>
      <c r="J46" s="111"/>
      <c r="K46" s="111"/>
      <c r="L46" s="111"/>
      <c r="M46" s="111"/>
      <c r="N46" s="111"/>
      <c r="O46" s="113"/>
      <c r="P46" s="111"/>
      <c r="Q46" s="111"/>
      <c r="R46" s="111"/>
      <c r="S46" s="111"/>
      <c r="T46" s="111"/>
      <c r="U46" s="111"/>
      <c r="V46" s="111"/>
      <c r="W46" s="114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</row>
    <row r="47" spans="1:41" ht="0.95" customHeight="1" x14ac:dyDescent="0.3">
      <c r="A47" s="36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</row>
    <row r="48" spans="1:41" ht="16.5" x14ac:dyDescent="0.3">
      <c r="A48" s="36"/>
      <c r="B48" s="116">
        <f ca="1">NOW()</f>
        <v>43123.388191666665</v>
      </c>
      <c r="C48" s="117" t="s">
        <v>131</v>
      </c>
      <c r="D48" s="117"/>
      <c r="E48" s="117"/>
      <c r="F48" s="117"/>
      <c r="G48" s="117"/>
      <c r="H48" s="117"/>
      <c r="I48" s="117"/>
      <c r="J48" s="117"/>
      <c r="K48" s="117"/>
      <c r="L48" s="118"/>
      <c r="M48" s="115"/>
      <c r="N48" s="115"/>
      <c r="O48" s="36"/>
      <c r="P48" s="36"/>
      <c r="Q48" s="36"/>
      <c r="R48" s="36"/>
      <c r="S48" s="115"/>
      <c r="T48" s="115"/>
      <c r="U48" s="115"/>
      <c r="V48" s="115"/>
      <c r="W48" s="115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</row>
    <row r="49" spans="1:41" ht="16.5" x14ac:dyDescent="0.3">
      <c r="A49" s="36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36"/>
      <c r="P49" s="119"/>
      <c r="Q49" s="120"/>
      <c r="R49" s="121"/>
      <c r="S49" s="122"/>
      <c r="T49" s="122"/>
      <c r="U49" s="122"/>
      <c r="V49" s="115"/>
      <c r="W49" s="115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</row>
    <row r="50" spans="1:41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119"/>
      <c r="Q50" s="120"/>
      <c r="R50" s="123" t="str">
        <f>"Today's Net Change from "&amp;TEXT(DATE(W31,S31,U31),"MM/DD/YYYY")</f>
        <v>Today's Net Change from 08/01/2017</v>
      </c>
      <c r="S50" s="120"/>
      <c r="T50" s="120"/>
      <c r="U50" s="120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</row>
    <row r="51" spans="1:41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119"/>
      <c r="Q51" s="120"/>
      <c r="R51" s="120"/>
      <c r="S51" s="120"/>
      <c r="T51" s="120"/>
      <c r="U51" s="120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</row>
    <row r="52" spans="1:41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119"/>
      <c r="Q52" s="120"/>
      <c r="R52" s="120"/>
      <c r="S52" s="120"/>
      <c r="T52" s="120"/>
      <c r="U52" s="120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</row>
    <row r="53" spans="1:41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119"/>
      <c r="Q53" s="119"/>
      <c r="R53" s="119"/>
      <c r="S53" s="119"/>
      <c r="T53" s="119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</row>
    <row r="54" spans="1:4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119"/>
      <c r="Q54" s="119"/>
      <c r="R54" s="119"/>
      <c r="S54" s="119"/>
      <c r="T54" s="119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</row>
    <row r="55" spans="1:41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</row>
    <row r="56" spans="1:41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</row>
    <row r="57" spans="1:4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</row>
    <row r="58" spans="1:41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</row>
    <row r="59" spans="1:41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</row>
    <row r="60" spans="1:41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</row>
    <row r="61" spans="1:41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</row>
    <row r="62" spans="1:41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</row>
    <row r="63" spans="1:41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</row>
  </sheetData>
  <sheetProtection algorithmName="SHA-512" hashValue="hbO/PgwdXQxDM6WDS0/QT/0aaCPGk84CsOTO60/jINoGewRZ238OENDnnKkgYFCiWx0xBaFZroDUxKU6AqTl9A==" saltValue="6owUDaT0n9okFm37Drk8bA==" spinCount="100000" sheet="1" objects="1" scenarios="1" selectLockedCells="1"/>
  <mergeCells count="12">
    <mergeCell ref="F31:N31"/>
    <mergeCell ref="T2:W2"/>
    <mergeCell ref="C2:S2"/>
    <mergeCell ref="O3:U3"/>
    <mergeCell ref="V3:W5"/>
    <mergeCell ref="O25:U25"/>
    <mergeCell ref="V25:W27"/>
    <mergeCell ref="D3:E3"/>
    <mergeCell ref="G13:L13"/>
    <mergeCell ref="D13:E13"/>
    <mergeCell ref="O31:P31"/>
    <mergeCell ref="Q31:R31"/>
  </mergeCells>
  <conditionalFormatting sqref="D4:D12">
    <cfRule type="dataBar" priority="5">
      <dataBar showValue="0">
        <cfvo type="min"/>
        <cfvo type="max"/>
        <color rgb="FF0070C0"/>
      </dataBar>
      <extLst>
        <ext xmlns:x14="http://schemas.microsoft.com/office/spreadsheetml/2009/9/main" uri="{B025F937-C7B1-47D3-B67F-A62EFF666E3E}">
          <x14:id>{CE3577AD-E69D-4444-AAED-EB7E70DAA746}</x14:id>
        </ext>
      </extLst>
    </cfRule>
  </conditionalFormatting>
  <conditionalFormatting sqref="E4:E12">
    <cfRule type="colorScale" priority="2">
      <colorScale>
        <cfvo type="min"/>
        <cfvo type="num" val="0"/>
        <cfvo type="max"/>
        <color rgb="FFFF0000"/>
        <color theme="0"/>
        <color rgb="FF00B050"/>
      </colorScale>
    </cfRule>
  </conditionalFormatting>
  <conditionalFormatting sqref="E14:E18">
    <cfRule type="dataBar" priority="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{5C07240F-CE30-4A2C-B3DE-98DD57B69B75}</x14:id>
        </ext>
      </extLst>
    </cfRule>
  </conditionalFormatting>
  <dataValidations count="1">
    <dataValidation type="list" allowBlank="1" showInputMessage="1" showErrorMessage="1" sqref="N32 G32">
      <formula1>Eurozone</formula1>
    </dataValidation>
  </dataValidations>
  <pageMargins left="0.7" right="0.7" top="0.75" bottom="0.75" header="0.3" footer="0.3"/>
  <pageSetup orientation="portrait" r:id="rId1"/>
  <drawing r:id="rId2"/>
  <picture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E3577AD-E69D-4444-AAED-EB7E70DAA746}">
            <x14:dataBar axisPosition="middle">
              <x14:cfvo type="min"/>
              <x14:cfvo type="max"/>
              <x14:negativeFillColor rgb="FFFF0000"/>
              <x14:axisColor rgb="FF000000"/>
            </x14:dataBar>
          </x14:cfRule>
          <xm:sqref>D4:D12</xm:sqref>
        </x14:conditionalFormatting>
        <x14:conditionalFormatting xmlns:xm="http://schemas.microsoft.com/office/excel/2006/main">
          <x14:cfRule type="dataBar" id="{5C07240F-CE30-4A2C-B3DE-98DD57B69B7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E14:E18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C2:G15"/>
  <sheetViews>
    <sheetView workbookViewId="0">
      <selection sqref="A1:XFD1048576"/>
    </sheetView>
  </sheetViews>
  <sheetFormatPr defaultRowHeight="15" x14ac:dyDescent="0.25"/>
  <cols>
    <col min="1" max="16384" width="9.140625" style="1"/>
  </cols>
  <sheetData>
    <row r="2" spans="3:7" x14ac:dyDescent="0.25">
      <c r="C2" s="32" t="str">
        <f>RTD("cqg.rtd", ,"ContractData",Main!U5, "LongDescription")</f>
        <v>Euro FX (Globex), Mar 18</v>
      </c>
      <c r="G2" s="33">
        <f>RTD("cqg.rtd", ,"ContractData",Main!U5, "PerCentNetLastQuote")/100</f>
        <v>1.7073864791251677E-3</v>
      </c>
    </row>
    <row r="3" spans="3:7" x14ac:dyDescent="0.25">
      <c r="C3" s="32" t="str">
        <f>RTD("cqg.rtd", ,"ContractData",Main!T5, "LongDescription")</f>
        <v>Gold (Globex), Feb 18</v>
      </c>
      <c r="G3" s="33">
        <f>RTD("cqg.rtd", ,"ContractData",Main!T5, "PerCentNetLastQuote")/100</f>
        <v>3.3786320294316389E-3</v>
      </c>
    </row>
    <row r="4" spans="3:7" x14ac:dyDescent="0.25">
      <c r="C4" s="32" t="str">
        <f>RTD("cqg.rtd", ,"ContractData",Main!S5, "LongDescription")</f>
        <v>Nikkei 225 (Osaka), Mar 18</v>
      </c>
      <c r="G4" s="33">
        <f>RTD("cqg.rtd", ,"ContractData",Main!S5, "PerCentNetLastQuote")/100</f>
        <v>-2.9021558872305143E-3</v>
      </c>
    </row>
    <row r="5" spans="3:7" x14ac:dyDescent="0.25">
      <c r="C5" s="32" t="str">
        <f>RTD("cqg.rtd", ,"ContractData",Main!R5, "LongDescription")</f>
        <v>S&amp;P Banks Index</v>
      </c>
      <c r="G5" s="33">
        <f>RTD("cqg.rtd", ,"ContractData",Main!R5, "PerCentNetLastQuote")/100</f>
        <v>1.1464759513020691E-3</v>
      </c>
    </row>
    <row r="6" spans="3:7" x14ac:dyDescent="0.25">
      <c r="C6" s="32" t="str">
        <f>RTD("cqg.rtd", ,"ContractData",Main!Q5, "LongDescription")</f>
        <v>Ibovespa Index, Feb 18</v>
      </c>
      <c r="G6" s="33">
        <f>RTD("cqg.rtd", ,"ContractData",Main!Q5, "PerCentNetLastQuote")/100</f>
        <v>-7.4229623480001946E-3</v>
      </c>
    </row>
    <row r="7" spans="3:7" x14ac:dyDescent="0.25">
      <c r="C7" s="32" t="str">
        <f>RTD("cqg.rtd", ,"ContractData",Main!P5, "LongDescription")</f>
        <v>Guggenheim S&amp;P 500 Eq Wt Technology ETF</v>
      </c>
      <c r="G7" s="33">
        <f>RTD("cqg.rtd", ,"ContractData",Main!P5, "PerCentNetLastQuote")/100</f>
        <v>5.0325827472740177E-3</v>
      </c>
    </row>
    <row r="8" spans="3:7" x14ac:dyDescent="0.25">
      <c r="C8" s="32" t="str">
        <f>RTD("cqg.rtd", ,"ContractData",Main!O5, "LongDescription")</f>
        <v>SPDR S&amp;P Biotech ETF</v>
      </c>
      <c r="G8" s="33">
        <f>RTD("cqg.rtd", ,"ContractData",Main!O5, "PerCentNetLastQuote")/100</f>
        <v>1.0331238683565875E-2</v>
      </c>
    </row>
    <row r="9" spans="3:7" x14ac:dyDescent="0.25">
      <c r="C9" s="32" t="str">
        <f>RTD("cqg.rtd", ,"ContractData",Main!U4, "LongDescription")</f>
        <v>CAC40, Feb 18</v>
      </c>
      <c r="G9" s="33">
        <f>RTD("cqg.rtd", ,"ContractData",Main!U4, "PerCentNetLastQuote")/100</f>
        <v>-4.4136191677175288E-3</v>
      </c>
    </row>
    <row r="10" spans="3:7" x14ac:dyDescent="0.25">
      <c r="C10" s="32" t="str">
        <f>RTD("cqg.rtd", ,"ContractData",Main!T4, "LongDescription")</f>
        <v>Euro STOXX 50, Mar 18</v>
      </c>
      <c r="G10" s="33">
        <f>RTD("cqg.rtd", ,"ContractData",Main!T4, "PerCentNetLastQuote")/100</f>
        <v>1.0946907498631637E-3</v>
      </c>
    </row>
    <row r="11" spans="3:7" x14ac:dyDescent="0.25">
      <c r="C11" s="32" t="str">
        <f>RTD("cqg.rtd", ,"ContractData",Main!S4, "LongDescription")</f>
        <v>DAX Index, Mar 18</v>
      </c>
      <c r="G11" s="33">
        <f>RTD("cqg.rtd", ,"ContractData",Main!S4, "PerCentNetLastQuote")/100</f>
        <v>7.3625106905142604E-3</v>
      </c>
    </row>
    <row r="12" spans="3:7" x14ac:dyDescent="0.25">
      <c r="C12" s="32" t="str">
        <f>RTD("cqg.rtd", ,"ContractData",Main!R4, "LongDescription")</f>
        <v>DJ Industrial Average</v>
      </c>
      <c r="G12" s="33">
        <f>RTD("cqg.rtd", ,"ContractData",Main!R4, "PerCentNetLastQuote")/100</f>
        <v>2.937294484752771E-4</v>
      </c>
    </row>
    <row r="13" spans="3:7" x14ac:dyDescent="0.25">
      <c r="C13" s="32" t="str">
        <f>RTD("cqg.rtd", ,"ContractData",Main!Q4, "LongDescription")</f>
        <v>Russell 2000 Index Mini, Mar 18</v>
      </c>
      <c r="G13" s="33">
        <f>RTD("cqg.rtd", ,"ContractData",Main!Q4, "PerCentNetLastQuote")/100</f>
        <v>-3.1113876789047915E-4</v>
      </c>
    </row>
    <row r="14" spans="3:7" x14ac:dyDescent="0.25">
      <c r="C14" s="32" t="str">
        <f>RTD("cqg.rtd", ,"ContractData",Main!P4, "LongDescription")</f>
        <v>E-mini NASDAQ-100, Mar 18</v>
      </c>
      <c r="G14" s="33">
        <f>RTD("cqg.rtd", ,"ContractData",Main!P4, "PerCentNetLastQuote")/100</f>
        <v>5.590823834944453E-3</v>
      </c>
    </row>
    <row r="15" spans="3:7" x14ac:dyDescent="0.25">
      <c r="C15" s="32" t="str">
        <f>RTD("cqg.rtd", ,"ContractData",Main!O4, "LongDescription")</f>
        <v>E-Mini S&amp;P 500, Mar 18</v>
      </c>
      <c r="G15" s="33">
        <f>RTD("cqg.rtd", ,"ContractData",Main!O4, "PerCentNetLastQuote")/100</f>
        <v>2.292566793051759E-3</v>
      </c>
    </row>
  </sheetData>
  <sheetProtection algorithmName="SHA-512" hashValue="z4tl54YJmA23yauBi87ZXrxUhcDeT5QWMaKEkxZKXXiOL7sSe0tTWSGHSRDHUlsRDu9KARKeqHGsdAwqPM54Og==" saltValue="KpaOWXNCYoZei2pBaOKx+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N53"/>
  <sheetViews>
    <sheetView workbookViewId="0">
      <selection sqref="A1:XFD1048576"/>
    </sheetView>
  </sheetViews>
  <sheetFormatPr defaultRowHeight="15" x14ac:dyDescent="0.25"/>
  <cols>
    <col min="1" max="2" width="9.140625" style="1"/>
    <col min="3" max="3" width="14.140625" style="1" customWidth="1"/>
    <col min="4" max="16384" width="9.140625" style="1"/>
  </cols>
  <sheetData>
    <row r="1" spans="2:13" x14ac:dyDescent="0.25">
      <c r="B1" s="25" t="s">
        <v>46</v>
      </c>
      <c r="C1" s="26" t="str">
        <f>Main!G32</f>
        <v>Netherlands</v>
      </c>
      <c r="D1" s="27"/>
      <c r="E1" s="25" t="s">
        <v>46</v>
      </c>
      <c r="F1" s="25" t="str">
        <f>Main!N32</f>
        <v>Portugal</v>
      </c>
    </row>
    <row r="2" spans="2:13" x14ac:dyDescent="0.25">
      <c r="C2" s="28"/>
      <c r="D2" s="28"/>
    </row>
    <row r="3" spans="2:13" x14ac:dyDescent="0.25">
      <c r="C3" s="28"/>
      <c r="D3" s="28"/>
    </row>
    <row r="4" spans="2:13" x14ac:dyDescent="0.25">
      <c r="C4" s="1" t="s">
        <v>48</v>
      </c>
      <c r="D4" s="28">
        <f>RTD("cqg.rtd",,"IATY02!LastPrice,T")</f>
        <v>-0.51300000000000001</v>
      </c>
      <c r="E4" s="28">
        <f>RTD("cqg.rtd",,"IATY02!NetChange,T")</f>
        <v>-1.6E-2</v>
      </c>
      <c r="F4" s="29"/>
      <c r="H4" s="30" t="s">
        <v>38</v>
      </c>
      <c r="K4" s="30" t="str">
        <f>Main!G32</f>
        <v>Netherlands</v>
      </c>
    </row>
    <row r="5" spans="2:13" x14ac:dyDescent="0.25">
      <c r="C5" s="1" t="s">
        <v>49</v>
      </c>
      <c r="D5" s="28">
        <f>RTD("cqg.rtd",,"IATY05!LastPrice,T")</f>
        <v>-2.7E-2</v>
      </c>
      <c r="E5" s="28">
        <f>RTD("cqg.rtd",,"IATY05!NetChange,T")</f>
        <v>2E-3</v>
      </c>
      <c r="H5" s="30" t="s">
        <v>28</v>
      </c>
      <c r="K5" s="30"/>
    </row>
    <row r="6" spans="2:13" x14ac:dyDescent="0.25">
      <c r="C6" s="1" t="s">
        <v>50</v>
      </c>
      <c r="D6" s="28">
        <f>RTD("cqg.rtd",,"IATY10!LastPrice,T")</f>
        <v>0.66500000000000004</v>
      </c>
      <c r="E6" s="28">
        <f>RTD("cqg.rtd",,"IATY10!NetChange,T")</f>
        <v>0</v>
      </c>
      <c r="H6" s="30" t="s">
        <v>29</v>
      </c>
      <c r="K6" s="30"/>
    </row>
    <row r="7" spans="2:13" x14ac:dyDescent="0.25">
      <c r="C7" s="1" t="s">
        <v>51</v>
      </c>
      <c r="D7" s="28">
        <f>RTD("cqg.rtd",,"IATY30!LastPrice,T")</f>
        <v>1.5270000000000001</v>
      </c>
      <c r="E7" s="28">
        <f>RTD("cqg.rtd",,"IATY30!NetChange,T")</f>
        <v>-9.0000000000000011E-3</v>
      </c>
      <c r="H7" s="30" t="s">
        <v>30</v>
      </c>
      <c r="K7" s="30"/>
    </row>
    <row r="8" spans="2:13" x14ac:dyDescent="0.25">
      <c r="C8" s="1" t="s">
        <v>52</v>
      </c>
      <c r="D8" s="28">
        <f>RTD("cqg.rtd",,"IBEY02!LastPrice,T")</f>
        <v>-0.47600000000000003</v>
      </c>
      <c r="E8" s="28">
        <f>RTD("cqg.rtd",,"'IBEY02'!NetChange,T")</f>
        <v>-7.0000000000000001E-3</v>
      </c>
      <c r="H8" s="30" t="s">
        <v>31</v>
      </c>
      <c r="K8" s="30"/>
      <c r="M8" s="1" t="s">
        <v>47</v>
      </c>
    </row>
    <row r="9" spans="2:13" x14ac:dyDescent="0.25">
      <c r="C9" s="1" t="s">
        <v>53</v>
      </c>
      <c r="D9" s="28">
        <f>RTD("cqg.rtd",,"IBEY05!LastPrice,T")</f>
        <v>-6.2E-2</v>
      </c>
      <c r="E9" s="28">
        <f>RTD("cqg.rtd",,"IBEY05!NetChange,T")</f>
        <v>7.0000000000000001E-3</v>
      </c>
      <c r="H9" s="30" t="s">
        <v>32</v>
      </c>
      <c r="K9" s="30"/>
    </row>
    <row r="10" spans="2:13" x14ac:dyDescent="0.25">
      <c r="C10" s="1" t="s">
        <v>54</v>
      </c>
      <c r="D10" s="28">
        <f>RTD("cqg.rtd",,"IBEY10!LastPrice,T")</f>
        <v>0.71299999999999997</v>
      </c>
      <c r="E10" s="28">
        <f>RTD("cqg.rtd",,"IBEY10!NetChange,T")</f>
        <v>-4.0000000000000001E-3</v>
      </c>
      <c r="H10" s="30" t="s">
        <v>33</v>
      </c>
      <c r="K10" s="30"/>
    </row>
    <row r="11" spans="2:13" x14ac:dyDescent="0.25">
      <c r="C11" s="1" t="s">
        <v>55</v>
      </c>
      <c r="D11" s="28">
        <f>RTD("cqg.rtd",,"IBEY30!LastPrice,T")</f>
        <v>1.708</v>
      </c>
      <c r="E11" s="28">
        <f>RTD("cqg.rtd",,"IBEY30!NetChange,T")</f>
        <v>-1.0999999999999999E-2</v>
      </c>
      <c r="H11" s="30" t="s">
        <v>34</v>
      </c>
      <c r="K11" s="30"/>
    </row>
    <row r="12" spans="2:13" x14ac:dyDescent="0.25">
      <c r="C12" s="1" t="s">
        <v>56</v>
      </c>
      <c r="D12" s="28">
        <f>RTD("cqg.rtd",,"IFIY02!LastPrice,T")</f>
        <v>-0.47700000000000004</v>
      </c>
      <c r="E12" s="28">
        <f>RTD("cqg.rtd",,"IFIY02!NetChange,T")</f>
        <v>5.0000000000000001E-3</v>
      </c>
      <c r="H12" s="30" t="s">
        <v>35</v>
      </c>
      <c r="K12" s="30"/>
    </row>
    <row r="13" spans="2:13" x14ac:dyDescent="0.25">
      <c r="C13" s="1" t="s">
        <v>57</v>
      </c>
      <c r="D13" s="28">
        <f>RTD("cqg.rtd",,"IFIY05!LastPrice,T")</f>
        <v>-6.3E-2</v>
      </c>
      <c r="E13" s="28">
        <f>RTD("cqg.rtd",,"IFIY05!NetChange,T")</f>
        <v>-3.0000000000000001E-3</v>
      </c>
      <c r="H13" s="30" t="s">
        <v>36</v>
      </c>
      <c r="K13" s="30"/>
    </row>
    <row r="14" spans="2:13" x14ac:dyDescent="0.25">
      <c r="C14" s="1" t="s">
        <v>58</v>
      </c>
      <c r="D14" s="28">
        <f>RTD("cqg.rtd",,"IFIY10!LastPrice,T")</f>
        <v>0.67200000000000004</v>
      </c>
      <c r="E14" s="28">
        <f>RTD("cqg.rtd",,"IFIY10!NetChange,T")</f>
        <v>-2E-3</v>
      </c>
      <c r="H14" s="30" t="s">
        <v>37</v>
      </c>
      <c r="K14" s="30"/>
    </row>
    <row r="15" spans="2:13" x14ac:dyDescent="0.25">
      <c r="C15" s="1" t="s">
        <v>60</v>
      </c>
      <c r="D15" s="28">
        <f>RTD("cqg.rtd",,"IFRY02!LastPrice,T")</f>
        <v>-0.375</v>
      </c>
      <c r="E15" s="28">
        <f>RTD("cqg.rtd",,"IFRY02!NetChange,T")</f>
        <v>9.0000000000000011E-3</v>
      </c>
      <c r="H15" s="30" t="s">
        <v>39</v>
      </c>
      <c r="K15" s="30"/>
    </row>
    <row r="16" spans="2:13" x14ac:dyDescent="0.25">
      <c r="C16" s="1" t="s">
        <v>61</v>
      </c>
      <c r="D16" s="28">
        <f>RTD("cqg.rtd",,"IFRY05!LastPrice,T")</f>
        <v>4.2000000000000003E-2</v>
      </c>
      <c r="E16" s="28">
        <f>RTD("cqg.rtd",,"IFRY05!NetChange,T")</f>
        <v>-5.0000000000000001E-3</v>
      </c>
      <c r="H16" s="30"/>
      <c r="K16" s="30"/>
    </row>
    <row r="17" spans="3:11" x14ac:dyDescent="0.25">
      <c r="C17" s="1" t="s">
        <v>62</v>
      </c>
      <c r="D17" s="28">
        <f>RTD("cqg.rtd",,"IFRY10!LastPrice,T")</f>
        <v>0.84699999999999998</v>
      </c>
      <c r="E17" s="28">
        <f>RTD("cqg.rtd",,"IFRY10!NetChange,T")</f>
        <v>-1.3000000000000001E-2</v>
      </c>
      <c r="G17" s="31" t="s">
        <v>40</v>
      </c>
      <c r="H17" s="1" t="s">
        <v>41</v>
      </c>
      <c r="I17" s="31" t="s">
        <v>40</v>
      </c>
    </row>
    <row r="18" spans="3:11" x14ac:dyDescent="0.25">
      <c r="C18" s="1" t="s">
        <v>59</v>
      </c>
      <c r="D18" s="28">
        <f>RTD("cqg.rtd",,"IFRY30!LastPrice,T")</f>
        <v>1.7630000000000001</v>
      </c>
      <c r="E18" s="28">
        <f>RTD("cqg.rtd",,"IFRY30!NetChange,T")</f>
        <v>-1.2E-2</v>
      </c>
      <c r="G18" s="21">
        <f>IF(C1="Austria", D4,IF(C1="Belgium", D8, IF(C1="Finland", D12, IF(C1="France", D15, IF(C1="Germany", D19,IF(C1="Greece", D23, IF(C1="Ireland", D27,IF(C1="Italy", D30, IF(C1="Netherlands", D34, IF(C1="Portugal", D38, IF(C1="Spain", D42, IF(C1="UK", D46,IF(C1="USA", D50)))))))))))))</f>
        <v>-0.55500000000000005</v>
      </c>
      <c r="H18" s="30" t="s">
        <v>42</v>
      </c>
      <c r="I18" s="1">
        <f>IF(F1="Austria", D4,IF(F1="Belgium", D8, IF(F1="Finland", D12, IF(F1="France", D15, IF(F1="Germany", D19,IF(F1="Greece", D23, IF(F1="Ireland", D27,IF(F1="Italy", D30, IF(F1="Netherlands", D34, IF(F1="Portugal", D38, IF(F1="Spain", D42, IF(F1="UK", D46,IF(F1="USA", D50)))))))))))))</f>
        <v>-0.08</v>
      </c>
      <c r="J18" s="1" t="s">
        <v>42</v>
      </c>
      <c r="K18" s="21"/>
    </row>
    <row r="19" spans="3:11" x14ac:dyDescent="0.25">
      <c r="C19" s="1" t="s">
        <v>63</v>
      </c>
      <c r="D19" s="28">
        <f>RTD("cqg.rtd",,"IDEY02!LastPrice,T")</f>
        <v>-0.54300000000000004</v>
      </c>
      <c r="E19" s="28">
        <f>RTD("cqg.rtd",,"IDEY02!NetChange,T")</f>
        <v>-1E-3</v>
      </c>
      <c r="G19" s="21">
        <f>IF(C1="Austria", D5,IF(C1="Belgium", D9, IF(C1="Finland", D13, IF(C1="France", D16, IF(C1="Germany", D20,IF(C1="Greece", D24, IF(C1="Ireland", D28,IF(C1="Italy", D31, IF(C1="Netherlands", D35, IF(C1="Portugal", D39, IF(C1="Spain", D43, IF(C1="UK", D47,IF(C1="USA", D51)))))))))))))</f>
        <v>-0.121</v>
      </c>
      <c r="H19" s="30" t="s">
        <v>43</v>
      </c>
      <c r="I19" s="21">
        <f>IF(F1="Austria", D5,IF(F1="Belgium", D9, IF(F1="Finland", D13, IF(F1="France", D16, IF(F1="Germany", D20,IF(F1="Greece", D24, IF(F1="Ireland", D28,IF(F1="Italy", D31, IF(F1="Netherlands", D35, IF(F1="Portugal", D39, IF(F1="Spain", D43, IF(F1="UK", D47,IF(F1="USA", D51)))))))))))))</f>
        <v>1.175</v>
      </c>
      <c r="J19" s="1" t="s">
        <v>43</v>
      </c>
      <c r="K19" s="21"/>
    </row>
    <row r="20" spans="3:11" x14ac:dyDescent="0.25">
      <c r="C20" s="1" t="s">
        <v>64</v>
      </c>
      <c r="D20" s="28">
        <f>RTD("cqg.rtd",,"IDEY05!LastPrice,T")</f>
        <v>-0.13100000000000001</v>
      </c>
      <c r="E20" s="28">
        <f>RTD("cqg.rtd",,"IDEY05!NetChange,T")</f>
        <v>-1E-3</v>
      </c>
      <c r="G20" s="21">
        <f>IF(C1="Austria", D6,IF(C1="Belgium", D10, IF(C1="Finland", D14, IF(C1="France", D17, IF(C1="Germany", D21,IF(C1="Greece", D25, IF(C1="Ireland", D29,IF(C1="Italy", D32, IF(C1="Netherlands", D36, IF(C1="Portugal", D40, IF(C1="Spain", D44, IF(C1="UK", D48,IF(C1="USA", D52)))))))))))))</f>
        <v>0.61399999999999999</v>
      </c>
      <c r="H20" s="30" t="s">
        <v>44</v>
      </c>
      <c r="I20" s="21">
        <f>IF(F1="Austria", D6,IF(F1="Belgium", D10, IF(F1="Finland", D14, IF(F1="France", D17, IF(F1="Germany", D21,IF(F1="Greece", D25, IF(F1="Ireland", D29,IF(F1="Italy", D32, IF(F1="Netherlands", D36, IF(F1="Portugal", D40, IF(F1="Spain", D44, IF(F1="UK", D48,IF(F1="USA", D52)))))))))))))</f>
        <v>2.6539999999999999</v>
      </c>
      <c r="J20" s="1" t="s">
        <v>44</v>
      </c>
      <c r="K20" s="21"/>
    </row>
    <row r="21" spans="3:11" x14ac:dyDescent="0.25">
      <c r="C21" s="1" t="s">
        <v>65</v>
      </c>
      <c r="D21" s="28">
        <f>RTD("cqg.rtd",,"IDEY10!LastPrice,T")</f>
        <v>0.56100000000000005</v>
      </c>
      <c r="E21" s="28">
        <f>RTD("cqg.rtd",,"IDEY10!NetChange,T")</f>
        <v>-1.3000000000000001E-2</v>
      </c>
      <c r="G21" s="21">
        <f>IF(C1="Austria", D7,IF(C1="Belgium", D11, IF(C1="Finland",, IF(C1="France", D18, IF(C1="Germany", D22,IF(C1="Greece", D26, IF(C1="Ireland",NA,IF(C1="Italy", D33, IF(C1="Netherlands", D37, IF(C1="Portugal", D41, IF(C1="Spain", D45, IF(C1="UK", D49,IF(C1="USA", D53)))))))))))))</f>
        <v>1.2989999999999999</v>
      </c>
      <c r="H21" s="30" t="s">
        <v>45</v>
      </c>
      <c r="I21" s="21">
        <f>IF(F1="Austria", D7,IF(F1="Belgium", D11, IF(F1="Finland", D15, IF(F1="France", D18, IF(F1="Germany", D22,IF(F1="Greece", D26, IF(F1="Ireland", D30,IF(F1="Italy", D33, IF(F1="Netherlands", D37, IF(F1="Portugal", D41, IF(F1="Spain", D45, IF(F1="UK", D49,IF(F1="USA", D53)))))))))))))</f>
        <v>3.7010000000000001</v>
      </c>
      <c r="J21" s="1" t="s">
        <v>45</v>
      </c>
      <c r="K21" s="21"/>
    </row>
    <row r="22" spans="3:11" x14ac:dyDescent="0.25">
      <c r="C22" s="1" t="s">
        <v>66</v>
      </c>
      <c r="D22" s="28">
        <f>RTD("cqg.rtd",,"IDEY30!LastQuoteToday,T")</f>
        <v>1.3</v>
      </c>
      <c r="E22" s="28">
        <f>RTD("cqg.rtd",,"IDEY30!NetChange,T")</f>
        <v>-2.1000000000000001E-2</v>
      </c>
    </row>
    <row r="23" spans="3:11" x14ac:dyDescent="0.25">
      <c r="C23" s="1" t="s">
        <v>67</v>
      </c>
      <c r="D23" s="28" t="str">
        <f>RTD("cqg.rtd",,"IGRY02!LastPrice")</f>
        <v/>
      </c>
      <c r="E23" s="28" t="str">
        <f>RTD("cqg.rtd",,"IGRY02!NetChange")</f>
        <v/>
      </c>
    </row>
    <row r="24" spans="3:11" x14ac:dyDescent="0.25">
      <c r="C24" s="1" t="s">
        <v>68</v>
      </c>
      <c r="D24" s="28" t="str">
        <f>RTD("cqg.rtd",,"IGRY05!LastPrice")</f>
        <v/>
      </c>
      <c r="E24" s="28" t="str">
        <f>RTD("cqg.rtd",,"IGRY05!NetChange")</f>
        <v/>
      </c>
    </row>
    <row r="25" spans="3:11" x14ac:dyDescent="0.25">
      <c r="C25" s="1" t="s">
        <v>69</v>
      </c>
      <c r="D25" s="28" t="str">
        <f>RTD("cqg.rtd",,"IGRY10!LastPrice")</f>
        <v/>
      </c>
      <c r="E25" s="28" t="str">
        <f>RTD("cqg.rtd",,"IGRY10!NetChange")</f>
        <v/>
      </c>
    </row>
    <row r="26" spans="3:11" x14ac:dyDescent="0.25">
      <c r="C26" s="1" t="s">
        <v>70</v>
      </c>
      <c r="D26" s="28" t="str">
        <f>RTD("cqg.rtd",,"IGRY30!LastPrice")</f>
        <v/>
      </c>
      <c r="E26" s="28" t="str">
        <f>RTD("cqg.rtd",,"IGRY30!NetChange")</f>
        <v/>
      </c>
    </row>
    <row r="27" spans="3:11" x14ac:dyDescent="0.25">
      <c r="C27" s="1" t="s">
        <v>71</v>
      </c>
      <c r="D27" s="28">
        <f>RTD("cqg.rtd",,"IIEY02!LastPrice,T")</f>
        <v>-0.45600000000000002</v>
      </c>
      <c r="E27" s="28">
        <f>RTD("cqg.rtd",,"IIEY02!NetChange,T")</f>
        <v>9.0000000000000011E-3</v>
      </c>
    </row>
    <row r="28" spans="3:11" x14ac:dyDescent="0.25">
      <c r="C28" s="1" t="s">
        <v>72</v>
      </c>
      <c r="D28" s="28">
        <f>RTD("cqg.rtd",,"IIEY05!LastPrice,T")</f>
        <v>7.2000000000000008E-2</v>
      </c>
      <c r="E28" s="28">
        <f>RTD("cqg.rtd",,"IIEY05!NetChange,T")</f>
        <v>1.7000000000000001E-2</v>
      </c>
    </row>
    <row r="29" spans="3:11" x14ac:dyDescent="0.25">
      <c r="C29" s="1" t="s">
        <v>73</v>
      </c>
      <c r="D29" s="28">
        <f>RTD("cqg.rtd",,"IIEY10!LastPrice,T")</f>
        <v>0.98199999999999998</v>
      </c>
      <c r="E29" s="28">
        <f>RTD("cqg.rtd",,"IIEY10!NetChange,T")</f>
        <v>-3.0000000000000001E-3</v>
      </c>
    </row>
    <row r="30" spans="3:11" x14ac:dyDescent="0.25">
      <c r="C30" s="1" t="s">
        <v>74</v>
      </c>
      <c r="D30" s="28">
        <f>RTD("cqg.rtd",,"IITY02!LastPrice,T")</f>
        <v>-0.23100000000000001</v>
      </c>
      <c r="E30" s="28">
        <f>RTD("cqg.rtd",,"IITY02!NetChange,T")</f>
        <v>-1.0999999999999999E-2</v>
      </c>
    </row>
    <row r="31" spans="3:11" x14ac:dyDescent="0.25">
      <c r="C31" s="1" t="s">
        <v>75</v>
      </c>
      <c r="D31" s="28">
        <f>RTD("cqg.rtd",,"IITY05!LastPrice,T")</f>
        <v>0.60499999999999998</v>
      </c>
      <c r="E31" s="28">
        <f>RTD("cqg.rtd",,"IITY05!NetChange,T")</f>
        <v>-6.6000000000000003E-2</v>
      </c>
    </row>
    <row r="32" spans="3:11" x14ac:dyDescent="0.25">
      <c r="C32" s="1" t="s">
        <v>76</v>
      </c>
      <c r="D32" s="28">
        <f>RTD("cqg.rtd",,"IITY10!LastPrice,T")</f>
        <v>1.8880000000000001</v>
      </c>
      <c r="E32" s="28">
        <f>RTD("cqg.rtd",,"IITY10!NetChange,T")</f>
        <v>-7.2999999999999995E-2</v>
      </c>
    </row>
    <row r="33" spans="3:13" x14ac:dyDescent="0.25">
      <c r="C33" s="1" t="s">
        <v>77</v>
      </c>
      <c r="D33" s="28">
        <f>RTD("cqg.rtd",,"IITY30!LastPrice,T")</f>
        <v>3.0270000000000001</v>
      </c>
      <c r="E33" s="28">
        <f>RTD("cqg.rtd",,"IITY30!NetChange,T")</f>
        <v>-6.8000000000000005E-2</v>
      </c>
    </row>
    <row r="34" spans="3:13" x14ac:dyDescent="0.25">
      <c r="C34" s="1" t="s">
        <v>78</v>
      </c>
      <c r="D34" s="28">
        <f>RTD("cqg.rtd",,"INLY02!LastPrice,T")</f>
        <v>-0.55500000000000005</v>
      </c>
      <c r="E34" s="28">
        <f>RTD("cqg.rtd",,"INLY02!NetChange,T")</f>
        <v>-1.7000000000000001E-2</v>
      </c>
    </row>
    <row r="35" spans="3:13" x14ac:dyDescent="0.25">
      <c r="C35" s="1" t="s">
        <v>79</v>
      </c>
      <c r="D35" s="28">
        <f>RTD("cqg.rtd",,"INLY05!LastPrice,T")</f>
        <v>-0.121</v>
      </c>
      <c r="E35" s="28">
        <f>RTD("cqg.rtd",,"INLY05!NetChange,T")</f>
        <v>2E-3</v>
      </c>
    </row>
    <row r="36" spans="3:13" x14ac:dyDescent="0.25">
      <c r="C36" s="1" t="s">
        <v>80</v>
      </c>
      <c r="D36" s="28">
        <f>RTD("cqg.rtd",,"INLY10!LastPrice,T")</f>
        <v>0.61399999999999999</v>
      </c>
      <c r="E36" s="28">
        <f>RTD("cqg.rtd",,"INLY10!NetChange,T")</f>
        <v>-7.0000000000000001E-3</v>
      </c>
    </row>
    <row r="37" spans="3:13" x14ac:dyDescent="0.25">
      <c r="C37" s="1" t="s">
        <v>81</v>
      </c>
      <c r="D37" s="28">
        <f>RTD("cqg.rtd",,"INLY30!LastPrice,T")</f>
        <v>1.2989999999999999</v>
      </c>
      <c r="E37" s="28">
        <f>RTD("cqg.rtd",,"INLY30!NetChange,T")</f>
        <v>-1.6E-2</v>
      </c>
    </row>
    <row r="38" spans="3:13" x14ac:dyDescent="0.25">
      <c r="C38" s="1" t="s">
        <v>82</v>
      </c>
      <c r="D38" s="28">
        <f>RTD("cqg.rtd",,"IPTY02!LastPrice,T")</f>
        <v>-0.08</v>
      </c>
      <c r="E38" s="28">
        <f>RTD("cqg.rtd",,"IPTY02!NetChange,T")</f>
        <v>-1E-3</v>
      </c>
    </row>
    <row r="39" spans="3:13" x14ac:dyDescent="0.25">
      <c r="C39" s="1" t="s">
        <v>83</v>
      </c>
      <c r="D39" s="28">
        <f>RTD("cqg.rtd",,"IPTY05!LastPrice,T")</f>
        <v>1.175</v>
      </c>
      <c r="E39" s="28">
        <f>RTD("cqg.rtd",,"IPTY05!NetChange,T")</f>
        <v>-4.0000000000000001E-3</v>
      </c>
      <c r="H39" s="21"/>
      <c r="M39" s="28"/>
    </row>
    <row r="40" spans="3:13" x14ac:dyDescent="0.25">
      <c r="C40" s="1" t="s">
        <v>84</v>
      </c>
      <c r="D40" s="28">
        <f>RTD("cqg.rtd",,"IPTY10!LastPrice,T")</f>
        <v>2.6539999999999999</v>
      </c>
      <c r="E40" s="28">
        <f>RTD("cqg.rtd",,"IPTY10!NetChange,T")</f>
        <v>-8.0000000000000002E-3</v>
      </c>
    </row>
    <row r="41" spans="3:13" x14ac:dyDescent="0.25">
      <c r="C41" s="1" t="s">
        <v>85</v>
      </c>
      <c r="D41" s="28">
        <f>RTD("cqg.rtd",,"IPTY30!LastPrice,T")</f>
        <v>3.7010000000000001</v>
      </c>
      <c r="E41" s="28">
        <f>RTD("cqg.rtd",,"IPTY30!NetChange,T")</f>
        <v>-1.2E-2</v>
      </c>
    </row>
    <row r="42" spans="3:13" x14ac:dyDescent="0.25">
      <c r="C42" s="1" t="s">
        <v>86</v>
      </c>
      <c r="D42" s="28">
        <f>RTD("cqg.rtd",,"IESY02!LastPrice,T")</f>
        <v>-0.251</v>
      </c>
      <c r="E42" s="28">
        <f>RTD("cqg.rtd",,"IESY02!NetChange,T")</f>
        <v>-1.8000000000000002E-2</v>
      </c>
    </row>
    <row r="43" spans="3:13" x14ac:dyDescent="0.25">
      <c r="C43" s="1" t="s">
        <v>87</v>
      </c>
      <c r="D43" s="28">
        <f>RTD("cqg.rtd",,"IESY05!LastPrice,T")</f>
        <v>0.35000000000000003</v>
      </c>
      <c r="E43" s="28">
        <f>RTD("cqg.rtd",,"IESY05!NetChange,T")</f>
        <v>-2.1999999999999999E-2</v>
      </c>
    </row>
    <row r="44" spans="3:13" x14ac:dyDescent="0.25">
      <c r="C44" s="1" t="s">
        <v>88</v>
      </c>
      <c r="D44" s="28">
        <f>RTD("cqg.rtd",,"IESY10!LastPrice,T")</f>
        <v>1.363</v>
      </c>
      <c r="E44" s="28">
        <f>RTD("cqg.rtd",,"IESY10!NetChange,T")</f>
        <v>-8.3000000000000004E-2</v>
      </c>
    </row>
    <row r="45" spans="3:13" x14ac:dyDescent="0.25">
      <c r="C45" s="1" t="s">
        <v>89</v>
      </c>
      <c r="D45" s="28">
        <f>RTD("cqg.rtd",,"IESY30!LastPrice,T")</f>
        <v>2.5609999999999999</v>
      </c>
      <c r="E45" s="28">
        <f>RTD("cqg.rtd",,"IESY30!NetChange,T")</f>
        <v>-8.3000000000000004E-2</v>
      </c>
    </row>
    <row r="46" spans="3:13" x14ac:dyDescent="0.25">
      <c r="C46" s="1" t="s">
        <v>90</v>
      </c>
      <c r="D46" s="28">
        <f>RTD("cqg.rtd",,"IGBY02!LastPrice,T")</f>
        <v>0.57200000000000006</v>
      </c>
      <c r="E46" s="28">
        <f>RTD("cqg.rtd",,"IGBY02!NetChange,T")</f>
        <v>3.1E-2</v>
      </c>
    </row>
    <row r="47" spans="3:13" x14ac:dyDescent="0.25">
      <c r="C47" s="1" t="s">
        <v>91</v>
      </c>
      <c r="D47" s="28">
        <f>RTD("cqg.rtd",,"IGBY05!LastPrice,T")</f>
        <v>0.875</v>
      </c>
      <c r="E47" s="28">
        <f>RTD("cqg.rtd",,"IGBY05!NetChange,T")</f>
        <v>1.2E-2</v>
      </c>
    </row>
    <row r="48" spans="3:13" x14ac:dyDescent="0.25">
      <c r="C48" s="1" t="s">
        <v>92</v>
      </c>
      <c r="D48" s="28">
        <f>RTD("cqg.rtd",,"IGBY10!LastPrice,T")</f>
        <v>1.3560000000000001</v>
      </c>
      <c r="E48" s="28">
        <f>RTD("cqg.rtd",,"IGBY10!NetChange,T")</f>
        <v>-4.0000000000000001E-3</v>
      </c>
    </row>
    <row r="49" spans="3:14" x14ac:dyDescent="0.25">
      <c r="C49" s="1" t="s">
        <v>93</v>
      </c>
      <c r="D49" s="28">
        <f>RTD("cqg.rtd",,"IGBY30!LastPrice,T")</f>
        <v>1.855</v>
      </c>
      <c r="E49" s="28">
        <f>RTD("cqg.rtd",,"IGBY30!NetChange,T")</f>
        <v>-1.0999999999999999E-2</v>
      </c>
    </row>
    <row r="50" spans="3:14" x14ac:dyDescent="0.25">
      <c r="C50" s="1" t="s">
        <v>94</v>
      </c>
      <c r="D50" s="28">
        <f>RTD("cqg.rtd",,"BUS02Y!LastPrice,T")</f>
        <v>2.0529999999999999</v>
      </c>
      <c r="E50" s="28">
        <f>RTD("cqg.rtd",,"BUS02Y!NetChange,T")</f>
        <v>-8.0000000000000002E-3</v>
      </c>
    </row>
    <row r="51" spans="3:14" x14ac:dyDescent="0.25">
      <c r="C51" s="1" t="s">
        <v>95</v>
      </c>
      <c r="D51" s="28">
        <f>RTD("cqg.rtd",,"BUS05Y!LastPrice,T")</f>
        <v>2.4220000000000002</v>
      </c>
      <c r="E51" s="28">
        <f>RTD("cqg.rtd",,"BUS05Y!NetChange,T")</f>
        <v>-2.4E-2</v>
      </c>
    </row>
    <row r="52" spans="3:14" x14ac:dyDescent="0.25">
      <c r="C52" s="1" t="s">
        <v>96</v>
      </c>
      <c r="D52" s="28">
        <f>RTD("cqg.rtd",,"BUS10Y!LastPrice,T")</f>
        <v>2.62</v>
      </c>
      <c r="E52" s="28">
        <f>RTD("cqg.rtd",,"BUS10Y!NetChange,T")</f>
        <v>-2.8000000000000001E-2</v>
      </c>
      <c r="N52" s="12"/>
    </row>
    <row r="53" spans="3:14" x14ac:dyDescent="0.25">
      <c r="C53" s="1" t="s">
        <v>97</v>
      </c>
      <c r="D53" s="28">
        <f>RTD("cqg.rtd",,"BUS30Y!LastPrice,T")</f>
        <v>2.891</v>
      </c>
      <c r="E53" s="28">
        <f>RTD("cqg.rtd",,"BUS30Y!NetChange,T")</f>
        <v>-0.02</v>
      </c>
    </row>
  </sheetData>
  <sheetProtection algorithmName="SHA-512" hashValue="oax6aRf6BXhTnCGj+qEE5B/ygVeYc45FVBiM4DuQIuvfB53644tLhFVTeJGK9yhzSpLq9uA6PHdZTt3fYHOH2w==" saltValue="YeMSTT+TAD5Gk1Sok4PK4A==" spinCount="100000" sheet="1" objects="1" scenarios="1" selectLockedCells="1" selectUnlockedCells="1"/>
  <dataValidations count="1">
    <dataValidation type="custom" allowBlank="1" showInputMessage="1" showErrorMessage="1" sqref="H4:H16">
      <formula1>C1048565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50"/>
  <sheetViews>
    <sheetView workbookViewId="0">
      <selection sqref="A1:XFD1048576"/>
    </sheetView>
  </sheetViews>
  <sheetFormatPr defaultRowHeight="15" x14ac:dyDescent="0.25"/>
  <cols>
    <col min="1" max="1" width="18.7109375" style="1" customWidth="1"/>
    <col min="2" max="4" width="9.140625" style="1"/>
    <col min="5" max="5" width="23" style="1" customWidth="1"/>
    <col min="6" max="8" width="9.140625" style="1"/>
    <col min="9" max="9" width="22.42578125" style="1" customWidth="1"/>
    <col min="10" max="16384" width="9.140625" style="1"/>
  </cols>
  <sheetData>
    <row r="1" spans="1:2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0"/>
      <c r="M1" s="10"/>
      <c r="N1" s="10"/>
      <c r="O1" s="10"/>
    </row>
    <row r="2" spans="1:2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0"/>
      <c r="M2" s="10"/>
      <c r="N2" s="10"/>
      <c r="O2" s="10"/>
    </row>
    <row r="3" spans="1:21" x14ac:dyDescent="0.25">
      <c r="A3" s="14"/>
      <c r="B3" s="15"/>
      <c r="C3" s="14"/>
      <c r="D3" s="14"/>
      <c r="E3" s="14"/>
      <c r="F3" s="15"/>
      <c r="G3" s="14"/>
      <c r="H3" s="14"/>
      <c r="I3" s="14"/>
      <c r="J3" s="14"/>
      <c r="K3" s="14"/>
      <c r="L3" s="10"/>
      <c r="M3" s="10"/>
      <c r="N3" s="10"/>
      <c r="O3" s="10"/>
    </row>
    <row r="4" spans="1:21" x14ac:dyDescent="0.25">
      <c r="A4" s="14"/>
      <c r="B4" s="15"/>
      <c r="C4" s="14"/>
      <c r="D4" s="14"/>
      <c r="E4" s="14"/>
      <c r="F4" s="15"/>
      <c r="G4" s="14"/>
      <c r="H4" s="14"/>
      <c r="I4" s="14"/>
      <c r="J4" s="14"/>
      <c r="K4" s="14"/>
      <c r="L4" s="10"/>
      <c r="M4" s="10"/>
      <c r="N4" s="10"/>
      <c r="O4" s="10"/>
    </row>
    <row r="5" spans="1:21" x14ac:dyDescent="0.25">
      <c r="A5" s="14" t="s">
        <v>16</v>
      </c>
      <c r="B5" s="15">
        <f>F39-B39</f>
        <v>-2.5960000000000001</v>
      </c>
      <c r="C5" s="14"/>
      <c r="D5" s="14"/>
      <c r="E5" s="14" t="s">
        <v>17</v>
      </c>
      <c r="F5" s="15">
        <f>J40-B39</f>
        <v>-1.4809999999999999</v>
      </c>
      <c r="G5" s="14"/>
      <c r="H5" s="14"/>
      <c r="I5" s="14"/>
      <c r="J5" s="14"/>
      <c r="K5" s="14"/>
      <c r="L5" s="10"/>
      <c r="M5" s="10"/>
      <c r="N5" s="10"/>
      <c r="O5" s="10"/>
    </row>
    <row r="6" spans="1:21" x14ac:dyDescent="0.25">
      <c r="A6" s="14" t="s">
        <v>18</v>
      </c>
      <c r="B6" s="15">
        <f>F40-B40</f>
        <v>-2.5529999999999999</v>
      </c>
      <c r="C6" s="16"/>
      <c r="D6" s="14"/>
      <c r="E6" s="14" t="s">
        <v>19</v>
      </c>
      <c r="F6" s="15">
        <f>J41-B40</f>
        <v>-1.5470000000000002</v>
      </c>
      <c r="G6" s="14"/>
      <c r="H6" s="14"/>
      <c r="I6" s="14"/>
      <c r="J6" s="14"/>
      <c r="K6" s="14"/>
      <c r="L6" s="10"/>
      <c r="M6" s="10"/>
      <c r="N6" s="10"/>
      <c r="O6" s="10"/>
    </row>
    <row r="7" spans="1:21" x14ac:dyDescent="0.25">
      <c r="A7" s="14" t="s">
        <v>20</v>
      </c>
      <c r="B7" s="16">
        <f>F41-B41</f>
        <v>-2.1230000000000002</v>
      </c>
      <c r="C7" s="16"/>
      <c r="D7" s="14"/>
      <c r="E7" s="14" t="s">
        <v>21</v>
      </c>
      <c r="F7" s="14">
        <f>J42-B41</f>
        <v>-1.264</v>
      </c>
      <c r="G7" s="16"/>
      <c r="H7" s="16"/>
      <c r="I7" s="14"/>
      <c r="J7" s="14"/>
      <c r="K7" s="14"/>
      <c r="L7" s="10"/>
      <c r="M7" s="10"/>
      <c r="N7" s="10"/>
      <c r="O7" s="10"/>
    </row>
    <row r="8" spans="1:21" x14ac:dyDescent="0.25">
      <c r="A8" s="14" t="s">
        <v>22</v>
      </c>
      <c r="B8" s="16">
        <f>(F42-B42)*1</f>
        <v>-1.593</v>
      </c>
      <c r="C8" s="16"/>
      <c r="D8" s="14"/>
      <c r="E8" s="14" t="s">
        <v>23</v>
      </c>
      <c r="F8" s="14">
        <f>J43-B42</f>
        <v>-1.036</v>
      </c>
      <c r="G8" s="16"/>
      <c r="H8" s="16"/>
      <c r="I8" s="14"/>
      <c r="J8" s="14"/>
      <c r="K8" s="14"/>
      <c r="L8" s="10"/>
      <c r="M8" s="10"/>
      <c r="N8" s="10"/>
      <c r="O8" s="17" t="s">
        <v>4</v>
      </c>
      <c r="P8" s="17"/>
      <c r="Q8" s="17"/>
      <c r="R8" s="17"/>
      <c r="S8" s="17"/>
    </row>
    <row r="9" spans="1:21" x14ac:dyDescent="0.25">
      <c r="A9" s="14"/>
      <c r="B9" s="16"/>
      <c r="C9" s="16"/>
      <c r="D9" s="14"/>
      <c r="E9" s="14"/>
      <c r="F9" s="14"/>
      <c r="G9" s="16"/>
      <c r="H9" s="16"/>
      <c r="I9" s="14"/>
      <c r="J9" s="14"/>
      <c r="K9" s="14"/>
      <c r="L9" s="10"/>
      <c r="M9" s="10"/>
      <c r="N9" s="10"/>
      <c r="O9" s="17"/>
      <c r="P9" s="17" t="s">
        <v>133</v>
      </c>
      <c r="Q9" s="17" t="s">
        <v>134</v>
      </c>
      <c r="R9" s="17" t="s">
        <v>132</v>
      </c>
      <c r="S9" s="17"/>
    </row>
    <row r="10" spans="1:21" x14ac:dyDescent="0.25">
      <c r="A10" s="14"/>
      <c r="B10" s="16"/>
      <c r="C10" s="16"/>
      <c r="D10" s="14"/>
      <c r="E10" s="14"/>
      <c r="F10" s="14"/>
      <c r="G10" s="16"/>
      <c r="H10" s="16"/>
      <c r="I10" s="14"/>
      <c r="J10" s="14"/>
      <c r="K10" s="14"/>
      <c r="L10" s="10"/>
      <c r="M10" s="10"/>
      <c r="N10" s="10"/>
      <c r="O10" s="17"/>
      <c r="P10" s="18">
        <f>Main!S31</f>
        <v>8</v>
      </c>
      <c r="Q10" s="18">
        <f>Main!U31</f>
        <v>1</v>
      </c>
      <c r="R10" s="18">
        <f>Main!W31</f>
        <v>2017</v>
      </c>
      <c r="S10" s="17"/>
    </row>
    <row r="11" spans="1:21" ht="16.5" x14ac:dyDescent="0.3">
      <c r="A11" s="14"/>
      <c r="B11" s="14"/>
      <c r="C11" s="14"/>
      <c r="D11" s="14"/>
      <c r="E11" s="14"/>
      <c r="F11" s="14"/>
      <c r="G11" s="16"/>
      <c r="H11" s="16"/>
      <c r="I11" s="14"/>
      <c r="J11" s="14"/>
      <c r="K11" s="14"/>
      <c r="L11" s="10"/>
      <c r="M11" s="19" t="s">
        <v>11</v>
      </c>
      <c r="N11" s="10"/>
      <c r="O11" s="19" t="s">
        <v>135</v>
      </c>
      <c r="Q11" s="17"/>
      <c r="R11" s="17"/>
      <c r="S11" s="20">
        <f xml:space="preserve"> RTD("cqg.rtd",,"StudyData", "Close("&amp;$O$11&amp;")when (LocalMonth("&amp;$O$11&amp;")="&amp;$P$10&amp;" and LocalDay("&amp;$O$11&amp;")="&amp;$Q$10&amp;" and LocalYear("&amp;$O$11&amp;")="&amp;$R$10&amp;")", "Bar", "", "Close", "D", "0", "all", "", "","FALSE","T")</f>
        <v>1.343</v>
      </c>
      <c r="T11" s="21">
        <f>RTD("cqg.rtd", ,"ContractData",O11, "LastQuoteToday",,"T")</f>
        <v>2.0529999999999999</v>
      </c>
      <c r="U11" s="21">
        <f>T11-S11</f>
        <v>0.71</v>
      </c>
    </row>
    <row r="12" spans="1:21" ht="16.5" x14ac:dyDescent="0.3">
      <c r="A12" s="14" t="s">
        <v>154</v>
      </c>
      <c r="B12" s="14"/>
      <c r="C12" s="14"/>
      <c r="D12" s="14"/>
      <c r="E12" s="22" t="s">
        <v>152</v>
      </c>
      <c r="F12" s="14"/>
      <c r="G12" s="14"/>
      <c r="H12" s="14"/>
      <c r="I12" s="14"/>
      <c r="J12" s="14"/>
      <c r="K12" s="14"/>
      <c r="L12" s="10"/>
      <c r="M12" s="19" t="s">
        <v>12</v>
      </c>
      <c r="N12" s="10"/>
      <c r="O12" s="19" t="s">
        <v>136</v>
      </c>
      <c r="Q12" s="151"/>
      <c r="R12" s="151"/>
      <c r="S12" s="20">
        <f xml:space="preserve"> RTD("cqg.rtd",,"StudyData", "Close("&amp;$O$12&amp;")when (LocalMonth("&amp;$O$12&amp;")="&amp;$P$10&amp;" and LocalDay("&amp;$O$12&amp;")="&amp;$Q$10&amp;" and LocalYear("&amp;$O$12&amp;")="&amp;$R$10&amp;")", "Bar", "", "Close", "D", "0", "all", "", "","FALSE","T")</f>
        <v>1.4890000000000001</v>
      </c>
      <c r="T12" s="21">
        <f>RTD("cqg.rtd", ,"ContractData",O12, "LastQuoteToday",,"T")</f>
        <v>2.1800000000000002</v>
      </c>
      <c r="U12" s="21">
        <f t="shared" ref="U12:U16" si="0">T12-S12</f>
        <v>0.69100000000000006</v>
      </c>
    </row>
    <row r="13" spans="1:21" ht="16.5" x14ac:dyDescent="0.3">
      <c r="A13" s="14"/>
      <c r="B13" s="14"/>
      <c r="C13" s="14"/>
      <c r="D13" s="14"/>
      <c r="E13" s="14"/>
      <c r="F13" s="14"/>
      <c r="G13" s="14"/>
      <c r="H13" s="14"/>
      <c r="I13" s="22" t="s">
        <v>153</v>
      </c>
      <c r="J13" s="14"/>
      <c r="K13" s="14"/>
      <c r="L13" s="10"/>
      <c r="M13" s="19" t="s">
        <v>13</v>
      </c>
      <c r="N13" s="10"/>
      <c r="O13" s="19" t="s">
        <v>137</v>
      </c>
      <c r="S13" s="20">
        <f xml:space="preserve"> RTD("cqg.rtd",,"StudyData", "Close("&amp;$O$13&amp;")when (LocalMonth("&amp;$O$13&amp;")="&amp;$P$10&amp;" and LocalDay("&amp;$O$13&amp;")="&amp;$Q$10&amp;" and LocalYear("&amp;$O$13&amp;")="&amp;$R$10&amp;")", "Bar", "", "Close", "D", "0", "all", "", "","FALSE","T")</f>
        <v>1.8009999999999999</v>
      </c>
      <c r="T13" s="21">
        <f>RTD("cqg.rtd", ,"ContractData",O13, "LastQuoteToday",,"T")</f>
        <v>2.4220000000000002</v>
      </c>
      <c r="U13" s="21">
        <f t="shared" si="0"/>
        <v>0.62100000000000022</v>
      </c>
    </row>
    <row r="14" spans="1:21" ht="16.5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0"/>
      <c r="M14" s="19" t="s">
        <v>142</v>
      </c>
      <c r="N14" s="10"/>
      <c r="O14" s="19" t="s">
        <v>138</v>
      </c>
      <c r="S14" s="20">
        <f xml:space="preserve"> RTD("cqg.rtd",,"StudyData", "Close("&amp;$O$14&amp;")when (LocalMonth("&amp;$O$14&amp;")="&amp;$P$10&amp;" and LocalDay("&amp;$O$14&amp;")="&amp;$Q$10&amp;" and LocalYear("&amp;$O$14&amp;")="&amp;$R$10&amp;")", "Bar", "", "Close", "D", "0", "all", "", "","FALSE","T")</f>
        <v>2.0670000000000002</v>
      </c>
      <c r="T14" s="21">
        <f>RTD("cqg.rtd", ,"ContractData",O14, "LastQuoteToday",,"T")</f>
        <v>2.5489999999999999</v>
      </c>
      <c r="U14" s="21">
        <f t="shared" si="0"/>
        <v>0.48199999999999976</v>
      </c>
    </row>
    <row r="15" spans="1:21" ht="16.5" x14ac:dyDescent="0.3">
      <c r="A15" s="14" t="s">
        <v>24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0"/>
      <c r="M15" s="19" t="s">
        <v>143</v>
      </c>
      <c r="N15" s="10"/>
      <c r="O15" s="19" t="s">
        <v>139</v>
      </c>
      <c r="S15" s="20">
        <f xml:space="preserve"> RTD("cqg.rtd",,"StudyData", "Close("&amp;$O$15&amp;")when (LocalMonth("&amp;$O$15&amp;")="&amp;$P$10&amp;" and LocalDay("&amp;$O$15&amp;")="&amp;$Q$10&amp;" and LocalYear("&amp;$O$15&amp;")="&amp;$R$10&amp;")", "Bar", "", "Close", "D", "0", "all", "", "","FALSE","T")</f>
        <v>2.2530000000000001</v>
      </c>
      <c r="T15" s="21">
        <f>RTD("cqg.rtd", ,"ContractData",O15, "LastQuoteToday",,"T")</f>
        <v>2.62</v>
      </c>
      <c r="U15" s="21">
        <f t="shared" si="0"/>
        <v>0.36699999999999999</v>
      </c>
    </row>
    <row r="16" spans="1:21" ht="16.5" x14ac:dyDescent="0.3">
      <c r="A16" s="14" t="s">
        <v>25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0"/>
      <c r="M16" s="19" t="s">
        <v>144</v>
      </c>
      <c r="N16" s="10"/>
      <c r="O16" s="19" t="s">
        <v>140</v>
      </c>
      <c r="S16" s="20">
        <f xml:space="preserve"> RTD("cqg.rtd",,"StudyData", "Close("&amp;$O$16&amp;")when (LocalMonth("&amp;$O$16&amp;")="&amp;$P$10&amp;" and LocalDay("&amp;$O$16&amp;")="&amp;$Q$10&amp;" and LocalYear("&amp;$O$16&amp;")="&amp;$R$10&amp;")", "Bar", "", "Close", "D", "0", "all", "", "","FALSE","T")</f>
        <v>2.8580000000000001</v>
      </c>
      <c r="T16" s="21">
        <f>RTD("cqg.rtd", ,"ContractData",O16, "LastQuoteToday",,"T")</f>
        <v>2.891</v>
      </c>
      <c r="U16" s="21">
        <f t="shared" si="0"/>
        <v>3.2999999999999918E-2</v>
      </c>
    </row>
    <row r="17" spans="1:15" x14ac:dyDescent="0.25">
      <c r="A17" s="14" t="s">
        <v>26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0"/>
      <c r="M17" s="10"/>
      <c r="N17" s="10"/>
      <c r="O17" s="10"/>
    </row>
    <row r="18" spans="1:15" x14ac:dyDescent="0.25">
      <c r="A18" s="14" t="s">
        <v>27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0"/>
      <c r="M18" s="10"/>
      <c r="N18" s="10"/>
      <c r="O18" s="10"/>
    </row>
    <row r="19" spans="1:1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0"/>
      <c r="M19" s="10"/>
      <c r="N19" s="10"/>
      <c r="O19" s="10"/>
    </row>
    <row r="20" spans="1:15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0"/>
      <c r="M20" s="10"/>
      <c r="N20" s="10"/>
      <c r="O20" s="10"/>
    </row>
    <row r="21" spans="1:15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0"/>
      <c r="M21" s="10"/>
      <c r="N21" s="10"/>
      <c r="O21" s="10"/>
    </row>
    <row r="22" spans="1:15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0"/>
      <c r="M22" s="10"/>
      <c r="N22" s="10"/>
      <c r="O22" s="10"/>
    </row>
    <row r="23" spans="1:15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0"/>
      <c r="M23" s="10"/>
      <c r="N23" s="10"/>
      <c r="O23" s="10"/>
    </row>
    <row r="24" spans="1:15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0"/>
      <c r="M24" s="10"/>
      <c r="N24" s="10"/>
      <c r="O24" s="10"/>
    </row>
    <row r="25" spans="1:15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0"/>
      <c r="M25" s="10"/>
      <c r="N25" s="10"/>
      <c r="O25" s="10"/>
    </row>
    <row r="26" spans="1:15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0"/>
      <c r="M26" s="10"/>
      <c r="N26" s="10"/>
      <c r="O26" s="10"/>
    </row>
    <row r="27" spans="1:15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0"/>
      <c r="M27" s="10"/>
      <c r="N27" s="10"/>
      <c r="O27" s="10"/>
    </row>
    <row r="28" spans="1:15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0"/>
      <c r="M28" s="10"/>
      <c r="N28" s="10"/>
      <c r="O28" s="10"/>
    </row>
    <row r="29" spans="1:15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0"/>
      <c r="M29" s="10"/>
      <c r="N29" s="10"/>
      <c r="O29" s="10"/>
    </row>
    <row r="30" spans="1:15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0"/>
      <c r="M30" s="10"/>
      <c r="N30" s="10"/>
      <c r="O30" s="10"/>
    </row>
    <row r="31" spans="1:15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0"/>
      <c r="M31" s="10"/>
      <c r="N31" s="10"/>
      <c r="O31" s="10"/>
    </row>
    <row r="32" spans="1:15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0"/>
      <c r="M32" s="10"/>
      <c r="N32" s="10"/>
      <c r="O32" s="10"/>
    </row>
    <row r="33" spans="1:15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0"/>
      <c r="M33" s="10"/>
      <c r="N33" s="10"/>
      <c r="O33" s="10"/>
    </row>
    <row r="34" spans="1:15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0"/>
      <c r="M34" s="10"/>
      <c r="N34" s="10"/>
      <c r="O34" s="10"/>
    </row>
    <row r="35" spans="1:15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0"/>
      <c r="M35" s="10"/>
      <c r="N35" s="10"/>
      <c r="O35" s="10"/>
    </row>
    <row r="36" spans="1:15" x14ac:dyDescent="0.25">
      <c r="A36" s="23"/>
      <c r="B36" s="23">
        <f>RTD("cqg.rtd", ,"ContractData", "BUS10Y", "LastQuoteToday",,"T")</f>
        <v>2.62</v>
      </c>
      <c r="C36" s="23">
        <f>RTD("cqg.rtd", ,"ContractData", "BUS10Y", "NetChange",,"T")</f>
        <v>-2.8000000000000001E-2</v>
      </c>
      <c r="D36" s="14"/>
      <c r="E36" s="23"/>
      <c r="F36" s="23">
        <f>RTD("cqg.rtd", ,"ContractData", "DEY10Y", "LastQuoteToday",,"T")</f>
        <v>0.497</v>
      </c>
      <c r="G36" s="14"/>
      <c r="H36" s="14"/>
      <c r="I36" s="14"/>
      <c r="J36" s="14"/>
      <c r="K36" s="14"/>
      <c r="L36" s="10"/>
      <c r="M36" s="10"/>
      <c r="N36" s="10"/>
      <c r="O36" s="10"/>
    </row>
    <row r="37" spans="1:15" x14ac:dyDescent="0.25">
      <c r="A37" s="14" t="s">
        <v>98</v>
      </c>
      <c r="B37" s="16"/>
      <c r="C37" s="16"/>
      <c r="D37" s="14"/>
      <c r="E37" s="14" t="s">
        <v>99</v>
      </c>
      <c r="F37" s="16"/>
      <c r="G37" s="23">
        <f>RTD("cqg.rtd", ,"ContractData", "DEY10Y", "NetChange",,"T")</f>
        <v>-4.0000000000000001E-3</v>
      </c>
      <c r="H37" s="14"/>
      <c r="I37" s="23"/>
      <c r="J37" s="23">
        <f>RTD("cqg.rtd", ,"ContractData", "GBY10Y", "LastQuoteToday",,"T")</f>
        <v>1.355</v>
      </c>
      <c r="K37" s="23">
        <f>RTD("cqg.rtd", ,"ContractData", "GBY10Y", "NetChange",,"T")</f>
        <v>-3.0000000000000001E-3</v>
      </c>
      <c r="L37" s="10"/>
      <c r="M37" s="10"/>
      <c r="N37" s="10"/>
      <c r="O37" s="10"/>
    </row>
    <row r="38" spans="1:15" x14ac:dyDescent="0.25">
      <c r="A38" s="14" t="s">
        <v>4</v>
      </c>
      <c r="B38" s="16" t="s">
        <v>5</v>
      </c>
      <c r="C38" s="16" t="s">
        <v>6</v>
      </c>
      <c r="D38" s="14"/>
      <c r="E38" s="14" t="s">
        <v>4</v>
      </c>
      <c r="F38" s="16" t="s">
        <v>5</v>
      </c>
      <c r="G38" s="16"/>
      <c r="H38" s="14"/>
      <c r="I38" s="14" t="s">
        <v>37</v>
      </c>
      <c r="J38" s="16"/>
      <c r="K38" s="16"/>
      <c r="L38" s="10"/>
      <c r="M38" s="10"/>
      <c r="N38" s="10"/>
      <c r="O38" s="10"/>
    </row>
    <row r="39" spans="1:15" x14ac:dyDescent="0.25">
      <c r="A39" s="22" t="s">
        <v>7</v>
      </c>
      <c r="B39" s="23">
        <f>RTD("cqg.rtd", ,"ContractData", "BUS02Y", "LastQuoteToday",,"T")</f>
        <v>2.0529999999999999</v>
      </c>
      <c r="C39" s="23">
        <f>RTD("cqg.rtd", ,"ContractData", "BUS02Y", "NetChange",,"T")</f>
        <v>-8.0000000000000002E-3</v>
      </c>
      <c r="D39" s="22"/>
      <c r="E39" s="22" t="str">
        <f>RTD("cqg.rtd", ,"ContractData", "IDE02Y", "LongDescription",,"T")</f>
        <v>ICAP German 2yr Benchmark Yield</v>
      </c>
      <c r="F39" s="23">
        <f>RTD("cqg.rtd", ,"ContractData", "IDE02Y", "LastQuoteToday",,"T")</f>
        <v>-0.54300000000000004</v>
      </c>
      <c r="G39" s="16" t="s">
        <v>6</v>
      </c>
      <c r="H39" s="14"/>
      <c r="I39" s="14" t="s">
        <v>4</v>
      </c>
      <c r="J39" s="16" t="s">
        <v>5</v>
      </c>
      <c r="K39" s="16" t="s">
        <v>6</v>
      </c>
      <c r="L39" s="10"/>
      <c r="M39" s="10"/>
      <c r="N39" s="10"/>
      <c r="O39" s="10"/>
    </row>
    <row r="40" spans="1:15" x14ac:dyDescent="0.25">
      <c r="A40" s="22" t="s">
        <v>8</v>
      </c>
      <c r="B40" s="23">
        <f>RTD("cqg.rtd", ,"ContractData", "BUS05Y", "LastQuoteToday",,"T")</f>
        <v>2.4220000000000002</v>
      </c>
      <c r="C40" s="23">
        <f>RTD("cqg.rtd", ,"ContractData", "BUS05Y", "NetChange",,"T")</f>
        <v>-2.4E-2</v>
      </c>
      <c r="D40" s="22"/>
      <c r="E40" s="22" t="str">
        <f>RTD("cqg.rtd", ,"ContractData", "IDE05Y", "LongDescription",,"T")</f>
        <v>ICAP German 5yr Benchmark Yield</v>
      </c>
      <c r="F40" s="23">
        <f>RTD("cqg.rtd", ,"ContractData", "IDE05Y", "LastQuoteToday",,"T")</f>
        <v>-0.13100000000000001</v>
      </c>
      <c r="G40" s="23">
        <f>RTD("cqg.rtd", ,"ContractData", "IDE02Y", "NetChange",,"T")</f>
        <v>-1E-3</v>
      </c>
      <c r="H40" s="22"/>
      <c r="I40" s="22" t="str">
        <f>RTD("cqg.rtd", ,"ContractData", "IGB02Y", "LongDescription",,"T")</f>
        <v>ICAP UK 2yr Benchmark Yield</v>
      </c>
      <c r="J40" s="23">
        <f>RTD("cqg.rtd", ,"ContractData", "IGB02Y", "LastQuoteToday",,"T")</f>
        <v>0.57200000000000006</v>
      </c>
      <c r="K40" s="23">
        <f>RTD("cqg.rtd", ,"ContractData", "IGB02Y", "NetChange",,"T")</f>
        <v>3.1E-2</v>
      </c>
      <c r="L40" s="10"/>
      <c r="M40" s="10"/>
      <c r="N40" s="10"/>
      <c r="O40" s="10"/>
    </row>
    <row r="41" spans="1:15" x14ac:dyDescent="0.25">
      <c r="A41" s="22" t="s">
        <v>9</v>
      </c>
      <c r="B41" s="23">
        <f>RTD("cqg.rtd", ,"ContractData", "BUS10Y", "LastQuoteToday",,"T")</f>
        <v>2.62</v>
      </c>
      <c r="C41" s="23">
        <f>RTD("cqg.rtd", ,"ContractData", "BUS10Y", "NetChange",,"T")</f>
        <v>-2.8000000000000001E-2</v>
      </c>
      <c r="D41" s="22"/>
      <c r="E41" s="22" t="str">
        <f>RTD("cqg.rtd", ,"ContractData", "IDE05Y", "LongDescription",,"T")</f>
        <v>ICAP German 5yr Benchmark Yield</v>
      </c>
      <c r="F41" s="23">
        <f>RTD("cqg.rtd", ,"ContractData", "DEY10Y", "LastQuoteToday",,"T")</f>
        <v>0.497</v>
      </c>
      <c r="G41" s="23">
        <f>RTD("cqg.rtd", ,"ContractData", "IDE05Y", "NetChange",,"T")</f>
        <v>-1E-3</v>
      </c>
      <c r="H41" s="22"/>
      <c r="I41" s="22" t="str">
        <f>RTD("cqg.rtd", ,"ContractData", "IGB05Y", "LongDescription",,"T")</f>
        <v>ICAP UK 5yr Benchmark Yield</v>
      </c>
      <c r="J41" s="23">
        <f>RTD("cqg.rtd", ,"ContractData", "IGB05Y", "LastQuoteToday",,"T")</f>
        <v>0.875</v>
      </c>
      <c r="K41" s="23">
        <f>RTD("cqg.rtd", ,"ContractData", "IGB05Y", "NetChange",,"T")</f>
        <v>1.2E-2</v>
      </c>
      <c r="L41" s="10"/>
      <c r="M41" s="10"/>
      <c r="N41" s="10"/>
      <c r="O41" s="10"/>
    </row>
    <row r="42" spans="1:15" x14ac:dyDescent="0.25">
      <c r="A42" s="24" t="s">
        <v>10</v>
      </c>
      <c r="B42" s="23">
        <f>RTD("cqg.rtd", ,"ContractData", "BUS30Y", "LastQuoteToday",,"T")</f>
        <v>2.891</v>
      </c>
      <c r="C42" s="23">
        <f>RTD("cqg.rtd", ,"ContractData", "BUS30Y", "NetChange",,"T")</f>
        <v>-0.02</v>
      </c>
      <c r="D42" s="24"/>
      <c r="E42" s="22" t="str">
        <f>RTD("cqg.rtd", ,"ContractData", "IDE05Y", "LongDescription",,"T")</f>
        <v>ICAP German 5yr Benchmark Yield</v>
      </c>
      <c r="F42" s="23">
        <f>RTD("cqg.rtd", ,"ContractData", "DEY30Y", "LastQuoteToday",,"T")</f>
        <v>1.298</v>
      </c>
      <c r="G42" s="23">
        <f>RTD("cqg.rtd", ,"ContractData", "IDE10Y", "NetChange",,"T")</f>
        <v>-1.3000000000000001E-2</v>
      </c>
      <c r="H42" s="22"/>
      <c r="I42" s="22" t="str">
        <f>RTD("cqg.rtd", ,"ContractData", "IGB10Y", "LongDescription",,"T")</f>
        <v>ICAP UK 10yr Benchmark Yield</v>
      </c>
      <c r="J42" s="23">
        <f>RTD("cqg.rtd", ,"ContractData", "IGB10Y", "LastQuoteToday",,"T")</f>
        <v>1.3560000000000001</v>
      </c>
      <c r="K42" s="23">
        <f>RTD("cqg.rtd", ,"ContractData", "IGB10Y", "NetChange",,"T")</f>
        <v>-4.0000000000000001E-3</v>
      </c>
      <c r="L42" s="10"/>
      <c r="M42" s="10"/>
      <c r="N42" s="10"/>
      <c r="O42" s="10"/>
    </row>
    <row r="43" spans="1:15" x14ac:dyDescent="0.25">
      <c r="A43" s="10"/>
      <c r="B43" s="10"/>
      <c r="C43" s="10"/>
      <c r="D43" s="10"/>
      <c r="E43" s="10"/>
      <c r="F43" s="10"/>
      <c r="G43" s="23">
        <f>RTD("cqg.rtd", ,"ContractData", "IDE30Y", "NetChange",,"T")</f>
        <v>-2.1000000000000001E-2</v>
      </c>
      <c r="H43" s="24"/>
      <c r="I43" s="22" t="str">
        <f>RTD("cqg.rtd", ,"ContractData", "IGB30Y", "LongDescription",,"T")</f>
        <v>ICAP UK 30yr Benchmark Yield</v>
      </c>
      <c r="J43" s="23">
        <f>RTD("cqg.rtd", ,"ContractData", "IGB30Y", "LastQuoteToday",,"T")</f>
        <v>1.855</v>
      </c>
      <c r="K43" s="23">
        <f>RTD("cqg.rtd", ,"ContractData", "IGB30Y", "NetChange",,"T")</f>
        <v>-1.0999999999999999E-2</v>
      </c>
      <c r="L43" s="10"/>
      <c r="M43" s="10"/>
      <c r="N43" s="10"/>
      <c r="O43" s="10"/>
    </row>
    <row r="44" spans="1:15" x14ac:dyDescent="0.25">
      <c r="A44" s="10"/>
      <c r="B44" s="10"/>
      <c r="C44" s="10"/>
      <c r="D44" s="10"/>
      <c r="E44" s="10" t="str">
        <f>RTD("cqg.rtd", ,"ContractData", "DEY30Y", "LongDescription",,"T")</f>
        <v>German 30yr Bond Yield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 x14ac:dyDescent="0.25">
      <c r="G50" s="10"/>
      <c r="H50" s="10"/>
      <c r="I50" s="10"/>
      <c r="J50" s="10"/>
      <c r="K50" s="10"/>
      <c r="L50" s="10"/>
      <c r="M50" s="10"/>
      <c r="N50" s="10"/>
      <c r="O50" s="10"/>
    </row>
  </sheetData>
  <sheetProtection algorithmName="SHA-512" hashValue="XGSlPFPTC05JbJOoIkQxEzV0ob3wx5YHckTO6je7k1vUJXRQpJMVFZ7FBvTB/JeUvI+GMwnjoMM2lw8PlJPpBQ==" saltValue="2EPEaEXWxQC63y8b8b1Tcg==" spinCount="100000" sheet="1" objects="1" scenarios="1" selectLockedCells="1" selectUnlockedCells="1"/>
  <mergeCells count="1">
    <mergeCell ref="Q12:R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G7"/>
  <sheetViews>
    <sheetView showRowColHeaders="0" workbookViewId="0">
      <selection activeCell="E4" sqref="E4"/>
    </sheetView>
  </sheetViews>
  <sheetFormatPr defaultRowHeight="15" x14ac:dyDescent="0.25"/>
  <cols>
    <col min="1" max="16384" width="9.140625" style="1"/>
  </cols>
  <sheetData>
    <row r="2" spans="2:7" x14ac:dyDescent="0.25">
      <c r="B2" s="10" t="s">
        <v>11</v>
      </c>
      <c r="C2" s="11">
        <f>RTD("cqg.rtd", ,"ContractData", "BUS02Y", "LastQuoteToday",,"T")</f>
        <v>2.0529999999999999</v>
      </c>
      <c r="D2" s="11">
        <f>RTD("cqg.rtd", ,"ContractData", "BUS02Y", "NetChange",,"T")</f>
        <v>-8.0000000000000002E-3</v>
      </c>
      <c r="G2" s="12"/>
    </row>
    <row r="3" spans="2:7" x14ac:dyDescent="0.25">
      <c r="B3" s="10" t="s">
        <v>12</v>
      </c>
      <c r="C3" s="11">
        <f>RTD("cqg.rtd", ,"ContractData", "BUS03Y", "LastQuoteToday",,"T")</f>
        <v>2.1800000000000002</v>
      </c>
      <c r="D3" s="11">
        <f>RTD("cqg.rtd", ,"ContractData", "BUS03Y", "NetChange",,"T")</f>
        <v>-1.9E-2</v>
      </c>
    </row>
    <row r="4" spans="2:7" x14ac:dyDescent="0.25">
      <c r="B4" s="10" t="s">
        <v>13</v>
      </c>
      <c r="C4" s="11">
        <f>RTD("cqg.rtd", ,"ContractData", "BUS05Y", "LastQuoteToday",,"T")</f>
        <v>2.4220000000000002</v>
      </c>
      <c r="D4" s="11">
        <f>RTD("cqg.rtd", ,"ContractData", "BUS05Y", "NetChange",,"T")</f>
        <v>-2.4E-2</v>
      </c>
    </row>
    <row r="5" spans="2:7" x14ac:dyDescent="0.25">
      <c r="B5" s="10" t="s">
        <v>142</v>
      </c>
      <c r="C5" s="11">
        <f>RTD("cqg.rtd", ,"ContractData", "BUS07Y", "LastQuoteToday",,"T")</f>
        <v>2.5489999999999999</v>
      </c>
      <c r="D5" s="11">
        <f>RTD("cqg.rtd", ,"ContractData", "BUS07Y", "NetChange",,"T")</f>
        <v>-0.03</v>
      </c>
    </row>
    <row r="6" spans="2:7" x14ac:dyDescent="0.25">
      <c r="B6" s="10" t="s">
        <v>14</v>
      </c>
      <c r="C6" s="11">
        <f>RTD("cqg.rtd", ,"ContractData", "BUS10Y", "LastQuoteToday",,"T")</f>
        <v>2.62</v>
      </c>
      <c r="D6" s="11">
        <f>RTD("cqg.rtd", ,"ContractData", "BUS10Y", "NetChange",,"T")</f>
        <v>-2.8000000000000001E-2</v>
      </c>
    </row>
    <row r="7" spans="2:7" x14ac:dyDescent="0.25">
      <c r="B7" s="10" t="s">
        <v>15</v>
      </c>
      <c r="C7" s="11">
        <f>RTD("cqg.rtd", ,"ContractData", "BUS30Y", "LastQuoteToday",,"T")</f>
        <v>2.891</v>
      </c>
      <c r="D7" s="11">
        <f>RTD("cqg.rtd", ,"ContractData", "BUS30Y", "NetChange",,"T")</f>
        <v>-0.02</v>
      </c>
    </row>
  </sheetData>
  <sheetProtection algorithmName="SHA-512" hashValue="ElF24b9imio79XcAx7MuRFFzN9hH04fSwOWSchuxeSUd8Y4GY3eycqS9lit3L85bOlo6DmxzCTef1+EQVOfNhg==" saltValue="dU9j/PcoligqQYCM9p0L0Q==" spinCount="100000" sheet="1" objects="1" scenarios="1" selectLockedCells="1" selectUnlockedCell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Main</vt:lpstr>
      <vt:lpstr>Indicies</vt:lpstr>
      <vt:lpstr>EurozoneYields</vt:lpstr>
      <vt:lpstr>ThreeCurves</vt:lpstr>
      <vt:lpstr>BTCSpreads</vt:lpstr>
      <vt:lpstr>Eurozone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2009-11-11T19:06:07Z</dcterms:created>
  <dcterms:modified xsi:type="dcterms:W3CDTF">2018-01-23T16:19:01Z</dcterms:modified>
</cp:coreProperties>
</file>