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xWindow="0" yWindow="0" windowWidth="28800" windowHeight="13620"/>
  </bookViews>
  <sheets>
    <sheet name="All Contracts" sheetId="1" r:id="rId1"/>
    <sheet name="Sheet1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0" i="2" l="1"/>
  <c r="A12" i="2"/>
  <c r="A14" i="2" s="1"/>
  <c r="A16" i="2" s="1"/>
  <c r="A18" i="2" s="1"/>
  <c r="A20" i="2" s="1"/>
  <c r="A22" i="2" s="1"/>
  <c r="A24" i="2" s="1"/>
  <c r="A26" i="2" s="1"/>
  <c r="A28" i="2" s="1"/>
  <c r="A30" i="2" s="1"/>
  <c r="A32" i="2" s="1"/>
  <c r="A34" i="2" s="1"/>
  <c r="A36" i="2" s="1"/>
  <c r="A38" i="2" s="1"/>
  <c r="A40" i="2" s="1"/>
  <c r="A42" i="2" s="1"/>
  <c r="A44" i="2" s="1"/>
  <c r="A46" i="2" s="1"/>
  <c r="A48" i="2" s="1"/>
  <c r="A10" i="2"/>
  <c r="A8" i="2"/>
  <c r="A8" i="1"/>
  <c r="A10" i="1" s="1"/>
  <c r="A12" i="1" s="1"/>
  <c r="A14" i="1" s="1"/>
  <c r="A17" i="1" s="1"/>
  <c r="A19" i="1" s="1"/>
  <c r="A21" i="1" s="1"/>
  <c r="A23" i="1" s="1"/>
  <c r="A26" i="1" s="1"/>
  <c r="A28" i="1" s="1"/>
  <c r="A30" i="1" s="1"/>
  <c r="A32" i="1" s="1"/>
  <c r="A35" i="1" s="1"/>
  <c r="A37" i="1" s="1"/>
  <c r="A39" i="1" s="1"/>
  <c r="A41" i="1" s="1"/>
  <c r="A44" i="1" s="1"/>
  <c r="A46" i="1" s="1"/>
  <c r="A48" i="1" s="1"/>
  <c r="A50" i="1" s="1"/>
  <c r="A53" i="1" s="1"/>
  <c r="A55" i="1" s="1"/>
  <c r="B55" i="1"/>
  <c r="K48" i="1"/>
  <c r="B44" i="2"/>
  <c r="K55" i="1"/>
  <c r="K46" i="1"/>
  <c r="B42" i="2"/>
  <c r="B46" i="1"/>
  <c r="B50" i="2"/>
  <c r="B48" i="1"/>
  <c r="B10" i="1"/>
  <c r="B32" i="1"/>
  <c r="K32" i="1"/>
  <c r="K28" i="1"/>
  <c r="B12" i="1"/>
  <c r="B35" i="1"/>
  <c r="K10" i="1"/>
  <c r="K35" i="1"/>
  <c r="B28" i="1"/>
  <c r="K12" i="1"/>
  <c r="K23" i="1"/>
  <c r="K26" i="1"/>
  <c r="B26" i="1"/>
  <c r="K39" i="1"/>
  <c r="B6" i="2"/>
  <c r="B6" i="1"/>
  <c r="B23" i="1"/>
  <c r="B39" i="1"/>
  <c r="B21" i="1"/>
  <c r="K21" i="1"/>
  <c r="B19" i="1"/>
  <c r="K19" i="1"/>
  <c r="B37" i="1"/>
  <c r="K37" i="1"/>
  <c r="K41" i="1"/>
  <c r="B41" i="1"/>
  <c r="B53" i="1"/>
  <c r="B17" i="1"/>
  <c r="K17" i="1"/>
  <c r="B8" i="1"/>
  <c r="K30" i="1"/>
  <c r="K44" i="1"/>
  <c r="K8" i="1"/>
  <c r="B48" i="2"/>
  <c r="K53" i="1"/>
  <c r="B44" i="1"/>
  <c r="B30" i="1"/>
  <c r="K50" i="1"/>
  <c r="B46" i="2"/>
  <c r="B14" i="1"/>
  <c r="K14" i="1"/>
  <c r="B50" i="1"/>
  <c r="AA2" i="1"/>
  <c r="C50" i="2" l="1"/>
  <c r="C48" i="2"/>
  <c r="C46" i="2"/>
  <c r="C44" i="2"/>
  <c r="C42" i="2"/>
  <c r="H50" i="2"/>
  <c r="H42" i="2"/>
  <c r="H44" i="2"/>
  <c r="H48" i="2"/>
  <c r="H46" i="2"/>
  <c r="E50" i="2" l="1"/>
  <c r="D50" i="2"/>
  <c r="I50" i="2" s="1"/>
  <c r="J50" i="2" s="1"/>
  <c r="K50" i="2" s="1"/>
  <c r="D48" i="2"/>
  <c r="I48" i="2" s="1"/>
  <c r="J48" i="2" s="1"/>
  <c r="K48" i="2" s="1"/>
  <c r="E48" i="2"/>
  <c r="E46" i="2"/>
  <c r="D46" i="2"/>
  <c r="I46" i="2" s="1"/>
  <c r="J46" i="2" s="1"/>
  <c r="K46" i="2" s="1"/>
  <c r="D44" i="2"/>
  <c r="I44" i="2" s="1"/>
  <c r="J44" i="2" s="1"/>
  <c r="K44" i="2" s="1"/>
  <c r="E44" i="2"/>
  <c r="D42" i="2"/>
  <c r="I42" i="2" s="1"/>
  <c r="J42" i="2" s="1"/>
  <c r="K42" i="2" s="1"/>
  <c r="E42" i="2"/>
  <c r="L50" i="2"/>
  <c r="M50" i="2"/>
  <c r="L42" i="2"/>
  <c r="G42" i="2"/>
  <c r="F42" i="2"/>
  <c r="M42" i="2"/>
  <c r="M48" i="2"/>
  <c r="L48" i="2"/>
  <c r="F44" i="2"/>
  <c r="G44" i="2"/>
  <c r="U46" i="1" l="1"/>
  <c r="X46" i="1"/>
  <c r="X48" i="1"/>
  <c r="X54" i="1"/>
  <c r="X56" i="1"/>
  <c r="U47" i="1"/>
  <c r="L44" i="2"/>
  <c r="M44" i="2"/>
  <c r="G50" i="2"/>
  <c r="F50" i="2"/>
  <c r="F48" i="2"/>
  <c r="G48" i="2"/>
  <c r="L46" i="2"/>
  <c r="F46" i="2"/>
  <c r="G46" i="2"/>
  <c r="M46" i="2"/>
  <c r="V46" i="1" l="1"/>
  <c r="W46" i="1" s="1"/>
  <c r="U55" i="1"/>
  <c r="X51" i="1"/>
  <c r="X49" i="1"/>
  <c r="X53" i="1"/>
  <c r="U50" i="1"/>
  <c r="T50" i="1" s="1"/>
  <c r="X50" i="1"/>
  <c r="X55" i="1"/>
  <c r="U48" i="1"/>
  <c r="X47" i="1"/>
  <c r="U56" i="1"/>
  <c r="U54" i="1"/>
  <c r="U53" i="1"/>
  <c r="U51" i="1"/>
  <c r="U49" i="1"/>
  <c r="T46" i="1"/>
  <c r="Y46" i="1"/>
  <c r="T55" i="1"/>
  <c r="T47" i="1"/>
  <c r="V50" i="1" l="1"/>
  <c r="W50" i="1" s="1"/>
  <c r="Y53" i="1"/>
  <c r="V53" i="1"/>
  <c r="V55" i="1"/>
  <c r="W55" i="1" s="1"/>
  <c r="Y55" i="1"/>
  <c r="Y50" i="1"/>
  <c r="V48" i="1"/>
  <c r="W48" i="1" s="1"/>
  <c r="T56" i="1"/>
  <c r="V56" i="1"/>
  <c r="W56" i="1" s="1"/>
  <c r="V54" i="1"/>
  <c r="W54" i="1" s="1"/>
  <c r="Y51" i="1"/>
  <c r="V51" i="1"/>
  <c r="W51" i="1" s="1"/>
  <c r="V49" i="1"/>
  <c r="W49" i="1" s="1"/>
  <c r="V47" i="1"/>
  <c r="W47" i="1" s="1"/>
  <c r="Y56" i="1"/>
  <c r="T49" i="1"/>
  <c r="T54" i="1"/>
  <c r="T53" i="1"/>
  <c r="Y48" i="1"/>
  <c r="Y47" i="1"/>
  <c r="Y54" i="1"/>
  <c r="T48" i="1"/>
  <c r="Y49" i="1"/>
  <c r="T51" i="1"/>
  <c r="L8" i="1"/>
  <c r="B36" i="2"/>
  <c r="B34" i="2"/>
  <c r="B38" i="2"/>
  <c r="B40" i="2"/>
  <c r="C40" i="2" l="1"/>
  <c r="C38" i="2"/>
  <c r="C36" i="2"/>
  <c r="C34" i="2"/>
  <c r="H12" i="1"/>
  <c r="B30" i="2"/>
  <c r="H10" i="1"/>
  <c r="B26" i="2"/>
  <c r="B32" i="2"/>
  <c r="H6" i="1"/>
  <c r="B22" i="2"/>
  <c r="B24" i="2"/>
  <c r="H36" i="2"/>
  <c r="B20" i="2"/>
  <c r="B18" i="2"/>
  <c r="H34" i="2"/>
  <c r="H38" i="2"/>
  <c r="H40" i="2"/>
  <c r="B28" i="2"/>
  <c r="B16" i="2"/>
  <c r="H8" i="1"/>
  <c r="H14" i="1"/>
  <c r="E40" i="2" l="1"/>
  <c r="D40" i="2"/>
  <c r="I40" i="2" s="1"/>
  <c r="J40" i="2" s="1"/>
  <c r="K40" i="2" s="1"/>
  <c r="E38" i="2"/>
  <c r="D38" i="2"/>
  <c r="I38" i="2" s="1"/>
  <c r="J38" i="2" s="1"/>
  <c r="K38" i="2" s="1"/>
  <c r="E36" i="2"/>
  <c r="D36" i="2"/>
  <c r="I36" i="2" s="1"/>
  <c r="J36" i="2" s="1"/>
  <c r="K36" i="2" s="1"/>
  <c r="D34" i="2"/>
  <c r="I34" i="2" s="1"/>
  <c r="J34" i="2" s="1"/>
  <c r="K34" i="2" s="1"/>
  <c r="E34" i="2"/>
  <c r="C32" i="2"/>
  <c r="C30" i="2"/>
  <c r="C28" i="2"/>
  <c r="C26" i="2"/>
  <c r="C24" i="2"/>
  <c r="C22" i="2"/>
  <c r="C20" i="2"/>
  <c r="C18" i="2"/>
  <c r="C16" i="2"/>
  <c r="B12" i="2"/>
  <c r="B10" i="2"/>
  <c r="F36" i="2"/>
  <c r="H22" i="2"/>
  <c r="G36" i="2"/>
  <c r="H24" i="2"/>
  <c r="H32" i="2"/>
  <c r="H20" i="2"/>
  <c r="H30" i="2"/>
  <c r="H18" i="2"/>
  <c r="H26" i="2"/>
  <c r="G34" i="2"/>
  <c r="L34" i="2"/>
  <c r="F34" i="2"/>
  <c r="M34" i="2"/>
  <c r="B8" i="2"/>
  <c r="H28" i="2"/>
  <c r="H16" i="2"/>
  <c r="L40" i="2"/>
  <c r="M40" i="2"/>
  <c r="B14" i="2"/>
  <c r="E32" i="2" l="1"/>
  <c r="D32" i="2"/>
  <c r="I32" i="2" s="1"/>
  <c r="J32" i="2" s="1"/>
  <c r="K32" i="2" s="1"/>
  <c r="E30" i="2"/>
  <c r="D30" i="2"/>
  <c r="I30" i="2" s="1"/>
  <c r="J30" i="2" s="1"/>
  <c r="K30" i="2" s="1"/>
  <c r="E28" i="2"/>
  <c r="D28" i="2"/>
  <c r="I28" i="2" s="1"/>
  <c r="J28" i="2" s="1"/>
  <c r="K28" i="2" s="1"/>
  <c r="E26" i="2"/>
  <c r="D26" i="2"/>
  <c r="I26" i="2" s="1"/>
  <c r="J26" i="2" s="1"/>
  <c r="K26" i="2" s="1"/>
  <c r="D24" i="2"/>
  <c r="I24" i="2" s="1"/>
  <c r="J24" i="2" s="1"/>
  <c r="K24" i="2" s="1"/>
  <c r="E24" i="2"/>
  <c r="E22" i="2"/>
  <c r="D22" i="2"/>
  <c r="I22" i="2" s="1"/>
  <c r="E20" i="2"/>
  <c r="D20" i="2"/>
  <c r="I20" i="2" s="1"/>
  <c r="E18" i="2"/>
  <c r="D18" i="2"/>
  <c r="I18" i="2" s="1"/>
  <c r="E16" i="2"/>
  <c r="D16" i="2"/>
  <c r="I16" i="2" s="1"/>
  <c r="C14" i="2"/>
  <c r="C12" i="2"/>
  <c r="C10" i="2"/>
  <c r="C8" i="2"/>
  <c r="H10" i="2"/>
  <c r="L36" i="2"/>
  <c r="M36" i="2"/>
  <c r="L32" i="2"/>
  <c r="M32" i="2"/>
  <c r="G26" i="2"/>
  <c r="H12" i="2"/>
  <c r="F18" i="2"/>
  <c r="F26" i="2"/>
  <c r="G18" i="2"/>
  <c r="M26" i="2"/>
  <c r="L26" i="2"/>
  <c r="M24" i="2"/>
  <c r="L24" i="2"/>
  <c r="G38" i="2"/>
  <c r="F38" i="2"/>
  <c r="M38" i="2"/>
  <c r="F28" i="2"/>
  <c r="L38" i="2"/>
  <c r="H8" i="2"/>
  <c r="G28" i="2"/>
  <c r="F20" i="2"/>
  <c r="F40" i="2"/>
  <c r="G40" i="2"/>
  <c r="G20" i="2"/>
  <c r="H14" i="2"/>
  <c r="X44" i="1" l="1"/>
  <c r="U44" i="1"/>
  <c r="V44" i="1" s="1"/>
  <c r="X41" i="1"/>
  <c r="U41" i="1"/>
  <c r="U37" i="1"/>
  <c r="X37" i="1"/>
  <c r="X39" i="1"/>
  <c r="U39" i="1"/>
  <c r="U40" i="1"/>
  <c r="X40" i="1"/>
  <c r="X38" i="1"/>
  <c r="U38" i="1"/>
  <c r="X45" i="1"/>
  <c r="U45" i="1"/>
  <c r="V45" i="1" s="1"/>
  <c r="U42" i="1"/>
  <c r="X42" i="1"/>
  <c r="J18" i="2"/>
  <c r="K18" i="2" s="1"/>
  <c r="J22" i="2"/>
  <c r="K22" i="2" s="1"/>
  <c r="J16" i="2"/>
  <c r="K16" i="2" s="1"/>
  <c r="J20" i="2"/>
  <c r="K20" i="2" s="1"/>
  <c r="E14" i="2"/>
  <c r="D14" i="2"/>
  <c r="I14" i="2" s="1"/>
  <c r="E12" i="2"/>
  <c r="D12" i="2"/>
  <c r="I12" i="2" s="1"/>
  <c r="D10" i="2"/>
  <c r="I10" i="2" s="1"/>
  <c r="E10" i="2"/>
  <c r="D8" i="2"/>
  <c r="I8" i="2" s="1"/>
  <c r="E8" i="2"/>
  <c r="R5" i="1"/>
  <c r="Z23" i="1"/>
  <c r="Z55" i="1"/>
  <c r="Z21" i="1"/>
  <c r="Z6" i="1"/>
  <c r="Z17" i="1"/>
  <c r="Z26" i="1"/>
  <c r="Z48" i="1"/>
  <c r="Z8" i="1"/>
  <c r="Z46" i="1"/>
  <c r="Z50" i="1"/>
  <c r="Z10" i="1"/>
  <c r="Z37" i="1"/>
  <c r="Z39" i="1"/>
  <c r="Z14" i="1"/>
  <c r="Z41" i="1"/>
  <c r="Z12" i="1"/>
  <c r="Z35" i="1"/>
  <c r="Z19" i="1"/>
  <c r="Z32" i="1"/>
  <c r="Z28" i="1"/>
  <c r="Z53" i="1"/>
  <c r="Z30" i="1"/>
  <c r="Z44" i="1"/>
  <c r="P12" i="1"/>
  <c r="P19" i="1"/>
  <c r="P37" i="1"/>
  <c r="P39" i="1"/>
  <c r="P35" i="1"/>
  <c r="P10" i="1"/>
  <c r="P46" i="1"/>
  <c r="P28" i="1"/>
  <c r="P26" i="1"/>
  <c r="P21" i="1"/>
  <c r="P23" i="1"/>
  <c r="P30" i="1"/>
  <c r="P6" i="1"/>
  <c r="P55" i="1"/>
  <c r="P50" i="1"/>
  <c r="P48" i="1"/>
  <c r="P53" i="1"/>
  <c r="P41" i="1"/>
  <c r="P32" i="1"/>
  <c r="P8" i="1"/>
  <c r="P44" i="1"/>
  <c r="P14" i="1"/>
  <c r="P17" i="1"/>
  <c r="F32" i="2"/>
  <c r="G32" i="2"/>
  <c r="K6" i="1"/>
  <c r="L30" i="2"/>
  <c r="M30" i="2"/>
  <c r="F24" i="2"/>
  <c r="G24" i="2"/>
  <c r="L18" i="2"/>
  <c r="M18" i="2"/>
  <c r="F22" i="2"/>
  <c r="F12" i="2"/>
  <c r="G8" i="2"/>
  <c r="F30" i="2"/>
  <c r="G22" i="2"/>
  <c r="G12" i="2"/>
  <c r="F8" i="2"/>
  <c r="M28" i="2"/>
  <c r="G16" i="2"/>
  <c r="G10" i="2"/>
  <c r="G30" i="2"/>
  <c r="F16" i="2"/>
  <c r="F10" i="2"/>
  <c r="L28" i="2"/>
  <c r="M16" i="2"/>
  <c r="N57" i="1"/>
  <c r="E2" i="1"/>
  <c r="V38" i="1" l="1"/>
  <c r="W38" i="1" s="1"/>
  <c r="V39" i="1"/>
  <c r="W39" i="1" s="1"/>
  <c r="V41" i="1"/>
  <c r="W41" i="1" s="1"/>
  <c r="V40" i="1"/>
  <c r="W40" i="1" s="1"/>
  <c r="V37" i="1"/>
  <c r="W37" i="1" s="1"/>
  <c r="V42" i="1"/>
  <c r="W42" i="1" s="1"/>
  <c r="T44" i="1"/>
  <c r="Y44" i="1"/>
  <c r="T41" i="1"/>
  <c r="Y41" i="1"/>
  <c r="T37" i="1"/>
  <c r="Y37" i="1"/>
  <c r="X35" i="1"/>
  <c r="U35" i="1"/>
  <c r="T39" i="1"/>
  <c r="Y39" i="1"/>
  <c r="X17" i="1"/>
  <c r="U17" i="1"/>
  <c r="U19" i="1"/>
  <c r="X19" i="1"/>
  <c r="U23" i="1"/>
  <c r="X23" i="1"/>
  <c r="X26" i="1"/>
  <c r="U26" i="1"/>
  <c r="X28" i="1"/>
  <c r="X30" i="1"/>
  <c r="U30" i="1"/>
  <c r="U28" i="1"/>
  <c r="U32" i="1"/>
  <c r="X32" i="1"/>
  <c r="X21" i="1"/>
  <c r="U21" i="1"/>
  <c r="X31" i="1"/>
  <c r="U31" i="1"/>
  <c r="U33" i="1"/>
  <c r="X33" i="1"/>
  <c r="U29" i="1"/>
  <c r="X29" i="1"/>
  <c r="X36" i="1"/>
  <c r="U36" i="1"/>
  <c r="Y38" i="1"/>
  <c r="T38" i="1"/>
  <c r="T42" i="1"/>
  <c r="Y42" i="1"/>
  <c r="Y45" i="1"/>
  <c r="W45" i="1"/>
  <c r="T45" i="1"/>
  <c r="T40" i="1"/>
  <c r="Y40" i="1"/>
  <c r="X18" i="1"/>
  <c r="X27" i="1"/>
  <c r="U27" i="1"/>
  <c r="U20" i="1"/>
  <c r="X20" i="1"/>
  <c r="S53" i="1"/>
  <c r="S54" i="1"/>
  <c r="S56" i="1"/>
  <c r="S55" i="1"/>
  <c r="S50" i="1"/>
  <c r="S51" i="1"/>
  <c r="S46" i="1"/>
  <c r="S47" i="1"/>
  <c r="S45" i="1"/>
  <c r="S44" i="1"/>
  <c r="S49" i="1"/>
  <c r="S48" i="1"/>
  <c r="S40" i="1"/>
  <c r="S39" i="1"/>
  <c r="S38" i="1"/>
  <c r="S37" i="1"/>
  <c r="S36" i="1"/>
  <c r="S35" i="1"/>
  <c r="S42" i="1"/>
  <c r="S41" i="1"/>
  <c r="U8" i="1"/>
  <c r="S27" i="1"/>
  <c r="S26" i="1"/>
  <c r="S31" i="1"/>
  <c r="S30" i="1"/>
  <c r="J10" i="2"/>
  <c r="K10" i="2" s="1"/>
  <c r="J12" i="2"/>
  <c r="K12" i="2" s="1"/>
  <c r="J8" i="2"/>
  <c r="K8" i="2" s="1"/>
  <c r="S33" i="1"/>
  <c r="S32" i="1"/>
  <c r="S28" i="1"/>
  <c r="S29" i="1"/>
  <c r="J14" i="2"/>
  <c r="K14" i="2" s="1"/>
  <c r="S18" i="1"/>
  <c r="S17" i="1"/>
  <c r="S23" i="1"/>
  <c r="S24" i="1"/>
  <c r="S21" i="1"/>
  <c r="S22" i="1"/>
  <c r="S20" i="1"/>
  <c r="S19" i="1"/>
  <c r="S11" i="1"/>
  <c r="S10" i="1"/>
  <c r="S15" i="1"/>
  <c r="S14" i="1"/>
  <c r="S12" i="1"/>
  <c r="S13" i="1"/>
  <c r="X8" i="1"/>
  <c r="S8" i="1"/>
  <c r="S9" i="1"/>
  <c r="S7" i="1"/>
  <c r="S6" i="1"/>
  <c r="C6" i="2"/>
  <c r="E6" i="2" s="1"/>
  <c r="AB6" i="1"/>
  <c r="AB8" i="1"/>
  <c r="AB10" i="1"/>
  <c r="AB12" i="1"/>
  <c r="AB14" i="1"/>
  <c r="AB17" i="1"/>
  <c r="AB19" i="1"/>
  <c r="AB21" i="1"/>
  <c r="AB23" i="1"/>
  <c r="AB26" i="1"/>
  <c r="AB28" i="1"/>
  <c r="AB30" i="1"/>
  <c r="AB32" i="1"/>
  <c r="AB35" i="1"/>
  <c r="AB37" i="1"/>
  <c r="AB39" i="1"/>
  <c r="AB41" i="1"/>
  <c r="AB44" i="1"/>
  <c r="AB46" i="1"/>
  <c r="AB48" i="1"/>
  <c r="AB50" i="1"/>
  <c r="AB53" i="1"/>
  <c r="AB55" i="1"/>
  <c r="A1" i="1"/>
  <c r="D1" i="1"/>
  <c r="F1" i="1"/>
  <c r="L39" i="1"/>
  <c r="L12" i="1"/>
  <c r="L10" i="1"/>
  <c r="L19" i="1"/>
  <c r="L35" i="1"/>
  <c r="L37" i="1"/>
  <c r="L23" i="1"/>
  <c r="L46" i="1"/>
  <c r="L55" i="1"/>
  <c r="L21" i="1"/>
  <c r="L28" i="1"/>
  <c r="L30" i="1"/>
  <c r="L6" i="1"/>
  <c r="L26" i="1"/>
  <c r="L41" i="1"/>
  <c r="L50" i="1"/>
  <c r="L48" i="1"/>
  <c r="L53" i="1"/>
  <c r="L32" i="1"/>
  <c r="L44" i="1"/>
  <c r="L14" i="1"/>
  <c r="L17" i="1"/>
  <c r="M22" i="2"/>
  <c r="L22" i="2"/>
  <c r="H6" i="2"/>
  <c r="L16" i="2"/>
  <c r="M8" i="2"/>
  <c r="M10" i="2"/>
  <c r="L8" i="2"/>
  <c r="L20" i="2"/>
  <c r="L10" i="2"/>
  <c r="M20" i="2"/>
  <c r="F17" i="1"/>
  <c r="F14" i="2"/>
  <c r="F6" i="2"/>
  <c r="G14" i="2"/>
  <c r="G6" i="2"/>
  <c r="T57" i="1"/>
  <c r="Y57" i="1"/>
  <c r="U18" i="1" l="1"/>
  <c r="Y18" i="1" s="1"/>
  <c r="V28" i="1"/>
  <c r="W28" i="1" s="1"/>
  <c r="V21" i="1"/>
  <c r="W21" i="1" s="1"/>
  <c r="V26" i="1"/>
  <c r="W26" i="1" s="1"/>
  <c r="V23" i="1"/>
  <c r="W23" i="1" s="1"/>
  <c r="V27" i="1"/>
  <c r="W27" i="1" s="1"/>
  <c r="V17" i="1"/>
  <c r="W17" i="1" s="1"/>
  <c r="X22" i="1"/>
  <c r="X24" i="1"/>
  <c r="V20" i="1"/>
  <c r="W20" i="1" s="1"/>
  <c r="V19" i="1"/>
  <c r="W19" i="1" s="1"/>
  <c r="V33" i="1"/>
  <c r="W33" i="1" s="1"/>
  <c r="V32" i="1"/>
  <c r="W32" i="1" s="1"/>
  <c r="V35" i="1"/>
  <c r="W35" i="1" s="1"/>
  <c r="V30" i="1"/>
  <c r="W30" i="1" s="1"/>
  <c r="T8" i="1"/>
  <c r="V8" i="1"/>
  <c r="W8" i="1" s="1"/>
  <c r="V31" i="1"/>
  <c r="W31" i="1" s="1"/>
  <c r="V36" i="1"/>
  <c r="W36" i="1" s="1"/>
  <c r="V29" i="1"/>
  <c r="W29" i="1" s="1"/>
  <c r="V18" i="1"/>
  <c r="W18" i="1" s="1"/>
  <c r="U22" i="1"/>
  <c r="Y17" i="1"/>
  <c r="Y21" i="1"/>
  <c r="U12" i="1"/>
  <c r="U10" i="1"/>
  <c r="Y19" i="1"/>
  <c r="T35" i="1"/>
  <c r="Y35" i="1"/>
  <c r="U14" i="1"/>
  <c r="Y23" i="1"/>
  <c r="T28" i="1"/>
  <c r="Y28" i="1"/>
  <c r="T26" i="1"/>
  <c r="Y26" i="1"/>
  <c r="T30" i="1"/>
  <c r="Y30" i="1"/>
  <c r="T32" i="1"/>
  <c r="Y32" i="1"/>
  <c r="T31" i="1"/>
  <c r="Y31" i="1"/>
  <c r="T36" i="1"/>
  <c r="Y36" i="1"/>
  <c r="T33" i="1"/>
  <c r="Y33" i="1"/>
  <c r="T29" i="1"/>
  <c r="Y29" i="1"/>
  <c r="U24" i="1"/>
  <c r="T27" i="1"/>
  <c r="Y27" i="1"/>
  <c r="Y20" i="1"/>
  <c r="B1" i="1"/>
  <c r="C1" i="1" s="1"/>
  <c r="Y8" i="1"/>
  <c r="X12" i="1"/>
  <c r="T19" i="1"/>
  <c r="T17" i="1"/>
  <c r="X14" i="1"/>
  <c r="X10" i="1"/>
  <c r="T20" i="1"/>
  <c r="T21" i="1"/>
  <c r="X11" i="1"/>
  <c r="D6" i="2"/>
  <c r="I6" i="2" s="1"/>
  <c r="E1" i="1"/>
  <c r="N46" i="1"/>
  <c r="N55" i="1"/>
  <c r="N48" i="1"/>
  <c r="N28" i="1"/>
  <c r="N32" i="1"/>
  <c r="N12" i="1"/>
  <c r="N10" i="1"/>
  <c r="N35" i="1"/>
  <c r="N23" i="1"/>
  <c r="N26" i="1"/>
  <c r="N6" i="1"/>
  <c r="N39" i="1"/>
  <c r="N21" i="1"/>
  <c r="N19" i="1"/>
  <c r="N37" i="1"/>
  <c r="N41" i="1"/>
  <c r="M12" i="2"/>
  <c r="N53" i="1"/>
  <c r="N30" i="1"/>
  <c r="N44" i="1"/>
  <c r="L12" i="2"/>
  <c r="N17" i="1"/>
  <c r="N8" i="1"/>
  <c r="L14" i="2"/>
  <c r="N50" i="1"/>
  <c r="N14" i="1"/>
  <c r="M14" i="2"/>
  <c r="T18" i="1" l="1"/>
  <c r="X13" i="1"/>
  <c r="V14" i="1"/>
  <c r="W14" i="1" s="1"/>
  <c r="V12" i="1"/>
  <c r="V10" i="1"/>
  <c r="W10" i="1" s="1"/>
  <c r="Y24" i="1"/>
  <c r="V24" i="1"/>
  <c r="W24" i="1" s="1"/>
  <c r="Y22" i="1"/>
  <c r="V22" i="1"/>
  <c r="W22" i="1" s="1"/>
  <c r="Y12" i="1"/>
  <c r="Y10" i="1"/>
  <c r="T24" i="1"/>
  <c r="O35" i="1"/>
  <c r="U15" i="1"/>
  <c r="U13" i="1"/>
  <c r="U11" i="1"/>
  <c r="U9" i="1"/>
  <c r="J39" i="1"/>
  <c r="J37" i="1"/>
  <c r="J50" i="1"/>
  <c r="J35" i="1"/>
  <c r="J46" i="1"/>
  <c r="J53" i="1"/>
  <c r="J44" i="1"/>
  <c r="J41" i="1"/>
  <c r="J55" i="1"/>
  <c r="J48" i="1"/>
  <c r="Y14" i="1"/>
  <c r="T23" i="1"/>
  <c r="T22" i="1"/>
  <c r="T12" i="1"/>
  <c r="X9" i="1"/>
  <c r="J6" i="2"/>
  <c r="K6" i="2" s="1"/>
  <c r="T14" i="1"/>
  <c r="X15" i="1"/>
  <c r="X6" i="1"/>
  <c r="U6" i="1"/>
  <c r="O14" i="1"/>
  <c r="O8" i="1"/>
  <c r="O10" i="1"/>
  <c r="O53" i="1"/>
  <c r="O55" i="1"/>
  <c r="O17" i="1"/>
  <c r="O26" i="1"/>
  <c r="O44" i="1"/>
  <c r="O21" i="1"/>
  <c r="O30" i="1"/>
  <c r="O39" i="1"/>
  <c r="O48" i="1"/>
  <c r="O19" i="1"/>
  <c r="O23" i="1"/>
  <c r="O32" i="1"/>
  <c r="O37" i="1"/>
  <c r="O41" i="1"/>
  <c r="O46" i="1"/>
  <c r="O50" i="1"/>
  <c r="O28" i="1"/>
  <c r="O12" i="1"/>
  <c r="O6" i="1"/>
  <c r="M14" i="1"/>
  <c r="J14" i="1"/>
  <c r="M17" i="1"/>
  <c r="J17" i="1"/>
  <c r="M26" i="1"/>
  <c r="J26" i="1"/>
  <c r="M35" i="1"/>
  <c r="M44" i="1"/>
  <c r="M53" i="1"/>
  <c r="J10" i="1"/>
  <c r="M10" i="1"/>
  <c r="J21" i="1"/>
  <c r="M21" i="1"/>
  <c r="J30" i="1"/>
  <c r="M30" i="1"/>
  <c r="M39" i="1"/>
  <c r="M48" i="1"/>
  <c r="M12" i="1"/>
  <c r="J12" i="1"/>
  <c r="M19" i="1"/>
  <c r="J19" i="1"/>
  <c r="M23" i="1"/>
  <c r="J23" i="1"/>
  <c r="M28" i="1"/>
  <c r="J28" i="1"/>
  <c r="M32" i="1"/>
  <c r="J32" i="1"/>
  <c r="M37" i="1"/>
  <c r="M41" i="1"/>
  <c r="M46" i="1"/>
  <c r="M50" i="1"/>
  <c r="M55" i="1"/>
  <c r="J8" i="1"/>
  <c r="M8" i="1"/>
  <c r="M6" i="1"/>
  <c r="J6" i="1"/>
  <c r="F55" i="1"/>
  <c r="F48" i="1"/>
  <c r="F46" i="1"/>
  <c r="F35" i="1"/>
  <c r="F12" i="1"/>
  <c r="F32" i="1"/>
  <c r="F10" i="1"/>
  <c r="F28" i="1"/>
  <c r="F6" i="1"/>
  <c r="F26" i="1"/>
  <c r="F23" i="1"/>
  <c r="F39" i="1"/>
  <c r="F21" i="1"/>
  <c r="F19" i="1"/>
  <c r="F37" i="1"/>
  <c r="F41" i="1"/>
  <c r="F53" i="1"/>
  <c r="F44" i="1"/>
  <c r="F8" i="1"/>
  <c r="F30" i="1"/>
  <c r="F50" i="1"/>
  <c r="L6" i="2"/>
  <c r="M6" i="2"/>
  <c r="F14" i="1"/>
  <c r="AA21" i="1"/>
  <c r="AA32" i="1"/>
  <c r="AA6" i="1"/>
  <c r="AA39" i="1"/>
  <c r="AA44" i="1"/>
  <c r="AA23" i="1"/>
  <c r="AA12" i="1"/>
  <c r="AA19" i="1"/>
  <c r="AA26" i="1"/>
  <c r="AA48" i="1"/>
  <c r="AA8" i="1"/>
  <c r="AA30" i="1"/>
  <c r="AA37" i="1"/>
  <c r="AA53" i="1"/>
  <c r="AA46" i="1"/>
  <c r="AA50" i="1"/>
  <c r="AA35" i="1"/>
  <c r="AA41" i="1"/>
  <c r="AA17" i="1"/>
  <c r="AA28" i="1"/>
  <c r="AA10" i="1"/>
  <c r="AA55" i="1"/>
  <c r="AA14" i="1"/>
  <c r="V6" i="1" l="1"/>
  <c r="T15" i="1"/>
  <c r="V15" i="1"/>
  <c r="W15" i="1" s="1"/>
  <c r="Y13" i="1"/>
  <c r="V13" i="1"/>
  <c r="W13" i="1" s="1"/>
  <c r="Y11" i="1"/>
  <c r="V11" i="1"/>
  <c r="W11" i="1" s="1"/>
  <c r="T9" i="1"/>
  <c r="V9" i="1"/>
  <c r="W9" i="1" s="1"/>
  <c r="Y15" i="1"/>
  <c r="T13" i="1"/>
  <c r="T11" i="1"/>
  <c r="Y9" i="1"/>
  <c r="Y6" i="1"/>
  <c r="T10" i="1"/>
  <c r="U7" i="1"/>
  <c r="X7" i="1"/>
  <c r="T6" i="1"/>
  <c r="G6" i="1"/>
  <c r="G46" i="1"/>
  <c r="G10" i="1"/>
  <c r="G44" i="1"/>
  <c r="G41" i="1"/>
  <c r="G23" i="1"/>
  <c r="G37" i="1"/>
  <c r="G12" i="1"/>
  <c r="G53" i="1"/>
  <c r="G50" i="1"/>
  <c r="G19" i="1"/>
  <c r="G35" i="1"/>
  <c r="G32" i="1"/>
  <c r="G8" i="1"/>
  <c r="G17" i="1"/>
  <c r="G48" i="1"/>
  <c r="G39" i="1"/>
  <c r="G30" i="1"/>
  <c r="G21" i="1"/>
  <c r="G28" i="1"/>
  <c r="G26" i="1"/>
  <c r="G55" i="1"/>
  <c r="G14" i="1"/>
  <c r="V7" i="1" l="1"/>
  <c r="W7" i="1" s="1"/>
  <c r="T7" i="1"/>
  <c r="Y7" i="1"/>
  <c r="W6" i="1"/>
  <c r="W12" i="1"/>
  <c r="W44" i="1"/>
  <c r="W53" i="1" l="1"/>
</calcChain>
</file>

<file path=xl/sharedStrings.xml><?xml version="1.0" encoding="utf-8"?>
<sst xmlns="http://schemas.openxmlformats.org/spreadsheetml/2006/main" count="56" uniqueCount="40">
  <si>
    <t>Expiration</t>
  </si>
  <si>
    <t>Days</t>
  </si>
  <si>
    <t>Until</t>
  </si>
  <si>
    <t>Date</t>
  </si>
  <si>
    <t>Today's Daily</t>
  </si>
  <si>
    <t>Traded Volume</t>
  </si>
  <si>
    <t>Vol MA</t>
  </si>
  <si>
    <t>Minute</t>
  </si>
  <si>
    <t>CHICAGO:</t>
  </si>
  <si>
    <t>NEW YORK:</t>
  </si>
  <si>
    <t>LONDON:</t>
  </si>
  <si>
    <t xml:space="preserve">Chicago: </t>
  </si>
  <si>
    <t>MA:</t>
  </si>
  <si>
    <t>Month</t>
  </si>
  <si>
    <t>COI</t>
  </si>
  <si>
    <t>POI</t>
  </si>
  <si>
    <t>F</t>
  </si>
  <si>
    <t>J</t>
  </si>
  <si>
    <t>G</t>
  </si>
  <si>
    <t>K</t>
  </si>
  <si>
    <t>H</t>
  </si>
  <si>
    <t>M</t>
  </si>
  <si>
    <t>N</t>
  </si>
  <si>
    <t>Q</t>
  </si>
  <si>
    <t>U</t>
  </si>
  <si>
    <t>V</t>
  </si>
  <si>
    <t>X</t>
  </si>
  <si>
    <t>Z</t>
  </si>
  <si>
    <t>Net</t>
  </si>
  <si>
    <t>Change</t>
  </si>
  <si>
    <t>Today's Leg Open Interest</t>
  </si>
  <si>
    <t>Spread Volume</t>
  </si>
  <si>
    <t>Leg Months</t>
  </si>
  <si>
    <t>London:</t>
  </si>
  <si>
    <t>Ystdy Volume &amp; Percentage Diff</t>
  </si>
  <si>
    <t>Ystdy OI &amp; Percentage Diff</t>
  </si>
  <si>
    <t xml:space="preserve">  Copyright © 2016                       Designed by Thom Hartle</t>
  </si>
  <si>
    <t>QSAS3??</t>
  </si>
  <si>
    <t>CQG Short Sterling Calendar Spread Volume and OI Dashboard</t>
  </si>
  <si>
    <t>QSA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</si>
</sst>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[$-F400]h:mm:ss\ AM/PM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b/>
      <sz val="28"/>
      <color theme="4"/>
      <name val="Century Gothic"/>
      <family val="2"/>
    </font>
    <font>
      <sz val="22"/>
      <color rgb="FF00B050"/>
      <name val="Century Gothic"/>
      <family val="2"/>
    </font>
    <font>
      <sz val="1"/>
      <color theme="4" tint="0.79998168889431442"/>
      <name val="Century Gothic"/>
      <family val="2"/>
    </font>
    <font>
      <sz val="18"/>
      <color rgb="FF00B050"/>
      <name val="Century Gothic"/>
      <family val="2"/>
    </font>
    <font>
      <sz val="14"/>
      <color theme="0"/>
      <name val="Century Gothic"/>
      <family val="2"/>
    </font>
    <font>
      <sz val="13"/>
      <color theme="0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sz val="28"/>
      <color theme="4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00FF"/>
        <bgColor indexed="64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theme="1" tint="0.1490218817712943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</fills>
  <borders count="38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 style="thin">
        <color theme="3"/>
      </right>
      <top style="thin">
        <color rgb="FFFF0000"/>
      </top>
      <bottom/>
      <diagonal/>
    </border>
    <border>
      <left style="thin">
        <color rgb="FFFF0000"/>
      </left>
      <right style="thin">
        <color theme="3"/>
      </right>
      <top/>
      <bottom style="thin">
        <color rgb="FFFF0000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rgb="FFFF0000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theme="3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2" borderId="0" xfId="0" applyFont="1" applyFill="1"/>
    <xf numFmtId="1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165" fontId="2" fillId="2" borderId="0" xfId="0" applyNumberFormat="1" applyFont="1" applyFill="1"/>
    <xf numFmtId="0" fontId="2" fillId="2" borderId="0" xfId="0" applyNumberFormat="1" applyFont="1" applyFill="1"/>
    <xf numFmtId="0" fontId="4" fillId="4" borderId="0" xfId="0" applyFont="1" applyFill="1"/>
    <xf numFmtId="0" fontId="4" fillId="5" borderId="0" xfId="0" applyFont="1" applyFill="1"/>
    <xf numFmtId="0" fontId="4" fillId="4" borderId="20" xfId="0" applyFont="1" applyFill="1" applyBorder="1" applyAlignment="1">
      <alignment horizontal="center" shrinkToFit="1"/>
    </xf>
    <xf numFmtId="0" fontId="4" fillId="5" borderId="21" xfId="0" applyFont="1" applyFill="1" applyBorder="1" applyAlignment="1">
      <alignment horizontal="center" shrinkToFit="1"/>
    </xf>
    <xf numFmtId="0" fontId="4" fillId="4" borderId="2" xfId="0" applyFont="1" applyFill="1" applyBorder="1"/>
    <xf numFmtId="0" fontId="4" fillId="4" borderId="2" xfId="0" applyFont="1" applyFill="1" applyBorder="1" applyAlignment="1" applyProtection="1">
      <alignment horizontal="center"/>
      <protection locked="0"/>
    </xf>
    <xf numFmtId="0" fontId="4" fillId="12" borderId="24" xfId="0" applyFont="1" applyFill="1" applyBorder="1" applyAlignment="1" applyProtection="1">
      <alignment horizontal="center" wrapText="1"/>
      <protection locked="0"/>
    </xf>
    <xf numFmtId="0" fontId="4" fillId="12" borderId="24" xfId="0" applyFont="1" applyFill="1" applyBorder="1" applyAlignment="1" applyProtection="1">
      <protection locked="0"/>
    </xf>
    <xf numFmtId="3" fontId="4" fillId="2" borderId="11" xfId="0" applyNumberFormat="1" applyFont="1" applyFill="1" applyBorder="1"/>
    <xf numFmtId="3" fontId="9" fillId="2" borderId="11" xfId="0" applyNumberFormat="1" applyFont="1" applyFill="1" applyBorder="1"/>
    <xf numFmtId="3" fontId="9" fillId="2" borderId="9" xfId="0" applyNumberFormat="1" applyFont="1" applyFill="1" applyBorder="1"/>
    <xf numFmtId="3" fontId="9" fillId="3" borderId="17" xfId="0" applyNumberFormat="1" applyFont="1" applyFill="1" applyBorder="1"/>
    <xf numFmtId="0" fontId="9" fillId="6" borderId="13" xfId="0" applyFont="1" applyFill="1" applyBorder="1" applyAlignment="1">
      <alignment horizontal="left"/>
    </xf>
    <xf numFmtId="3" fontId="9" fillId="2" borderId="13" xfId="0" applyNumberFormat="1" applyFont="1" applyFill="1" applyBorder="1"/>
    <xf numFmtId="0" fontId="9" fillId="6" borderId="8" xfId="0" applyFont="1" applyFill="1" applyBorder="1" applyAlignment="1">
      <alignment horizontal="left"/>
    </xf>
    <xf numFmtId="0" fontId="9" fillId="7" borderId="8" xfId="0" applyFont="1" applyFill="1" applyBorder="1" applyAlignment="1">
      <alignment horizontal="left"/>
    </xf>
    <xf numFmtId="0" fontId="9" fillId="8" borderId="8" xfId="0" applyFont="1" applyFill="1" applyBorder="1" applyAlignment="1">
      <alignment horizontal="left"/>
    </xf>
    <xf numFmtId="0" fontId="2" fillId="2" borderId="0" xfId="0" applyFont="1" applyFill="1" applyAlignment="1">
      <alignment shrinkToFit="1"/>
    </xf>
    <xf numFmtId="164" fontId="10" fillId="3" borderId="17" xfId="0" applyNumberFormat="1" applyFont="1" applyFill="1" applyBorder="1" applyAlignment="1">
      <alignment horizontal="left" shrinkToFit="1"/>
    </xf>
    <xf numFmtId="3" fontId="9" fillId="2" borderId="0" xfId="0" applyNumberFormat="1" applyFont="1" applyFill="1" applyBorder="1"/>
    <xf numFmtId="0" fontId="9" fillId="2" borderId="7" xfId="0" applyFont="1" applyFill="1" applyBorder="1" applyAlignment="1">
      <alignment horizontal="left" shrinkToFit="1"/>
    </xf>
    <xf numFmtId="3" fontId="4" fillId="2" borderId="10" xfId="0" applyNumberFormat="1" applyFont="1" applyFill="1" applyBorder="1" applyAlignment="1">
      <alignment shrinkToFit="1"/>
    </xf>
    <xf numFmtId="3" fontId="9" fillId="2" borderId="10" xfId="0" applyNumberFormat="1" applyFont="1" applyFill="1" applyBorder="1" applyAlignment="1">
      <alignment shrinkToFit="1"/>
    </xf>
    <xf numFmtId="0" fontId="9" fillId="2" borderId="13" xfId="0" applyFont="1" applyFill="1" applyBorder="1" applyAlignment="1">
      <alignment horizontal="left" shrinkToFit="1"/>
    </xf>
    <xf numFmtId="3" fontId="4" fillId="2" borderId="11" xfId="0" applyNumberFormat="1" applyFont="1" applyFill="1" applyBorder="1" applyAlignment="1">
      <alignment shrinkToFit="1"/>
    </xf>
    <xf numFmtId="3" fontId="9" fillId="2" borderId="11" xfId="0" applyNumberFormat="1" applyFont="1" applyFill="1" applyBorder="1" applyAlignment="1">
      <alignment shrinkToFit="1"/>
    </xf>
    <xf numFmtId="0" fontId="9" fillId="2" borderId="8" xfId="0" applyFont="1" applyFill="1" applyBorder="1" applyAlignment="1">
      <alignment horizontal="left" shrinkToFit="1"/>
    </xf>
    <xf numFmtId="3" fontId="9" fillId="2" borderId="0" xfId="0" applyNumberFormat="1" applyFont="1" applyFill="1" applyBorder="1" applyAlignment="1">
      <alignment shrinkToFit="1"/>
    </xf>
    <xf numFmtId="3" fontId="9" fillId="2" borderId="13" xfId="0" applyNumberFormat="1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left"/>
    </xf>
    <xf numFmtId="3" fontId="9" fillId="2" borderId="9" xfId="0" applyNumberFormat="1" applyFont="1" applyFill="1" applyBorder="1" applyAlignment="1">
      <alignment horizontal="center" shrinkToFit="1"/>
    </xf>
    <xf numFmtId="3" fontId="9" fillId="2" borderId="13" xfId="0" applyNumberFormat="1" applyFont="1" applyFill="1" applyBorder="1" applyAlignment="1">
      <alignment horizontal="center" shrinkToFit="1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30" xfId="0" applyNumberFormat="1" applyFont="1" applyFill="1" applyBorder="1"/>
    <xf numFmtId="3" fontId="9" fillId="2" borderId="30" xfId="0" applyNumberFormat="1" applyFont="1" applyFill="1" applyBorder="1" applyAlignment="1">
      <alignment shrinkToFit="1"/>
    </xf>
    <xf numFmtId="3" fontId="9" fillId="2" borderId="9" xfId="0" applyNumberFormat="1" applyFont="1" applyFill="1" applyBorder="1" applyAlignment="1">
      <alignment horizontal="center" vertical="center" shrinkToFit="1"/>
    </xf>
    <xf numFmtId="3" fontId="12" fillId="3" borderId="17" xfId="0" applyNumberFormat="1" applyFont="1" applyFill="1" applyBorder="1" applyAlignment="1">
      <alignment horizontal="center" vertical="center" shrinkToFit="1"/>
    </xf>
    <xf numFmtId="3" fontId="12" fillId="14" borderId="23" xfId="0" applyNumberFormat="1" applyFont="1" applyFill="1" applyBorder="1" applyAlignment="1">
      <alignment horizontal="left" vertical="center" shrinkToFit="1"/>
    </xf>
    <xf numFmtId="3" fontId="12" fillId="14" borderId="9" xfId="0" applyNumberFormat="1" applyFont="1" applyFill="1" applyBorder="1" applyAlignment="1">
      <alignment horizontal="left" vertical="center" shrinkToFit="1"/>
    </xf>
    <xf numFmtId="3" fontId="12" fillId="15" borderId="12" xfId="0" applyNumberFormat="1" applyFont="1" applyFill="1" applyBorder="1" applyAlignment="1">
      <alignment horizontal="right" vertical="center" shrinkToFit="1"/>
    </xf>
    <xf numFmtId="3" fontId="12" fillId="15" borderId="13" xfId="0" applyNumberFormat="1" applyFont="1" applyFill="1" applyBorder="1" applyAlignment="1">
      <alignment horizontal="right" vertical="center" shrinkToFit="1"/>
    </xf>
    <xf numFmtId="0" fontId="9" fillId="7" borderId="17" xfId="0" applyFont="1" applyFill="1" applyBorder="1" applyAlignment="1">
      <alignment horizontal="left"/>
    </xf>
    <xf numFmtId="3" fontId="11" fillId="16" borderId="8" xfId="0" applyNumberFormat="1" applyFont="1" applyFill="1" applyBorder="1" applyAlignment="1">
      <alignment shrinkToFit="1"/>
    </xf>
    <xf numFmtId="3" fontId="11" fillId="17" borderId="8" xfId="0" applyNumberFormat="1" applyFont="1" applyFill="1" applyBorder="1" applyAlignment="1">
      <alignment shrinkToFit="1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center" vertical="center"/>
    </xf>
    <xf numFmtId="166" fontId="11" fillId="17" borderId="8" xfId="0" applyNumberFormat="1" applyFont="1" applyFill="1" applyBorder="1" applyAlignment="1">
      <alignment shrinkToFit="1"/>
    </xf>
    <xf numFmtId="166" fontId="11" fillId="16" borderId="8" xfId="0" applyNumberFormat="1" applyFont="1" applyFill="1" applyBorder="1" applyAlignment="1">
      <alignment shrinkToFit="1"/>
    </xf>
    <xf numFmtId="3" fontId="9" fillId="3" borderId="17" xfId="0" applyNumberFormat="1" applyFont="1" applyFill="1" applyBorder="1" applyAlignment="1">
      <alignment shrinkToFit="1"/>
    </xf>
    <xf numFmtId="0" fontId="9" fillId="8" borderId="17" xfId="0" applyFont="1" applyFill="1" applyBorder="1" applyAlignment="1">
      <alignment horizontal="left"/>
    </xf>
    <xf numFmtId="3" fontId="4" fillId="2" borderId="0" xfId="0" applyNumberFormat="1" applyFont="1" applyFill="1" applyBorder="1"/>
    <xf numFmtId="3" fontId="4" fillId="2" borderId="32" xfId="0" applyNumberFormat="1" applyFont="1" applyFill="1" applyBorder="1" applyAlignment="1">
      <alignment shrinkToFit="1"/>
    </xf>
    <xf numFmtId="3" fontId="4" fillId="2" borderId="32" xfId="0" applyNumberFormat="1" applyFont="1" applyFill="1" applyBorder="1"/>
    <xf numFmtId="0" fontId="4" fillId="9" borderId="8" xfId="0" applyFont="1" applyFill="1" applyBorder="1" applyAlignment="1">
      <alignment horizontal="left" vertical="center"/>
    </xf>
    <xf numFmtId="3" fontId="4" fillId="2" borderId="11" xfId="0" applyNumberFormat="1" applyFont="1" applyFill="1" applyBorder="1" applyAlignment="1">
      <alignment vertical="center"/>
    </xf>
    <xf numFmtId="3" fontId="9" fillId="2" borderId="11" xfId="0" applyNumberFormat="1" applyFont="1" applyFill="1" applyBorder="1" applyAlignment="1">
      <alignment vertical="center"/>
    </xf>
    <xf numFmtId="0" fontId="4" fillId="9" borderId="17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vertical="center"/>
    </xf>
    <xf numFmtId="0" fontId="4" fillId="9" borderId="15" xfId="0" applyFont="1" applyFill="1" applyBorder="1" applyAlignment="1">
      <alignment horizontal="left" vertical="center"/>
    </xf>
    <xf numFmtId="3" fontId="4" fillId="2" borderId="32" xfId="0" applyNumberFormat="1" applyFont="1" applyFill="1" applyBorder="1" applyAlignment="1">
      <alignment vertical="center"/>
    </xf>
    <xf numFmtId="0" fontId="9" fillId="10" borderId="8" xfId="0" applyFont="1" applyFill="1" applyBorder="1" applyAlignment="1">
      <alignment horizontal="left" vertical="center"/>
    </xf>
    <xf numFmtId="3" fontId="9" fillId="2" borderId="13" xfId="0" applyNumberFormat="1" applyFont="1" applyFill="1" applyBorder="1" applyAlignment="1">
      <alignment vertical="center"/>
    </xf>
    <xf numFmtId="3" fontId="9" fillId="2" borderId="11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33" xfId="0" applyFont="1" applyFill="1" applyBorder="1" applyAlignment="1"/>
    <xf numFmtId="0" fontId="1" fillId="2" borderId="0" xfId="0" applyFont="1" applyFill="1" applyBorder="1" applyAlignment="1"/>
    <xf numFmtId="10" fontId="1" fillId="18" borderId="33" xfId="0" applyNumberFormat="1" applyFont="1" applyFill="1" applyBorder="1"/>
    <xf numFmtId="3" fontId="1" fillId="18" borderId="0" xfId="0" applyNumberFormat="1" applyFont="1" applyFill="1" applyBorder="1"/>
    <xf numFmtId="0" fontId="2" fillId="2" borderId="33" xfId="0" applyFont="1" applyFill="1" applyBorder="1" applyAlignment="1"/>
    <xf numFmtId="0" fontId="2" fillId="2" borderId="0" xfId="0" applyFont="1" applyFill="1" applyBorder="1" applyAlignment="1"/>
    <xf numFmtId="3" fontId="9" fillId="3" borderId="25" xfId="0" applyNumberFormat="1" applyFont="1" applyFill="1" applyBorder="1"/>
    <xf numFmtId="0" fontId="9" fillId="3" borderId="25" xfId="0" applyFont="1" applyFill="1" applyBorder="1"/>
    <xf numFmtId="10" fontId="9" fillId="3" borderId="25" xfId="0" applyNumberFormat="1" applyFont="1" applyFill="1" applyBorder="1" applyAlignment="1">
      <alignment shrinkToFit="1"/>
    </xf>
    <xf numFmtId="3" fontId="9" fillId="3" borderId="25" xfId="0" applyNumberFormat="1" applyFont="1" applyFill="1" applyBorder="1" applyAlignment="1">
      <alignment horizontal="right" shrinkToFit="1"/>
    </xf>
    <xf numFmtId="3" fontId="9" fillId="3" borderId="0" xfId="0" applyNumberFormat="1" applyFont="1" applyFill="1" applyBorder="1"/>
    <xf numFmtId="0" fontId="9" fillId="3" borderId="0" xfId="0" applyFont="1" applyFill="1" applyBorder="1"/>
    <xf numFmtId="10" fontId="1" fillId="18" borderId="0" xfId="0" applyNumberFormat="1" applyFont="1" applyFill="1" applyBorder="1"/>
    <xf numFmtId="0" fontId="9" fillId="2" borderId="25" xfId="0" applyFont="1" applyFill="1" applyBorder="1" applyAlignment="1">
      <alignment horizontal="left" shrinkToFit="1"/>
    </xf>
    <xf numFmtId="3" fontId="9" fillId="2" borderId="11" xfId="0" applyNumberFormat="1" applyFont="1" applyFill="1" applyBorder="1" applyAlignment="1">
      <alignment horizontal="center" vertical="center" shrinkToFit="1"/>
    </xf>
    <xf numFmtId="3" fontId="12" fillId="15" borderId="32" xfId="0" applyNumberFormat="1" applyFont="1" applyFill="1" applyBorder="1" applyAlignment="1">
      <alignment horizontal="right" vertical="center" shrinkToFit="1"/>
    </xf>
    <xf numFmtId="3" fontId="11" fillId="17" borderId="9" xfId="0" applyNumberFormat="1" applyFont="1" applyFill="1" applyBorder="1" applyAlignment="1">
      <alignment shrinkToFit="1"/>
    </xf>
    <xf numFmtId="3" fontId="11" fillId="16" borderId="9" xfId="0" applyNumberFormat="1" applyFont="1" applyFill="1" applyBorder="1" applyAlignment="1">
      <alignment shrinkToFit="1"/>
    </xf>
    <xf numFmtId="166" fontId="11" fillId="17" borderId="9" xfId="0" applyNumberFormat="1" applyFont="1" applyFill="1" applyBorder="1" applyAlignment="1">
      <alignment shrinkToFit="1"/>
    </xf>
    <xf numFmtId="3" fontId="12" fillId="14" borderId="11" xfId="0" applyNumberFormat="1" applyFont="1" applyFill="1" applyBorder="1" applyAlignment="1">
      <alignment horizontal="left" vertical="center" shrinkToFit="1"/>
    </xf>
    <xf numFmtId="3" fontId="11" fillId="16" borderId="13" xfId="0" applyNumberFormat="1" applyFont="1" applyFill="1" applyBorder="1" applyAlignment="1">
      <alignment shrinkToFit="1"/>
    </xf>
    <xf numFmtId="166" fontId="11" fillId="16" borderId="13" xfId="0" applyNumberFormat="1" applyFont="1" applyFill="1" applyBorder="1" applyAlignment="1">
      <alignment shrinkToFit="1"/>
    </xf>
    <xf numFmtId="3" fontId="4" fillId="3" borderId="17" xfId="0" applyNumberFormat="1" applyFont="1" applyFill="1" applyBorder="1"/>
    <xf numFmtId="0" fontId="1" fillId="3" borderId="5" xfId="0" applyFont="1" applyFill="1" applyBorder="1"/>
    <xf numFmtId="165" fontId="1" fillId="3" borderId="5" xfId="0" applyNumberFormat="1" applyFont="1" applyFill="1" applyBorder="1" applyAlignment="1">
      <alignment horizontal="left"/>
    </xf>
    <xf numFmtId="0" fontId="1" fillId="3" borderId="5" xfId="0" applyFont="1" applyFill="1" applyBorder="1" applyAlignment="1"/>
    <xf numFmtId="0" fontId="9" fillId="2" borderId="8" xfId="0" applyFont="1" applyFill="1" applyBorder="1"/>
    <xf numFmtId="3" fontId="9" fillId="3" borderId="15" xfId="0" applyNumberFormat="1" applyFont="1" applyFill="1" applyBorder="1" applyAlignment="1">
      <alignment horizontal="center" shrinkToFit="1"/>
    </xf>
    <xf numFmtId="165" fontId="6" fillId="18" borderId="33" xfId="0" applyNumberFormat="1" applyFont="1" applyFill="1" applyBorder="1" applyAlignment="1">
      <alignment vertical="center"/>
    </xf>
    <xf numFmtId="165" fontId="6" fillId="18" borderId="0" xfId="0" applyNumberFormat="1" applyFont="1" applyFill="1" applyBorder="1" applyAlignment="1">
      <alignment vertical="center"/>
    </xf>
    <xf numFmtId="0" fontId="4" fillId="18" borderId="33" xfId="0" applyFont="1" applyFill="1" applyBorder="1" applyAlignment="1">
      <alignment horizontal="center" vertical="center"/>
    </xf>
    <xf numFmtId="0" fontId="4" fillId="18" borderId="0" xfId="0" applyFont="1" applyFill="1" applyBorder="1" applyAlignment="1">
      <alignment horizontal="center" vertical="center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4" borderId="0" xfId="0" applyFont="1" applyFill="1" applyAlignment="1">
      <alignment horizontal="center" vertical="center" shrinkToFit="1"/>
    </xf>
    <xf numFmtId="3" fontId="9" fillId="3" borderId="17" xfId="0" applyNumberFormat="1" applyFont="1" applyFill="1" applyBorder="1" applyAlignment="1">
      <alignment horizontal="center" vertical="center" shrinkToFit="1"/>
    </xf>
    <xf numFmtId="10" fontId="1" fillId="3" borderId="14" xfId="0" applyNumberFormat="1" applyFont="1" applyFill="1" applyBorder="1" applyAlignment="1">
      <alignment horizontal="center" vertical="center" shrinkToFit="1"/>
    </xf>
    <xf numFmtId="0" fontId="1" fillId="3" borderId="35" xfId="0" applyFont="1" applyFill="1" applyBorder="1" applyAlignment="1"/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/>
    <xf numFmtId="0" fontId="2" fillId="13" borderId="37" xfId="0" applyFont="1" applyFill="1" applyBorder="1" applyAlignment="1">
      <alignment horizontal="center" wrapText="1"/>
    </xf>
    <xf numFmtId="0" fontId="4" fillId="13" borderId="37" xfId="0" applyFont="1" applyFill="1" applyBorder="1" applyAlignment="1" applyProtection="1">
      <alignment horizontal="center" wrapText="1"/>
      <protection locked="0"/>
    </xf>
    <xf numFmtId="0" fontId="7" fillId="13" borderId="37" xfId="0" applyFont="1" applyFill="1" applyBorder="1" applyAlignment="1"/>
    <xf numFmtId="0" fontId="9" fillId="2" borderId="8" xfId="0" applyFont="1" applyFill="1" applyBorder="1" applyAlignment="1">
      <alignment shrinkToFit="1"/>
    </xf>
    <xf numFmtId="0" fontId="9" fillId="2" borderId="8" xfId="0" applyFont="1" applyFill="1" applyBorder="1" applyAlignment="1">
      <alignment vertical="center"/>
    </xf>
    <xf numFmtId="0" fontId="0" fillId="2" borderId="0" xfId="0" applyFill="1"/>
    <xf numFmtId="0" fontId="0" fillId="2" borderId="0" xfId="0" quotePrefix="1" applyFill="1"/>
    <xf numFmtId="3" fontId="9" fillId="2" borderId="9" xfId="0" applyNumberFormat="1" applyFont="1" applyFill="1" applyBorder="1" applyAlignment="1">
      <alignment horizontal="center"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 shrinkToFit="1"/>
    </xf>
    <xf numFmtId="164" fontId="10" fillId="2" borderId="13" xfId="0" applyNumberFormat="1" applyFont="1" applyFill="1" applyBorder="1" applyAlignment="1">
      <alignment horizontal="center" vertical="center" shrinkToFit="1"/>
    </xf>
    <xf numFmtId="0" fontId="9" fillId="7" borderId="29" xfId="0" applyFont="1" applyFill="1" applyBorder="1" applyAlignment="1">
      <alignment horizontal="center" vertical="center" shrinkToFit="1"/>
    </xf>
    <xf numFmtId="0" fontId="9" fillId="7" borderId="16" xfId="0" applyFont="1" applyFill="1" applyBorder="1" applyAlignment="1">
      <alignment horizontal="center" vertical="center" shrinkToFit="1"/>
    </xf>
    <xf numFmtId="3" fontId="9" fillId="2" borderId="8" xfId="0" applyNumberFormat="1" applyFont="1" applyFill="1" applyBorder="1" applyAlignment="1">
      <alignment horizontal="center" vertical="center" shrinkToFit="1"/>
    </xf>
    <xf numFmtId="10" fontId="9" fillId="2" borderId="8" xfId="0" applyNumberFormat="1" applyFont="1" applyFill="1" applyBorder="1" applyAlignment="1">
      <alignment horizontal="center" vertical="center" shrinkToFit="1"/>
    </xf>
    <xf numFmtId="3" fontId="9" fillId="2" borderId="8" xfId="0" applyNumberFormat="1" applyFont="1" applyFill="1" applyBorder="1" applyAlignment="1">
      <alignment horizontal="center" vertical="center"/>
    </xf>
    <xf numFmtId="164" fontId="10" fillId="2" borderId="25" xfId="0" applyNumberFormat="1" applyFont="1" applyFill="1" applyBorder="1" applyAlignment="1">
      <alignment horizontal="center" vertical="center" shrinkToFit="1"/>
    </xf>
    <xf numFmtId="164" fontId="10" fillId="2" borderId="19" xfId="0" applyNumberFormat="1" applyFont="1" applyFill="1" applyBorder="1" applyAlignment="1">
      <alignment horizontal="center" vertical="center" shrinkToFit="1"/>
    </xf>
    <xf numFmtId="0" fontId="9" fillId="7" borderId="25" xfId="0" applyFont="1" applyFill="1" applyBorder="1" applyAlignment="1">
      <alignment horizontal="center" vertical="center" shrinkToFit="1"/>
    </xf>
    <xf numFmtId="0" fontId="9" fillId="7" borderId="19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165" fontId="8" fillId="3" borderId="2" xfId="0" applyNumberFormat="1" applyFont="1" applyFill="1" applyBorder="1" applyAlignment="1">
      <alignment horizontal="right" vertical="center"/>
    </xf>
    <xf numFmtId="165" fontId="8" fillId="3" borderId="5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 shrinkToFit="1"/>
    </xf>
    <xf numFmtId="164" fontId="10" fillId="2" borderId="10" xfId="0" applyNumberFormat="1" applyFont="1" applyFill="1" applyBorder="1" applyAlignment="1">
      <alignment horizontal="center" vertical="center" shrinkToFit="1"/>
    </xf>
    <xf numFmtId="3" fontId="9" fillId="2" borderId="9" xfId="0" applyNumberFormat="1" applyFont="1" applyFill="1" applyBorder="1" applyAlignment="1">
      <alignment horizontal="center" vertical="center" shrinkToFit="1"/>
    </xf>
    <xf numFmtId="3" fontId="9" fillId="2" borderId="13" xfId="0" applyNumberFormat="1" applyFont="1" applyFill="1" applyBorder="1" applyAlignment="1">
      <alignment horizontal="center" vertical="center" shrinkToFit="1"/>
    </xf>
    <xf numFmtId="3" fontId="9" fillId="2" borderId="11" xfId="0" applyNumberFormat="1" applyFont="1" applyFill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 shrinkToFit="1"/>
    </xf>
    <xf numFmtId="0" fontId="9" fillId="6" borderId="34" xfId="0" applyFont="1" applyFill="1" applyBorder="1" applyAlignment="1">
      <alignment horizontal="center" vertical="center" shrinkToFit="1"/>
    </xf>
    <xf numFmtId="0" fontId="9" fillId="6" borderId="16" xfId="0" applyFont="1" applyFill="1" applyBorder="1" applyAlignment="1">
      <alignment horizontal="center" vertical="center" shrinkToFit="1"/>
    </xf>
    <xf numFmtId="0" fontId="9" fillId="6" borderId="29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right"/>
    </xf>
    <xf numFmtId="165" fontId="1" fillId="3" borderId="18" xfId="0" applyNumberFormat="1" applyFont="1" applyFill="1" applyBorder="1" applyAlignment="1">
      <alignment horizontal="left"/>
    </xf>
    <xf numFmtId="165" fontId="1" fillId="3" borderId="5" xfId="0" applyNumberFormat="1" applyFont="1" applyFill="1" applyBorder="1" applyAlignment="1">
      <alignment horizontal="left"/>
    </xf>
    <xf numFmtId="0" fontId="1" fillId="3" borderId="18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center" shrinkToFi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 shrinkToFit="1"/>
    </xf>
    <xf numFmtId="164" fontId="10" fillId="2" borderId="0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 shrinkToFit="1"/>
    </xf>
    <xf numFmtId="0" fontId="4" fillId="11" borderId="2" xfId="0" applyFont="1" applyFill="1" applyBorder="1" applyAlignment="1">
      <alignment horizontal="center" wrapText="1"/>
    </xf>
    <xf numFmtId="0" fontId="4" fillId="11" borderId="3" xfId="0" applyFont="1" applyFill="1" applyBorder="1" applyAlignment="1">
      <alignment horizontal="center" wrapText="1"/>
    </xf>
    <xf numFmtId="0" fontId="4" fillId="11" borderId="0" xfId="0" applyFont="1" applyFill="1" applyBorder="1" applyAlignment="1">
      <alignment horizontal="center" wrapText="1"/>
    </xf>
    <xf numFmtId="0" fontId="4" fillId="11" borderId="36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3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 shrinkToFit="1"/>
    </xf>
    <xf numFmtId="0" fontId="9" fillId="8" borderId="16" xfId="0" applyFont="1" applyFill="1" applyBorder="1" applyAlignment="1">
      <alignment horizontal="center" vertical="center" shrinkToFit="1"/>
    </xf>
    <xf numFmtId="0" fontId="4" fillId="13" borderId="31" xfId="0" applyFont="1" applyFill="1" applyBorder="1" applyAlignment="1">
      <alignment horizontal="center" vertical="center"/>
    </xf>
    <xf numFmtId="0" fontId="4" fillId="13" borderId="22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 shrinkToFit="1"/>
    </xf>
    <xf numFmtId="0" fontId="9" fillId="6" borderId="19" xfId="0" applyFont="1" applyFill="1" applyBorder="1" applyAlignment="1">
      <alignment horizontal="center" vertical="center" shrinkToFit="1"/>
    </xf>
    <xf numFmtId="0" fontId="4" fillId="9" borderId="29" xfId="0" applyFont="1" applyFill="1" applyBorder="1" applyAlignment="1">
      <alignment horizontal="center" vertical="center" shrinkToFit="1"/>
    </xf>
    <xf numFmtId="0" fontId="4" fillId="9" borderId="16" xfId="0" applyFont="1" applyFill="1" applyBorder="1" applyAlignment="1">
      <alignment horizontal="center" vertical="center" shrinkToFit="1"/>
    </xf>
    <xf numFmtId="0" fontId="9" fillId="8" borderId="25" xfId="0" applyFont="1" applyFill="1" applyBorder="1" applyAlignment="1">
      <alignment horizontal="center" vertical="center" shrinkToFit="1"/>
    </xf>
    <xf numFmtId="0" fontId="9" fillId="8" borderId="19" xfId="0" applyFont="1" applyFill="1" applyBorder="1" applyAlignment="1">
      <alignment horizontal="center" vertical="center" shrinkToFit="1"/>
    </xf>
    <xf numFmtId="0" fontId="4" fillId="9" borderId="25" xfId="0" applyFont="1" applyFill="1" applyBorder="1" applyAlignment="1">
      <alignment horizontal="center" vertical="center" shrinkToFit="1"/>
    </xf>
    <xf numFmtId="0" fontId="4" fillId="9" borderId="19" xfId="0" applyFont="1" applyFill="1" applyBorder="1" applyAlignment="1">
      <alignment horizontal="center" vertical="center" shrinkToFit="1"/>
    </xf>
    <xf numFmtId="0" fontId="9" fillId="10" borderId="29" xfId="0" applyFont="1" applyFill="1" applyBorder="1" applyAlignment="1">
      <alignment horizontal="center" vertical="center" shrinkToFit="1"/>
    </xf>
    <xf numFmtId="0" fontId="9" fillId="10" borderId="16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4" fillId="11" borderId="1" xfId="0" applyFont="1" applyFill="1" applyBorder="1" applyAlignment="1">
      <alignment horizontal="center" vertical="center" shrinkToFit="1"/>
    </xf>
    <xf numFmtId="0" fontId="4" fillId="11" borderId="3" xfId="0" applyFont="1" applyFill="1" applyBorder="1" applyAlignment="1">
      <alignment horizontal="center" vertical="center" shrinkToFit="1"/>
    </xf>
    <xf numFmtId="0" fontId="4" fillId="11" borderId="4" xfId="0" applyFont="1" applyFill="1" applyBorder="1" applyAlignment="1">
      <alignment horizontal="center" vertical="center" shrinkToFit="1"/>
    </xf>
    <xf numFmtId="0" fontId="4" fillId="11" borderId="6" xfId="0" applyFont="1" applyFill="1" applyBorder="1" applyAlignment="1">
      <alignment horizontal="center" vertical="center" shrinkToFit="1"/>
    </xf>
    <xf numFmtId="165" fontId="8" fillId="3" borderId="2" xfId="0" applyNumberFormat="1" applyFont="1" applyFill="1" applyBorder="1" applyAlignment="1">
      <alignment horizontal="left" vertical="center"/>
    </xf>
    <xf numFmtId="165" fontId="8" fillId="3" borderId="3" xfId="0" applyNumberFormat="1" applyFont="1" applyFill="1" applyBorder="1" applyAlignment="1">
      <alignment horizontal="left" vertical="center"/>
    </xf>
    <xf numFmtId="165" fontId="8" fillId="3" borderId="5" xfId="0" applyNumberFormat="1" applyFont="1" applyFill="1" applyBorder="1" applyAlignment="1">
      <alignment horizontal="left" vertical="center"/>
    </xf>
    <xf numFmtId="165" fontId="8" fillId="3" borderId="6" xfId="0" applyNumberFormat="1" applyFont="1" applyFill="1" applyBorder="1" applyAlignment="1">
      <alignment horizontal="left" vertical="center"/>
    </xf>
    <xf numFmtId="0" fontId="9" fillId="8" borderId="26" xfId="0" applyFont="1" applyFill="1" applyBorder="1" applyAlignment="1">
      <alignment horizontal="center" vertical="center" shrinkToFit="1"/>
    </xf>
    <xf numFmtId="0" fontId="9" fillId="8" borderId="22" xfId="0" applyFont="1" applyFill="1" applyBorder="1" applyAlignment="1">
      <alignment horizontal="center" vertical="center" shrinkToFit="1"/>
    </xf>
    <xf numFmtId="0" fontId="9" fillId="7" borderId="26" xfId="0" applyFont="1" applyFill="1" applyBorder="1" applyAlignment="1">
      <alignment horizontal="center" vertical="center" shrinkToFit="1"/>
    </xf>
    <xf numFmtId="0" fontId="9" fillId="7" borderId="22" xfId="0" applyFont="1" applyFill="1" applyBorder="1" applyAlignment="1">
      <alignment horizontal="center" vertical="center" shrinkToFit="1"/>
    </xf>
    <xf numFmtId="0" fontId="9" fillId="6" borderId="26" xfId="0" applyFont="1" applyFill="1" applyBorder="1" applyAlignment="1">
      <alignment horizontal="center" vertical="center" shrinkToFit="1"/>
    </xf>
    <xf numFmtId="0" fontId="9" fillId="6" borderId="22" xfId="0" applyFont="1" applyFill="1" applyBorder="1" applyAlignment="1">
      <alignment horizontal="center" vertical="center" shrinkToFit="1"/>
    </xf>
    <xf numFmtId="0" fontId="9" fillId="10" borderId="25" xfId="0" applyFont="1" applyFill="1" applyBorder="1" applyAlignment="1">
      <alignment horizontal="center" vertical="center" shrinkToFit="1"/>
    </xf>
    <xf numFmtId="0" fontId="9" fillId="10" borderId="26" xfId="0" applyFont="1" applyFill="1" applyBorder="1" applyAlignment="1">
      <alignment horizontal="center" vertical="center" shrinkToFit="1"/>
    </xf>
    <xf numFmtId="0" fontId="9" fillId="10" borderId="19" xfId="0" applyFont="1" applyFill="1" applyBorder="1" applyAlignment="1">
      <alignment horizontal="center" vertical="center" shrinkToFit="1"/>
    </xf>
    <xf numFmtId="0" fontId="9" fillId="10" borderId="22" xfId="0" applyFont="1" applyFill="1" applyBorder="1" applyAlignment="1">
      <alignment horizontal="center" vertical="center" shrinkToFit="1"/>
    </xf>
    <xf numFmtId="0" fontId="4" fillId="9" borderId="26" xfId="0" applyFont="1" applyFill="1" applyBorder="1" applyAlignment="1">
      <alignment horizontal="center" vertical="center" shrinkToFit="1"/>
    </xf>
    <xf numFmtId="0" fontId="4" fillId="9" borderId="22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top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75"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</dxfs>
  <tableStyles count="0" defaultTableStyle="TableStyleMedium2" defaultPivotStyle="PivotStyleLight16"/>
  <colors>
    <mruColors>
      <color rgb="FFCB6D51"/>
      <color rgb="FFC9C0BB"/>
      <color rgb="FFFFA000"/>
      <color rgb="FFFFF5EE"/>
      <color rgb="FFFFF5EF"/>
      <color rgb="FF66CCFF"/>
      <color rgb="FFFF3399"/>
      <color rgb="FF000000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423.33333333000002</v>
        <stp/>
        <stp>StudyData</stp>
        <stp>QSAS3??13</stp>
        <stp>MA</stp>
        <stp>InputChoice=ContractVol,MAType=Sim,Period=12</stp>
        <stp>MA</stp>
        <stp/>
        <stp/>
        <stp>all</stp>
        <stp/>
        <stp/>
        <stp/>
        <stp>T</stp>
        <tr r="L32" s="1"/>
      </tp>
      <tp t="s">
        <v/>
        <stp/>
        <stp>StudyData</stp>
        <stp>QSAS3??23</stp>
        <stp>MA</stp>
        <stp>InputChoice=ContractVol,MAType=Sim,Period=12</stp>
        <stp>MA</stp>
        <stp/>
        <stp/>
        <stp>all</stp>
        <stp/>
        <stp/>
        <stp/>
        <stp>T</stp>
        <tr r="L55" s="1"/>
      </tp>
      <tp>
        <v>1337</v>
        <stp/>
        <stp>StudyData</stp>
        <stp>QSAS3??12</stp>
        <stp>MA</stp>
        <stp>InputChoice=ContractVol,MAType=Sim,Period=12</stp>
        <stp>MA</stp>
        <stp/>
        <stp/>
        <stp>all</stp>
        <stp/>
        <stp/>
        <stp/>
        <stp>T</stp>
        <tr r="L30" s="1"/>
      </tp>
      <tp t="s">
        <v/>
        <stp/>
        <stp>StudyData</stp>
        <stp>QSAS3??22</stp>
        <stp>MA</stp>
        <stp>InputChoice=ContractVol,MAType=Sim,Period=12</stp>
        <stp>MA</stp>
        <stp/>
        <stp/>
        <stp>all</stp>
        <stp/>
        <stp/>
        <stp/>
        <stp>T</stp>
        <tr r="L53" s="1"/>
      </tp>
      <tp>
        <v>1845.91666667</v>
        <stp/>
        <stp>StudyData</stp>
        <stp>QSAS3??11</stp>
        <stp>MA</stp>
        <stp>InputChoice=ContractVol,MAType=Sim,Period=12</stp>
        <stp>MA</stp>
        <stp/>
        <stp/>
        <stp>all</stp>
        <stp/>
        <stp/>
        <stp/>
        <stp>T</stp>
        <tr r="L28" s="1"/>
      </tp>
      <tp t="s">
        <v/>
        <stp/>
        <stp>StudyData</stp>
        <stp>QSAS3??21</stp>
        <stp>MA</stp>
        <stp>InputChoice=ContractVol,MAType=Sim,Period=12</stp>
        <stp>MA</stp>
        <stp/>
        <stp/>
        <stp>all</stp>
        <stp/>
        <stp/>
        <stp/>
        <stp>T</stp>
        <tr r="L50" s="1"/>
      </tp>
      <tp>
        <v>5635.5</v>
        <stp/>
        <stp>StudyData</stp>
        <stp>QSAS3??10</stp>
        <stp>MA</stp>
        <stp>InputChoice=ContractVol,MAType=Sim,Period=12</stp>
        <stp>MA</stp>
        <stp/>
        <stp/>
        <stp>all</stp>
        <stp/>
        <stp/>
        <stp/>
        <stp>T</stp>
        <tr r="L26" s="1"/>
      </tp>
      <tp t="s">
        <v/>
        <stp/>
        <stp>StudyData</stp>
        <stp>QSAS3??20</stp>
        <stp>MA</stp>
        <stp>InputChoice=ContractVol,MAType=Sim,Period=12</stp>
        <stp>MA</stp>
        <stp/>
        <stp/>
        <stp>all</stp>
        <stp/>
        <stp/>
        <stp/>
        <stp>T</stp>
        <tr r="L48" s="1"/>
      </tp>
      <tp>
        <v>4.5833333300000003</v>
        <stp/>
        <stp>StudyData</stp>
        <stp>QSAS3??17</stp>
        <stp>MA</stp>
        <stp>InputChoice=ContractVol,MAType=Sim,Period=12</stp>
        <stp>MA</stp>
        <stp/>
        <stp/>
        <stp>all</stp>
        <stp/>
        <stp/>
        <stp/>
        <stp>T</stp>
        <tr r="L41" s="1"/>
      </tp>
      <tp>
        <v>50.833333330000002</v>
        <stp/>
        <stp>StudyData</stp>
        <stp>QSAS3??16</stp>
        <stp>MA</stp>
        <stp>InputChoice=ContractVol,MAType=Sim,Period=12</stp>
        <stp>MA</stp>
        <stp/>
        <stp/>
        <stp>all</stp>
        <stp/>
        <stp/>
        <stp/>
        <stp>T</stp>
        <tr r="L39" s="1"/>
      </tp>
      <tp>
        <v>59.083333330000002</v>
        <stp/>
        <stp>StudyData</stp>
        <stp>QSAS3??15</stp>
        <stp>MA</stp>
        <stp>InputChoice=ContractVol,MAType=Sim,Period=12</stp>
        <stp>MA</stp>
        <stp/>
        <stp/>
        <stp>all</stp>
        <stp/>
        <stp/>
        <stp/>
        <stp>T</stp>
        <tr r="L37" s="1"/>
      </tp>
      <tp>
        <v>139.16666667000001</v>
        <stp/>
        <stp>StudyData</stp>
        <stp>QSAS3??14</stp>
        <stp>MA</stp>
        <stp>InputChoice=ContractVol,MAType=Sim,Period=12</stp>
        <stp>MA</stp>
        <stp/>
        <stp/>
        <stp>all</stp>
        <stp/>
        <stp/>
        <stp/>
        <stp>T</stp>
        <tr r="L35" s="1"/>
      </tp>
      <tp t="s">
        <v/>
        <stp/>
        <stp>StudyData</stp>
        <stp>QSAS3??19</stp>
        <stp>MA</stp>
        <stp>InputChoice=ContractVol,MAType=Sim,Period=12</stp>
        <stp>MA</stp>
        <stp/>
        <stp/>
        <stp>all</stp>
        <stp/>
        <stp/>
        <stp/>
        <stp>T</stp>
        <tr r="L46" s="1"/>
      </tp>
      <tp t="s">
        <v/>
        <stp/>
        <stp>StudyData</stp>
        <stp>QSAS3??18</stp>
        <stp>MA</stp>
        <stp>InputChoice=ContractVol,MAType=Sim,Period=12</stp>
        <stp>MA</stp>
        <stp/>
        <stp/>
        <stp>all</stp>
        <stp/>
        <stp/>
        <stp/>
        <stp>T</stp>
        <tr r="L44" s="1"/>
      </tp>
      <tp t="s">
        <v>Short Sterling Calendar Spreads, Mar 21, Jun 21</v>
        <stp/>
        <stp>ContractData</stp>
        <stp>QSAS3??21</stp>
        <stp>LongDescription</stp>
        <tr r="B50" s="1"/>
      </tp>
      <tp t="s">
        <v>Short Sterling Calendar Spreads, Dec 20, Mar 21</v>
        <stp/>
        <stp>ContractData</stp>
        <stp>QSAS3??20</stp>
        <stp>LongDescription</stp>
        <tr r="B48" s="1"/>
      </tp>
      <tp t="s">
        <v>Short Sterling Calendar Spreads, Sep 21, Dec 21</v>
        <stp/>
        <stp>ContractData</stp>
        <stp>QSAS3??23</stp>
        <stp>LongDescription</stp>
        <tr r="B55" s="1"/>
      </tp>
      <tp t="s">
        <v>Short Sterling Calendar Spreads, Jun 21, Sep 21</v>
        <stp/>
        <stp>ContractData</stp>
        <stp>QSAS3??22</stp>
        <stp>LongDescription</stp>
        <tr r="B53" s="1"/>
      </tp>
      <tp t="s">
        <v>Short Sterling Calendar Spreads, Sep 20, Dec 20</v>
        <stp/>
        <stp>ContractData</stp>
        <stp>QSAS3??19</stp>
        <stp>LongDescription</stp>
        <tr r="B46" s="1"/>
      </tp>
      <tp t="s">
        <v>Short Sterling Calendar Spreads, Jun 20, Sep 20</v>
        <stp/>
        <stp>ContractData</stp>
        <stp>QSAS3??18</stp>
        <stp>LongDescription</stp>
        <tr r="B44" s="1"/>
      </tp>
      <tp t="s">
        <v>Short Sterling Calendar Spreads, Sep 19, Dec 19</v>
        <stp/>
        <stp>ContractData</stp>
        <stp>QSAS3??15</stp>
        <stp>LongDescription</stp>
        <tr r="B37" s="1"/>
      </tp>
      <tp t="s">
        <v>Short Sterling Calendar Spreads, Jun 19, Sep 19</v>
        <stp/>
        <stp>ContractData</stp>
        <stp>QSAS3??14</stp>
        <stp>LongDescription</stp>
        <tr r="B35" s="1"/>
      </tp>
      <tp t="s">
        <v>Short Sterling Calendar Spreads, Mar 20, Jun 20</v>
        <stp/>
        <stp>ContractData</stp>
        <stp>QSAS3??17</stp>
        <stp>LongDescription</stp>
        <tr r="B41" s="1"/>
      </tp>
      <tp t="s">
        <v>Short Sterling Calendar Spreads, Dec 19, Mar 20</v>
        <stp/>
        <stp>ContractData</stp>
        <stp>QSAS3??16</stp>
        <stp>LongDescription</stp>
        <tr r="B39" s="1"/>
      </tp>
      <tp t="s">
        <v>Short Sterling Calendar Spreads, Sep 18, Dec 18</v>
        <stp/>
        <stp>ContractData</stp>
        <stp>QSAS3??11</stp>
        <stp>LongDescription</stp>
        <tr r="B28" s="1"/>
      </tp>
      <tp t="s">
        <v>Short Sterling Calendar Spreads, Jun 18, Sep 18</v>
        <stp/>
        <stp>ContractData</stp>
        <stp>QSAS3??10</stp>
        <stp>LongDescription</stp>
        <tr r="B26" s="1"/>
      </tp>
      <tp t="s">
        <v>Short Sterling Calendar Spreads, Mar 19, Jun 19</v>
        <stp/>
        <stp>ContractData</stp>
        <stp>QSAS3??13</stp>
        <stp>LongDescription</stp>
        <tr r="B32" s="1"/>
      </tp>
      <tp t="s">
        <v>Short Sterling Calendar Spreads, Dec 18, Mar 19</v>
        <stp/>
        <stp>ContractData</stp>
        <stp>QSAS3??12</stp>
        <stp>LongDescription</stp>
        <tr r="B30" s="1"/>
      </tp>
      <tp>
        <v>9</v>
        <stp/>
        <stp>StudyData</stp>
        <stp>QSAS3??8</stp>
        <stp>Vol</stp>
        <stp>VolType=Exchange,CoCType=Contract</stp>
        <stp>Vol</stp>
        <stp>30</stp>
        <stp>0</stp>
        <stp>ALL</stp>
        <stp/>
        <stp/>
        <stp>TRUE</stp>
        <stp>T</stp>
        <tr r="Z21" s="1"/>
        <tr r="Z21" s="1"/>
      </tp>
      <tp>
        <v>2</v>
        <stp/>
        <stp>StudyData</stp>
        <stp>QSAS3??9</stp>
        <stp>Vol</stp>
        <stp>VolType=Exchange,CoCType=Contract</stp>
        <stp>Vol</stp>
        <stp>30</stp>
        <stp>0</stp>
        <stp>ALL</stp>
        <stp/>
        <stp/>
        <stp>TRUE</stp>
        <stp>T</stp>
        <tr r="Z23" s="1"/>
        <tr r="Z23" s="1"/>
      </tp>
      <tp>
        <v>2003</v>
        <stp/>
        <stp>StudyData</stp>
        <stp>QSAS3??1</stp>
        <stp>Vol</stp>
        <stp>VolType=Exchange,CoCType=Contract</stp>
        <stp>Vol</stp>
        <stp>30</stp>
        <stp>0</stp>
        <stp>ALL</stp>
        <stp/>
        <stp/>
        <stp>TRUE</stp>
        <stp>T</stp>
        <tr r="Z6" s="1"/>
        <tr r="Z6" s="1"/>
      </tp>
      <tp>
        <v>1516</v>
        <stp/>
        <stp>StudyData</stp>
        <stp>QSAS3??2</stp>
        <stp>Vol</stp>
        <stp>VolType=Exchange,CoCType=Contract</stp>
        <stp>Vol</stp>
        <stp>30</stp>
        <stp>0</stp>
        <stp>ALL</stp>
        <stp/>
        <stp/>
        <stp>TRUE</stp>
        <stp>T</stp>
        <tr r="Z8" s="1"/>
        <tr r="Z8" s="1"/>
      </tp>
      <tp>
        <v>943</v>
        <stp/>
        <stp>StudyData</stp>
        <stp>QSAS3??3</stp>
        <stp>Vol</stp>
        <stp>VolType=Exchange,CoCType=Contract</stp>
        <stp>Vol</stp>
        <stp>30</stp>
        <stp>0</stp>
        <stp>ALL</stp>
        <stp/>
        <stp/>
        <stp>TRUE</stp>
        <stp>T</stp>
        <tr r="Z10" s="1"/>
        <tr r="Z10" s="1"/>
      </tp>
      <tp>
        <v>1028</v>
        <stp/>
        <stp>StudyData</stp>
        <stp>QSAS3??4</stp>
        <stp>Vol</stp>
        <stp>VolType=Exchange,CoCType=Contract</stp>
        <stp>Vol</stp>
        <stp>30</stp>
        <stp>0</stp>
        <stp>ALL</stp>
        <stp/>
        <stp/>
        <stp>TRUE</stp>
        <stp>T</stp>
        <tr r="Z12" s="1"/>
        <tr r="Z12" s="1"/>
      </tp>
      <tp>
        <v>942</v>
        <stp/>
        <stp>StudyData</stp>
        <stp>QSAS3??5</stp>
        <stp>Vol</stp>
        <stp>VolType=Exchange,CoCType=Contract</stp>
        <stp>Vol</stp>
        <stp>30</stp>
        <stp>0</stp>
        <stp>ALL</stp>
        <stp/>
        <stp/>
        <stp>TRUE</stp>
        <stp>T</stp>
        <tr r="Z14" s="1"/>
        <tr r="Z14" s="1"/>
      </tp>
      <tp>
        <v>8</v>
        <stp/>
        <stp>StudyData</stp>
        <stp>QSAS3??6</stp>
        <stp>Vol</stp>
        <stp>VolType=Exchange,CoCType=Contract</stp>
        <stp>Vol</stp>
        <stp>30</stp>
        <stp>0</stp>
        <stp>ALL</stp>
        <stp/>
        <stp/>
        <stp>TRUE</stp>
        <stp>T</stp>
        <tr r="Z17" s="1"/>
        <tr r="Z17" s="1"/>
      </tp>
      <tp>
        <v>75</v>
        <stp/>
        <stp>StudyData</stp>
        <stp>QSAS3??7</stp>
        <stp>Vol</stp>
        <stp>VolType=Exchange,CoCType=Contract</stp>
        <stp>Vol</stp>
        <stp>30</stp>
        <stp>0</stp>
        <stp>ALL</stp>
        <stp/>
        <stp/>
        <stp>TRUE</stp>
        <stp>T</stp>
        <tr r="Z19" s="1"/>
        <tr r="Z19" s="1"/>
      </tp>
      <tp t="s">
        <v>Short Sterling Calendar Spreads, Jun 18, Sep 18</v>
        <stp/>
        <stp>ContractData</stp>
        <stp>QSAS3M8</stp>
        <stp>LongDescription</stp>
        <tr r="H24" s="2"/>
      </tp>
      <tp t="s">
        <v>Short Sterling Calendar Spreads, Jun 19, Sep 19</v>
        <stp/>
        <stp>ContractData</stp>
        <stp>QSAS3M9</stp>
        <stp>LongDescription</stp>
        <tr r="H32" s="2"/>
      </tp>
      <tp t="s">
        <v>Short Sterling Calendar Spreads, Jun 16, Sep 16</v>
        <stp/>
        <stp>ContractData</stp>
        <stp>QSAS3M6</stp>
        <stp>LongDescription</stp>
        <tr r="H8" s="2"/>
      </tp>
      <tp t="s">
        <v>Short Sterling Calendar Spreads, Jun 17, Sep 17</v>
        <stp/>
        <stp>ContractData</stp>
        <stp>QSAS3M7</stp>
        <stp>LongDescription</stp>
        <tr r="H16" s="2"/>
      </tp>
      <tp t="s">
        <v>Short Sterling Calendar Spreads, Jun 20, Sep 20</v>
        <stp/>
        <stp>ContractData</stp>
        <stp>QSAS3M0</stp>
        <stp>LongDescription</stp>
        <tr r="H40" s="2"/>
      </tp>
      <tp t="s">
        <v>Short Sterling Calendar Spreads, Jun 21, Sep 21</v>
        <stp/>
        <stp>ContractData</stp>
        <stp>QSAS3M1</stp>
        <stp>LongDescription</stp>
        <tr r="H48" s="2"/>
      </tp>
      <tp t="s">
        <v>Short Sterling Calendar Spreads, Mar 18, Jun 18</v>
        <stp/>
        <stp>ContractData</stp>
        <stp>QSAS3H8</stp>
        <stp>LongDescription</stp>
        <tr r="H22" s="2"/>
      </tp>
      <tp t="s">
        <v>Short Sterling Calendar Spreads, Mar 19, Jun 19</v>
        <stp/>
        <stp>ContractData</stp>
        <stp>QSAS3H9</stp>
        <stp>LongDescription</stp>
        <tr r="H30" s="2"/>
      </tp>
      <tp t="s">
        <v>Short Sterling Calendar Spreads, Mar 16, Jun 16</v>
        <stp/>
        <stp>ContractData</stp>
        <stp>QSAS3H6</stp>
        <stp>LongDescription</stp>
        <tr r="H6" s="2"/>
      </tp>
      <tp t="s">
        <v>Short Sterling Calendar Spreads, Mar 17, Jun 17</v>
        <stp/>
        <stp>ContractData</stp>
        <stp>QSAS3H7</stp>
        <stp>LongDescription</stp>
        <tr r="H14" s="2"/>
      </tp>
      <tp t="s">
        <v>Short Sterling Calendar Spreads, Mar 20, Jun 20</v>
        <stp/>
        <stp>ContractData</stp>
        <stp>QSAS3H0</stp>
        <stp>LongDescription</stp>
        <tr r="H38" s="2"/>
      </tp>
      <tp t="s">
        <v>Short Sterling Calendar Spreads, Mar 21, Jun 21</v>
        <stp/>
        <stp>ContractData</stp>
        <stp>QSAS3H1</stp>
        <stp>LongDescription</stp>
        <tr r="H46" s="2"/>
      </tp>
      <tp t="s">
        <v>Short Sterling Calendar Spreads, Dec 18, Mar 19</v>
        <stp/>
        <stp>ContractData</stp>
        <stp>QSAS3Z8</stp>
        <stp>LongDescription</stp>
        <tr r="H28" s="2"/>
      </tp>
      <tp t="s">
        <v>Short Sterling Calendar Spreads, Dec 19, Mar 20</v>
        <stp/>
        <stp>ContractData</stp>
        <stp>QSAS3Z9</stp>
        <stp>LongDescription</stp>
        <tr r="H36" s="2"/>
      </tp>
      <tp t="s">
        <v>Short Sterling Calendar Spreads, Dec 16, Mar 17</v>
        <stp/>
        <stp>ContractData</stp>
        <stp>QSAS3Z6</stp>
        <stp>LongDescription</stp>
        <tr r="H12" s="2"/>
      </tp>
      <tp t="s">
        <v>Short Sterling Calendar Spreads, Dec 17, Mar 18</v>
        <stp/>
        <stp>ContractData</stp>
        <stp>QSAS3Z7</stp>
        <stp>LongDescription</stp>
        <tr r="H20" s="2"/>
      </tp>
      <tp t="s">
        <v>Short Sterling Calendar Spreads, Dec 20, Mar 21</v>
        <stp/>
        <stp>ContractData</stp>
        <stp>QSAS3Z0</stp>
        <stp>LongDescription</stp>
        <tr r="H44" s="2"/>
      </tp>
      <tp t="s">
        <v>Short Sterling Calendar Spreads, Sep 18, Dec 18</v>
        <stp/>
        <stp>ContractData</stp>
        <stp>QSAS3U8</stp>
        <stp>LongDescription</stp>
        <tr r="H26" s="2"/>
      </tp>
      <tp t="s">
        <v>Short Sterling Calendar Spreads, Sep 19, Dec 19</v>
        <stp/>
        <stp>ContractData</stp>
        <stp>QSAS3U9</stp>
        <stp>LongDescription</stp>
        <tr r="H34" s="2"/>
      </tp>
      <tp t="s">
        <v>Short Sterling Calendar Spreads, Sep 16, Dec 16</v>
        <stp/>
        <stp>ContractData</stp>
        <stp>QSAS3U6</stp>
        <stp>LongDescription</stp>
        <tr r="H10" s="2"/>
      </tp>
      <tp t="s">
        <v>Short Sterling Calendar Spreads, Sep 17, Dec 17</v>
        <stp/>
        <stp>ContractData</stp>
        <stp>QSAS3U7</stp>
        <stp>LongDescription</stp>
        <tr r="H18" s="2"/>
      </tp>
      <tp t="s">
        <v>Short Sterling Calendar Spreads, Sep 20, Dec 20</v>
        <stp/>
        <stp>ContractData</stp>
        <stp>QSAS3U0</stp>
        <stp>LongDescription</stp>
        <tr r="H42" s="2"/>
      </tp>
      <tp t="s">
        <v>Short Sterling Calendar Spreads, Sep 21, Dec 21</v>
        <stp/>
        <stp>ContractData</stp>
        <stp>QSAS3U1</stp>
        <stp>LongDescription</stp>
        <tr r="H50" s="2"/>
      </tp>
      <tp>
        <v>2142</v>
        <stp/>
        <stp>StudyData</stp>
        <stp>(MA(QSAS3??1,Period:=12,MAType:=Sim,InputChoice:=ContractVol) when LocalYear(QSAS3??1)=2013 And (LocalMonth(QSAS3??1)=9 And LocalDay(QSAS3??1)=11 ))</stp>
        <stp>Bar</stp>
        <stp/>
        <stp>Close</stp>
        <stp>D</stp>
        <stp>0</stp>
        <stp>all</stp>
        <stp/>
        <stp/>
        <stp>False</stp>
        <stp/>
        <stp/>
        <tr r="P6" s="1"/>
      </tp>
      <tp>
        <v>1216</v>
        <stp/>
        <stp>StudyData</stp>
        <stp>(MA(QSAS3??2,Period:=12,MAType:=Sim,InputChoice:=ContractVol) when LocalYear(QSAS3??2)=2013 And (LocalMonth(QSAS3??2)=9 And LocalDay(QSAS3??2)=11 ))</stp>
        <stp>Bar</stp>
        <stp/>
        <stp>Close</stp>
        <stp>D</stp>
        <stp>0</stp>
        <stp>all</stp>
        <stp/>
        <stp/>
        <stp>False</stp>
        <stp/>
        <stp/>
        <tr r="P8" s="1"/>
      </tp>
      <tp>
        <v>841</v>
        <stp/>
        <stp>StudyData</stp>
        <stp>(MA(QSAS3??3,Period:=12,MAType:=Sim,InputChoice:=ContractVol) when LocalYear(QSAS3??3)=2013 And (LocalMonth(QSAS3??3)=9 And LocalDay(QSAS3??3)=11 ))</stp>
        <stp>Bar</stp>
        <stp/>
        <stp>Close</stp>
        <stp>D</stp>
        <stp>0</stp>
        <stp>all</stp>
        <stp/>
        <stp/>
        <stp>False</stp>
        <stp/>
        <stp/>
        <tr r="P10" s="1"/>
      </tp>
      <tp>
        <v>155</v>
        <stp/>
        <stp>StudyData</stp>
        <stp>(MA(QSAS3??4,Period:=12,MAType:=Sim,InputChoice:=ContractVol) when LocalYear(QSAS3??4)=2013 And (LocalMonth(QSAS3??4)=9 And LocalDay(QSAS3??4)=11 ))</stp>
        <stp>Bar</stp>
        <stp/>
        <stp>Close</stp>
        <stp>D</stp>
        <stp>0</stp>
        <stp>all</stp>
        <stp/>
        <stp/>
        <stp>False</stp>
        <stp/>
        <stp/>
        <tr r="P12" s="1"/>
      </tp>
      <tp>
        <v>105</v>
        <stp/>
        <stp>StudyData</stp>
        <stp>(MA(QSAS3??5,Period:=12,MAType:=Sim,InputChoice:=ContractVol) when LocalYear(QSAS3??5)=2013 And (LocalMonth(QSAS3??5)=9 And LocalDay(QSAS3??5)=11 ))</stp>
        <stp>Bar</stp>
        <stp/>
        <stp>Close</stp>
        <stp>D</stp>
        <stp>0</stp>
        <stp>all</stp>
        <stp/>
        <stp/>
        <stp>False</stp>
        <stp/>
        <stp/>
        <tr r="P14" s="1"/>
      </tp>
      <tp>
        <v>42</v>
        <stp/>
        <stp>StudyData</stp>
        <stp>(MA(QSAS3??6,Period:=12,MAType:=Sim,InputChoice:=ContractVol) when LocalYear(QSAS3??6)=2013 And (LocalMonth(QSAS3??6)=9 And LocalDay(QSAS3??6)=11 ))</stp>
        <stp>Bar</stp>
        <stp/>
        <stp>Close</stp>
        <stp>D</stp>
        <stp>0</stp>
        <stp>all</stp>
        <stp/>
        <stp/>
        <stp>False</stp>
        <stp/>
        <stp/>
        <tr r="P17" s="1"/>
      </tp>
      <tp>
        <v>21</v>
        <stp/>
        <stp>StudyData</stp>
        <stp>(MA(QSAS3??7,Period:=12,MAType:=Sim,InputChoice:=ContractVol) when LocalYear(QSAS3??7)=2013 And (LocalMonth(QSAS3??7)=9 And LocalDay(QSAS3??7)=11 ))</stp>
        <stp>Bar</stp>
        <stp/>
        <stp>Close</stp>
        <stp>D</stp>
        <stp>0</stp>
        <stp>all</stp>
        <stp/>
        <stp/>
        <stp>False</stp>
        <stp/>
        <stp/>
        <tr r="P19" s="1"/>
      </tp>
      <tp>
        <v>159</v>
        <stp/>
        <stp>StudyData</stp>
        <stp>(MA(QSAS3??8,Period:=12,MAType:=Sim,InputChoice:=ContractVol) when LocalYear(QSAS3??8)=2013 And (LocalMonth(QSAS3??8)=9 And LocalDay(QSAS3??8)=11 ))</stp>
        <stp>Bar</stp>
        <stp/>
        <stp>Close</stp>
        <stp>D</stp>
        <stp>0</stp>
        <stp>all</stp>
        <stp/>
        <stp/>
        <stp>False</stp>
        <stp/>
        <stp/>
        <tr r="P21" s="1"/>
      </tp>
      <tp>
        <v>17</v>
        <stp/>
        <stp>StudyData</stp>
        <stp>(MA(QSAS3??9,Period:=12,MAType:=Sim,InputChoice:=ContractVol) when LocalYear(QSAS3??9)=2013 And (LocalMonth(QSAS3??9)=9 And LocalDay(QSAS3??9)=11 ))</stp>
        <stp>Bar</stp>
        <stp/>
        <stp>Close</stp>
        <stp>D</stp>
        <stp>0</stp>
        <stp>all</stp>
        <stp/>
        <stp/>
        <stp>False</stp>
        <stp/>
        <stp/>
        <tr r="P23" s="1"/>
      </tp>
      <tp t="s">
        <v>Short Sterling Calendar Spreads, Dec 17, Mar 18</v>
        <stp/>
        <stp>ContractData</stp>
        <stp>QSAS3??8</stp>
        <stp>LongDescription</stp>
        <tr r="B21" s="1"/>
      </tp>
      <tp t="s">
        <v>Short Sterling Calendar Spreads, Mar 18, Jun 18</v>
        <stp/>
        <stp>ContractData</stp>
        <stp>QSAS3??9</stp>
        <stp>LongDescription</stp>
        <tr r="B23" s="1"/>
      </tp>
      <tp t="s">
        <v>Short Sterling Calendar Spreads, Mar 16, Jun 16</v>
        <stp/>
        <stp>ContractData</stp>
        <stp>QSAS3??1</stp>
        <stp>LongDescription</stp>
        <tr r="B6" s="1"/>
      </tp>
      <tp t="s">
        <v>Short Sterling Calendar Spreads, Jun 16, Sep 16</v>
        <stp/>
        <stp>ContractData</stp>
        <stp>QSAS3??2</stp>
        <stp>LongDescription</stp>
        <tr r="B8" s="1"/>
      </tp>
      <tp t="s">
        <v>Short Sterling Calendar Spreads, Sep 16, Dec 16</v>
        <stp/>
        <stp>ContractData</stp>
        <stp>QSAS3??3</stp>
        <stp>LongDescription</stp>
        <tr r="B10" s="1"/>
      </tp>
      <tp t="s">
        <v>Short Sterling Calendar Spreads, Dec 16, Mar 17</v>
        <stp/>
        <stp>ContractData</stp>
        <stp>QSAS3??4</stp>
        <stp>LongDescription</stp>
        <tr r="B12" s="1"/>
      </tp>
      <tp t="s">
        <v>Short Sterling Calendar Spreads, Mar 17, Jun 17</v>
        <stp/>
        <stp>ContractData</stp>
        <stp>QSAS3??5</stp>
        <stp>LongDescription</stp>
        <tr r="B14" s="1"/>
      </tp>
      <tp t="s">
        <v>Short Sterling Calendar Spreads, Jun 17, Sep 17</v>
        <stp/>
        <stp>ContractData</stp>
        <stp>QSAS3??6</stp>
        <stp>LongDescription</stp>
        <tr r="B17" s="1"/>
      </tp>
      <tp t="s">
        <v>Short Sterling Calendar Spreads, Sep 17, Dec 17</v>
        <stp/>
        <stp>ContractData</stp>
        <stp>QSAS3??7</stp>
        <stp>LongDescription</stp>
        <tr r="B19" s="1"/>
      </tp>
      <tp>
        <v>0</v>
        <stp/>
        <stp>StudyData</stp>
        <stp>Vol(QSAS3??10) when (LocalDay(QSAS3??10)=10 and LocalHour(QSAS3??10)=10 and LocalMinute(QSAS3??10)=0)</stp>
        <stp>Bar</stp>
        <stp/>
        <stp>Vol</stp>
        <stp>30</stp>
        <stp>0</stp>
        <tr r="AA26" s="1"/>
      </tp>
      <tp>
        <v>0</v>
        <stp/>
        <stp>StudyData</stp>
        <stp>Vol(QSAS3??11) when (LocalDay(QSAS3??11)=10 and LocalHour(QSAS3??11)=10 and LocalMinute(QSAS3??11)=0)</stp>
        <stp>Bar</stp>
        <stp/>
        <stp>Vol</stp>
        <stp>30</stp>
        <stp>0</stp>
        <tr r="AA28" s="1"/>
      </tp>
      <tp>
        <v>11</v>
        <stp/>
        <stp>StudyData</stp>
        <stp>Vol(QSAS3??12) when (LocalDay(QSAS3??12)=10 and LocalHour(QSAS3??12)=10 and LocalMinute(QSAS3??12)=0)</stp>
        <stp>Bar</stp>
        <stp/>
        <stp>Vol</stp>
        <stp>30</stp>
        <stp>0</stp>
        <tr r="AA30" s="1"/>
      </tp>
      <tp>
        <v>0</v>
        <stp/>
        <stp>StudyData</stp>
        <stp>Vol(QSAS3??13) when (LocalDay(QSAS3??13)=10 and LocalHour(QSAS3??13)=10 and LocalMinute(QSAS3??13)=0)</stp>
        <stp>Bar</stp>
        <stp/>
        <stp>Vol</stp>
        <stp>30</stp>
        <stp>0</stp>
        <tr r="AA32" s="1"/>
      </tp>
      <tp>
        <v>0</v>
        <stp/>
        <stp>StudyData</stp>
        <stp>Vol(QSAS3??14) when (LocalDay(QSAS3??14)=10 and LocalHour(QSAS3??14)=10 and LocalMinute(QSAS3??14)=0)</stp>
        <stp>Bar</stp>
        <stp/>
        <stp>Vol</stp>
        <stp>30</stp>
        <stp>0</stp>
        <tr r="AA35" s="1"/>
      </tp>
      <tp>
        <v>2</v>
        <stp/>
        <stp>StudyData</stp>
        <stp>Vol(QSAS3??15) when (LocalDay(QSAS3??15)=10 and LocalHour(QSAS3??15)=10 and LocalMinute(QSAS3??15)=0)</stp>
        <stp>Bar</stp>
        <stp/>
        <stp>Vol</stp>
        <stp>30</stp>
        <stp>0</stp>
        <tr r="AA37" s="1"/>
      </tp>
      <tp>
        <v>0</v>
        <stp/>
        <stp>StudyData</stp>
        <stp>Vol(QSAS3??16) when (LocalDay(QSAS3??16)=10 and LocalHour(QSAS3??16)=10 and LocalMinute(QSAS3??16)=0)</stp>
        <stp>Bar</stp>
        <stp/>
        <stp>Vol</stp>
        <stp>30</stp>
        <stp>0</stp>
        <tr r="AA39" s="1"/>
      </tp>
      <tp>
        <v>0</v>
        <stp/>
        <stp>StudyData</stp>
        <stp>Vol(QSAS3??17) when (LocalDay(QSAS3??17)=10 and LocalHour(QSAS3??17)=10 and LocalMinute(QSAS3??17)=0)</stp>
        <stp>Bar</stp>
        <stp/>
        <stp>Vol</stp>
        <stp>30</stp>
        <stp>0</stp>
        <tr r="AA41" s="1"/>
      </tp>
      <tp>
        <v>0</v>
        <stp/>
        <stp>StudyData</stp>
        <stp>Vol(QSAS3??18) when (LocalDay(QSAS3??18)=10 and LocalHour(QSAS3??18)=10 and LocalMinute(QSAS3??18)=0)</stp>
        <stp>Bar</stp>
        <stp/>
        <stp>Vol</stp>
        <stp>30</stp>
        <stp>0</stp>
        <tr r="AA44" s="1"/>
      </tp>
      <tp>
        <v>0</v>
        <stp/>
        <stp>StudyData</stp>
        <stp>Vol(QSAS3??19) when (LocalDay(QSAS3??19)=10 and LocalHour(QSAS3??19)=10 and LocalMinute(QSAS3??19)=0)</stp>
        <stp>Bar</stp>
        <stp/>
        <stp>Vol</stp>
        <stp>30</stp>
        <stp>0</stp>
        <tr r="AA46" s="1"/>
      </tp>
      <tp>
        <v>0</v>
        <stp/>
        <stp>StudyData</stp>
        <stp>Vol(QSAS3??20) when (LocalDay(QSAS3??20)=10 and LocalHour(QSAS3??20)=10 and LocalMinute(QSAS3??20)=0)</stp>
        <stp>Bar</stp>
        <stp/>
        <stp>Vol</stp>
        <stp>30</stp>
        <stp>0</stp>
        <tr r="AA48" s="1"/>
      </tp>
      <tp>
        <v>0</v>
        <stp/>
        <stp>StudyData</stp>
        <stp>Vol(QSAS3??21) when (LocalDay(QSAS3??21)=10 and LocalHour(QSAS3??21)=10 and LocalMinute(QSAS3??21)=0)</stp>
        <stp>Bar</stp>
        <stp/>
        <stp>Vol</stp>
        <stp>30</stp>
        <stp>0</stp>
        <tr r="AA50" s="1"/>
      </tp>
      <tp>
        <v>0</v>
        <stp/>
        <stp>StudyData</stp>
        <stp>Vol(QSAS3??22) when (LocalDay(QSAS3??22)=10 and LocalHour(QSAS3??22)=10 and LocalMinute(QSAS3??22)=0)</stp>
        <stp>Bar</stp>
        <stp/>
        <stp>Vol</stp>
        <stp>30</stp>
        <stp>0</stp>
        <tr r="AA53" s="1"/>
      </tp>
      <tp>
        <v>0</v>
        <stp/>
        <stp>StudyData</stp>
        <stp>Vol(QSAS3??23) when (LocalDay(QSAS3??23)=10 and LocalHour(QSAS3??23)=10 and LocalMinute(QSAS3??23)=0)</stp>
        <stp>Bar</stp>
        <stp/>
        <stp>Vol</stp>
        <stp>30</stp>
        <stp>0</stp>
        <tr r="AA55" s="1"/>
      </tp>
      <tp>
        <v>12251.91666667</v>
        <stp/>
        <stp>StudyData</stp>
        <stp>QSAS3??4</stp>
        <stp>MA</stp>
        <stp>InputChoice=ContractVol,MAType=Sim,Period=12</stp>
        <stp>MA</stp>
        <stp/>
        <stp/>
        <stp>all</stp>
        <stp/>
        <stp/>
        <stp/>
        <stp>T</stp>
        <tr r="L12" s="1"/>
      </tp>
      <tp>
        <v>7451.0833333299997</v>
        <stp/>
        <stp>StudyData</stp>
        <stp>QSAS3??5</stp>
        <stp>MA</stp>
        <stp>InputChoice=ContractVol,MAType=Sim,Period=12</stp>
        <stp>MA</stp>
        <stp/>
        <stp/>
        <stp>all</stp>
        <stp/>
        <stp/>
        <stp/>
        <stp>T</stp>
        <tr r="L14" s="1"/>
      </tp>
      <tp>
        <v>10969.08333333</v>
        <stp/>
        <stp>StudyData</stp>
        <stp>QSAS3??6</stp>
        <stp>MA</stp>
        <stp>InputChoice=ContractVol,MAType=Sim,Period=12</stp>
        <stp>MA</stp>
        <stp/>
        <stp/>
        <stp>all</stp>
        <stp/>
        <stp/>
        <stp/>
        <stp>T</stp>
        <tr r="L17" s="1"/>
      </tp>
      <tp>
        <v>9529.25</v>
        <stp/>
        <stp>StudyData</stp>
        <stp>QSAS3??7</stp>
        <stp>MA</stp>
        <stp>InputChoice=ContractVol,MAType=Sim,Period=12</stp>
        <stp>MA</stp>
        <stp/>
        <stp/>
        <stp>all</stp>
        <stp/>
        <stp/>
        <stp/>
        <stp>T</stp>
        <tr r="L19" s="1"/>
      </tp>
      <tp>
        <v>6970.75</v>
        <stp/>
        <stp>StudyData</stp>
        <stp>QSAS3??1</stp>
        <stp>MA</stp>
        <stp>InputChoice=ContractVol,MAType=Sim,Period=12</stp>
        <stp>MA</stp>
        <stp/>
        <stp/>
        <stp>all</stp>
        <stp/>
        <stp/>
        <stp/>
        <stp>T</stp>
        <tr r="L6" s="1"/>
      </tp>
      <tp>
        <v>16080.5</v>
        <stp/>
        <stp>StudyData</stp>
        <stp>QSAS3??2</stp>
        <stp>MA</stp>
        <stp>InputChoice=ContractVol,MAType=Sim,Period=12</stp>
        <stp>MA</stp>
        <stp/>
        <stp/>
        <stp>all</stp>
        <stp/>
        <stp/>
        <stp/>
        <stp>T</stp>
        <tr r="L8" s="1"/>
      </tp>
      <tp>
        <v>14590.5</v>
        <stp/>
        <stp>StudyData</stp>
        <stp>QSAS3??3</stp>
        <stp>MA</stp>
        <stp>InputChoice=ContractVol,MAType=Sim,Period=12</stp>
        <stp>MA</stp>
        <stp/>
        <stp/>
        <stp>all</stp>
        <stp/>
        <stp/>
        <stp/>
        <stp>T</stp>
        <tr r="L10" s="1"/>
      </tp>
      <tp>
        <v>7726</v>
        <stp/>
        <stp>StudyData</stp>
        <stp>QSAS3??8</stp>
        <stp>MA</stp>
        <stp>InputChoice=ContractVol,MAType=Sim,Period=12</stp>
        <stp>MA</stp>
        <stp/>
        <stp/>
        <stp>all</stp>
        <stp/>
        <stp/>
        <stp/>
        <stp>T</stp>
        <tr r="L21" s="1"/>
      </tp>
      <tp>
        <v>5991.3333333299997</v>
        <stp/>
        <stp>StudyData</stp>
        <stp>QSAS3??9</stp>
        <stp>MA</stp>
        <stp>InputChoice=ContractVol,MAType=Sim,Period=12</stp>
        <stp>MA</stp>
        <stp/>
        <stp/>
        <stp>all</stp>
        <stp/>
        <stp/>
        <stp/>
        <stp>T</stp>
        <tr r="L23" s="1"/>
      </tp>
      <tp t="s">
        <v/>
        <stp/>
        <stp>StudyData</stp>
        <stp>QSAS3??19</stp>
        <stp>Vol</stp>
        <stp>VolType=Exchange,CoCType=Contract</stp>
        <stp>Vol</stp>
        <stp>30</stp>
        <stp>0</stp>
        <stp>ALL</stp>
        <stp/>
        <stp/>
        <stp>TRUE</stp>
        <stp>T</stp>
        <tr r="Z46" s="1"/>
      </tp>
      <tp t="s">
        <v/>
        <stp/>
        <stp>StudyData</stp>
        <stp>QSAS3??18</stp>
        <stp>Vol</stp>
        <stp>VolType=Exchange,CoCType=Contract</stp>
        <stp>Vol</stp>
        <stp>30</stp>
        <stp>0</stp>
        <stp>ALL</stp>
        <stp/>
        <stp/>
        <stp>TRUE</stp>
        <stp>T</stp>
        <tr r="Z44" s="1"/>
      </tp>
      <tp t="s">
        <v/>
        <stp/>
        <stp>StudyData</stp>
        <stp>QSAS3??17</stp>
        <stp>Vol</stp>
        <stp>VolType=Exchange,CoCType=Contract</stp>
        <stp>Vol</stp>
        <stp>30</stp>
        <stp>0</stp>
        <stp>ALL</stp>
        <stp/>
        <stp/>
        <stp>TRUE</stp>
        <stp>T</stp>
        <tr r="Z41" s="1"/>
      </tp>
      <tp t="s">
        <v/>
        <stp/>
        <stp>StudyData</stp>
        <stp>QSAS3??16</stp>
        <stp>Vol</stp>
        <stp>VolType=Exchange,CoCType=Contract</stp>
        <stp>Vol</stp>
        <stp>30</stp>
        <stp>0</stp>
        <stp>ALL</stp>
        <stp/>
        <stp/>
        <stp>TRUE</stp>
        <stp>T</stp>
        <tr r="Z39" s="1"/>
      </tp>
      <tp>
        <v>10</v>
        <stp/>
        <stp>StudyData</stp>
        <stp>QSAS3??15</stp>
        <stp>Vol</stp>
        <stp>VolType=Exchange,CoCType=Contract</stp>
        <stp>Vol</stp>
        <stp>30</stp>
        <stp>0</stp>
        <stp>ALL</stp>
        <stp/>
        <stp/>
        <stp>TRUE</stp>
        <stp>T</stp>
        <tr r="Z37" s="1"/>
        <tr r="Z37" s="1"/>
      </tp>
      <tp t="s">
        <v/>
        <stp/>
        <stp>StudyData</stp>
        <stp>QSAS3??14</stp>
        <stp>Vol</stp>
        <stp>VolType=Exchange,CoCType=Contract</stp>
        <stp>Vol</stp>
        <stp>30</stp>
        <stp>0</stp>
        <stp>ALL</stp>
        <stp/>
        <stp/>
        <stp>TRUE</stp>
        <stp>T</stp>
        <tr r="Z35" s="1"/>
      </tp>
      <tp>
        <v>21</v>
        <stp/>
        <stp>StudyData</stp>
        <stp>QSAS3??13</stp>
        <stp>Vol</stp>
        <stp>VolType=Exchange,CoCType=Contract</stp>
        <stp>Vol</stp>
        <stp>30</stp>
        <stp>0</stp>
        <stp>ALL</stp>
        <stp/>
        <stp/>
        <stp>TRUE</stp>
        <stp>T</stp>
        <tr r="Z32" s="1"/>
        <tr r="Z32" s="1"/>
      </tp>
      <tp t="s">
        <v/>
        <stp/>
        <stp>StudyData</stp>
        <stp>QSAS3??12</stp>
        <stp>Vol</stp>
        <stp>VolType=Exchange,CoCType=Contract</stp>
        <stp>Vol</stp>
        <stp>30</stp>
        <stp>0</stp>
        <stp>ALL</stp>
        <stp/>
        <stp/>
        <stp>TRUE</stp>
        <stp>T</stp>
        <tr r="Z30" s="1"/>
      </tp>
      <tp>
        <v>191</v>
        <stp/>
        <stp>StudyData</stp>
        <stp>QSAS3??11</stp>
        <stp>Vol</stp>
        <stp>VolType=Exchange,CoCType=Contract</stp>
        <stp>Vol</stp>
        <stp>30</stp>
        <stp>0</stp>
        <stp>ALL</stp>
        <stp/>
        <stp/>
        <stp>TRUE</stp>
        <stp>T</stp>
        <tr r="Z28" s="1"/>
        <tr r="Z28" s="1"/>
      </tp>
      <tp>
        <v>751</v>
        <stp/>
        <stp>StudyData</stp>
        <stp>QSAS3??10</stp>
        <stp>Vol</stp>
        <stp>VolType=Exchange,CoCType=Contract</stp>
        <stp>Vol</stp>
        <stp>30</stp>
        <stp>0</stp>
        <stp>ALL</stp>
        <stp/>
        <stp/>
        <stp>TRUE</stp>
        <stp>T</stp>
        <tr r="Z26" s="1"/>
        <tr r="Z26" s="1"/>
      </tp>
      <tp t="s">
        <v/>
        <stp/>
        <stp>StudyData</stp>
        <stp>QSAS3??23</stp>
        <stp>Vol</stp>
        <stp>VolType=Exchange,CoCType=Contract</stp>
        <stp>Vol</stp>
        <stp>30</stp>
        <stp>0</stp>
        <stp>ALL</stp>
        <stp/>
        <stp/>
        <stp>TRUE</stp>
        <stp>T</stp>
        <tr r="Z55" s="1"/>
      </tp>
      <tp t="s">
        <v/>
        <stp/>
        <stp>StudyData</stp>
        <stp>QSAS3??22</stp>
        <stp>Vol</stp>
        <stp>VolType=Exchange,CoCType=Contract</stp>
        <stp>Vol</stp>
        <stp>30</stp>
        <stp>0</stp>
        <stp>ALL</stp>
        <stp/>
        <stp/>
        <stp>TRUE</stp>
        <stp>T</stp>
        <tr r="Z53" s="1"/>
      </tp>
      <tp t="s">
        <v/>
        <stp/>
        <stp>StudyData</stp>
        <stp>QSAS3??21</stp>
        <stp>Vol</stp>
        <stp>VolType=Exchange,CoCType=Contract</stp>
        <stp>Vol</stp>
        <stp>30</stp>
        <stp>0</stp>
        <stp>ALL</stp>
        <stp/>
        <stp/>
        <stp>TRUE</stp>
        <stp>T</stp>
        <tr r="Z50" s="1"/>
      </tp>
      <tp t="s">
        <v/>
        <stp/>
        <stp>StudyData</stp>
        <stp>QSAS3??20</stp>
        <stp>Vol</stp>
        <stp>VolType=Exchange,CoCType=Contract</stp>
        <stp>Vol</stp>
        <stp>30</stp>
        <stp>0</stp>
        <stp>ALL</stp>
        <stp/>
        <stp/>
        <stp>TRUE</stp>
        <stp>T</stp>
        <tr r="Z48" s="1"/>
      </tp>
      <tp t="s">
        <v/>
        <stp/>
        <stp>StudyData</stp>
        <stp>(MA(QSAS3??10,Period:=12,MAType:=Sim,InputChoice:=ContractVol) when LocalYear(QSAS3??10)=2013 And (LocalMonth(QSAS3??10)=9 And LocalDay(QSAS3??10)=11 ))</stp>
        <stp>Bar</stp>
        <stp/>
        <stp>Close</stp>
        <stp>D</stp>
        <stp>0</stp>
        <stp>all</stp>
        <stp/>
        <stp/>
        <stp>False</stp>
        <stp/>
        <stp/>
        <tr r="P26" s="1"/>
      </tp>
      <tp>
        <v>50</v>
        <stp/>
        <stp>StudyData</stp>
        <stp>(MA(QSAS3??11,Period:=12,MAType:=Sim,InputChoice:=ContractVol) when LocalYear(QSAS3??11)=2013 And (LocalMonth(QSAS3??11)=9 And LocalDay(QSAS3??11)=11 ))</stp>
        <stp>Bar</stp>
        <stp/>
        <stp>Close</stp>
        <stp>D</stp>
        <stp>0</stp>
        <stp>all</stp>
        <stp/>
        <stp/>
        <stp>False</stp>
        <stp/>
        <stp/>
        <tr r="P28" s="1"/>
      </tp>
      <tp t="s">
        <v/>
        <stp/>
        <stp>StudyData</stp>
        <stp>(MA(QSAS3??12,Period:=12,MAType:=Sim,InputChoice:=ContractVol) when LocalYear(QSAS3??12)=2013 And (LocalMonth(QSAS3??12)=9 And LocalDay(QSAS3??12)=11 ))</stp>
        <stp>Bar</stp>
        <stp/>
        <stp>Close</stp>
        <stp>D</stp>
        <stp>0</stp>
        <stp>all</stp>
        <stp/>
        <stp/>
        <stp>False</stp>
        <stp/>
        <stp/>
        <tr r="P30" s="1"/>
      </tp>
      <tp t="s">
        <v/>
        <stp/>
        <stp>StudyData</stp>
        <stp>(MA(QSAS3??13,Period:=12,MAType:=Sim,InputChoice:=ContractVol) when LocalYear(QSAS3??13)=2013 And (LocalMonth(QSAS3??13)=9 And LocalDay(QSAS3??13)=11 ))</stp>
        <stp>Bar</stp>
        <stp/>
        <stp>Close</stp>
        <stp>D</stp>
        <stp>0</stp>
        <stp>all</stp>
        <stp/>
        <stp/>
        <stp>False</stp>
        <stp/>
        <stp/>
        <tr r="P32" s="1"/>
      </tp>
      <tp t="s">
        <v/>
        <stp/>
        <stp>StudyData</stp>
        <stp>(MA(QSAS3??14,Period:=12,MAType:=Sim,InputChoice:=ContractVol) when LocalYear(QSAS3??14)=2013 And (LocalMonth(QSAS3??14)=9 And LocalDay(QSAS3??14)=11 ))</stp>
        <stp>Bar</stp>
        <stp/>
        <stp>Close</stp>
        <stp>D</stp>
        <stp>0</stp>
        <stp>all</stp>
        <stp/>
        <stp/>
        <stp>False</stp>
        <stp/>
        <stp/>
        <tr r="P35" s="1"/>
      </tp>
      <tp t="s">
        <v/>
        <stp/>
        <stp>StudyData</stp>
        <stp>(MA(QSAS3??15,Period:=12,MAType:=Sim,InputChoice:=ContractVol) when LocalYear(QSAS3??15)=2013 And (LocalMonth(QSAS3??15)=9 And LocalDay(QSAS3??15)=11 ))</stp>
        <stp>Bar</stp>
        <stp/>
        <stp>Close</stp>
        <stp>D</stp>
        <stp>0</stp>
        <stp>all</stp>
        <stp/>
        <stp/>
        <stp>False</stp>
        <stp/>
        <stp/>
        <tr r="P37" s="1"/>
      </tp>
      <tp t="s">
        <v/>
        <stp/>
        <stp>StudyData</stp>
        <stp>(MA(QSAS3??16,Period:=12,MAType:=Sim,InputChoice:=ContractVol) when LocalYear(QSAS3??16)=2013 And (LocalMonth(QSAS3??16)=9 And LocalDay(QSAS3??16)=11 ))</stp>
        <stp>Bar</stp>
        <stp/>
        <stp>Close</stp>
        <stp>D</stp>
        <stp>0</stp>
        <stp>all</stp>
        <stp/>
        <stp/>
        <stp>False</stp>
        <stp/>
        <stp/>
        <tr r="P39" s="1"/>
      </tp>
      <tp t="s">
        <v/>
        <stp/>
        <stp>StudyData</stp>
        <stp>(MA(QSAS3??17,Period:=12,MAType:=Sim,InputChoice:=ContractVol) when LocalYear(QSAS3??17)=2013 And (LocalMonth(QSAS3??17)=9 And LocalDay(QSAS3??17)=11 ))</stp>
        <stp>Bar</stp>
        <stp/>
        <stp>Close</stp>
        <stp>D</stp>
        <stp>0</stp>
        <stp>all</stp>
        <stp/>
        <stp/>
        <stp>False</stp>
        <stp/>
        <stp/>
        <tr r="P41" s="1"/>
      </tp>
      <tp t="s">
        <v/>
        <stp/>
        <stp>StudyData</stp>
        <stp>(MA(QSAS3??18,Period:=12,MAType:=Sim,InputChoice:=ContractVol) when LocalYear(QSAS3??18)=2013 And (LocalMonth(QSAS3??18)=9 And LocalDay(QSAS3??18)=11 ))</stp>
        <stp>Bar</stp>
        <stp/>
        <stp>Close</stp>
        <stp>D</stp>
        <stp>0</stp>
        <stp>all</stp>
        <stp/>
        <stp/>
        <stp>False</stp>
        <stp/>
        <stp/>
        <tr r="P44" s="1"/>
      </tp>
      <tp t="s">
        <v/>
        <stp/>
        <stp>StudyData</stp>
        <stp>(MA(QSAS3??19,Period:=12,MAType:=Sim,InputChoice:=ContractVol) when LocalYear(QSAS3??19)=2013 And (LocalMonth(QSAS3??19)=9 And LocalDay(QSAS3??19)=11 ))</stp>
        <stp>Bar</stp>
        <stp/>
        <stp>Close</stp>
        <stp>D</stp>
        <stp>0</stp>
        <stp>all</stp>
        <stp/>
        <stp/>
        <stp>False</stp>
        <stp/>
        <stp/>
        <tr r="P46" s="1"/>
      </tp>
      <tp t="s">
        <v/>
        <stp/>
        <stp>StudyData</stp>
        <stp>(MA(QSAS3??20,Period:=12,MAType:=Sim,InputChoice:=ContractVol) when LocalYear(QSAS3??20)=2013 And (LocalMonth(QSAS3??20)=9 And LocalDay(QSAS3??20)=11 ))</stp>
        <stp>Bar</stp>
        <stp/>
        <stp>Close</stp>
        <stp>D</stp>
        <stp>0</stp>
        <stp>all</stp>
        <stp/>
        <stp/>
        <stp>False</stp>
        <stp/>
        <stp/>
        <tr r="P48" s="1"/>
      </tp>
      <tp t="s">
        <v/>
        <stp/>
        <stp>StudyData</stp>
        <stp>(MA(QSAS3??21,Period:=12,MAType:=Sim,InputChoice:=ContractVol) when LocalYear(QSAS3??21)=2013 And (LocalMonth(QSAS3??21)=9 And LocalDay(QSAS3??21)=11 ))</stp>
        <stp>Bar</stp>
        <stp/>
        <stp>Close</stp>
        <stp>D</stp>
        <stp>0</stp>
        <stp>all</stp>
        <stp/>
        <stp/>
        <stp>False</stp>
        <stp/>
        <stp/>
        <tr r="P50" s="1"/>
      </tp>
      <tp t="s">
        <v/>
        <stp/>
        <stp>StudyData</stp>
        <stp>(MA(QSAS3??22,Period:=12,MAType:=Sim,InputChoice:=ContractVol) when LocalYear(QSAS3??22)=2013 And (LocalMonth(QSAS3??22)=9 And LocalDay(QSAS3??22)=11 ))</stp>
        <stp>Bar</stp>
        <stp/>
        <stp>Close</stp>
        <stp>D</stp>
        <stp>0</stp>
        <stp>all</stp>
        <stp/>
        <stp/>
        <stp>False</stp>
        <stp/>
        <stp/>
        <tr r="P53" s="1"/>
      </tp>
      <tp t="s">
        <v/>
        <stp/>
        <stp>StudyData</stp>
        <stp>(MA(QSAS3??23,Period:=12,MAType:=Sim,InputChoice:=ContractVol) when LocalYear(QSAS3??23)=2013 And (LocalMonth(QSAS3??23)=9 And LocalDay(QSAS3??23)=11 ))</stp>
        <stp>Bar</stp>
        <stp/>
        <stp>Close</stp>
        <stp>D</stp>
        <stp>0</stp>
        <stp>all</stp>
        <stp/>
        <stp/>
        <stp>False</stp>
        <stp/>
        <stp/>
        <tr r="P55" s="1"/>
      </tp>
      <tp>
        <v>494</v>
        <stp/>
        <stp>ContractData</stp>
        <stp>QSAM20</stp>
        <stp>P_OI</stp>
        <tr r="M38" s="2"/>
        <tr r="M38" s="2"/>
      </tp>
      <tp>
        <v>2051</v>
        <stp/>
        <stp>ContractData</stp>
        <stp>QSAH20</stp>
        <stp>P_OI</stp>
        <tr r="M36" s="2"/>
        <tr r="M36" s="2"/>
      </tp>
      <tp>
        <v>110</v>
        <stp/>
        <stp>ContractData</stp>
        <stp>QSAU20</stp>
        <stp>P_OI</stp>
        <tr r="M40" s="2"/>
        <tr r="M40" s="2"/>
      </tp>
      <tp>
        <v>95</v>
        <stp/>
        <stp>ContractData</stp>
        <stp>QSAZ20</stp>
        <stp>P_OI</stp>
        <tr r="M42" s="2"/>
        <tr r="M42" s="2"/>
      </tp>
      <tp>
        <v>40</v>
        <stp/>
        <stp>ContractData</stp>
        <stp>QSAM21</stp>
        <stp>P_OI</stp>
        <tr r="M46" s="2"/>
        <tr r="M46" s="2"/>
      </tp>
      <tp>
        <v>21</v>
        <stp/>
        <stp>ContractData</stp>
        <stp>QSAH21</stp>
        <stp>P_OI</stp>
        <tr r="M44" s="2"/>
        <tr r="M44" s="2"/>
      </tp>
      <tp>
        <v>20</v>
        <stp/>
        <stp>ContractData</stp>
        <stp>QSAU21</stp>
        <stp>P_OI</stp>
        <tr r="M48" s="2"/>
        <tr r="M48" s="2"/>
      </tp>
      <tp>
        <v>0</v>
        <stp/>
        <stp>ContractData</stp>
        <stp>QSAZ21</stp>
        <stp>P_OI</stp>
        <tr r="M50" s="2"/>
        <tr r="M50" s="2"/>
      </tp>
      <tp>
        <v>43180</v>
        <stp/>
        <stp>ContractData</stp>
        <stp>QSAS3??9</stp>
        <stp>ExpirationDate</stp>
        <stp/>
        <stp>D</stp>
        <tr r="F23" s="1"/>
      </tp>
      <tp>
        <v>43089</v>
        <stp/>
        <stp>ContractData</stp>
        <stp>QSAS3??8</stp>
        <stp>ExpirationDate</stp>
        <stp/>
        <stp>D</stp>
        <tr r="F21" s="1"/>
      </tp>
      <tp>
        <v>152138</v>
        <stp/>
        <stp>ContractData</stp>
        <stp>QSAM18</stp>
        <stp>P_OI</stp>
        <tr r="M22" s="2"/>
        <tr r="M22" s="2"/>
      </tp>
      <tp>
        <v>193501</v>
        <stp/>
        <stp>ContractData</stp>
        <stp>QSAH18</stp>
        <stp>P_OI</stp>
        <tr r="M20" s="2"/>
        <tr r="M20" s="2"/>
      </tp>
      <tp>
        <v>128931</v>
        <stp/>
        <stp>ContractData</stp>
        <stp>QSAU18</stp>
        <stp>P_OI</stp>
        <tr r="M24" s="2"/>
        <tr r="M24" s="2"/>
      </tp>
      <tp>
        <v>109506</v>
        <stp/>
        <stp>ContractData</stp>
        <stp>QSAZ18</stp>
        <stp>P_OI</stp>
        <tr r="M26" s="2"/>
        <tr r="M26" s="2"/>
      </tp>
      <tp>
        <v>16871</v>
        <stp/>
        <stp>ContractData</stp>
        <stp>QSAM19</stp>
        <stp>P_OI</stp>
        <tr r="M30" s="2"/>
        <tr r="M30" s="2"/>
      </tp>
      <tp>
        <v>39826</v>
        <stp/>
        <stp>ContractData</stp>
        <stp>QSAH19</stp>
        <stp>P_OI</stp>
        <tr r="M28" s="2"/>
        <tr r="M28" s="2"/>
      </tp>
      <tp>
        <v>12992</v>
        <stp/>
        <stp>ContractData</stp>
        <stp>QSAU19</stp>
        <stp>P_OI</stp>
        <tr r="M32" s="2"/>
        <tr r="M32" s="2"/>
      </tp>
      <tp>
        <v>9012</v>
        <stp/>
        <stp>ContractData</stp>
        <stp>QSAZ19</stp>
        <stp>P_OI</stp>
        <tr r="M34" s="2"/>
        <tr r="M34" s="2"/>
      </tp>
      <tp>
        <v>464826</v>
        <stp/>
        <stp>ContractData</stp>
        <stp>QSAM16</stp>
        <stp>P_OI</stp>
        <tr r="M6" s="2"/>
        <tr r="M6" s="2"/>
      </tp>
      <tp>
        <v>414292</v>
        <stp/>
        <stp>ContractData</stp>
        <stp>QSAU16</stp>
        <stp>P_OI</stp>
        <tr r="M8" s="2"/>
        <tr r="M8" s="2"/>
      </tp>
      <tp>
        <v>438355</v>
        <stp/>
        <stp>ContractData</stp>
        <stp>QSAZ16</stp>
        <stp>P_OI</stp>
        <tr r="M10" s="2"/>
        <tr r="M10" s="2"/>
      </tp>
      <tp>
        <v>331492</v>
        <stp/>
        <stp>ContractData</stp>
        <stp>QSAM17</stp>
        <stp>P_OI</stp>
        <tr r="M14" s="2"/>
        <tr r="M14" s="2"/>
      </tp>
      <tp>
        <v>336257</v>
        <stp/>
        <stp>ContractData</stp>
        <stp>QSAH17</stp>
        <stp>P_OI</stp>
        <tr r="M12" s="2"/>
        <tr r="M12" s="2"/>
      </tp>
      <tp>
        <v>264419</v>
        <stp/>
        <stp>ContractData</stp>
        <stp>QSAU17</stp>
        <stp>P_OI</stp>
        <tr r="M16" s="2"/>
        <tr r="M16" s="2"/>
      </tp>
      <tp>
        <v>316932</v>
        <stp/>
        <stp>ContractData</stp>
        <stp>QSAZ17</stp>
        <stp>P_OI</stp>
        <tr r="M18" s="2"/>
        <tr r="M18" s="2"/>
      </tp>
      <tp>
        <v>42411.427083333336</v>
        <stp/>
        <stp>SystemInfo</stp>
        <stp>Linetime</stp>
        <tr r="Y57" s="1"/>
        <tr r="T57" s="1"/>
        <tr r="E2" s="1"/>
        <tr r="N57" s="1"/>
        <tr r="AA2" s="1"/>
      </tp>
      <tp t="s">
        <v>QSAS3U1</v>
        <stp/>
        <stp>ContractData</stp>
        <stp>QSAS3??23</stp>
        <stp>Symbol</stp>
        <tr r="B50" s="2"/>
      </tp>
      <tp t="s">
        <v>QSAS3M1</v>
        <stp/>
        <stp>ContractData</stp>
        <stp>QSAS3??22</stp>
        <stp>Symbol</stp>
        <tr r="B48" s="2"/>
      </tp>
      <tp t="s">
        <v>QSAS3H1</v>
        <stp/>
        <stp>ContractData</stp>
        <stp>QSAS3??21</stp>
        <stp>Symbol</stp>
        <tr r="B46" s="2"/>
      </tp>
      <tp t="s">
        <v>QSAS3Z0</v>
        <stp/>
        <stp>ContractData</stp>
        <stp>QSAS3??20</stp>
        <stp>Symbol</stp>
        <tr r="B44" s="2"/>
      </tp>
      <tp t="s">
        <v>QSAS3H9</v>
        <stp/>
        <stp>ContractData</stp>
        <stp>QSAS3??13</stp>
        <stp>Symbol</stp>
        <tr r="B30" s="2"/>
      </tp>
      <tp t="s">
        <v>QSAS3Z8</v>
        <stp/>
        <stp>ContractData</stp>
        <stp>QSAS3??12</stp>
        <stp>Symbol</stp>
        <tr r="B28" s="2"/>
      </tp>
      <tp t="s">
        <v>QSAS3U8</v>
        <stp/>
        <stp>ContractData</stp>
        <stp>QSAS3??11</stp>
        <stp>Symbol</stp>
        <tr r="B26" s="2"/>
      </tp>
      <tp t="s">
        <v>QSAS3M8</v>
        <stp/>
        <stp>ContractData</stp>
        <stp>QSAS3??10</stp>
        <stp>Symbol</stp>
        <tr r="B24" s="2"/>
      </tp>
      <tp t="s">
        <v>QSAS3H0</v>
        <stp/>
        <stp>ContractData</stp>
        <stp>QSAS3??17</stp>
        <stp>Symbol</stp>
        <tr r="B38" s="2"/>
      </tp>
      <tp t="s">
        <v>QSAS3Z9</v>
        <stp/>
        <stp>ContractData</stp>
        <stp>QSAS3??16</stp>
        <stp>Symbol</stp>
        <tr r="B36" s="2"/>
      </tp>
      <tp t="s">
        <v>QSAS3U9</v>
        <stp/>
        <stp>ContractData</stp>
        <stp>QSAS3??15</stp>
        <stp>Symbol</stp>
        <tr r="B34" s="2"/>
      </tp>
      <tp t="s">
        <v>QSAS3M9</v>
        <stp/>
        <stp>ContractData</stp>
        <stp>QSAS3??14</stp>
        <stp>Symbol</stp>
        <tr r="B32" s="2"/>
      </tp>
      <tp t="s">
        <v>QSAS3U0</v>
        <stp/>
        <stp>ContractData</stp>
        <stp>QSAS3??19</stp>
        <stp>Symbol</stp>
        <tr r="B42" s="2"/>
      </tp>
      <tp t="s">
        <v>QSAS3M0</v>
        <stp/>
        <stp>ContractData</stp>
        <stp>QSAS3??18</stp>
        <stp>Symbol</stp>
        <tr r="B40" s="2"/>
      </tp>
      <tp>
        <v>42634</v>
        <stp/>
        <stp>ContractData</stp>
        <stp>QSAS3??3</stp>
        <stp>ExpirationDate</stp>
        <stp/>
        <stp>D</stp>
        <tr r="F10" s="1"/>
      </tp>
      <tp>
        <v>42536</v>
        <stp/>
        <stp>ContractData</stp>
        <stp>QSAS3??2</stp>
        <stp>ExpirationDate</stp>
        <stp/>
        <stp>D</stp>
        <tr r="F8" s="1"/>
      </tp>
      <tp>
        <v>42445</v>
        <stp/>
        <stp>ContractData</stp>
        <stp>QSAS3??1</stp>
        <stp>ExpirationDate</stp>
        <stp/>
        <stp>D</stp>
        <tr r="F6" s="1"/>
      </tp>
      <tp>
        <v>42998</v>
        <stp/>
        <stp>ContractData</stp>
        <stp>QSAS3??7</stp>
        <stp>ExpirationDate</stp>
        <stp/>
        <stp>D</stp>
        <tr r="F19" s="1"/>
      </tp>
      <tp>
        <v>42907</v>
        <stp/>
        <stp>ContractData</stp>
        <stp>QSAS3??6</stp>
        <stp>ExpirationDate</stp>
        <stp/>
        <stp>D</stp>
        <tr r="F17" s="1"/>
      </tp>
      <tp>
        <v>30949</v>
        <stp/>
        <stp>ContractData</stp>
        <stp>QSAS3??8</stp>
        <stp>T_CVol</stp>
        <tr r="K21" s="1"/>
      </tp>
      <tp>
        <v>19941</v>
        <stp/>
        <stp>ContractData</stp>
        <stp>QSAS3??9</stp>
        <stp>T_CVol</stp>
        <tr r="K23" s="1"/>
      </tp>
      <tp>
        <v>15782</v>
        <stp/>
        <stp>ContractData</stp>
        <stp>QSAS3??1</stp>
        <stp>T_CVol</stp>
        <tr r="K6" s="1"/>
      </tp>
      <tp>
        <v>23320</v>
        <stp/>
        <stp>ContractData</stp>
        <stp>QSAS3??2</stp>
        <stp>T_CVol</stp>
        <tr r="K8" s="1"/>
      </tp>
      <tp>
        <v>11118</v>
        <stp/>
        <stp>ContractData</stp>
        <stp>QSAS3??3</stp>
        <stp>T_CVol</stp>
        <tr r="K10" s="1"/>
      </tp>
      <tp>
        <v>14056</v>
        <stp/>
        <stp>ContractData</stp>
        <stp>QSAS3??4</stp>
        <stp>T_CVol</stp>
        <tr r="K12" s="1"/>
      </tp>
      <tp>
        <v>12060</v>
        <stp/>
        <stp>ContractData</stp>
        <stp>QSAS3??5</stp>
        <stp>T_CVol</stp>
        <tr r="K14" s="1"/>
      </tp>
      <tp>
        <v>38282</v>
        <stp/>
        <stp>ContractData</stp>
        <stp>QSAS3??6</stp>
        <stp>T_CVol</stp>
        <tr r="K17" s="1"/>
      </tp>
      <tp>
        <v>59584</v>
        <stp/>
        <stp>ContractData</stp>
        <stp>QSAS3??7</stp>
        <stp>T_CVol</stp>
        <tr r="K19" s="1"/>
      </tp>
      <tp>
        <v>8358</v>
        <stp/>
        <stp>ContractData</stp>
        <stp>QSAS3??8</stp>
        <stp>Y_CVol</stp>
        <tr r="N21" s="1"/>
      </tp>
      <tp>
        <v>96</v>
        <stp/>
        <stp>ContractData</stp>
        <stp>QSAS3??9</stp>
        <stp>Y_CVol</stp>
        <tr r="N23" s="1"/>
      </tp>
      <tp>
        <v>1978</v>
        <stp/>
        <stp>ContractData</stp>
        <stp>QSAS3??1</stp>
        <stp>Y_CVol</stp>
        <tr r="N6" s="1"/>
      </tp>
      <tp>
        <v>3766</v>
        <stp/>
        <stp>ContractData</stp>
        <stp>QSAS3??2</stp>
        <stp>Y_CVol</stp>
        <tr r="N8" s="1"/>
      </tp>
      <tp>
        <v>8387</v>
        <stp/>
        <stp>ContractData</stp>
        <stp>QSAS3??3</stp>
        <stp>Y_CVol</stp>
        <tr r="N10" s="1"/>
      </tp>
      <tp>
        <v>5043</v>
        <stp/>
        <stp>ContractData</stp>
        <stp>QSAS3??4</stp>
        <stp>Y_CVol</stp>
        <tr r="N12" s="1"/>
      </tp>
      <tp>
        <v>1666</v>
        <stp/>
        <stp>ContractData</stp>
        <stp>QSAS3??5</stp>
        <stp>Y_CVol</stp>
        <tr r="N14" s="1"/>
      </tp>
      <tp>
        <v>7142</v>
        <stp/>
        <stp>ContractData</stp>
        <stp>QSAS3??6</stp>
        <stp>Y_CVol</stp>
        <tr r="N17" s="1"/>
      </tp>
      <tp>
        <v>2461</v>
        <stp/>
        <stp>ContractData</stp>
        <stp>QSAS3??7</stp>
        <stp>Y_CVol</stp>
        <tr r="N19" s="1"/>
      </tp>
      <tp>
        <v>42809</v>
        <stp/>
        <stp>ContractData</stp>
        <stp>QSAS3??5</stp>
        <stp>ExpirationDate</stp>
        <stp/>
        <stp>D</stp>
        <tr r="F14" s="1"/>
      </tp>
      <tp>
        <v>42725</v>
        <stp/>
        <stp>ContractData</stp>
        <stp>QSAS3??4</stp>
        <stp>ExpirationDate</stp>
        <stp/>
        <stp>D</stp>
        <tr r="F12" s="1"/>
      </tp>
      <tp>
        <v>107</v>
        <stp/>
        <stp>ContractData</stp>
        <stp>QSAU20</stp>
        <stp>COI</stp>
        <tr r="L40" s="2"/>
        <tr r="L40" s="2"/>
      </tp>
      <tp>
        <v>20</v>
        <stp/>
        <stp>ContractData</stp>
        <stp>QSAU21</stp>
        <stp>COI</stp>
        <tr r="L48" s="2"/>
        <tr r="L48" s="2"/>
      </tp>
      <tp>
        <v>126560</v>
        <stp/>
        <stp>ContractData</stp>
        <stp>QSAU18</stp>
        <stp>COI</stp>
        <tr r="L24" s="2"/>
        <tr r="L24" s="2"/>
      </tp>
      <tp>
        <v>12344</v>
        <stp/>
        <stp>ContractData</stp>
        <stp>QSAU19</stp>
        <stp>COI</stp>
        <tr r="L32" s="2"/>
        <tr r="L32" s="2"/>
      </tp>
      <tp>
        <v>417926</v>
        <stp/>
        <stp>ContractData</stp>
        <stp>QSAU16</stp>
        <stp>COI</stp>
        <tr r="L8" s="2"/>
        <tr r="L8" s="2"/>
      </tp>
      <tp>
        <v>265162</v>
        <stp/>
        <stp>ContractData</stp>
        <stp>QSAU17</stp>
        <stp>COI</stp>
        <tr r="L16" s="2"/>
        <tr r="L16" s="2"/>
      </tp>
      <tp t="s">
        <v>QSAS3M7</v>
        <stp/>
        <stp>ContractData</stp>
        <stp>QSAS3??6</stp>
        <stp>Symbol</stp>
        <tr r="B16" s="2"/>
      </tp>
      <tp t="s">
        <v>QSAS3U7</v>
        <stp/>
        <stp>ContractData</stp>
        <stp>QSAS3??7</stp>
        <stp>Symbol</stp>
        <tr r="B18" s="2"/>
      </tp>
      <tp t="s">
        <v>QSAS3Z6</v>
        <stp/>
        <stp>ContractData</stp>
        <stp>QSAS3??4</stp>
        <stp>Symbol</stp>
        <tr r="B12" s="2"/>
      </tp>
      <tp t="s">
        <v>QSAS3H7</v>
        <stp/>
        <stp>ContractData</stp>
        <stp>QSAS3??5</stp>
        <stp>Symbol</stp>
        <tr r="B14" s="2"/>
      </tp>
      <tp t="s">
        <v>QSAS3M6</v>
        <stp/>
        <stp>ContractData</stp>
        <stp>QSAS3??2</stp>
        <stp>Symbol</stp>
        <tr r="B8" s="2"/>
      </tp>
      <tp t="s">
        <v>QSAS3U6</v>
        <stp/>
        <stp>ContractData</stp>
        <stp>QSAS3??3</stp>
        <stp>Symbol</stp>
        <tr r="B10" s="2"/>
      </tp>
      <tp t="s">
        <v>QSAS3H6</v>
        <stp/>
        <stp>ContractData</stp>
        <stp>QSAS3??1</stp>
        <stp>Symbol</stp>
        <tr r="B6" s="2"/>
      </tp>
      <tp t="s">
        <v>QSAS3Z7</v>
        <stp/>
        <stp>ContractData</stp>
        <stp>QSAS3??8</stp>
        <stp>Symbol</stp>
        <tr r="B20" s="2"/>
      </tp>
      <tp t="s">
        <v>QSAS3H8</v>
        <stp/>
        <stp>ContractData</stp>
        <stp>QSAS3??9</stp>
        <stp>Symbol</stp>
        <tr r="B22" s="2"/>
      </tp>
      <tp>
        <v>0</v>
        <stp/>
        <stp>ContractData</stp>
        <stp>QSAS3??19</stp>
        <stp>Y_CVol</stp>
        <tr r="N46" s="1"/>
      </tp>
      <tp>
        <v>4</v>
        <stp/>
        <stp>ContractData</stp>
        <stp>QSAS3??18</stp>
        <stp>Y_CVol</stp>
        <tr r="N44" s="1"/>
      </tp>
      <tp>
        <v>556</v>
        <stp/>
        <stp>ContractData</stp>
        <stp>QSAS3??15</stp>
        <stp>Y_CVol</stp>
        <tr r="N37" s="1"/>
      </tp>
      <tp>
        <v>256</v>
        <stp/>
        <stp>ContractData</stp>
        <stp>QSAS3??14</stp>
        <stp>Y_CVol</stp>
        <tr r="N35" s="1"/>
      </tp>
      <tp>
        <v>10</v>
        <stp/>
        <stp>ContractData</stp>
        <stp>QSAS3??17</stp>
        <stp>Y_CVol</stp>
        <tr r="N41" s="1"/>
      </tp>
      <tp>
        <v>17</v>
        <stp/>
        <stp>ContractData</stp>
        <stp>QSAS3??16</stp>
        <stp>Y_CVol</stp>
        <tr r="N39" s="1"/>
      </tp>
      <tp>
        <v>110</v>
        <stp/>
        <stp>ContractData</stp>
        <stp>QSAS3??11</stp>
        <stp>Y_CVol</stp>
        <tr r="N28" s="1"/>
      </tp>
      <tp>
        <v>3113</v>
        <stp/>
        <stp>ContractData</stp>
        <stp>QSAS3??10</stp>
        <stp>Y_CVol</stp>
        <tr r="N26" s="1"/>
      </tp>
      <tp>
        <v>1065</v>
        <stp/>
        <stp>ContractData</stp>
        <stp>QSAS3??13</stp>
        <stp>Y_CVol</stp>
        <tr r="N32" s="1"/>
      </tp>
      <tp>
        <v>4874</v>
        <stp/>
        <stp>ContractData</stp>
        <stp>QSAS3??12</stp>
        <stp>Y_CVol</stp>
        <tr r="N30" s="1"/>
      </tp>
      <tp>
        <v>0</v>
        <stp/>
        <stp>ContractData</stp>
        <stp>QSAS3??21</stp>
        <stp>Y_CVol</stp>
        <tr r="N50" s="1"/>
      </tp>
      <tp>
        <v>0</v>
        <stp/>
        <stp>ContractData</stp>
        <stp>QSAS3??20</stp>
        <stp>Y_CVol</stp>
        <tr r="N48" s="1"/>
      </tp>
      <tp>
        <v>0</v>
        <stp/>
        <stp>ContractData</stp>
        <stp>QSAS3??23</stp>
        <stp>Y_CVol</stp>
        <tr r="N55" s="1"/>
      </tp>
      <tp>
        <v>0</v>
        <stp/>
        <stp>ContractData</stp>
        <stp>QSAS3??22</stp>
        <stp>Y_CVol</stp>
        <tr r="N53" s="1"/>
      </tp>
      <tp>
        <v>2</v>
        <stp/>
        <stp>ContractData</stp>
        <stp>QSAS3??19</stp>
        <stp>T_CVol</stp>
        <tr r="K46" s="1"/>
      </tp>
      <tp>
        <v>28</v>
        <stp/>
        <stp>ContractData</stp>
        <stp>QSAS3??18</stp>
        <stp>T_CVol</stp>
        <tr r="K44" s="1"/>
      </tp>
      <tp>
        <v>75</v>
        <stp/>
        <stp>ContractData</stp>
        <stp>QSAS3??15</stp>
        <stp>T_CVol</stp>
        <tr r="K37" s="1"/>
      </tp>
      <tp>
        <v>856</v>
        <stp/>
        <stp>ContractData</stp>
        <stp>QSAS3??14</stp>
        <stp>T_CVol</stp>
        <tr r="K35" s="1"/>
      </tp>
      <tp>
        <v>35</v>
        <stp/>
        <stp>ContractData</stp>
        <stp>QSAS3??17</stp>
        <stp>T_CVol</stp>
        <tr r="K41" s="1"/>
      </tp>
      <tp>
        <v>353</v>
        <stp/>
        <stp>ContractData</stp>
        <stp>QSAS3??16</stp>
        <stp>T_CVol</stp>
        <tr r="K39" s="1"/>
      </tp>
      <tp>
        <v>12689</v>
        <stp/>
        <stp>ContractData</stp>
        <stp>QSAS3??11</stp>
        <stp>T_CVol</stp>
        <tr r="K28" s="1"/>
      </tp>
      <tp>
        <v>25899</v>
        <stp/>
        <stp>ContractData</stp>
        <stp>QSAS3??10</stp>
        <stp>T_CVol</stp>
        <tr r="K26" s="1"/>
      </tp>
      <tp>
        <v>2561</v>
        <stp/>
        <stp>ContractData</stp>
        <stp>QSAS3??13</stp>
        <stp>T_CVol</stp>
        <tr r="K32" s="1"/>
      </tp>
      <tp>
        <v>6748</v>
        <stp/>
        <stp>ContractData</stp>
        <stp>QSAS3??12</stp>
        <stp>T_CVol</stp>
        <tr r="K30" s="1"/>
      </tp>
      <tp>
        <v>0</v>
        <stp/>
        <stp>ContractData</stp>
        <stp>QSAS3??21</stp>
        <stp>T_CVol</stp>
        <tr r="K50" s="1"/>
      </tp>
      <tp>
        <v>0</v>
        <stp/>
        <stp>ContractData</stp>
        <stp>QSAS3??20</stp>
        <stp>T_CVol</stp>
        <tr r="K48" s="1"/>
      </tp>
      <tp>
        <v>0</v>
        <stp/>
        <stp>ContractData</stp>
        <stp>QSAS3??23</stp>
        <stp>T_CVol</stp>
        <tr r="K55" s="1"/>
      </tp>
      <tp>
        <v>0</v>
        <stp/>
        <stp>ContractData</stp>
        <stp>QSAS3??22</stp>
        <stp>T_CVol</stp>
        <tr r="K53" s="1"/>
      </tp>
      <tp>
        <v>438355</v>
        <stp/>
        <stp>ContractData</stp>
        <stp>QSAZ6</stp>
        <stp>POI</stp>
        <tr r="G12" s="2"/>
      </tp>
      <tp>
        <v>316932</v>
        <stp/>
        <stp>ContractData</stp>
        <stp>QSAZ7</stp>
        <stp>POI</stp>
        <tr r="G20" s="2"/>
      </tp>
      <tp>
        <v>95</v>
        <stp/>
        <stp>ContractData</stp>
        <stp>QSAZ0</stp>
        <stp>POI</stp>
        <tr r="G44" s="2"/>
      </tp>
      <tp>
        <v>109506</v>
        <stp/>
        <stp>ContractData</stp>
        <stp>QSAZ8</stp>
        <stp>POI</stp>
        <tr r="G28" s="2"/>
      </tp>
      <tp>
        <v>9012</v>
        <stp/>
        <stp>ContractData</stp>
        <stp>QSAZ9</stp>
        <stp>POI</stp>
        <tr r="G36" s="2"/>
      </tp>
      <tp>
        <v>414292</v>
        <stp/>
        <stp>ContractData</stp>
        <stp>QSAU6</stp>
        <stp>POI</stp>
        <tr r="G10" s="2"/>
      </tp>
      <tp>
        <v>264419</v>
        <stp/>
        <stp>ContractData</stp>
        <stp>QSAU7</stp>
        <stp>POI</stp>
        <tr r="G18" s="2"/>
      </tp>
      <tp>
        <v>110</v>
        <stp/>
        <stp>ContractData</stp>
        <stp>QSAU0</stp>
        <stp>POI</stp>
        <tr r="G42" s="2"/>
      </tp>
      <tp>
        <v>20</v>
        <stp/>
        <stp>ContractData</stp>
        <stp>QSAU1</stp>
        <stp>POI</stp>
        <tr r="G50" s="2"/>
      </tp>
      <tp>
        <v>128931</v>
        <stp/>
        <stp>ContractData</stp>
        <stp>QSAU8</stp>
        <stp>POI</stp>
        <tr r="G26" s="2"/>
      </tp>
      <tp>
        <v>12992</v>
        <stp/>
        <stp>ContractData</stp>
        <stp>QSAU9</stp>
        <stp>POI</stp>
        <tr r="G34" s="2"/>
      </tp>
      <tp>
        <v>333745</v>
        <stp/>
        <stp>ContractData</stp>
        <stp>QSAH6</stp>
        <stp>POI</stp>
        <tr r="G6" s="2"/>
      </tp>
      <tp>
        <v>336257</v>
        <stp/>
        <stp>ContractData</stp>
        <stp>QSAH7</stp>
        <stp>POI</stp>
        <tr r="G14" s="2"/>
      </tp>
      <tp>
        <v>2051</v>
        <stp/>
        <stp>ContractData</stp>
        <stp>QSAH0</stp>
        <stp>POI</stp>
        <tr r="G38" s="2"/>
      </tp>
      <tp>
        <v>21</v>
        <stp/>
        <stp>ContractData</stp>
        <stp>QSAH1</stp>
        <stp>POI</stp>
        <tr r="G46" s="2"/>
      </tp>
      <tp>
        <v>193501</v>
        <stp/>
        <stp>ContractData</stp>
        <stp>QSAH8</stp>
        <stp>POI</stp>
        <tr r="G22" s="2"/>
      </tp>
      <tp>
        <v>39826</v>
        <stp/>
        <stp>ContractData</stp>
        <stp>QSAH9</stp>
        <stp>POI</stp>
        <tr r="G30" s="2"/>
      </tp>
      <tp>
        <v>464826</v>
        <stp/>
        <stp>ContractData</stp>
        <stp>QSAM6</stp>
        <stp>POI</stp>
        <tr r="G8" s="2"/>
      </tp>
      <tp>
        <v>331492</v>
        <stp/>
        <stp>ContractData</stp>
        <stp>QSAM7</stp>
        <stp>POI</stp>
        <tr r="G16" s="2"/>
      </tp>
      <tp>
        <v>494</v>
        <stp/>
        <stp>ContractData</stp>
        <stp>QSAM0</stp>
        <stp>POI</stp>
        <tr r="G40" s="2"/>
      </tp>
      <tp>
        <v>40</v>
        <stp/>
        <stp>ContractData</stp>
        <stp>QSAM1</stp>
        <stp>POI</stp>
        <tr r="G48" s="2"/>
      </tp>
      <tp>
        <v>152138</v>
        <stp/>
        <stp>ContractData</stp>
        <stp>QSAM8</stp>
        <stp>POI</stp>
        <tr r="G24" s="2"/>
      </tp>
      <tp>
        <v>16871</v>
        <stp/>
        <stp>ContractData</stp>
        <stp>QSAM9</stp>
        <stp>POI</stp>
        <tr r="G32" s="2"/>
      </tp>
      <tp>
        <v>95</v>
        <stp/>
        <stp>ContractData</stp>
        <stp>QSAZ20</stp>
        <stp>COI</stp>
        <tr r="L42" s="2"/>
        <tr r="L42" s="2"/>
      </tp>
      <tp>
        <v>0</v>
        <stp/>
        <stp>ContractData</stp>
        <stp>QSAZ21</stp>
        <stp>COI</stp>
        <tr r="L50" s="2"/>
        <tr r="L50" s="2"/>
      </tp>
      <tp>
        <v>112127</v>
        <stp/>
        <stp>ContractData</stp>
        <stp>QSAZ18</stp>
        <stp>COI</stp>
        <tr r="L26" s="2"/>
        <tr r="L26" s="2"/>
      </tp>
      <tp>
        <v>10471</v>
        <stp/>
        <stp>ContractData</stp>
        <stp>QSAZ19</stp>
        <stp>COI</stp>
        <tr r="L34" s="2"/>
        <tr r="L34" s="2"/>
      </tp>
      <tp>
        <v>432090</v>
        <stp/>
        <stp>ContractData</stp>
        <stp>QSAZ16</stp>
        <stp>COI</stp>
        <tr r="L10" s="2"/>
        <tr r="L10" s="2"/>
      </tp>
      <tp>
        <v>320412</v>
        <stp/>
        <stp>ContractData</stp>
        <stp>QSAZ17</stp>
        <stp>COI</stp>
        <tr r="L18" s="2"/>
        <tr r="L18" s="2"/>
      </tp>
      <tp>
        <v>43999</v>
        <stp/>
        <stp>ContractData</stp>
        <stp>QSAS3??18</stp>
        <stp>ExpirationDate</stp>
        <stp/>
        <stp>D</stp>
        <tr r="F44" s="1"/>
      </tp>
      <tp>
        <v>44090</v>
        <stp/>
        <stp>ContractData</stp>
        <stp>QSAS3??19</stp>
        <stp>ExpirationDate</stp>
        <stp/>
        <stp>D</stp>
        <tr r="F46" s="1"/>
      </tp>
      <tp>
        <v>495</v>
        <stp/>
        <stp>ContractData</stp>
        <stp>QSAM20</stp>
        <stp>COI</stp>
        <tr r="L38" s="2"/>
        <tr r="L38" s="2"/>
      </tp>
      <tp>
        <v>40</v>
        <stp/>
        <stp>ContractData</stp>
        <stp>QSAM21</stp>
        <stp>COI</stp>
        <tr r="L46" s="2"/>
        <tr r="L46" s="2"/>
      </tp>
      <tp>
        <v>150869</v>
        <stp/>
        <stp>ContractData</stp>
        <stp>QSAM18</stp>
        <stp>COI</stp>
        <tr r="L22" s="2"/>
        <tr r="L22" s="2"/>
      </tp>
      <tp>
        <v>16075</v>
        <stp/>
        <stp>ContractData</stp>
        <stp>QSAM19</stp>
        <stp>COI</stp>
        <tr r="L30" s="2"/>
        <tr r="L30" s="2"/>
      </tp>
      <tp>
        <v>463484</v>
        <stp/>
        <stp>ContractData</stp>
        <stp>QSAM16</stp>
        <stp>COI</stp>
        <tr r="L6" s="2"/>
        <tr r="L6" s="2"/>
      </tp>
      <tp>
        <v>327986</v>
        <stp/>
        <stp>ContractData</stp>
        <stp>QSAM17</stp>
        <stp>COI</stp>
        <tr r="L14" s="2"/>
        <tr r="L14" s="2"/>
      </tp>
      <tp>
        <v>43817</v>
        <stp/>
        <stp>ContractData</stp>
        <stp>QSAS3??16</stp>
        <stp>ExpirationDate</stp>
        <stp/>
        <stp>D</stp>
        <tr r="F39" s="1"/>
      </tp>
      <tp>
        <v>43908</v>
        <stp/>
        <stp>ContractData</stp>
        <stp>QSAS3??17</stp>
        <stp>ExpirationDate</stp>
        <stp/>
        <stp>D</stp>
        <tr r="F41" s="1"/>
      </tp>
      <tp t="s">
        <v>MAR</v>
        <stp/>
        <stp>ContractData</stp>
        <stp>QSAS3??1</stp>
        <stp>Contractmonth</stp>
        <tr r="H6" s="1"/>
        <tr r="H6" s="1"/>
        <tr r="H6" s="1"/>
        <tr r="H6" s="1"/>
      </tp>
      <tp>
        <v>43635</v>
        <stp/>
        <stp>ContractData</stp>
        <stp>QSAS3??14</stp>
        <stp>ExpirationDate</stp>
        <stp/>
        <stp>D</stp>
        <tr r="F35" s="1"/>
      </tp>
      <tp t="s">
        <v>JUN</v>
        <stp/>
        <stp>ContractData</stp>
        <stp>QSAS3??2</stp>
        <stp>Contractmonth</stp>
        <tr r="H8" s="1"/>
        <tr r="H8" s="1"/>
        <tr r="H8" s="1"/>
        <tr r="H8" s="1"/>
      </tp>
      <tp>
        <v>43726</v>
        <stp/>
        <stp>ContractData</stp>
        <stp>QSAS3??15</stp>
        <stp>ExpirationDate</stp>
        <stp/>
        <stp>D</stp>
        <tr r="F37" s="1"/>
      </tp>
      <tp t="s">
        <v>SEP</v>
        <stp/>
        <stp>ContractData</stp>
        <stp>QSAS3??3</stp>
        <stp>Contractmonth</stp>
        <tr r="H10" s="1"/>
        <tr r="H10" s="1"/>
        <tr r="H10" s="1"/>
        <tr r="H10" s="1"/>
      </tp>
      <tp>
        <v>42411.416666666664</v>
        <stp/>
        <stp>StudyData</stp>
        <stp>QSAS3??1</stp>
        <stp>Bar</stp>
        <stp/>
        <stp>Time</stp>
        <stp>30</stp>
        <stp/>
        <stp>all</stp>
        <stp/>
        <stp/>
        <stp>False</stp>
        <tr r="F1" s="1"/>
        <tr r="D1" s="1"/>
      </tp>
      <tp>
        <v>43453</v>
        <stp/>
        <stp>ContractData</stp>
        <stp>QSAS3??12</stp>
        <stp>ExpirationDate</stp>
        <stp/>
        <stp>D</stp>
        <tr r="F30" s="1"/>
      </tp>
      <tp>
        <v>44363</v>
        <stp/>
        <stp>ContractData</stp>
        <stp>QSAS3??22</stp>
        <stp>ExpirationDate</stp>
        <stp/>
        <stp>D</stp>
        <tr r="F53" s="1"/>
      </tp>
      <tp t="s">
        <v>DEC</v>
        <stp/>
        <stp>ContractData</stp>
        <stp>QSAS3??4</stp>
        <stp>Contractmonth</stp>
        <tr r="H12" s="1"/>
        <tr r="H12" s="1"/>
        <tr r="H12" s="1"/>
        <tr r="H12" s="1"/>
      </tp>
      <tp>
        <v>2116</v>
        <stp/>
        <stp>ContractData</stp>
        <stp>QSAH20</stp>
        <stp>COI</stp>
        <tr r="L36" s="2"/>
        <tr r="L36" s="2"/>
      </tp>
      <tp>
        <v>21</v>
        <stp/>
        <stp>ContractData</stp>
        <stp>QSAH21</stp>
        <stp>COI</stp>
        <tr r="L44" s="2"/>
        <tr r="L44" s="2"/>
      </tp>
      <tp>
        <v>201770</v>
        <stp/>
        <stp>ContractData</stp>
        <stp>QSAH18</stp>
        <stp>COI</stp>
        <tr r="L20" s="2"/>
        <tr r="L20" s="2"/>
      </tp>
      <tp>
        <v>40965</v>
        <stp/>
        <stp>ContractData</stp>
        <stp>QSAH19</stp>
        <stp>COI</stp>
        <tr r="L28" s="2"/>
        <tr r="L28" s="2"/>
      </tp>
      <tp>
        <v>333003</v>
        <stp/>
        <stp>ContractData</stp>
        <stp>QSAH17</stp>
        <stp>COI</stp>
        <tr r="L12" s="2"/>
        <tr r="L12" s="2"/>
      </tp>
      <tp>
        <v>43544</v>
        <stp/>
        <stp>ContractData</stp>
        <stp>QSAS3??13</stp>
        <stp>ExpirationDate</stp>
        <stp/>
        <stp>D</stp>
        <tr r="F32" s="1"/>
      </tp>
      <tp>
        <v>44454</v>
        <stp/>
        <stp>ContractData</stp>
        <stp>QSAS3??23</stp>
        <stp>ExpirationDate</stp>
        <stp/>
        <stp>D</stp>
        <tr r="F55" s="1"/>
      </tp>
      <tp>
        <v>16</v>
        <stp/>
        <stp>StudyData</stp>
        <stp>Vol(QSAS3??1) when (LocalDay(QSAS3??1)=10 and LocalHour(QSAS3??1)=10 and LocalMinute(QSAS3??1)=0)</stp>
        <stp>Bar</stp>
        <stp/>
        <stp>Vol</stp>
        <stp>30</stp>
        <stp>0</stp>
        <tr r="AA6" s="1"/>
      </tp>
      <tp>
        <v>0</v>
        <stp/>
        <stp>StudyData</stp>
        <stp>Vol(QSAS3??2) when (LocalDay(QSAS3??2)=10 and LocalHour(QSAS3??2)=10 and LocalMinute(QSAS3??2)=0)</stp>
        <stp>Bar</stp>
        <stp/>
        <stp>Vol</stp>
        <stp>30</stp>
        <stp>0</stp>
        <tr r="AA8" s="1"/>
      </tp>
      <tp>
        <v>95</v>
        <stp/>
        <stp>StudyData</stp>
        <stp>Vol(QSAS3??3) when (LocalDay(QSAS3??3)=10 and LocalHour(QSAS3??3)=10 and LocalMinute(QSAS3??3)=0)</stp>
        <stp>Bar</stp>
        <stp/>
        <stp>Vol</stp>
        <stp>30</stp>
        <stp>0</stp>
        <tr r="AA10" s="1"/>
      </tp>
      <tp>
        <v>2</v>
        <stp/>
        <stp>StudyData</stp>
        <stp>Vol(QSAS3??4) when (LocalDay(QSAS3??4)=10 and LocalHour(QSAS3??4)=10 and LocalMinute(QSAS3??4)=0)</stp>
        <stp>Bar</stp>
        <stp/>
        <stp>Vol</stp>
        <stp>30</stp>
        <stp>0</stp>
        <tr r="AA12" s="1"/>
      </tp>
      <tp>
        <v>6</v>
        <stp/>
        <stp>StudyData</stp>
        <stp>Vol(QSAS3??5) when (LocalDay(QSAS3??5)=10 and LocalHour(QSAS3??5)=10 and LocalMinute(QSAS3??5)=0)</stp>
        <stp>Bar</stp>
        <stp/>
        <stp>Vol</stp>
        <stp>30</stp>
        <stp>0</stp>
        <tr r="AA14" s="1"/>
      </tp>
      <tp>
        <v>99</v>
        <stp/>
        <stp>StudyData</stp>
        <stp>Vol(QSAS3??6) when (LocalDay(QSAS3??6)=10 and LocalHour(QSAS3??6)=10 and LocalMinute(QSAS3??6)=0)</stp>
        <stp>Bar</stp>
        <stp/>
        <stp>Vol</stp>
        <stp>30</stp>
        <stp>0</stp>
        <tr r="AA17" s="1"/>
      </tp>
      <tp>
        <v>0</v>
        <stp/>
        <stp>StudyData</stp>
        <stp>Vol(QSAS3??7) when (LocalDay(QSAS3??7)=10 and LocalHour(QSAS3??7)=10 and LocalMinute(QSAS3??7)=0)</stp>
        <stp>Bar</stp>
        <stp/>
        <stp>Vol</stp>
        <stp>30</stp>
        <stp>0</stp>
        <tr r="AA19" s="1"/>
      </tp>
      <tp>
        <v>217</v>
        <stp/>
        <stp>StudyData</stp>
        <stp>Vol(QSAS3??8) when (LocalDay(QSAS3??8)=10 and LocalHour(QSAS3??8)=10 and LocalMinute(QSAS3??8)=0)</stp>
        <stp>Bar</stp>
        <stp/>
        <stp>Vol</stp>
        <stp>30</stp>
        <stp>0</stp>
        <tr r="AA21" s="1"/>
      </tp>
      <tp>
        <v>0</v>
        <stp/>
        <stp>StudyData</stp>
        <stp>Vol(QSAS3??9) when (LocalDay(QSAS3??9)=10 and LocalHour(QSAS3??9)=10 and LocalMinute(QSAS3??9)=0)</stp>
        <stp>Bar</stp>
        <stp/>
        <stp>Vol</stp>
        <stp>30</stp>
        <stp>0</stp>
        <tr r="AA23" s="1"/>
      </tp>
      <tp t="s">
        <v>MAR</v>
        <stp/>
        <stp>ContractData</stp>
        <stp>QSAS3??5</stp>
        <stp>Contractmonth</stp>
        <tr r="H14" s="1"/>
        <tr r="H14" s="1"/>
        <tr r="H14" s="1"/>
        <tr r="H14" s="1"/>
      </tp>
      <tp>
        <v>43271</v>
        <stp/>
        <stp>ContractData</stp>
        <stp>QSAS3??10</stp>
        <stp>ExpirationDate</stp>
        <stp/>
        <stp>D</stp>
        <tr r="F26" s="1"/>
      </tp>
      <tp>
        <v>44181</v>
        <stp/>
        <stp>ContractData</stp>
        <stp>QSAS3??20</stp>
        <stp>ExpirationDate</stp>
        <stp/>
        <stp>D</stp>
        <tr r="F48" s="1"/>
      </tp>
      <tp>
        <v>432090</v>
        <stp/>
        <stp>ContractData</stp>
        <stp>QSAZ6</stp>
        <stp>COI</stp>
        <tr r="F12" s="2"/>
      </tp>
      <tp>
        <v>320412</v>
        <stp/>
        <stp>ContractData</stp>
        <stp>QSAZ7</stp>
        <stp>COI</stp>
        <tr r="F20" s="2"/>
      </tp>
      <tp>
        <v>95</v>
        <stp/>
        <stp>ContractData</stp>
        <stp>QSAZ0</stp>
        <stp>COI</stp>
        <tr r="F44" s="2"/>
      </tp>
      <tp>
        <v>112127</v>
        <stp/>
        <stp>ContractData</stp>
        <stp>QSAZ8</stp>
        <stp>COI</stp>
        <tr r="F28" s="2"/>
      </tp>
      <tp>
        <v>10471</v>
        <stp/>
        <stp>ContractData</stp>
        <stp>QSAZ9</stp>
        <stp>COI</stp>
        <tr r="F36" s="2"/>
      </tp>
      <tp>
        <v>417926</v>
        <stp/>
        <stp>ContractData</stp>
        <stp>QSAU6</stp>
        <stp>COI</stp>
        <tr r="F10" s="2"/>
      </tp>
      <tp>
        <v>265162</v>
        <stp/>
        <stp>ContractData</stp>
        <stp>QSAU7</stp>
        <stp>COI</stp>
        <tr r="F18" s="2"/>
      </tp>
      <tp>
        <v>107</v>
        <stp/>
        <stp>ContractData</stp>
        <stp>QSAU0</stp>
        <stp>COI</stp>
        <tr r="F42" s="2"/>
      </tp>
      <tp>
        <v>20</v>
        <stp/>
        <stp>ContractData</stp>
        <stp>QSAU1</stp>
        <stp>COI</stp>
        <tr r="F50" s="2"/>
      </tp>
      <tp>
        <v>126560</v>
        <stp/>
        <stp>ContractData</stp>
        <stp>QSAU8</stp>
        <stp>COI</stp>
        <tr r="F26" s="2"/>
      </tp>
      <tp>
        <v>12344</v>
        <stp/>
        <stp>ContractData</stp>
        <stp>QSAU9</stp>
        <stp>COI</stp>
        <tr r="F34" s="2"/>
      </tp>
      <tp>
        <v>323940</v>
        <stp/>
        <stp>ContractData</stp>
        <stp>QSAH6</stp>
        <stp>COI</stp>
        <tr r="F6" s="2"/>
      </tp>
      <tp>
        <v>333003</v>
        <stp/>
        <stp>ContractData</stp>
        <stp>QSAH7</stp>
        <stp>COI</stp>
        <tr r="F14" s="2"/>
      </tp>
      <tp>
        <v>2116</v>
        <stp/>
        <stp>ContractData</stp>
        <stp>QSAH0</stp>
        <stp>COI</stp>
        <tr r="F38" s="2"/>
      </tp>
      <tp>
        <v>21</v>
        <stp/>
        <stp>ContractData</stp>
        <stp>QSAH1</stp>
        <stp>COI</stp>
        <tr r="F46" s="2"/>
      </tp>
      <tp>
        <v>201770</v>
        <stp/>
        <stp>ContractData</stp>
        <stp>QSAH8</stp>
        <stp>COI</stp>
        <tr r="F22" s="2"/>
      </tp>
      <tp>
        <v>40965</v>
        <stp/>
        <stp>ContractData</stp>
        <stp>QSAH9</stp>
        <stp>COI</stp>
        <tr r="F30" s="2"/>
      </tp>
      <tp>
        <v>463484</v>
        <stp/>
        <stp>ContractData</stp>
        <stp>QSAM6</stp>
        <stp>COI</stp>
        <tr r="F8" s="2"/>
      </tp>
      <tp>
        <v>327986</v>
        <stp/>
        <stp>ContractData</stp>
        <stp>QSAM7</stp>
        <stp>COI</stp>
        <tr r="F16" s="2"/>
      </tp>
      <tp>
        <v>495</v>
        <stp/>
        <stp>ContractData</stp>
        <stp>QSAM0</stp>
        <stp>COI</stp>
        <tr r="F40" s="2"/>
      </tp>
      <tp>
        <v>40</v>
        <stp/>
        <stp>ContractData</stp>
        <stp>QSAM1</stp>
        <stp>COI</stp>
        <tr r="F48" s="2"/>
      </tp>
      <tp>
        <v>150869</v>
        <stp/>
        <stp>ContractData</stp>
        <stp>QSAM8</stp>
        <stp>COI</stp>
        <tr r="F24" s="2"/>
      </tp>
      <tp>
        <v>16075</v>
        <stp/>
        <stp>ContractData</stp>
        <stp>QSAM9</stp>
        <stp>COI</stp>
        <tr r="F32" s="2"/>
      </tp>
      <tp>
        <v>43362</v>
        <stp/>
        <stp>ContractData</stp>
        <stp>QSAS3??11</stp>
        <stp>ExpirationDate</stp>
        <stp/>
        <stp>D</stp>
        <tr r="F28" s="1"/>
      </tp>
      <tp>
        <v>44272</v>
        <stp/>
        <stp>ContractData</stp>
        <stp>QSAS3??21</stp>
        <stp>ExpirationDate</stp>
        <stp/>
        <stp>D</stp>
        <tr r="F50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242607</xdr:colOff>
      <xdr:row>56</xdr:row>
      <xdr:rowOff>80122</xdr:rowOff>
    </xdr:from>
    <xdr:to>
      <xdr:col>5</xdr:col>
      <xdr:colOff>765071</xdr:colOff>
      <xdr:row>56</xdr:row>
      <xdr:rowOff>205835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960" y="14009034"/>
          <a:ext cx="522464" cy="125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showGridLines="0" showRowColHeaders="0" tabSelected="1" zoomScaleNormal="100" workbookViewId="0">
      <selection activeCell="L4" sqref="L4"/>
    </sheetView>
  </sheetViews>
  <sheetFormatPr defaultColWidth="9.140625" defaultRowHeight="17.25" x14ac:dyDescent="0.3"/>
  <cols>
    <col min="1" max="1" width="0.85546875" style="3" customWidth="1"/>
    <col min="2" max="2" width="20.7109375" style="5" customWidth="1"/>
    <col min="3" max="5" width="9.7109375" style="1" hidden="1" customWidth="1"/>
    <col min="6" max="6" width="22.7109375" style="5" customWidth="1"/>
    <col min="7" max="7" width="9.140625" style="1"/>
    <col min="8" max="9" width="0.85546875" style="1" customWidth="1"/>
    <col min="10" max="10" width="8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5" customWidth="1"/>
    <col min="16" max="17" width="5.7109375" style="5" customWidth="1"/>
    <col min="18" max="18" width="5.140625" style="1" customWidth="1"/>
    <col min="19" max="19" width="12.7109375" style="1" customWidth="1"/>
    <col min="20" max="20" width="8.7109375" style="1" customWidth="1"/>
    <col min="21" max="21" width="12.7109375" style="1" customWidth="1"/>
    <col min="22" max="22" width="11" style="1" customWidth="1"/>
    <col min="23" max="23" width="8.7109375" style="1" customWidth="1"/>
    <col min="24" max="24" width="13.7109375" style="1" customWidth="1"/>
    <col min="25" max="25" width="9.28515625" style="1" customWidth="1"/>
    <col min="26" max="27" width="8.7109375" style="1" customWidth="1"/>
    <col min="28" max="29" width="10.7109375" style="1" customWidth="1"/>
    <col min="30" max="31" width="8.7109375" style="72" customWidth="1"/>
    <col min="32" max="33" width="9.140625" style="72"/>
    <col min="34" max="16384" width="9.140625" style="1"/>
  </cols>
  <sheetData>
    <row r="1" spans="1:33" ht="3.95" customHeight="1" x14ac:dyDescent="0.3">
      <c r="A1" s="2">
        <f ca="1">TODAY()</f>
        <v>42411</v>
      </c>
      <c r="B1" s="25">
        <f ca="1">IF(WEEKDAY(A1)=2,-3,-1)</f>
        <v>-1</v>
      </c>
      <c r="C1" s="3">
        <f ca="1">DAY(A1+B1)</f>
        <v>10</v>
      </c>
      <c r="D1" s="6">
        <f xml:space="preserve"> RTD("cqg.rtd",,"StudyData",$A$5&amp;A6,"Bar",,"Time",Z4,,"all",,,"False")</f>
        <v>42411.416666666664</v>
      </c>
      <c r="E1" s="7">
        <f xml:space="preserve"> HOUR(D1)</f>
        <v>10</v>
      </c>
      <c r="F1" s="25">
        <f xml:space="preserve"> MINUTE(RTD("cqg.rtd",,"StudyData",$A$5&amp;A6,"Bar",,"Time",Z4,,"all",,,"False"))</f>
        <v>0</v>
      </c>
    </row>
    <row r="2" spans="1:33" ht="21.95" customHeight="1" x14ac:dyDescent="0.3">
      <c r="B2" s="132" t="s">
        <v>11</v>
      </c>
      <c r="C2" s="132"/>
      <c r="D2" s="132"/>
      <c r="E2" s="134">
        <f>RTD("cqg.rtd", ,"SystemInfo", "Linetime")</f>
        <v>42411.427083333336</v>
      </c>
      <c r="F2" s="134"/>
      <c r="G2" s="172"/>
      <c r="H2" s="172"/>
      <c r="I2" s="172"/>
      <c r="J2" s="226" t="s">
        <v>38</v>
      </c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132" t="s">
        <v>33</v>
      </c>
      <c r="Z2" s="132"/>
      <c r="AA2" s="209">
        <f>RTD("cqg.rtd", ,"SystemInfo", "Linetime")+6/24</f>
        <v>42411.677083333336</v>
      </c>
      <c r="AB2" s="209"/>
      <c r="AC2" s="210"/>
      <c r="AD2" s="101"/>
      <c r="AE2" s="102"/>
    </row>
    <row r="3" spans="1:33" ht="21.95" customHeight="1" x14ac:dyDescent="0.3">
      <c r="B3" s="133"/>
      <c r="C3" s="133"/>
      <c r="D3" s="133"/>
      <c r="E3" s="135"/>
      <c r="F3" s="135"/>
      <c r="G3" s="173"/>
      <c r="H3" s="173"/>
      <c r="I3" s="173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133"/>
      <c r="Z3" s="133"/>
      <c r="AA3" s="211"/>
      <c r="AB3" s="211"/>
      <c r="AC3" s="212"/>
      <c r="AD3" s="101"/>
      <c r="AE3" s="102"/>
    </row>
    <row r="4" spans="1:33" ht="20.100000000000001" customHeight="1" x14ac:dyDescent="0.3">
      <c r="B4" s="162" t="s">
        <v>13</v>
      </c>
      <c r="C4" s="163"/>
      <c r="D4" s="163"/>
      <c r="E4" s="164"/>
      <c r="F4" s="10" t="s">
        <v>0</v>
      </c>
      <c r="G4" s="10" t="s">
        <v>1</v>
      </c>
      <c r="H4" s="8"/>
      <c r="I4" s="8"/>
      <c r="J4" s="140" t="s">
        <v>4</v>
      </c>
      <c r="K4" s="140"/>
      <c r="L4" s="13">
        <v>12</v>
      </c>
      <c r="M4" s="12"/>
      <c r="N4" s="175" t="s">
        <v>34</v>
      </c>
      <c r="O4" s="176"/>
      <c r="P4" s="14">
        <v>9</v>
      </c>
      <c r="Q4" s="14">
        <v>11</v>
      </c>
      <c r="R4" s="15">
        <v>13</v>
      </c>
      <c r="S4" s="179" t="s">
        <v>30</v>
      </c>
      <c r="T4" s="158"/>
      <c r="U4" s="159"/>
      <c r="V4" s="181" t="s">
        <v>28</v>
      </c>
      <c r="W4" s="182"/>
      <c r="X4" s="158" t="s">
        <v>35</v>
      </c>
      <c r="Y4" s="159"/>
      <c r="Z4" s="105">
        <v>30</v>
      </c>
      <c r="AA4" s="106" t="s">
        <v>7</v>
      </c>
      <c r="AB4" s="205" t="s">
        <v>32</v>
      </c>
      <c r="AC4" s="206"/>
      <c r="AD4" s="103"/>
      <c r="AE4" s="104"/>
    </row>
    <row r="5" spans="1:33" ht="20.100000000000001" customHeight="1" x14ac:dyDescent="0.3">
      <c r="A5" s="4" t="s">
        <v>37</v>
      </c>
      <c r="B5" s="165"/>
      <c r="C5" s="166"/>
      <c r="D5" s="166"/>
      <c r="E5" s="167"/>
      <c r="F5" s="11" t="s">
        <v>3</v>
      </c>
      <c r="G5" s="11" t="s">
        <v>2</v>
      </c>
      <c r="H5" s="9"/>
      <c r="I5" s="9"/>
      <c r="J5" s="141" t="s">
        <v>5</v>
      </c>
      <c r="K5" s="142"/>
      <c r="L5" s="110" t="s">
        <v>6</v>
      </c>
      <c r="M5" s="111"/>
      <c r="N5" s="177"/>
      <c r="O5" s="178"/>
      <c r="P5" s="112" t="s">
        <v>12</v>
      </c>
      <c r="Q5" s="113">
        <v>12</v>
      </c>
      <c r="R5" s="114" t="str">
        <f>"20"&amp;R4</f>
        <v>2013</v>
      </c>
      <c r="S5" s="180"/>
      <c r="T5" s="160"/>
      <c r="U5" s="161"/>
      <c r="V5" s="185" t="s">
        <v>29</v>
      </c>
      <c r="W5" s="186"/>
      <c r="X5" s="160"/>
      <c r="Y5" s="161"/>
      <c r="Z5" s="157" t="s">
        <v>31</v>
      </c>
      <c r="AA5" s="157"/>
      <c r="AB5" s="207"/>
      <c r="AC5" s="208"/>
      <c r="AD5" s="103"/>
      <c r="AE5" s="104"/>
    </row>
    <row r="6" spans="1:33" ht="13.15" customHeight="1" x14ac:dyDescent="0.3">
      <c r="A6" s="3">
        <v>1</v>
      </c>
      <c r="B6" s="143" t="str">
        <f>RIGHT(RTD("cqg.rtd",,"ContractData",$A$5&amp;A6,"LongDescription"),14)</f>
        <v>Mar 16, Jun 16</v>
      </c>
      <c r="C6" s="28"/>
      <c r="D6" s="28"/>
      <c r="E6" s="28"/>
      <c r="F6" s="145">
        <f>IF(B6="","",RTD("cqg.rtd",,"ContractData",$A$5&amp;A6,"ExpirationDate",,"D"))</f>
        <v>42445</v>
      </c>
      <c r="G6" s="174">
        <f ca="1">F6-$A$1</f>
        <v>34</v>
      </c>
      <c r="H6" s="29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1</v>
      </c>
      <c r="I6" s="30"/>
      <c r="J6" s="174">
        <f>K6</f>
        <v>15782</v>
      </c>
      <c r="K6" s="125">
        <f>RTD("cqg.rtd", ,"ContractData", $A$5&amp;A6, "T_CVol")</f>
        <v>15782</v>
      </c>
      <c r="L6" s="125">
        <f xml:space="preserve"> RTD("cqg.rtd",,"StudyData", $A$5&amp;A6, "MA", "InputChoice=ContractVol,MAType=Sim,Period="&amp;$L$4&amp;"", "MA",,,"all",,,,"T")</f>
        <v>6970.75</v>
      </c>
      <c r="M6" s="115">
        <f>IF(K6&gt;L6,1,0)</f>
        <v>1</v>
      </c>
      <c r="N6" s="125">
        <f>RTD("cqg.rtd", ,"ContractData", $A$5&amp;A6, "Y_CVol")</f>
        <v>1978</v>
      </c>
      <c r="O6" s="126">
        <f>IF(ISERROR(K6/N6),"",K6/N6)</f>
        <v>7.9787664307381192</v>
      </c>
      <c r="P6" s="125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2142</v>
      </c>
      <c r="Q6" s="125"/>
      <c r="R6" s="125"/>
      <c r="S6" s="45" t="str">
        <f>LEFT(B6,6)</f>
        <v>Mar 16</v>
      </c>
      <c r="T6" s="50">
        <f>U6</f>
        <v>323940</v>
      </c>
      <c r="U6" s="50">
        <f>Sheet1!F6</f>
        <v>323940</v>
      </c>
      <c r="V6" s="50">
        <f t="shared" ref="V6:V15" si="0">IFERROR(U6-X6,"")</f>
        <v>-9805</v>
      </c>
      <c r="W6" s="50">
        <f>V6</f>
        <v>-9805</v>
      </c>
      <c r="X6" s="50">
        <f>Sheet1!G6</f>
        <v>333745</v>
      </c>
      <c r="Y6" s="56">
        <f t="shared" ref="Y6:Y15" si="1">IF(ISERROR(U6/X6),"",U6/X6)</f>
        <v>0.97062128271584591</v>
      </c>
      <c r="Z6" s="197">
        <f>IF(RTD("cqg.rtd",,"StudyData",$A$5&amp;A6,"Vol","VolType=Exchange,CoCType=Contract","Vol",$Z$4,"0","ALL",,,"TRUE","T")="",0,RTD("cqg.rtd",,"StudyData",$A$5&amp;A6,"Vol","VolType=Exchange,CoCType=Contract","Vol",$Z$4,"0","ALL",,,"TRUE","T"))</f>
        <v>2003</v>
      </c>
      <c r="AA6" s="198">
        <f ca="1">IF(B6="","",RTD("cqg.rtd",,"StudyData","Vol("&amp;$A$5&amp;A6&amp;") when (LocalDay("&amp;$A$5&amp;A6&amp;")="&amp;$C$1&amp;" and LocalHour("&amp;$A$5&amp;A6&amp;")="&amp;$E$1&amp;" and LocalMinute("&amp;$A$5&amp;$A6&amp;")="&amp;$F$1&amp;")","Bar",,"Vol",$Z$4,"0"))</f>
        <v>16</v>
      </c>
      <c r="AB6" s="199" t="str">
        <f>B6</f>
        <v>Mar 16, Jun 16</v>
      </c>
      <c r="AC6" s="200"/>
      <c r="AD6" s="73"/>
      <c r="AE6" s="74"/>
      <c r="AF6" s="1"/>
      <c r="AG6" s="1"/>
    </row>
    <row r="7" spans="1:33" ht="13.15" customHeight="1" x14ac:dyDescent="0.3">
      <c r="B7" s="144"/>
      <c r="C7" s="31"/>
      <c r="D7" s="31"/>
      <c r="E7" s="31"/>
      <c r="F7" s="122"/>
      <c r="G7" s="147"/>
      <c r="H7" s="32"/>
      <c r="I7" s="33"/>
      <c r="J7" s="147"/>
      <c r="K7" s="125"/>
      <c r="L7" s="125"/>
      <c r="M7" s="115"/>
      <c r="N7" s="125"/>
      <c r="O7" s="126"/>
      <c r="P7" s="125"/>
      <c r="Q7" s="125"/>
      <c r="R7" s="125"/>
      <c r="S7" s="47" t="str">
        <f>RIGHT(B6,6)</f>
        <v>Jun 16</v>
      </c>
      <c r="T7" s="51">
        <f t="shared" ref="T7:T33" si="2">U7</f>
        <v>463484</v>
      </c>
      <c r="U7" s="51">
        <f>Sheet1!L6</f>
        <v>463484</v>
      </c>
      <c r="V7" s="51">
        <f t="shared" si="0"/>
        <v>-1342</v>
      </c>
      <c r="W7" s="50">
        <f t="shared" ref="W7:W56" si="3">V7</f>
        <v>-1342</v>
      </c>
      <c r="X7" s="51">
        <f>Sheet1!M6</f>
        <v>464826</v>
      </c>
      <c r="Y7" s="55">
        <f t="shared" si="1"/>
        <v>0.99711289815974147</v>
      </c>
      <c r="Z7" s="197"/>
      <c r="AA7" s="198"/>
      <c r="AB7" s="203"/>
      <c r="AC7" s="204"/>
      <c r="AD7" s="73"/>
      <c r="AE7" s="74"/>
      <c r="AF7" s="1"/>
      <c r="AG7" s="1"/>
    </row>
    <row r="8" spans="1:33" ht="13.15" customHeight="1" x14ac:dyDescent="0.3">
      <c r="A8" s="3">
        <f>A6+1</f>
        <v>2</v>
      </c>
      <c r="B8" s="143" t="str">
        <f>RIGHT(RTD("cqg.rtd",,"ContractData",$A$5&amp;A8,"LongDescription"),14)</f>
        <v>Jun 16, Sep 16</v>
      </c>
      <c r="C8" s="34"/>
      <c r="D8" s="34"/>
      <c r="E8" s="34"/>
      <c r="F8" s="121">
        <f>IF(B8="","",RTD("cqg.rtd",,"ContractData",$A$5&amp;A8,"ExpirationDate",,"D"))</f>
        <v>42536</v>
      </c>
      <c r="G8" s="146">
        <f t="shared" ref="G8:G55" ca="1" si="4">F8-$A$1</f>
        <v>125</v>
      </c>
      <c r="H8" s="32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1</v>
      </c>
      <c r="I8" s="33"/>
      <c r="J8" s="38">
        <f>K8</f>
        <v>23320</v>
      </c>
      <c r="K8" s="125">
        <f>RTD("cqg.rtd", ,"ContractData", $A$5&amp;A8, "T_CVol")</f>
        <v>23320</v>
      </c>
      <c r="L8" s="125">
        <f xml:space="preserve"> RTD("cqg.rtd",,"StudyData", $A$5&amp;A8, "MA", "InputChoice=ContractVol,MAType=Sim,Period="&amp;$L$4&amp;"", "MA",,,"all",,,,"T")</f>
        <v>16080.5</v>
      </c>
      <c r="M8" s="115">
        <f>IF(K8&gt;L8,1,0)</f>
        <v>1</v>
      </c>
      <c r="N8" s="125">
        <f>RTD("cqg.rtd", ,"ContractData", $A$5&amp;A8, "Y_CVol")</f>
        <v>3766</v>
      </c>
      <c r="O8" s="126">
        <f t="shared" ref="O8:O55" si="5">IF(ISERROR(K8/N8),"",K8/N8)</f>
        <v>6.1922464152947425</v>
      </c>
      <c r="P8" s="125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1216</v>
      </c>
      <c r="Q8" s="125"/>
      <c r="R8" s="125"/>
      <c r="S8" s="45" t="str">
        <f>LEFT(B8,6)</f>
        <v>Jun 16</v>
      </c>
      <c r="T8" s="50">
        <f t="shared" si="2"/>
        <v>463484</v>
      </c>
      <c r="U8" s="50">
        <f>Sheet1!F8</f>
        <v>463484</v>
      </c>
      <c r="V8" s="50">
        <f t="shared" si="0"/>
        <v>-1342</v>
      </c>
      <c r="W8" s="50">
        <f t="shared" si="3"/>
        <v>-1342</v>
      </c>
      <c r="X8" s="50">
        <f>Sheet1!G8</f>
        <v>464826</v>
      </c>
      <c r="Y8" s="56">
        <f t="shared" si="1"/>
        <v>0.99711289815974147</v>
      </c>
      <c r="Z8" s="197">
        <f>IF(RTD("cqg.rtd",,"StudyData",$A$5&amp;A8,"Vol","VolType=Exchange,CoCType=Contract","Vol",$Z$4,"0","ALL",,,"TRUE","T")="",0,RTD("cqg.rtd",,"StudyData",$A$5&amp;A8,"Vol","VolType=Exchange,CoCType=Contract","Vol",$Z$4,"0","ALL",,,"TRUE","T"))</f>
        <v>1516</v>
      </c>
      <c r="AA8" s="198">
        <f ca="1">IF(B8="","",RTD("cqg.rtd",,"StudyData","Vol("&amp;$A$5&amp;A8&amp;") when (LocalDay("&amp;$A$5&amp;A8&amp;")="&amp;$C$1&amp;" and LocalHour("&amp;$A$5&amp;A8&amp;")="&amp;$E$1&amp;" and LocalMinute("&amp;$A$5&amp;$A8&amp;")="&amp;$F$1&amp;")","Bar",,"Vol",$Z$4,"0"))</f>
        <v>0</v>
      </c>
      <c r="AB8" s="199" t="str">
        <f>B8</f>
        <v>Jun 16, Sep 16</v>
      </c>
      <c r="AC8" s="200"/>
      <c r="AD8" s="73"/>
      <c r="AE8" s="74"/>
      <c r="AF8" s="1"/>
      <c r="AG8" s="1"/>
    </row>
    <row r="9" spans="1:33" ht="13.15" customHeight="1" x14ac:dyDescent="0.3">
      <c r="B9" s="144"/>
      <c r="C9" s="34"/>
      <c r="D9" s="34"/>
      <c r="E9" s="34"/>
      <c r="F9" s="122"/>
      <c r="G9" s="147"/>
      <c r="H9" s="32"/>
      <c r="I9" s="33"/>
      <c r="J9" s="39"/>
      <c r="K9" s="125"/>
      <c r="L9" s="125"/>
      <c r="M9" s="115"/>
      <c r="N9" s="125"/>
      <c r="O9" s="126"/>
      <c r="P9" s="125"/>
      <c r="Q9" s="125"/>
      <c r="R9" s="125"/>
      <c r="S9" s="47" t="str">
        <f>RIGHT(B8,6)</f>
        <v>Sep 16</v>
      </c>
      <c r="T9" s="51">
        <f t="shared" si="2"/>
        <v>417926</v>
      </c>
      <c r="U9" s="51">
        <f>Sheet1!L8</f>
        <v>417926</v>
      </c>
      <c r="V9" s="51">
        <f t="shared" si="0"/>
        <v>3634</v>
      </c>
      <c r="W9" s="50">
        <f t="shared" si="3"/>
        <v>3634</v>
      </c>
      <c r="X9" s="51">
        <f>Sheet1!M8</f>
        <v>414292</v>
      </c>
      <c r="Y9" s="55">
        <f t="shared" si="1"/>
        <v>1.0087715910517219</v>
      </c>
      <c r="Z9" s="197"/>
      <c r="AA9" s="198"/>
      <c r="AB9" s="203"/>
      <c r="AC9" s="204"/>
      <c r="AD9" s="73"/>
      <c r="AE9" s="74"/>
      <c r="AF9" s="1"/>
      <c r="AG9" s="1"/>
    </row>
    <row r="10" spans="1:33" ht="13.15" customHeight="1" x14ac:dyDescent="0.3">
      <c r="A10" s="3">
        <f>A8+1</f>
        <v>3</v>
      </c>
      <c r="B10" s="143" t="str">
        <f>RIGHT(RTD("cqg.rtd",,"ContractData",$A$5&amp;A10,"LongDescription"),14)</f>
        <v>Sep 16, Dec 16</v>
      </c>
      <c r="C10" s="34"/>
      <c r="D10" s="34"/>
      <c r="E10" s="34"/>
      <c r="F10" s="121">
        <f>IF(B10="","",RTD("cqg.rtd",,"ContractData",$A$5&amp;A10,"ExpirationDate",,"D"))</f>
        <v>42634</v>
      </c>
      <c r="G10" s="146">
        <f t="shared" ca="1" si="4"/>
        <v>223</v>
      </c>
      <c r="H10" s="32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1</v>
      </c>
      <c r="I10" s="33"/>
      <c r="J10" s="146">
        <f t="shared" ref="J10:J55" si="6">K10</f>
        <v>11118</v>
      </c>
      <c r="K10" s="125">
        <f>RTD("cqg.rtd", ,"ContractData", $A$5&amp;A10, "T_CVol")</f>
        <v>11118</v>
      </c>
      <c r="L10" s="125">
        <f xml:space="preserve"> RTD("cqg.rtd",,"StudyData", $A$5&amp;A10, "MA", "InputChoice=ContractVol,MAType=Sim,Period="&amp;$L$4&amp;"", "MA",,,"all",,,,"T")</f>
        <v>14590.5</v>
      </c>
      <c r="M10" s="115">
        <f t="shared" ref="M10:M55" si="7">IF(K10&gt;L10,1,0)</f>
        <v>0</v>
      </c>
      <c r="N10" s="125">
        <f>RTD("cqg.rtd", ,"ContractData", $A$5&amp;A10, "Y_CVol")</f>
        <v>8387</v>
      </c>
      <c r="O10" s="126">
        <f t="shared" si="5"/>
        <v>1.3256229879575534</v>
      </c>
      <c r="P10" s="125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>841</v>
      </c>
      <c r="Q10" s="125"/>
      <c r="R10" s="125"/>
      <c r="S10" s="45" t="str">
        <f>LEFT(B10,6)</f>
        <v>Sep 16</v>
      </c>
      <c r="T10" s="50">
        <f t="shared" si="2"/>
        <v>417926</v>
      </c>
      <c r="U10" s="50">
        <f>Sheet1!F10</f>
        <v>417926</v>
      </c>
      <c r="V10" s="50">
        <f t="shared" si="0"/>
        <v>3634</v>
      </c>
      <c r="W10" s="50">
        <f t="shared" si="3"/>
        <v>3634</v>
      </c>
      <c r="X10" s="50">
        <f>Sheet1!G10</f>
        <v>414292</v>
      </c>
      <c r="Y10" s="56">
        <f t="shared" si="1"/>
        <v>1.0087715910517219</v>
      </c>
      <c r="Z10" s="197">
        <f>IF(RTD("cqg.rtd",,"StudyData",$A$5&amp;A10,"Vol","VolType=Exchange,CoCType=Contract","Vol",$Z$4,"0","ALL",,,"TRUE","T")="",0,RTD("cqg.rtd",,"StudyData",$A$5&amp;A10,"Vol","VolType=Exchange,CoCType=Contract","Vol",$Z$4,"0","ALL",,,"TRUE","T"))</f>
        <v>943</v>
      </c>
      <c r="AA10" s="198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LocalMinute("&amp;$A$5&amp;$A10&amp;")="&amp;$F$1&amp;")","Bar",,"Vol",$Z$4,"0"))</f>
        <v>95</v>
      </c>
      <c r="AB10" s="199" t="str">
        <f>B10</f>
        <v>Sep 16, Dec 16</v>
      </c>
      <c r="AC10" s="200"/>
      <c r="AD10" s="73"/>
      <c r="AE10" s="74"/>
      <c r="AF10" s="1"/>
      <c r="AG10" s="1"/>
    </row>
    <row r="11" spans="1:33" ht="13.15" customHeight="1" x14ac:dyDescent="0.3">
      <c r="B11" s="144"/>
      <c r="C11" s="34"/>
      <c r="D11" s="34"/>
      <c r="E11" s="34"/>
      <c r="F11" s="122"/>
      <c r="G11" s="147"/>
      <c r="H11" s="32"/>
      <c r="I11" s="33"/>
      <c r="J11" s="147"/>
      <c r="K11" s="125"/>
      <c r="L11" s="125"/>
      <c r="M11" s="115"/>
      <c r="N11" s="125"/>
      <c r="O11" s="126"/>
      <c r="P11" s="125"/>
      <c r="Q11" s="125"/>
      <c r="R11" s="125"/>
      <c r="S11" s="47" t="str">
        <f>RIGHT(B10,6)</f>
        <v>Dec 16</v>
      </c>
      <c r="T11" s="51">
        <f t="shared" si="2"/>
        <v>432090</v>
      </c>
      <c r="U11" s="51">
        <f>Sheet1!L10</f>
        <v>432090</v>
      </c>
      <c r="V11" s="51">
        <f t="shared" si="0"/>
        <v>-6265</v>
      </c>
      <c r="W11" s="50">
        <f t="shared" si="3"/>
        <v>-6265</v>
      </c>
      <c r="X11" s="51">
        <f>Sheet1!M10</f>
        <v>438355</v>
      </c>
      <c r="Y11" s="55">
        <f t="shared" si="1"/>
        <v>0.98570793078669117</v>
      </c>
      <c r="Z11" s="197"/>
      <c r="AA11" s="198"/>
      <c r="AB11" s="203"/>
      <c r="AC11" s="204"/>
      <c r="AD11" s="73"/>
      <c r="AE11" s="74"/>
      <c r="AF11" s="1"/>
      <c r="AG11" s="1"/>
    </row>
    <row r="12" spans="1:33" ht="13.15" customHeight="1" x14ac:dyDescent="0.3">
      <c r="A12" s="3">
        <f>A10+1</f>
        <v>4</v>
      </c>
      <c r="B12" s="143" t="str">
        <f>RIGHT(RTD("cqg.rtd",,"ContractData",$A$5&amp;A12,"LongDescription"),14)</f>
        <v>Dec 16, Mar 17</v>
      </c>
      <c r="C12" s="34"/>
      <c r="D12" s="34"/>
      <c r="E12" s="34"/>
      <c r="F12" s="121">
        <f>IF(B12="","",RTD("cqg.rtd",,"ContractData",$A$5&amp;A12,"ExpirationDate",,"D"))</f>
        <v>42725</v>
      </c>
      <c r="G12" s="146">
        <f t="shared" ca="1" si="4"/>
        <v>314</v>
      </c>
      <c r="H12" s="32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1</v>
      </c>
      <c r="I12" s="33"/>
      <c r="J12" s="146">
        <f t="shared" si="6"/>
        <v>14056</v>
      </c>
      <c r="K12" s="125">
        <f>RTD("cqg.rtd", ,"ContractData", $A$5&amp;A12, "T_CVol")</f>
        <v>14056</v>
      </c>
      <c r="L12" s="125">
        <f xml:space="preserve"> RTD("cqg.rtd",,"StudyData", $A$5&amp;A12, "MA", "InputChoice=ContractVol,MAType=Sim,Period="&amp;$L$4&amp;"", "MA",,,"all",,,,"T")</f>
        <v>12251.91666667</v>
      </c>
      <c r="M12" s="115">
        <f t="shared" si="7"/>
        <v>1</v>
      </c>
      <c r="N12" s="125">
        <f>RTD("cqg.rtd", ,"ContractData", $A$5&amp;A12, "Y_CVol")</f>
        <v>5043</v>
      </c>
      <c r="O12" s="126">
        <f t="shared" si="5"/>
        <v>2.7872298235177473</v>
      </c>
      <c r="P12" s="125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155</v>
      </c>
      <c r="Q12" s="125"/>
      <c r="R12" s="125"/>
      <c r="S12" s="45" t="str">
        <f>LEFT(B12,6)</f>
        <v>Dec 16</v>
      </c>
      <c r="T12" s="50">
        <f t="shared" si="2"/>
        <v>432090</v>
      </c>
      <c r="U12" s="50">
        <f>Sheet1!F12</f>
        <v>432090</v>
      </c>
      <c r="V12" s="50">
        <f t="shared" si="0"/>
        <v>-6265</v>
      </c>
      <c r="W12" s="50">
        <f t="shared" si="3"/>
        <v>-6265</v>
      </c>
      <c r="X12" s="50">
        <f>Sheet1!G12</f>
        <v>438355</v>
      </c>
      <c r="Y12" s="56">
        <f t="shared" si="1"/>
        <v>0.98570793078669117</v>
      </c>
      <c r="Z12" s="197">
        <f>IF(RTD("cqg.rtd",,"StudyData",$A$5&amp;A12,"Vol","VolType=Exchange,CoCType=Contract","Vol",$Z$4,"0","ALL",,,"TRUE","T")="",0,RTD("cqg.rtd",,"StudyData",$A$5&amp;A12,"Vol","VolType=Exchange,CoCType=Contract","Vol",$Z$4,"0","ALL",,,"TRUE","T"))</f>
        <v>1028</v>
      </c>
      <c r="AA12" s="198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LocalMinute("&amp;$A$5&amp;$A12&amp;")="&amp;$F$1&amp;")","Bar",,"Vol",$Z$4,"0"))</f>
        <v>2</v>
      </c>
      <c r="AB12" s="199" t="str">
        <f>B12</f>
        <v>Dec 16, Mar 17</v>
      </c>
      <c r="AC12" s="200"/>
      <c r="AD12" s="73"/>
      <c r="AE12" s="74"/>
      <c r="AF12" s="1"/>
      <c r="AG12" s="1"/>
    </row>
    <row r="13" spans="1:33" ht="13.15" customHeight="1" x14ac:dyDescent="0.3">
      <c r="B13" s="144"/>
      <c r="C13" s="34"/>
      <c r="D13" s="34"/>
      <c r="E13" s="34"/>
      <c r="F13" s="122"/>
      <c r="G13" s="147"/>
      <c r="H13" s="32"/>
      <c r="I13" s="33"/>
      <c r="J13" s="147"/>
      <c r="K13" s="125"/>
      <c r="L13" s="125"/>
      <c r="M13" s="115"/>
      <c r="N13" s="125"/>
      <c r="O13" s="126"/>
      <c r="P13" s="125"/>
      <c r="Q13" s="125"/>
      <c r="R13" s="125"/>
      <c r="S13" s="47" t="str">
        <f>RIGHT(B12,6)</f>
        <v>Mar 17</v>
      </c>
      <c r="T13" s="51">
        <f t="shared" si="2"/>
        <v>333003</v>
      </c>
      <c r="U13" s="51">
        <f>Sheet1!L12</f>
        <v>333003</v>
      </c>
      <c r="V13" s="51">
        <f t="shared" si="0"/>
        <v>-3254</v>
      </c>
      <c r="W13" s="50">
        <f t="shared" si="3"/>
        <v>-3254</v>
      </c>
      <c r="X13" s="51">
        <f>Sheet1!M12</f>
        <v>336257</v>
      </c>
      <c r="Y13" s="55">
        <f t="shared" si="1"/>
        <v>0.9903228780367398</v>
      </c>
      <c r="Z13" s="197"/>
      <c r="AA13" s="198"/>
      <c r="AB13" s="203"/>
      <c r="AC13" s="204"/>
      <c r="AD13" s="73"/>
      <c r="AE13" s="74"/>
      <c r="AF13" s="1"/>
      <c r="AG13" s="1"/>
    </row>
    <row r="14" spans="1:33" ht="13.15" customHeight="1" x14ac:dyDescent="0.3">
      <c r="A14" s="3">
        <f>A12+1</f>
        <v>5</v>
      </c>
      <c r="B14" s="170" t="str">
        <f>RIGHT(RTD("cqg.rtd",,"ContractData",$A$5&amp;A14,"LongDescription"),14)</f>
        <v>Mar 17, Jun 17</v>
      </c>
      <c r="C14" s="34"/>
      <c r="D14" s="34"/>
      <c r="E14" s="34"/>
      <c r="F14" s="128">
        <f>IF(B14="","",RTD("cqg.rtd",,"ContractData",$A$5&amp;A14,"ExpirationDate",,"D"))</f>
        <v>42809</v>
      </c>
      <c r="G14" s="146">
        <f t="shared" ca="1" si="4"/>
        <v>398</v>
      </c>
      <c r="H14" s="60">
        <f>IF(OR(RTD("cqg.rtd",,"ContractData",$A$5&amp;A14,"Contractmonth")="JUN",(RTD("cqg.rtd",,"ContractData",$A$5&amp;A14,"Contractmonth")="SEP"),(RTD("cqg.rtd",,"ContractData",$A$5&amp;A14,"Contractmonth")="DEC"),(RTD("cqg.rtd",,"ContractData",$A$5&amp;A14,"Contractmonth")="MAR")),1,0)</f>
        <v>1</v>
      </c>
      <c r="I14" s="42"/>
      <c r="J14" s="43">
        <f t="shared" si="6"/>
        <v>12060</v>
      </c>
      <c r="K14" s="125">
        <f>RTD("cqg.rtd", ,"ContractData", $A$5&amp;A14, "T_CVol")</f>
        <v>12060</v>
      </c>
      <c r="L14" s="125">
        <f xml:space="preserve"> RTD("cqg.rtd",,"StudyData", $A$5&amp;A14, "MA", "InputChoice=ContractVol,MAType=Sim,Period="&amp;$L$4&amp;"", "MA",,,"all",,,,"T")</f>
        <v>7451.0833333299997</v>
      </c>
      <c r="M14" s="115">
        <f t="shared" si="7"/>
        <v>1</v>
      </c>
      <c r="N14" s="125">
        <f>RTD("cqg.rtd", ,"ContractData", $A$5&amp;A14, "Y_CVol")</f>
        <v>1666</v>
      </c>
      <c r="O14" s="126">
        <f t="shared" si="5"/>
        <v>7.2388955582232892</v>
      </c>
      <c r="P14" s="125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>105</v>
      </c>
      <c r="Q14" s="125"/>
      <c r="R14" s="125"/>
      <c r="S14" s="45" t="str">
        <f>LEFT(B14,6)</f>
        <v>Mar 17</v>
      </c>
      <c r="T14" s="50">
        <f>U14</f>
        <v>333003</v>
      </c>
      <c r="U14" s="50">
        <f>Sheet1!F14</f>
        <v>333003</v>
      </c>
      <c r="V14" s="50">
        <f t="shared" si="0"/>
        <v>-3254</v>
      </c>
      <c r="W14" s="50">
        <f t="shared" si="3"/>
        <v>-3254</v>
      </c>
      <c r="X14" s="50">
        <f>Sheet1!G14</f>
        <v>336257</v>
      </c>
      <c r="Y14" s="56">
        <f t="shared" si="1"/>
        <v>0.9903228780367398</v>
      </c>
      <c r="Z14" s="197">
        <f>IF(RTD("cqg.rtd",,"StudyData",$A$5&amp;A14,"Vol","VolType=Exchange,CoCType=Contract","Vol",$Z$4,"0","ALL",,,"TRUE","T")="",0,RTD("cqg.rtd",,"StudyData",$A$5&amp;A14,"Vol","VolType=Exchange,CoCType=Contract","Vol",$Z$4,"0","ALL",,,"TRUE","T"))</f>
        <v>942</v>
      </c>
      <c r="AA14" s="198">
        <f ca="1">IF(B14="","",RTD("cqg.rtd",,"StudyData","Vol("&amp;$A$5&amp;A14&amp;") when (LocalDay("&amp;$A$5&amp;A14&amp;")="&amp;$C$1&amp;" and LocalHour("&amp;$A$5&amp;A14&amp;")="&amp;$E$1&amp;" and LocalMinute("&amp;$A$5&amp;$A14&amp;")="&amp;$F$1&amp;")","Bar",,"Vol",$Z$4,"0"))</f>
        <v>6</v>
      </c>
      <c r="AB14" s="199" t="str">
        <f>B14</f>
        <v>Mar 17, Jun 17</v>
      </c>
      <c r="AC14" s="200"/>
      <c r="AD14" s="73"/>
      <c r="AE14" s="74"/>
      <c r="AF14" s="1"/>
      <c r="AG14" s="1"/>
    </row>
    <row r="15" spans="1:33" ht="13.15" customHeight="1" x14ac:dyDescent="0.3">
      <c r="B15" s="171"/>
      <c r="C15" s="86"/>
      <c r="D15" s="86"/>
      <c r="E15" s="86"/>
      <c r="F15" s="169"/>
      <c r="G15" s="168"/>
      <c r="H15" s="61"/>
      <c r="I15" s="35"/>
      <c r="J15" s="87"/>
      <c r="K15" s="125"/>
      <c r="L15" s="125"/>
      <c r="M15" s="115"/>
      <c r="N15" s="125"/>
      <c r="O15" s="126"/>
      <c r="P15" s="125"/>
      <c r="Q15" s="125"/>
      <c r="R15" s="125"/>
      <c r="S15" s="88" t="str">
        <f>RIGHT(B14,6)</f>
        <v>Jun 17</v>
      </c>
      <c r="T15" s="89">
        <f t="shared" si="2"/>
        <v>327986</v>
      </c>
      <c r="U15" s="89">
        <f>Sheet1!L14</f>
        <v>327986</v>
      </c>
      <c r="V15" s="51">
        <f t="shared" si="0"/>
        <v>-3506</v>
      </c>
      <c r="W15" s="90">
        <f t="shared" si="3"/>
        <v>-3506</v>
      </c>
      <c r="X15" s="89">
        <f>Sheet1!M14</f>
        <v>331492</v>
      </c>
      <c r="Y15" s="91">
        <f t="shared" si="1"/>
        <v>0.98942357583290097</v>
      </c>
      <c r="Z15" s="197"/>
      <c r="AA15" s="198"/>
      <c r="AB15" s="201"/>
      <c r="AC15" s="202"/>
      <c r="AD15" s="73"/>
      <c r="AE15" s="74"/>
      <c r="AF15" s="1"/>
      <c r="AG15" s="1"/>
    </row>
    <row r="16" spans="1:33" ht="8.1" customHeight="1" x14ac:dyDescent="0.3">
      <c r="B16" s="100"/>
      <c r="C16" s="19"/>
      <c r="D16" s="19"/>
      <c r="E16" s="19"/>
      <c r="F16" s="26"/>
      <c r="G16" s="19"/>
      <c r="H16" s="95"/>
      <c r="I16" s="19"/>
      <c r="J16" s="19"/>
      <c r="K16" s="79"/>
      <c r="L16" s="79"/>
      <c r="M16" s="80"/>
      <c r="N16" s="79"/>
      <c r="O16" s="81"/>
      <c r="P16" s="82"/>
      <c r="Q16" s="82"/>
      <c r="R16" s="82"/>
      <c r="S16" s="44"/>
      <c r="T16" s="19"/>
      <c r="U16" s="57"/>
      <c r="V16" s="57"/>
      <c r="W16" s="57"/>
      <c r="X16" s="57"/>
      <c r="Y16" s="57"/>
      <c r="Z16" s="83"/>
      <c r="AA16" s="84"/>
      <c r="AB16" s="107"/>
      <c r="AC16" s="108"/>
      <c r="AD16" s="85"/>
      <c r="AE16" s="76"/>
      <c r="AF16" s="1"/>
      <c r="AG16" s="1"/>
    </row>
    <row r="17" spans="1:33" ht="13.15" customHeight="1" x14ac:dyDescent="0.3">
      <c r="A17" s="3">
        <f>A14+1</f>
        <v>6</v>
      </c>
      <c r="B17" s="150" t="str">
        <f>RIGHT(RTD("cqg.rtd",,"ContractData",$A$5&amp;A17,"LongDescription"),14)</f>
        <v>Jun 17, Sep 17</v>
      </c>
      <c r="C17" s="20"/>
      <c r="D17" s="20"/>
      <c r="E17" s="20"/>
      <c r="F17" s="149">
        <f>IF(B17="","",RTD("cqg.rtd",,"ContractData",$A$5&amp;A17,"ExpirationDate",,"D"))</f>
        <v>42907</v>
      </c>
      <c r="G17" s="148">
        <f t="shared" ca="1" si="4"/>
        <v>496</v>
      </c>
      <c r="H17" s="16"/>
      <c r="I17" s="17"/>
      <c r="J17" s="71">
        <f t="shared" si="6"/>
        <v>38282</v>
      </c>
      <c r="K17" s="125">
        <f>RTD("cqg.rtd", ,"ContractData", $A$5&amp;A17, "T_CVol")</f>
        <v>38282</v>
      </c>
      <c r="L17" s="127">
        <f xml:space="preserve"> RTD("cqg.rtd",,"StudyData", $A$5&amp;A17, "MA", "InputChoice=ContractVol,MAType=Sim,Period="&amp;$L$4&amp;"", "MA",,,"all",,,,"T")</f>
        <v>10969.08333333</v>
      </c>
      <c r="M17" s="99">
        <f t="shared" si="7"/>
        <v>1</v>
      </c>
      <c r="N17" s="127">
        <f>RTD("cqg.rtd", ,"ContractData", $A$5&amp;A17, "Y_CVol")</f>
        <v>7142</v>
      </c>
      <c r="O17" s="126">
        <f t="shared" si="5"/>
        <v>5.3601232147857747</v>
      </c>
      <c r="P17" s="125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42</v>
      </c>
      <c r="Q17" s="125"/>
      <c r="R17" s="125"/>
      <c r="S17" s="92" t="str">
        <f>LEFT(B17,6)</f>
        <v>Jun 17</v>
      </c>
      <c r="T17" s="93">
        <f t="shared" si="2"/>
        <v>327986</v>
      </c>
      <c r="U17" s="93">
        <f>Sheet1!F16</f>
        <v>327986</v>
      </c>
      <c r="V17" s="50">
        <f t="shared" ref="V17:V24" si="8">IFERROR(U17-X17,"")</f>
        <v>-3506</v>
      </c>
      <c r="W17" s="93">
        <f t="shared" si="3"/>
        <v>-3506</v>
      </c>
      <c r="X17" s="93">
        <f>Sheet1!G16</f>
        <v>331492</v>
      </c>
      <c r="Y17" s="94">
        <f t="shared" ref="Y17:Y24" si="9">IF(ISERROR(U17/X17),"",U17/X17)</f>
        <v>0.98942357583290097</v>
      </c>
      <c r="Z17" s="198">
        <f>IF(RTD("cqg.rtd",,"StudyData",$A$5&amp;A17,"Vol","VolType=Exchange,CoCType=Contract","Vol",$Z$4,"0","ALL",,,"TRUE","T")="",0,RTD("cqg.rtd",,"StudyData",$A$5&amp;A17,"Vol","VolType=Exchange,CoCType=Contract","Vol",$Z$4,"0","ALL",,,"TRUE","T"))</f>
        <v>8</v>
      </c>
      <c r="AA17" s="198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LocalMinute("&amp;$A$5&amp;$A17&amp;")="&amp;$F$1&amp;")","Bar",,"Vol",$Z$4,"0"))</f>
        <v>99</v>
      </c>
      <c r="AB17" s="187" t="str">
        <f>B17</f>
        <v>Jun 17, Sep 17</v>
      </c>
      <c r="AC17" s="217"/>
      <c r="AD17" s="73"/>
      <c r="AE17" s="74"/>
      <c r="AF17" s="1"/>
      <c r="AG17" s="1"/>
    </row>
    <row r="18" spans="1:33" ht="13.15" customHeight="1" x14ac:dyDescent="0.3">
      <c r="B18" s="151"/>
      <c r="C18" s="20"/>
      <c r="D18" s="20"/>
      <c r="E18" s="20"/>
      <c r="F18" s="122"/>
      <c r="G18" s="120"/>
      <c r="H18" s="16"/>
      <c r="I18" s="17"/>
      <c r="J18" s="36"/>
      <c r="K18" s="125"/>
      <c r="L18" s="127"/>
      <c r="M18" s="99"/>
      <c r="N18" s="127"/>
      <c r="O18" s="126"/>
      <c r="P18" s="125"/>
      <c r="Q18" s="125"/>
      <c r="R18" s="125"/>
      <c r="S18" s="48" t="str">
        <f>RIGHT(B17,6)</f>
        <v>Sep 17</v>
      </c>
      <c r="T18" s="51">
        <f t="shared" si="2"/>
        <v>265162</v>
      </c>
      <c r="U18" s="51">
        <f>Sheet1!L16</f>
        <v>265162</v>
      </c>
      <c r="V18" s="51">
        <f t="shared" si="8"/>
        <v>743</v>
      </c>
      <c r="W18" s="50">
        <f t="shared" si="3"/>
        <v>743</v>
      </c>
      <c r="X18" s="51">
        <f>Sheet1!M16</f>
        <v>264419</v>
      </c>
      <c r="Y18" s="55">
        <f t="shared" si="9"/>
        <v>1.0028099342331678</v>
      </c>
      <c r="Z18" s="198"/>
      <c r="AA18" s="198"/>
      <c r="AB18" s="188"/>
      <c r="AC18" s="218"/>
      <c r="AD18" s="73"/>
      <c r="AE18" s="74"/>
      <c r="AF18" s="1"/>
      <c r="AG18" s="1"/>
    </row>
    <row r="19" spans="1:33" ht="13.15" customHeight="1" x14ac:dyDescent="0.3">
      <c r="A19" s="3">
        <f>A17+1</f>
        <v>7</v>
      </c>
      <c r="B19" s="152" t="str">
        <f>RIGHT(RTD("cqg.rtd",,"ContractData",$A$5&amp;A19,"LongDescription"),14)</f>
        <v>Sep 17, Dec 17</v>
      </c>
      <c r="C19" s="22"/>
      <c r="D19" s="22"/>
      <c r="E19" s="22"/>
      <c r="F19" s="121">
        <f>IF(B19="","",RTD("cqg.rtd",,"ContractData",$A$5&amp;A19,"ExpirationDate",,"D"))</f>
        <v>42998</v>
      </c>
      <c r="G19" s="119">
        <f t="shared" ca="1" si="4"/>
        <v>587</v>
      </c>
      <c r="H19" s="16"/>
      <c r="I19" s="17"/>
      <c r="J19" s="40">
        <f t="shared" si="6"/>
        <v>59584</v>
      </c>
      <c r="K19" s="125">
        <f>RTD("cqg.rtd", ,"ContractData", $A$5&amp;A19, "T_CVol")</f>
        <v>59584</v>
      </c>
      <c r="L19" s="127">
        <f xml:space="preserve"> RTD("cqg.rtd",,"StudyData", $A$5&amp;A19, "MA", "InputChoice=ContractVol,MAType=Sim,Period="&amp;$L$4&amp;"", "MA",,,"all",,,,"T")</f>
        <v>9529.25</v>
      </c>
      <c r="M19" s="99">
        <f t="shared" si="7"/>
        <v>1</v>
      </c>
      <c r="N19" s="127">
        <f>RTD("cqg.rtd", ,"ContractData", $A$5&amp;A19, "Y_CVol")</f>
        <v>2461</v>
      </c>
      <c r="O19" s="126">
        <f t="shared" si="5"/>
        <v>24.211296221048354</v>
      </c>
      <c r="P19" s="125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>21</v>
      </c>
      <c r="Q19" s="125"/>
      <c r="R19" s="125"/>
      <c r="S19" s="46" t="str">
        <f>LEFT(B19,6)</f>
        <v>Sep 17</v>
      </c>
      <c r="T19" s="50">
        <f t="shared" si="2"/>
        <v>265162</v>
      </c>
      <c r="U19" s="50">
        <f>Sheet1!F18</f>
        <v>265162</v>
      </c>
      <c r="V19" s="50">
        <f t="shared" si="8"/>
        <v>743</v>
      </c>
      <c r="W19" s="50">
        <f t="shared" si="3"/>
        <v>743</v>
      </c>
      <c r="X19" s="50">
        <f>Sheet1!G18</f>
        <v>264419</v>
      </c>
      <c r="Y19" s="56">
        <f t="shared" si="9"/>
        <v>1.0028099342331678</v>
      </c>
      <c r="Z19" s="198">
        <f>IF(RTD("cqg.rtd",,"StudyData",$A$5&amp;A19,"Vol","VolType=Exchange,CoCType=Contract","Vol",$Z$4,"0","ALL",,,"TRUE","T")="",0,RTD("cqg.rtd",,"StudyData",$A$5&amp;A19,"Vol","VolType=Exchange,CoCType=Contract","Vol",$Z$4,"0","ALL",,,"TRUE","T"))</f>
        <v>75</v>
      </c>
      <c r="AA19" s="198">
        <f ca="1">IF(B19="","",RTD("cqg.rtd",,"StudyData","Vol("&amp;$A$5&amp;A19&amp;") when (LocalDay("&amp;$A$5&amp;A19&amp;")="&amp;$C$1&amp;" and LocalHour("&amp;$A$5&amp;A19&amp;")="&amp;$E$1&amp;" and LocalMinute("&amp;$A$5&amp;$A19&amp;")="&amp;$F$1&amp;")","Bar",,"Vol",$Z$4,"0"))</f>
        <v>0</v>
      </c>
      <c r="AB19" s="187" t="str">
        <f>B19</f>
        <v>Sep 17, Dec 17</v>
      </c>
      <c r="AC19" s="217"/>
      <c r="AD19" s="73"/>
      <c r="AE19" s="74"/>
      <c r="AF19" s="1"/>
      <c r="AG19" s="1"/>
    </row>
    <row r="20" spans="1:33" ht="13.15" customHeight="1" x14ac:dyDescent="0.3">
      <c r="B20" s="151"/>
      <c r="C20" s="22"/>
      <c r="D20" s="22"/>
      <c r="E20" s="22"/>
      <c r="F20" s="122"/>
      <c r="G20" s="120"/>
      <c r="H20" s="16"/>
      <c r="I20" s="17"/>
      <c r="J20" s="36"/>
      <c r="K20" s="125"/>
      <c r="L20" s="127"/>
      <c r="M20" s="99"/>
      <c r="N20" s="127"/>
      <c r="O20" s="126"/>
      <c r="P20" s="125"/>
      <c r="Q20" s="125"/>
      <c r="R20" s="125"/>
      <c r="S20" s="48" t="str">
        <f>RIGHT(B19,6)</f>
        <v>Dec 17</v>
      </c>
      <c r="T20" s="51">
        <f t="shared" si="2"/>
        <v>320412</v>
      </c>
      <c r="U20" s="51">
        <f>Sheet1!L18</f>
        <v>320412</v>
      </c>
      <c r="V20" s="51">
        <f t="shared" si="8"/>
        <v>3480</v>
      </c>
      <c r="W20" s="50">
        <f t="shared" si="3"/>
        <v>3480</v>
      </c>
      <c r="X20" s="51">
        <f>Sheet1!M18</f>
        <v>316932</v>
      </c>
      <c r="Y20" s="55">
        <f t="shared" si="9"/>
        <v>1.0109802733709439</v>
      </c>
      <c r="Z20" s="198"/>
      <c r="AA20" s="198"/>
      <c r="AB20" s="188"/>
      <c r="AC20" s="218"/>
      <c r="AD20" s="73"/>
      <c r="AE20" s="74"/>
      <c r="AF20" s="1"/>
      <c r="AG20" s="1"/>
    </row>
    <row r="21" spans="1:33" ht="13.15" customHeight="1" x14ac:dyDescent="0.3">
      <c r="A21" s="3">
        <f>A19+1</f>
        <v>8</v>
      </c>
      <c r="B21" s="152" t="str">
        <f>RIGHT(RTD("cqg.rtd",,"ContractData",$A$5&amp;A21,"LongDescription"),14)</f>
        <v>Dec 17, Mar 18</v>
      </c>
      <c r="C21" s="22"/>
      <c r="D21" s="22"/>
      <c r="E21" s="22"/>
      <c r="F21" s="121">
        <f>IF(B21="","",RTD("cqg.rtd",,"ContractData",$A$5&amp;A21,"ExpirationDate",,"D"))</f>
        <v>43089</v>
      </c>
      <c r="G21" s="119">
        <f t="shared" ca="1" si="4"/>
        <v>678</v>
      </c>
      <c r="H21" s="16"/>
      <c r="I21" s="17"/>
      <c r="J21" s="40">
        <f t="shared" si="6"/>
        <v>30949</v>
      </c>
      <c r="K21" s="125">
        <f>RTD("cqg.rtd", ,"ContractData", $A$5&amp;A21, "T_CVol")</f>
        <v>30949</v>
      </c>
      <c r="L21" s="127">
        <f xml:space="preserve"> RTD("cqg.rtd",,"StudyData", $A$5&amp;A21, "MA", "InputChoice=ContractVol,MAType=Sim,Period="&amp;$L$4&amp;"", "MA",,,"all",,,,"T")</f>
        <v>7726</v>
      </c>
      <c r="M21" s="99">
        <f t="shared" si="7"/>
        <v>1</v>
      </c>
      <c r="N21" s="127">
        <f>RTD("cqg.rtd", ,"ContractData", $A$5&amp;A21, "Y_CVol")</f>
        <v>8358</v>
      </c>
      <c r="O21" s="126">
        <f t="shared" si="5"/>
        <v>3.7029193586982529</v>
      </c>
      <c r="P21" s="125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159</v>
      </c>
      <c r="Q21" s="125"/>
      <c r="R21" s="125"/>
      <c r="S21" s="46" t="str">
        <f>LEFT(B21,6)</f>
        <v>Dec 17</v>
      </c>
      <c r="T21" s="50">
        <f t="shared" si="2"/>
        <v>320412</v>
      </c>
      <c r="U21" s="50">
        <f>Sheet1!F20</f>
        <v>320412</v>
      </c>
      <c r="V21" s="50">
        <f t="shared" si="8"/>
        <v>3480</v>
      </c>
      <c r="W21" s="50">
        <f t="shared" si="3"/>
        <v>3480</v>
      </c>
      <c r="X21" s="50">
        <f>Sheet1!G20</f>
        <v>316932</v>
      </c>
      <c r="Y21" s="56">
        <f t="shared" si="9"/>
        <v>1.0109802733709439</v>
      </c>
      <c r="Z21" s="198">
        <f>IF(RTD("cqg.rtd",,"StudyData",$A$5&amp;A21,"Vol","VolType=Exchange,CoCType=Contract","Vol",$Z$4,"0","ALL",,,"TRUE","T")="",0,RTD("cqg.rtd",,"StudyData",$A$5&amp;A21,"Vol","VolType=Exchange,CoCType=Contract","Vol",$Z$4,"0","ALL",,,"TRUE","T"))</f>
        <v>9</v>
      </c>
      <c r="AA21" s="198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LocalMinute("&amp;$A$5&amp;$A21&amp;")="&amp;$F$1&amp;")","Bar",,"Vol",$Z$4,"0"))</f>
        <v>217</v>
      </c>
      <c r="AB21" s="187" t="str">
        <f>B21</f>
        <v>Dec 17, Mar 18</v>
      </c>
      <c r="AC21" s="217"/>
      <c r="AD21" s="73"/>
      <c r="AE21" s="74"/>
      <c r="AF21" s="1"/>
      <c r="AG21" s="1"/>
    </row>
    <row r="22" spans="1:33" ht="13.15" customHeight="1" x14ac:dyDescent="0.3">
      <c r="B22" s="151"/>
      <c r="C22" s="22"/>
      <c r="D22" s="22"/>
      <c r="E22" s="22"/>
      <c r="F22" s="122"/>
      <c r="G22" s="120"/>
      <c r="H22" s="16"/>
      <c r="I22" s="17"/>
      <c r="J22" s="36"/>
      <c r="K22" s="125"/>
      <c r="L22" s="127"/>
      <c r="M22" s="99"/>
      <c r="N22" s="127"/>
      <c r="O22" s="126"/>
      <c r="P22" s="125"/>
      <c r="Q22" s="125"/>
      <c r="R22" s="125"/>
      <c r="S22" s="48" t="str">
        <f>RIGHT(B21,6)</f>
        <v>Mar 18</v>
      </c>
      <c r="T22" s="51">
        <f t="shared" si="2"/>
        <v>201770</v>
      </c>
      <c r="U22" s="51">
        <f>Sheet1!L20</f>
        <v>201770</v>
      </c>
      <c r="V22" s="51">
        <f t="shared" si="8"/>
        <v>8269</v>
      </c>
      <c r="W22" s="50">
        <f t="shared" si="3"/>
        <v>8269</v>
      </c>
      <c r="X22" s="51">
        <f>Sheet1!M20</f>
        <v>193501</v>
      </c>
      <c r="Y22" s="55">
        <f t="shared" si="9"/>
        <v>1.0427336292835696</v>
      </c>
      <c r="Z22" s="198"/>
      <c r="AA22" s="198"/>
      <c r="AB22" s="188"/>
      <c r="AC22" s="218"/>
      <c r="AD22" s="73"/>
      <c r="AE22" s="74"/>
      <c r="AF22" s="1"/>
      <c r="AG22" s="1"/>
    </row>
    <row r="23" spans="1:33" ht="13.15" customHeight="1" x14ac:dyDescent="0.3">
      <c r="A23" s="3">
        <f>A21+1</f>
        <v>9</v>
      </c>
      <c r="B23" s="187" t="str">
        <f>RIGHT(RTD("cqg.rtd",,"ContractData",$A$5&amp;A23,"LongDescription"),14)</f>
        <v>Mar 18, Jun 18</v>
      </c>
      <c r="C23" s="22"/>
      <c r="D23" s="22"/>
      <c r="E23" s="22"/>
      <c r="F23" s="128">
        <f>IF(B23="","",RTD("cqg.rtd",,"ContractData",$A$5&amp;A23,"ExpirationDate",,"D"))</f>
        <v>43180</v>
      </c>
      <c r="G23" s="119">
        <f t="shared" ca="1" si="4"/>
        <v>769</v>
      </c>
      <c r="H23" s="61"/>
      <c r="I23" s="41"/>
      <c r="J23" s="40">
        <f t="shared" si="6"/>
        <v>19941</v>
      </c>
      <c r="K23" s="125">
        <f>RTD("cqg.rtd", ,"ContractData", $A$5&amp;A23, "T_CVol")</f>
        <v>19941</v>
      </c>
      <c r="L23" s="127">
        <f xml:space="preserve"> RTD("cqg.rtd",,"StudyData", $A$5&amp;A23, "MA", "InputChoice=ContractVol,MAType=Sim,Period="&amp;$L$4&amp;"", "MA",,,"all",,,,"T")</f>
        <v>5991.3333333299997</v>
      </c>
      <c r="M23" s="99">
        <f t="shared" si="7"/>
        <v>1</v>
      </c>
      <c r="N23" s="127">
        <f>RTD("cqg.rtd", ,"ContractData", $A$5&amp;A23, "Y_CVol")</f>
        <v>96</v>
      </c>
      <c r="O23" s="126">
        <f t="shared" si="5"/>
        <v>207.71875</v>
      </c>
      <c r="P23" s="125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17</v>
      </c>
      <c r="Q23" s="125"/>
      <c r="R23" s="125"/>
      <c r="S23" s="46" t="str">
        <f>LEFT(B23,6)</f>
        <v>Mar 18</v>
      </c>
      <c r="T23" s="50">
        <f t="shared" si="2"/>
        <v>201770</v>
      </c>
      <c r="U23" s="50">
        <f>Sheet1!F22</f>
        <v>201770</v>
      </c>
      <c r="V23" s="50">
        <f t="shared" si="8"/>
        <v>8269</v>
      </c>
      <c r="W23" s="50">
        <f t="shared" si="3"/>
        <v>8269</v>
      </c>
      <c r="X23" s="50">
        <f>Sheet1!G22</f>
        <v>193501</v>
      </c>
      <c r="Y23" s="56">
        <f t="shared" si="9"/>
        <v>1.0427336292835696</v>
      </c>
      <c r="Z23" s="198">
        <f>IF(RTD("cqg.rtd",,"StudyData",$A$5&amp;A23,"Vol","VolType=Exchange,CoCType=Contract","Vol",$Z$4,"0","ALL",,,"TRUE","T")="",0,RTD("cqg.rtd",,"StudyData",$A$5&amp;A23,"Vol","VolType=Exchange,CoCType=Contract","Vol",$Z$4,"0","ALL",,,"TRUE","T"))</f>
        <v>2</v>
      </c>
      <c r="AA23" s="198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LocalMinute("&amp;$A$5&amp;$A23&amp;")="&amp;$F$1&amp;")","Bar",,"Vol",$Z$4,"0"))</f>
        <v>0</v>
      </c>
      <c r="AB23" s="187" t="str">
        <f>B23</f>
        <v>Mar 18, Jun 18</v>
      </c>
      <c r="AC23" s="217"/>
      <c r="AD23" s="73"/>
      <c r="AE23" s="74"/>
      <c r="AF23" s="1"/>
      <c r="AG23" s="1"/>
    </row>
    <row r="24" spans="1:33" ht="13.15" customHeight="1" x14ac:dyDescent="0.3">
      <c r="B24" s="188"/>
      <c r="C24" s="37"/>
      <c r="D24" s="37"/>
      <c r="E24" s="37"/>
      <c r="F24" s="129"/>
      <c r="G24" s="120"/>
      <c r="H24" s="61"/>
      <c r="I24" s="27"/>
      <c r="J24" s="36"/>
      <c r="K24" s="125"/>
      <c r="L24" s="127"/>
      <c r="M24" s="99"/>
      <c r="N24" s="127"/>
      <c r="O24" s="126"/>
      <c r="P24" s="125"/>
      <c r="Q24" s="125"/>
      <c r="R24" s="125"/>
      <c r="S24" s="48" t="str">
        <f>RIGHT(B23,6)</f>
        <v>Jun 18</v>
      </c>
      <c r="T24" s="51">
        <f t="shared" si="2"/>
        <v>150869</v>
      </c>
      <c r="U24" s="51">
        <f>Sheet1!L22</f>
        <v>150869</v>
      </c>
      <c r="V24" s="51">
        <f t="shared" si="8"/>
        <v>-1269</v>
      </c>
      <c r="W24" s="50">
        <f t="shared" si="3"/>
        <v>-1269</v>
      </c>
      <c r="X24" s="51">
        <f>Sheet1!M22</f>
        <v>152138</v>
      </c>
      <c r="Y24" s="55">
        <f t="shared" si="9"/>
        <v>0.99165888864057627</v>
      </c>
      <c r="Z24" s="198"/>
      <c r="AA24" s="198"/>
      <c r="AB24" s="188"/>
      <c r="AC24" s="218"/>
      <c r="AD24" s="73"/>
      <c r="AE24" s="74"/>
      <c r="AF24" s="1"/>
      <c r="AG24" s="1"/>
    </row>
    <row r="25" spans="1:33" ht="8.1" customHeight="1" x14ac:dyDescent="0.3">
      <c r="B25" s="100"/>
      <c r="C25" s="19"/>
      <c r="D25" s="19"/>
      <c r="E25" s="19"/>
      <c r="F25" s="26"/>
      <c r="G25" s="19"/>
      <c r="H25" s="95"/>
      <c r="I25" s="19"/>
      <c r="J25" s="19"/>
      <c r="K25" s="79"/>
      <c r="L25" s="79"/>
      <c r="M25" s="80"/>
      <c r="N25" s="79"/>
      <c r="O25" s="81"/>
      <c r="P25" s="82"/>
      <c r="Q25" s="82"/>
      <c r="R25" s="82"/>
      <c r="S25" s="44"/>
      <c r="T25" s="19"/>
      <c r="U25" s="57"/>
      <c r="V25" s="57"/>
      <c r="W25" s="57"/>
      <c r="X25" s="57"/>
      <c r="Y25" s="57"/>
      <c r="Z25" s="83"/>
      <c r="AA25" s="84"/>
      <c r="AB25" s="107"/>
      <c r="AC25" s="108"/>
      <c r="AD25" s="75"/>
      <c r="AE25" s="76"/>
      <c r="AF25" s="1"/>
      <c r="AG25" s="1"/>
    </row>
    <row r="26" spans="1:33" ht="13.15" customHeight="1" x14ac:dyDescent="0.3">
      <c r="A26" s="3">
        <f>A23+1</f>
        <v>10</v>
      </c>
      <c r="B26" s="123" t="str">
        <f>RIGHT(RTD("cqg.rtd",,"ContractData",$A$5&amp;A26,"LongDescription"),14)</f>
        <v>Jun 18, Sep 18</v>
      </c>
      <c r="C26" s="23"/>
      <c r="D26" s="23"/>
      <c r="E26" s="23"/>
      <c r="F26" s="121">
        <f>IF(B26="","",RTD("cqg.rtd",,"ContractData",$A$5&amp;A26,"ExpirationDate",,"D"))</f>
        <v>43271</v>
      </c>
      <c r="G26" s="119">
        <f t="shared" ca="1" si="4"/>
        <v>860</v>
      </c>
      <c r="H26" s="16"/>
      <c r="I26" s="17"/>
      <c r="J26" s="18">
        <f t="shared" si="6"/>
        <v>25899</v>
      </c>
      <c r="K26" s="125">
        <f>RTD("cqg.rtd", ,"ContractData", $A$5&amp;A26, "T_CVol")</f>
        <v>25899</v>
      </c>
      <c r="L26" s="127">
        <f xml:space="preserve"> RTD("cqg.rtd",,"StudyData", $A$5&amp;A26, "MA", "InputChoice=ContractVol,MAType=Sim,Period="&amp;$L$4&amp;"", "MA",,,"all",,,,"T")</f>
        <v>5635.5</v>
      </c>
      <c r="M26" s="99">
        <f t="shared" si="7"/>
        <v>1</v>
      </c>
      <c r="N26" s="127">
        <f>RTD("cqg.rtd", ,"ContractData", $A$5&amp;A26, "Y_CVol")</f>
        <v>3113</v>
      </c>
      <c r="O26" s="126">
        <f t="shared" si="5"/>
        <v>8.3196273690973346</v>
      </c>
      <c r="P26" s="125" t="str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/>
      </c>
      <c r="Q26" s="125"/>
      <c r="R26" s="125"/>
      <c r="S26" s="46" t="str">
        <f>LEFT(B26,6)</f>
        <v>Jun 18</v>
      </c>
      <c r="T26" s="50">
        <f t="shared" si="2"/>
        <v>150869</v>
      </c>
      <c r="U26" s="50">
        <f>Sheet1!F24</f>
        <v>150869</v>
      </c>
      <c r="V26" s="50">
        <f t="shared" ref="V26:V33" si="10">IFERROR(U26-X26,"")</f>
        <v>-1269</v>
      </c>
      <c r="W26" s="50">
        <f t="shared" si="3"/>
        <v>-1269</v>
      </c>
      <c r="X26" s="50">
        <f>Sheet1!G24</f>
        <v>152138</v>
      </c>
      <c r="Y26" s="56">
        <f t="shared" ref="Y26:Y33" si="11">IF(ISERROR(U26/X26),"",U26/X26)</f>
        <v>0.99165888864057627</v>
      </c>
      <c r="Z26" s="225">
        <f>IF(RTD("cqg.rtd",,"StudyData",$A$5&amp;A26,"Vol","VolType=Exchange,CoCType=Contract","Vol",$Z$4,"0","ALL",,,"TRUE","T")="",0,RTD("cqg.rtd",,"StudyData",$A$5&amp;A26,"Vol","VolType=Exchange,CoCType=Contract","Vol",$Z$4,"0","ALL",,,"TRUE","T"))</f>
        <v>751</v>
      </c>
      <c r="AA26" s="225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LocalMinute("&amp;$A$5&amp;$A26&amp;")="&amp;$F$1&amp;")","Bar",,"Vol",$Z$4,"0"))</f>
        <v>0</v>
      </c>
      <c r="AB26" s="130" t="str">
        <f>B26</f>
        <v>Jun 18, Sep 18</v>
      </c>
      <c r="AC26" s="215"/>
      <c r="AD26" s="73"/>
      <c r="AE26" s="74"/>
      <c r="AF26" s="1"/>
      <c r="AG26" s="1"/>
    </row>
    <row r="27" spans="1:33" ht="13.15" customHeight="1" x14ac:dyDescent="0.3">
      <c r="B27" s="124"/>
      <c r="C27" s="23"/>
      <c r="D27" s="23"/>
      <c r="E27" s="23"/>
      <c r="F27" s="122"/>
      <c r="G27" s="120"/>
      <c r="H27" s="16"/>
      <c r="I27" s="17"/>
      <c r="J27" s="21"/>
      <c r="K27" s="125"/>
      <c r="L27" s="127"/>
      <c r="M27" s="99"/>
      <c r="N27" s="127"/>
      <c r="O27" s="126"/>
      <c r="P27" s="125"/>
      <c r="Q27" s="125"/>
      <c r="R27" s="125"/>
      <c r="S27" s="48" t="str">
        <f>RIGHT(B26,6)</f>
        <v>Sep 18</v>
      </c>
      <c r="T27" s="51">
        <f t="shared" si="2"/>
        <v>126560</v>
      </c>
      <c r="U27" s="51">
        <f>Sheet1!L24</f>
        <v>126560</v>
      </c>
      <c r="V27" s="51">
        <f t="shared" si="10"/>
        <v>-2371</v>
      </c>
      <c r="W27" s="50">
        <f t="shared" si="3"/>
        <v>-2371</v>
      </c>
      <c r="X27" s="51">
        <f>Sheet1!M24</f>
        <v>128931</v>
      </c>
      <c r="Y27" s="55">
        <f t="shared" si="11"/>
        <v>0.98161031869759796</v>
      </c>
      <c r="Z27" s="225"/>
      <c r="AA27" s="225"/>
      <c r="AB27" s="131"/>
      <c r="AC27" s="216"/>
      <c r="AD27" s="73"/>
      <c r="AE27" s="74"/>
      <c r="AF27" s="1"/>
      <c r="AG27" s="1"/>
    </row>
    <row r="28" spans="1:33" ht="13.15" customHeight="1" x14ac:dyDescent="0.3">
      <c r="A28" s="3">
        <f>A26+1</f>
        <v>11</v>
      </c>
      <c r="B28" s="123" t="str">
        <f>RIGHT(RTD("cqg.rtd",,"ContractData",$A$5&amp;A28,"LongDescription"),14)</f>
        <v>Sep 18, Dec 18</v>
      </c>
      <c r="C28" s="23"/>
      <c r="D28" s="23"/>
      <c r="E28" s="23"/>
      <c r="F28" s="121">
        <f>IF(B28="","",RTD("cqg.rtd",,"ContractData",$A$5&amp;A28,"ExpirationDate",,"D"))</f>
        <v>43362</v>
      </c>
      <c r="G28" s="119">
        <f t="shared" ca="1" si="4"/>
        <v>951</v>
      </c>
      <c r="H28" s="16"/>
      <c r="I28" s="17"/>
      <c r="J28" s="18">
        <f t="shared" si="6"/>
        <v>12689</v>
      </c>
      <c r="K28" s="125">
        <f>RTD("cqg.rtd", ,"ContractData", $A$5&amp;A28, "T_CVol")</f>
        <v>12689</v>
      </c>
      <c r="L28" s="127">
        <f xml:space="preserve"> RTD("cqg.rtd",,"StudyData", $A$5&amp;A28, "MA", "InputChoice=ContractVol,MAType=Sim,Period="&amp;$L$4&amp;"", "MA",,,"all",,,,"T")</f>
        <v>1845.91666667</v>
      </c>
      <c r="M28" s="99">
        <f t="shared" si="7"/>
        <v>1</v>
      </c>
      <c r="N28" s="127">
        <f>RTD("cqg.rtd", ,"ContractData", $A$5&amp;A28, "Y_CVol")</f>
        <v>110</v>
      </c>
      <c r="O28" s="126">
        <f t="shared" si="5"/>
        <v>115.35454545454546</v>
      </c>
      <c r="P28" s="125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>50</v>
      </c>
      <c r="Q28" s="125"/>
      <c r="R28" s="125"/>
      <c r="S28" s="46" t="str">
        <f>LEFT(B28,6)</f>
        <v>Sep 18</v>
      </c>
      <c r="T28" s="50">
        <f t="shared" si="2"/>
        <v>126560</v>
      </c>
      <c r="U28" s="50">
        <f>Sheet1!F26</f>
        <v>126560</v>
      </c>
      <c r="V28" s="50">
        <f t="shared" si="10"/>
        <v>-2371</v>
      </c>
      <c r="W28" s="50">
        <f t="shared" si="3"/>
        <v>-2371</v>
      </c>
      <c r="X28" s="50">
        <f>Sheet1!G26</f>
        <v>128931</v>
      </c>
      <c r="Y28" s="56">
        <f t="shared" si="11"/>
        <v>0.98161031869759796</v>
      </c>
      <c r="Z28" s="225">
        <f>IF(RTD("cqg.rtd",,"StudyData",$A$5&amp;A28,"Vol","VolType=Exchange,CoCType=Contract","Vol",$Z$4,"0","ALL",,,"TRUE","T")="",0,RTD("cqg.rtd",,"StudyData",$A$5&amp;A28,"Vol","VolType=Exchange,CoCType=Contract","Vol",$Z$4,"0","ALL",,,"TRUE","T"))</f>
        <v>191</v>
      </c>
      <c r="AA28" s="225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LocalMinute("&amp;$A$5&amp;$A28&amp;")="&amp;$F$1&amp;")","Bar",,"Vol",$Z$4,"0"))</f>
        <v>0</v>
      </c>
      <c r="AB28" s="130" t="str">
        <f>B28</f>
        <v>Sep 18, Dec 18</v>
      </c>
      <c r="AC28" s="215"/>
      <c r="AD28" s="73"/>
      <c r="AE28" s="74"/>
      <c r="AF28" s="1"/>
      <c r="AG28" s="1"/>
    </row>
    <row r="29" spans="1:33" ht="13.15" customHeight="1" x14ac:dyDescent="0.3">
      <c r="B29" s="124"/>
      <c r="C29" s="23"/>
      <c r="D29" s="23"/>
      <c r="E29" s="23"/>
      <c r="F29" s="122"/>
      <c r="G29" s="120"/>
      <c r="H29" s="16"/>
      <c r="I29" s="17"/>
      <c r="J29" s="21"/>
      <c r="K29" s="125"/>
      <c r="L29" s="127"/>
      <c r="M29" s="99"/>
      <c r="N29" s="127"/>
      <c r="O29" s="126"/>
      <c r="P29" s="125"/>
      <c r="Q29" s="125"/>
      <c r="R29" s="125"/>
      <c r="S29" s="48" t="str">
        <f>RIGHT(B28,6)</f>
        <v>Dec 18</v>
      </c>
      <c r="T29" s="51">
        <f t="shared" si="2"/>
        <v>112127</v>
      </c>
      <c r="U29" s="51">
        <f>Sheet1!L26</f>
        <v>112127</v>
      </c>
      <c r="V29" s="51">
        <f t="shared" si="10"/>
        <v>2621</v>
      </c>
      <c r="W29" s="50">
        <f t="shared" si="3"/>
        <v>2621</v>
      </c>
      <c r="X29" s="51">
        <f>Sheet1!M26</f>
        <v>109506</v>
      </c>
      <c r="Y29" s="55">
        <f t="shared" si="11"/>
        <v>1.0239347615655763</v>
      </c>
      <c r="Z29" s="225"/>
      <c r="AA29" s="225"/>
      <c r="AB29" s="131"/>
      <c r="AC29" s="216"/>
      <c r="AD29" s="73"/>
      <c r="AE29" s="74"/>
      <c r="AF29" s="1"/>
      <c r="AG29" s="1"/>
    </row>
    <row r="30" spans="1:33" ht="13.15" customHeight="1" x14ac:dyDescent="0.3">
      <c r="A30" s="3">
        <f>A28+1</f>
        <v>12</v>
      </c>
      <c r="B30" s="123" t="str">
        <f>RIGHT(RTD("cqg.rtd",,"ContractData",$A$5&amp;A30,"LongDescription"),14)</f>
        <v>Dec 18, Mar 19</v>
      </c>
      <c r="C30" s="23"/>
      <c r="D30" s="23"/>
      <c r="E30" s="23"/>
      <c r="F30" s="121">
        <f>IF(B30="","",RTD("cqg.rtd",,"ContractData",$A$5&amp;A30,"ExpirationDate",,"D"))</f>
        <v>43453</v>
      </c>
      <c r="G30" s="119">
        <f t="shared" ca="1" si="4"/>
        <v>1042</v>
      </c>
      <c r="H30" s="16"/>
      <c r="I30" s="17"/>
      <c r="J30" s="40">
        <f t="shared" si="6"/>
        <v>6748</v>
      </c>
      <c r="K30" s="125">
        <f>RTD("cqg.rtd", ,"ContractData", $A$5&amp;A30, "T_CVol")</f>
        <v>6748</v>
      </c>
      <c r="L30" s="127">
        <f xml:space="preserve"> RTD("cqg.rtd",,"StudyData", $A$5&amp;A30, "MA", "InputChoice=ContractVol,MAType=Sim,Period="&amp;$L$4&amp;"", "MA",,,"all",,,,"T")</f>
        <v>1337</v>
      </c>
      <c r="M30" s="99">
        <f t="shared" si="7"/>
        <v>1</v>
      </c>
      <c r="N30" s="127">
        <f>RTD("cqg.rtd", ,"ContractData", $A$5&amp;A30, "Y_CVol")</f>
        <v>4874</v>
      </c>
      <c r="O30" s="126">
        <f t="shared" si="5"/>
        <v>1.3844891259745589</v>
      </c>
      <c r="P30" s="125" t="str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/>
      </c>
      <c r="Q30" s="125"/>
      <c r="R30" s="125"/>
      <c r="S30" s="46" t="str">
        <f>LEFT(B30,6)</f>
        <v>Dec 18</v>
      </c>
      <c r="T30" s="50">
        <f t="shared" si="2"/>
        <v>112127</v>
      </c>
      <c r="U30" s="50">
        <f>Sheet1!F28</f>
        <v>112127</v>
      </c>
      <c r="V30" s="50">
        <f t="shared" si="10"/>
        <v>2621</v>
      </c>
      <c r="W30" s="50">
        <f t="shared" si="3"/>
        <v>2621</v>
      </c>
      <c r="X30" s="50">
        <f>Sheet1!G28</f>
        <v>109506</v>
      </c>
      <c r="Y30" s="56">
        <f t="shared" si="11"/>
        <v>1.0239347615655763</v>
      </c>
      <c r="Z30" s="225">
        <f>IF(RTD("cqg.rtd",,"StudyData",$A$5&amp;A30,"Vol","VolType=Exchange,CoCType=Contract","Vol",$Z$4,"0","ALL",,,"TRUE","T")="",0,RTD("cqg.rtd",,"StudyData",$A$5&amp;A30,"Vol","VolType=Exchange,CoCType=Contract","Vol",$Z$4,"0","ALL",,,"TRUE","T"))</f>
        <v>0</v>
      </c>
      <c r="AA30" s="225">
        <f ca="1">IF(B30="","",RTD("cqg.rtd",,"StudyData","Vol("&amp;$A$5&amp;A30&amp;") when (LocalDay("&amp;$A$5&amp;A30&amp;")="&amp;$C$1&amp;" and LocalHour("&amp;$A$5&amp;A30&amp;")="&amp;$E$1&amp;" and LocalMinute("&amp;$A$5&amp;$A30&amp;")="&amp;$F$1&amp;")","Bar",,"Vol",$Z$4,"0"))</f>
        <v>11</v>
      </c>
      <c r="AB30" s="130" t="str">
        <f>B30</f>
        <v>Dec 18, Mar 19</v>
      </c>
      <c r="AC30" s="215"/>
      <c r="AD30" s="73"/>
      <c r="AE30" s="74"/>
      <c r="AF30" s="1"/>
      <c r="AG30" s="1"/>
    </row>
    <row r="31" spans="1:33" ht="13.15" customHeight="1" x14ac:dyDescent="0.3">
      <c r="B31" s="124"/>
      <c r="C31" s="23"/>
      <c r="D31" s="23"/>
      <c r="E31" s="23"/>
      <c r="F31" s="122"/>
      <c r="G31" s="120"/>
      <c r="H31" s="16"/>
      <c r="I31" s="17"/>
      <c r="J31" s="36"/>
      <c r="K31" s="125"/>
      <c r="L31" s="127"/>
      <c r="M31" s="99"/>
      <c r="N31" s="127"/>
      <c r="O31" s="126"/>
      <c r="P31" s="125"/>
      <c r="Q31" s="125"/>
      <c r="R31" s="125"/>
      <c r="S31" s="48" t="str">
        <f>RIGHT(B30,6)</f>
        <v>Mar 19</v>
      </c>
      <c r="T31" s="51">
        <f t="shared" si="2"/>
        <v>40965</v>
      </c>
      <c r="U31" s="51">
        <f>Sheet1!L28</f>
        <v>40965</v>
      </c>
      <c r="V31" s="51">
        <f t="shared" si="10"/>
        <v>1139</v>
      </c>
      <c r="W31" s="50">
        <f t="shared" si="3"/>
        <v>1139</v>
      </c>
      <c r="X31" s="51">
        <f>Sheet1!M28</f>
        <v>39826</v>
      </c>
      <c r="Y31" s="55">
        <f t="shared" si="11"/>
        <v>1.0285994074222868</v>
      </c>
      <c r="Z31" s="225"/>
      <c r="AA31" s="225"/>
      <c r="AB31" s="131"/>
      <c r="AC31" s="216"/>
      <c r="AD31" s="73"/>
      <c r="AE31" s="74"/>
      <c r="AF31" s="1"/>
      <c r="AG31" s="1"/>
    </row>
    <row r="32" spans="1:33" ht="13.15" customHeight="1" x14ac:dyDescent="0.3">
      <c r="A32" s="3">
        <f>A30+1</f>
        <v>13</v>
      </c>
      <c r="B32" s="130" t="str">
        <f>RIGHT(RTD("cqg.rtd",,"ContractData",$A$5&amp;A32,"LongDescription"),14)</f>
        <v>Mar 19, Jun 19</v>
      </c>
      <c r="C32" s="23"/>
      <c r="D32" s="23"/>
      <c r="E32" s="23"/>
      <c r="F32" s="128">
        <f>IF(B32="","",RTD("cqg.rtd",,"ContractData",$A$5&amp;A32,"ExpirationDate",,"D"))</f>
        <v>43544</v>
      </c>
      <c r="G32" s="119">
        <f t="shared" ca="1" si="4"/>
        <v>1133</v>
      </c>
      <c r="H32" s="61"/>
      <c r="I32" s="41"/>
      <c r="J32" s="40">
        <f t="shared" si="6"/>
        <v>2561</v>
      </c>
      <c r="K32" s="125">
        <f>RTD("cqg.rtd", ,"ContractData", $A$5&amp;A32, "T_CVol")</f>
        <v>2561</v>
      </c>
      <c r="L32" s="127">
        <f xml:space="preserve"> RTD("cqg.rtd",,"StudyData", $A$5&amp;A32, "MA", "InputChoice=ContractVol,MAType=Sim,Period="&amp;$L$4&amp;"", "MA",,,"all",,,,"T")</f>
        <v>423.33333333000002</v>
      </c>
      <c r="M32" s="99">
        <f t="shared" si="7"/>
        <v>1</v>
      </c>
      <c r="N32" s="127">
        <f>RTD("cqg.rtd", ,"ContractData", $A$5&amp;A32, "Y_CVol")</f>
        <v>1065</v>
      </c>
      <c r="O32" s="126">
        <f t="shared" si="5"/>
        <v>2.4046948356807514</v>
      </c>
      <c r="P32" s="125" t="str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/>
      </c>
      <c r="Q32" s="125"/>
      <c r="R32" s="125"/>
      <c r="S32" s="46" t="str">
        <f>LEFT(B32,6)</f>
        <v>Mar 19</v>
      </c>
      <c r="T32" s="50">
        <f t="shared" si="2"/>
        <v>40965</v>
      </c>
      <c r="U32" s="50">
        <f>Sheet1!F30</f>
        <v>40965</v>
      </c>
      <c r="V32" s="50">
        <f t="shared" si="10"/>
        <v>1139</v>
      </c>
      <c r="W32" s="50">
        <f t="shared" si="3"/>
        <v>1139</v>
      </c>
      <c r="X32" s="50">
        <f>Sheet1!G30</f>
        <v>39826</v>
      </c>
      <c r="Y32" s="56">
        <f t="shared" si="11"/>
        <v>1.0285994074222868</v>
      </c>
      <c r="Z32" s="225">
        <f>IF(RTD("cqg.rtd",,"StudyData",$A$5&amp;A32,"Vol","VolType=Exchange,CoCType=Contract","Vol",$Z$4,"0","ALL",,,"TRUE","T")="",0,RTD("cqg.rtd",,"StudyData",$A$5&amp;A32,"Vol","VolType=Exchange,CoCType=Contract","Vol",$Z$4,"0","ALL",,,"TRUE","T"))</f>
        <v>21</v>
      </c>
      <c r="AA32" s="225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LocalMinute("&amp;$A$5&amp;$A32&amp;")="&amp;$F$1&amp;")","Bar",,"Vol",$Z$4,"0"))</f>
        <v>0</v>
      </c>
      <c r="AB32" s="130" t="str">
        <f>B32</f>
        <v>Mar 19, Jun 19</v>
      </c>
      <c r="AC32" s="215"/>
      <c r="AD32" s="73"/>
      <c r="AE32" s="74"/>
      <c r="AF32" s="1"/>
      <c r="AG32" s="1"/>
    </row>
    <row r="33" spans="1:33" ht="13.15" customHeight="1" x14ac:dyDescent="0.3">
      <c r="B33" s="131"/>
      <c r="C33" s="49"/>
      <c r="D33" s="49"/>
      <c r="E33" s="49"/>
      <c r="F33" s="129"/>
      <c r="G33" s="120"/>
      <c r="H33" s="61"/>
      <c r="I33" s="27"/>
      <c r="J33" s="36"/>
      <c r="K33" s="125"/>
      <c r="L33" s="127"/>
      <c r="M33" s="99"/>
      <c r="N33" s="127"/>
      <c r="O33" s="126"/>
      <c r="P33" s="125"/>
      <c r="Q33" s="125"/>
      <c r="R33" s="125"/>
      <c r="S33" s="48" t="str">
        <f>RIGHT(B32,6)</f>
        <v>Jun 19</v>
      </c>
      <c r="T33" s="51">
        <f t="shared" si="2"/>
        <v>16075</v>
      </c>
      <c r="U33" s="51">
        <f>Sheet1!L30</f>
        <v>16075</v>
      </c>
      <c r="V33" s="51">
        <f t="shared" si="10"/>
        <v>-796</v>
      </c>
      <c r="W33" s="50">
        <f t="shared" si="3"/>
        <v>-796</v>
      </c>
      <c r="X33" s="51">
        <f>Sheet1!M30</f>
        <v>16871</v>
      </c>
      <c r="Y33" s="55">
        <f t="shared" si="11"/>
        <v>0.95281844585383202</v>
      </c>
      <c r="Z33" s="225"/>
      <c r="AA33" s="225"/>
      <c r="AB33" s="131"/>
      <c r="AC33" s="216"/>
      <c r="AD33" s="73"/>
      <c r="AE33" s="74"/>
      <c r="AF33" s="1"/>
      <c r="AG33" s="1"/>
    </row>
    <row r="34" spans="1:33" ht="8.1" customHeight="1" x14ac:dyDescent="0.3">
      <c r="B34" s="100"/>
      <c r="C34" s="19"/>
      <c r="D34" s="19"/>
      <c r="E34" s="19"/>
      <c r="F34" s="26"/>
      <c r="G34" s="19"/>
      <c r="H34" s="95"/>
      <c r="I34" s="19"/>
      <c r="J34" s="19"/>
      <c r="K34" s="79"/>
      <c r="L34" s="79"/>
      <c r="M34" s="80"/>
      <c r="N34" s="79"/>
      <c r="O34" s="81"/>
      <c r="P34" s="82"/>
      <c r="Q34" s="82"/>
      <c r="R34" s="82"/>
      <c r="S34" s="44"/>
      <c r="T34" s="19"/>
      <c r="U34" s="57"/>
      <c r="V34" s="57"/>
      <c r="W34" s="57"/>
      <c r="X34" s="57"/>
      <c r="Y34" s="57"/>
      <c r="Z34" s="83"/>
      <c r="AA34" s="84"/>
      <c r="AB34" s="107"/>
      <c r="AC34" s="108"/>
      <c r="AD34" s="75"/>
      <c r="AE34" s="76"/>
      <c r="AF34" s="1"/>
      <c r="AG34" s="1"/>
    </row>
    <row r="35" spans="1:33" ht="13.15" customHeight="1" x14ac:dyDescent="0.3">
      <c r="A35" s="3">
        <f>A32+1</f>
        <v>14</v>
      </c>
      <c r="B35" s="183" t="str">
        <f>RIGHT(RTD("cqg.rtd",,"ContractData",$A$5&amp;A35,"LongDescription"),14)</f>
        <v>Jun 19, Sep 19</v>
      </c>
      <c r="C35" s="24"/>
      <c r="D35" s="24"/>
      <c r="E35" s="24"/>
      <c r="F35" s="121">
        <f>IF(B35="","",RTD("cqg.rtd",,"ContractData",$A$5&amp;A35,"ExpirationDate",,"D"))</f>
        <v>43635</v>
      </c>
      <c r="G35" s="119">
        <f t="shared" ca="1" si="4"/>
        <v>1224</v>
      </c>
      <c r="H35" s="16"/>
      <c r="I35" s="17"/>
      <c r="J35" s="52">
        <f t="shared" si="6"/>
        <v>856</v>
      </c>
      <c r="K35" s="125">
        <f>RTD("cqg.rtd", ,"ContractData", $A$5&amp;A35, "T_CVol")</f>
        <v>856</v>
      </c>
      <c r="L35" s="127">
        <f xml:space="preserve"> RTD("cqg.rtd",,"StudyData", $A$5&amp;A35, "MA", "InputChoice=ContractVol,MAType=Sim,Period="&amp;$L$4&amp;"", "MA",,,"all",,,,"T")</f>
        <v>139.16666667000001</v>
      </c>
      <c r="M35" s="99">
        <f t="shared" si="7"/>
        <v>1</v>
      </c>
      <c r="N35" s="127">
        <f>RTD("cqg.rtd", ,"ContractData", $A$5&amp;A35, "Y_CVol")</f>
        <v>256</v>
      </c>
      <c r="O35" s="126">
        <f>IF(ISERROR(K35/N35),"",K35/N35)</f>
        <v>3.34375</v>
      </c>
      <c r="P35" s="125" t="str">
        <f xml:space="preserve"> 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</f>
        <v/>
      </c>
      <c r="Q35" s="125"/>
      <c r="R35" s="125"/>
      <c r="S35" s="46" t="str">
        <f>LEFT(B35,6)</f>
        <v>Jun 19</v>
      </c>
      <c r="T35" s="50">
        <f>U35</f>
        <v>16075</v>
      </c>
      <c r="U35" s="50">
        <f>Sheet1!F32</f>
        <v>16075</v>
      </c>
      <c r="V35" s="50">
        <f t="shared" ref="V35:V42" si="12">IFERROR(U35-X35,"")</f>
        <v>-796</v>
      </c>
      <c r="W35" s="50">
        <f t="shared" si="3"/>
        <v>-796</v>
      </c>
      <c r="X35" s="50">
        <f>Sheet1!G32</f>
        <v>16871</v>
      </c>
      <c r="Y35" s="56">
        <f t="shared" ref="Y35:Y42" si="13">IF(ISERROR(U35/X35),"",U35/X35)</f>
        <v>0.95281844585383202</v>
      </c>
      <c r="Z35" s="198">
        <f>IF(RTD("cqg.rtd",,"StudyData",$A$5&amp;A35,"Vol","VolType=Exchange,CoCType=Contract","Vol",$Z$4,"0","ALL",,,"TRUE","T")="",0,RTD("cqg.rtd",,"StudyData",$A$5&amp;A35,"Vol","VolType=Exchange,CoCType=Contract","Vol",$Z$4,"0","ALL",,,"TRUE","T"))</f>
        <v>0</v>
      </c>
      <c r="AA35" s="198">
        <f ca="1">IF(B35="","",RTD("cqg.rtd",,"StudyData","Vol("&amp;$A$5&amp;A35&amp;") when (LocalDay("&amp;$A$5&amp;A35&amp;")="&amp;$C$1&amp;" and LocalHour("&amp;$A$5&amp;A35&amp;")="&amp;$E$1&amp;" and LocalMinute("&amp;$A$5&amp;$A35&amp;")="&amp;$F$1&amp;")","Bar",,"Vol",$Z$4,"0"))</f>
        <v>0</v>
      </c>
      <c r="AB35" s="191" t="str">
        <f>B35</f>
        <v>Jun 19, Sep 19</v>
      </c>
      <c r="AC35" s="213"/>
      <c r="AD35" s="73"/>
      <c r="AE35" s="74"/>
      <c r="AF35" s="1"/>
      <c r="AG35" s="1"/>
    </row>
    <row r="36" spans="1:33" ht="13.15" customHeight="1" x14ac:dyDescent="0.3">
      <c r="B36" s="184"/>
      <c r="C36" s="24"/>
      <c r="D36" s="24"/>
      <c r="E36" s="24"/>
      <c r="F36" s="122"/>
      <c r="G36" s="120"/>
      <c r="H36" s="16"/>
      <c r="I36" s="17"/>
      <c r="J36" s="53"/>
      <c r="K36" s="125"/>
      <c r="L36" s="127"/>
      <c r="M36" s="99"/>
      <c r="N36" s="127"/>
      <c r="O36" s="126"/>
      <c r="P36" s="125"/>
      <c r="Q36" s="125"/>
      <c r="R36" s="125"/>
      <c r="S36" s="48" t="str">
        <f>RIGHT(B35,6)</f>
        <v>Sep 19</v>
      </c>
      <c r="T36" s="51">
        <f t="shared" ref="T36:T56" si="14">U36</f>
        <v>12344</v>
      </c>
      <c r="U36" s="51">
        <f>Sheet1!L32</f>
        <v>12344</v>
      </c>
      <c r="V36" s="51">
        <f t="shared" si="12"/>
        <v>-648</v>
      </c>
      <c r="W36" s="50">
        <f t="shared" si="3"/>
        <v>-648</v>
      </c>
      <c r="X36" s="51">
        <f>Sheet1!M32</f>
        <v>12992</v>
      </c>
      <c r="Y36" s="55">
        <f t="shared" si="13"/>
        <v>0.95012315270935965</v>
      </c>
      <c r="Z36" s="198"/>
      <c r="AA36" s="198"/>
      <c r="AB36" s="192"/>
      <c r="AC36" s="214"/>
      <c r="AD36" s="73"/>
      <c r="AE36" s="74"/>
      <c r="AF36" s="1"/>
      <c r="AG36" s="1"/>
    </row>
    <row r="37" spans="1:33" ht="13.15" customHeight="1" x14ac:dyDescent="0.3">
      <c r="A37" s="3">
        <f>A35+1</f>
        <v>15</v>
      </c>
      <c r="B37" s="183" t="str">
        <f>RIGHT(RTD("cqg.rtd",,"ContractData",$A$5&amp;A37,"LongDescription"),14)</f>
        <v>Sep 19, Dec 19</v>
      </c>
      <c r="C37" s="24"/>
      <c r="D37" s="24"/>
      <c r="E37" s="24"/>
      <c r="F37" s="121">
        <f>IF(B37="","",RTD("cqg.rtd",,"ContractData",$A$5&amp;A37,"ExpirationDate",,"D"))</f>
        <v>43726</v>
      </c>
      <c r="G37" s="119">
        <f t="shared" ca="1" si="4"/>
        <v>1315</v>
      </c>
      <c r="H37" s="16"/>
      <c r="I37" s="17"/>
      <c r="J37" s="52">
        <f t="shared" si="6"/>
        <v>75</v>
      </c>
      <c r="K37" s="125">
        <f>RTD("cqg.rtd", ,"ContractData", $A$5&amp;A37, "T_CVol")</f>
        <v>75</v>
      </c>
      <c r="L37" s="127">
        <f xml:space="preserve"> RTD("cqg.rtd",,"StudyData", $A$5&amp;A37, "MA", "InputChoice=ContractVol,MAType=Sim,Period="&amp;$L$4&amp;"", "MA",,,"all",,,,"T")</f>
        <v>59.083333330000002</v>
      </c>
      <c r="M37" s="99">
        <f t="shared" si="7"/>
        <v>1</v>
      </c>
      <c r="N37" s="127">
        <f>RTD("cqg.rtd", ,"ContractData", $A$5&amp;A37, "Y_CVol")</f>
        <v>556</v>
      </c>
      <c r="O37" s="126">
        <f t="shared" si="5"/>
        <v>0.13489208633093525</v>
      </c>
      <c r="P37" s="125" t="str">
        <f xml:space="preserve"> RTD("cqg.rtd",,"StudyData", "(MA("&amp;$A$5&amp;A37&amp;",Period:="&amp;$Q$5&amp;",MAType:=Sim,InputChoice:=ContractVol) when LocalYear("&amp;$A$5&amp;A37&amp;")="&amp;$R$5&amp;" And (LocalMonth("&amp;$A$5&amp;A37&amp;")="&amp;$P$4&amp;" And LocalDay("&amp;$A$5&amp;A37&amp;")="&amp;$Q$4&amp;" ))", "Bar", "", "Close","D", "0", "all", "", "","False",,)</f>
        <v/>
      </c>
      <c r="Q37" s="125"/>
      <c r="R37" s="125"/>
      <c r="S37" s="46" t="str">
        <f>LEFT(B37,6)</f>
        <v>Sep 19</v>
      </c>
      <c r="T37" s="50">
        <f t="shared" si="14"/>
        <v>12344</v>
      </c>
      <c r="U37" s="50">
        <f>Sheet1!F34</f>
        <v>12344</v>
      </c>
      <c r="V37" s="50">
        <f t="shared" si="12"/>
        <v>-648</v>
      </c>
      <c r="W37" s="50">
        <f t="shared" si="3"/>
        <v>-648</v>
      </c>
      <c r="X37" s="50">
        <f>Sheet1!G34</f>
        <v>12992</v>
      </c>
      <c r="Y37" s="56">
        <f t="shared" si="13"/>
        <v>0.95012315270935965</v>
      </c>
      <c r="Z37" s="198">
        <f>IF(RTD("cqg.rtd",,"StudyData",$A$5&amp;A37,"Vol","VolType=Exchange,CoCType=Contract","Vol",$Z$4,"0","ALL",,,"TRUE","T")="",0,RTD("cqg.rtd",,"StudyData",$A$5&amp;A37,"Vol","VolType=Exchange,CoCType=Contract","Vol",$Z$4,"0","ALL",,,"TRUE","T"))</f>
        <v>10</v>
      </c>
      <c r="AA37" s="198">
        <f ca="1">IF(B37="","",RTD("cqg.rtd",,"StudyData","Vol("&amp;$A$5&amp;A37&amp;") when (LocalDay("&amp;$A$5&amp;A37&amp;")="&amp;$C$1&amp;" and LocalHour("&amp;$A$5&amp;A37&amp;")="&amp;$E$1&amp;" and LocalMinute("&amp;$A$5&amp;$A37&amp;")="&amp;$F$1&amp;")","Bar",,"Vol",$Z$4,"0"))</f>
        <v>2</v>
      </c>
      <c r="AB37" s="191" t="str">
        <f>B37</f>
        <v>Sep 19, Dec 19</v>
      </c>
      <c r="AC37" s="213"/>
      <c r="AD37" s="73"/>
      <c r="AE37" s="74"/>
      <c r="AF37" s="1"/>
      <c r="AG37" s="1"/>
    </row>
    <row r="38" spans="1:33" ht="13.15" customHeight="1" x14ac:dyDescent="0.3">
      <c r="B38" s="184"/>
      <c r="C38" s="24"/>
      <c r="D38" s="24"/>
      <c r="E38" s="24"/>
      <c r="F38" s="122"/>
      <c r="G38" s="120"/>
      <c r="H38" s="16"/>
      <c r="I38" s="17"/>
      <c r="J38" s="53"/>
      <c r="K38" s="125"/>
      <c r="L38" s="127"/>
      <c r="M38" s="99"/>
      <c r="N38" s="127"/>
      <c r="O38" s="126"/>
      <c r="P38" s="125"/>
      <c r="Q38" s="125"/>
      <c r="R38" s="125"/>
      <c r="S38" s="48" t="str">
        <f>RIGHT(B37,6)</f>
        <v>Dec 19</v>
      </c>
      <c r="T38" s="51">
        <f t="shared" si="14"/>
        <v>10471</v>
      </c>
      <c r="U38" s="51">
        <f>Sheet1!L34</f>
        <v>10471</v>
      </c>
      <c r="V38" s="51">
        <f t="shared" si="12"/>
        <v>1459</v>
      </c>
      <c r="W38" s="50">
        <f t="shared" si="3"/>
        <v>1459</v>
      </c>
      <c r="X38" s="51">
        <f>Sheet1!M34</f>
        <v>9012</v>
      </c>
      <c r="Y38" s="55">
        <f t="shared" si="13"/>
        <v>1.1618952507767422</v>
      </c>
      <c r="Z38" s="198"/>
      <c r="AA38" s="198"/>
      <c r="AB38" s="192"/>
      <c r="AC38" s="214"/>
      <c r="AD38" s="73"/>
      <c r="AE38" s="74"/>
      <c r="AF38" s="1"/>
      <c r="AG38" s="1"/>
    </row>
    <row r="39" spans="1:33" ht="13.15" customHeight="1" x14ac:dyDescent="0.3">
      <c r="A39" s="3">
        <f>A37+1</f>
        <v>16</v>
      </c>
      <c r="B39" s="183" t="str">
        <f>RIGHT(RTD("cqg.rtd",,"ContractData",$A$5&amp;A39,"LongDescription"),14)</f>
        <v>Dec 19, Mar 20</v>
      </c>
      <c r="C39" s="24"/>
      <c r="D39" s="24"/>
      <c r="E39" s="24"/>
      <c r="F39" s="121">
        <f>IF(B39="","",RTD("cqg.rtd",,"ContractData",$A$5&amp;A39,"ExpirationDate",,"D"))</f>
        <v>43817</v>
      </c>
      <c r="G39" s="119">
        <f t="shared" ca="1" si="4"/>
        <v>1406</v>
      </c>
      <c r="H39" s="16"/>
      <c r="I39" s="17"/>
      <c r="J39" s="52">
        <f t="shared" si="6"/>
        <v>353</v>
      </c>
      <c r="K39" s="125">
        <f>RTD("cqg.rtd", ,"ContractData", $A$5&amp;A39, "T_CVol")</f>
        <v>353</v>
      </c>
      <c r="L39" s="127">
        <f xml:space="preserve"> RTD("cqg.rtd",,"StudyData", $A$5&amp;A39, "MA", "InputChoice=ContractVol,MAType=Sim,Period="&amp;$L$4&amp;"", "MA",,,"all",,,,"T")</f>
        <v>50.833333330000002</v>
      </c>
      <c r="M39" s="99">
        <f t="shared" si="7"/>
        <v>1</v>
      </c>
      <c r="N39" s="127">
        <f>RTD("cqg.rtd", ,"ContractData", $A$5&amp;A39, "Y_CVol")</f>
        <v>17</v>
      </c>
      <c r="O39" s="126">
        <f t="shared" si="5"/>
        <v>20.764705882352942</v>
      </c>
      <c r="P39" s="125" t="str">
        <f xml:space="preserve"> RTD("cqg.rtd",,"StudyData", "(MA("&amp;$A$5&amp;A39&amp;",Period:="&amp;$Q$5&amp;",MAType:=Sim,InputChoice:=ContractVol) when LocalYear("&amp;$A$5&amp;A39&amp;")="&amp;$R$5&amp;" And (LocalMonth("&amp;$A$5&amp;A39&amp;")="&amp;$P$4&amp;" And LocalDay("&amp;$A$5&amp;A39&amp;")="&amp;$Q$4&amp;" ))", "Bar", "", "Close","D", "0", "all", "", "","False",,)</f>
        <v/>
      </c>
      <c r="Q39" s="125"/>
      <c r="R39" s="125"/>
      <c r="S39" s="46" t="str">
        <f>LEFT(B39,6)</f>
        <v>Dec 19</v>
      </c>
      <c r="T39" s="50">
        <f t="shared" si="14"/>
        <v>10471</v>
      </c>
      <c r="U39" s="50">
        <f>Sheet1!F36</f>
        <v>10471</v>
      </c>
      <c r="V39" s="50">
        <f t="shared" si="12"/>
        <v>1459</v>
      </c>
      <c r="W39" s="50">
        <f t="shared" si="3"/>
        <v>1459</v>
      </c>
      <c r="X39" s="50">
        <f>Sheet1!G36</f>
        <v>9012</v>
      </c>
      <c r="Y39" s="56">
        <f t="shared" si="13"/>
        <v>1.1618952507767422</v>
      </c>
      <c r="Z39" s="198">
        <f>IF(RTD("cqg.rtd",,"StudyData",$A$5&amp;A39,"Vol","VolType=Exchange,CoCType=Contract","Vol",$Z$4,"0","ALL",,,"TRUE","T")="",0,RTD("cqg.rtd",,"StudyData",$A$5&amp;A39,"Vol","VolType=Exchange,CoCType=Contract","Vol",$Z$4,"0","ALL",,,"TRUE","T"))</f>
        <v>0</v>
      </c>
      <c r="AA39" s="198">
        <f ca="1">IF(B39="","",RTD("cqg.rtd",,"StudyData","Vol("&amp;$A$5&amp;A39&amp;") when (LocalDay("&amp;$A$5&amp;A39&amp;")="&amp;$C$1&amp;" and LocalHour("&amp;$A$5&amp;A39&amp;")="&amp;$E$1&amp;" and LocalMinute("&amp;$A$5&amp;$A39&amp;")="&amp;$F$1&amp;")","Bar",,"Vol",$Z$4,"0"))</f>
        <v>0</v>
      </c>
      <c r="AB39" s="191" t="str">
        <f>B39</f>
        <v>Dec 19, Mar 20</v>
      </c>
      <c r="AC39" s="213"/>
      <c r="AD39" s="73"/>
      <c r="AE39" s="74"/>
      <c r="AF39" s="1"/>
      <c r="AG39" s="1"/>
    </row>
    <row r="40" spans="1:33" ht="13.15" customHeight="1" x14ac:dyDescent="0.3">
      <c r="B40" s="184"/>
      <c r="C40" s="24"/>
      <c r="D40" s="24"/>
      <c r="E40" s="24"/>
      <c r="F40" s="122"/>
      <c r="G40" s="120"/>
      <c r="H40" s="16"/>
      <c r="I40" s="17"/>
      <c r="J40" s="53"/>
      <c r="K40" s="125"/>
      <c r="L40" s="127"/>
      <c r="M40" s="99"/>
      <c r="N40" s="127"/>
      <c r="O40" s="126"/>
      <c r="P40" s="125"/>
      <c r="Q40" s="125"/>
      <c r="R40" s="125"/>
      <c r="S40" s="48" t="str">
        <f>RIGHT(B39,6)</f>
        <v>Mar 20</v>
      </c>
      <c r="T40" s="51">
        <f t="shared" si="14"/>
        <v>2116</v>
      </c>
      <c r="U40" s="51">
        <f>Sheet1!L36</f>
        <v>2116</v>
      </c>
      <c r="V40" s="51">
        <f t="shared" si="12"/>
        <v>65</v>
      </c>
      <c r="W40" s="50">
        <f t="shared" si="3"/>
        <v>65</v>
      </c>
      <c r="X40" s="51">
        <f>Sheet1!M36</f>
        <v>2051</v>
      </c>
      <c r="Y40" s="55">
        <f t="shared" si="13"/>
        <v>1.0316918576304241</v>
      </c>
      <c r="Z40" s="198"/>
      <c r="AA40" s="198"/>
      <c r="AB40" s="192"/>
      <c r="AC40" s="214"/>
      <c r="AD40" s="73"/>
      <c r="AE40" s="74"/>
      <c r="AF40" s="1"/>
      <c r="AG40" s="1"/>
    </row>
    <row r="41" spans="1:33" ht="13.15" customHeight="1" x14ac:dyDescent="0.3">
      <c r="A41" s="3">
        <f>A39+1</f>
        <v>17</v>
      </c>
      <c r="B41" s="191" t="str">
        <f>RIGHT(RTD("cqg.rtd",,"ContractData",$A$5&amp;A41,"LongDescription"),14)</f>
        <v>Mar 20, Jun 20</v>
      </c>
      <c r="C41" s="24"/>
      <c r="D41" s="24"/>
      <c r="E41" s="24"/>
      <c r="F41" s="128">
        <f>IF(B41="","",RTD("cqg.rtd",,"ContractData",$A$5&amp;A41,"ExpirationDate",,"D"))</f>
        <v>43908</v>
      </c>
      <c r="G41" s="119">
        <f t="shared" ca="1" si="4"/>
        <v>1497</v>
      </c>
      <c r="H41" s="61"/>
      <c r="I41" s="41"/>
      <c r="J41" s="52">
        <f t="shared" si="6"/>
        <v>35</v>
      </c>
      <c r="K41" s="125">
        <f>RTD("cqg.rtd", ,"ContractData", $A$5&amp;A41, "T_CVol")</f>
        <v>35</v>
      </c>
      <c r="L41" s="127">
        <f xml:space="preserve"> RTD("cqg.rtd",,"StudyData", $A$5&amp;A41, "MA", "InputChoice=ContractVol,MAType=Sim,Period="&amp;$L$4&amp;"", "MA",,,"all",,,,"T")</f>
        <v>4.5833333300000003</v>
      </c>
      <c r="M41" s="99">
        <f t="shared" si="7"/>
        <v>1</v>
      </c>
      <c r="N41" s="127">
        <f>RTD("cqg.rtd", ,"ContractData", $A$5&amp;A41, "Y_CVol")</f>
        <v>10</v>
      </c>
      <c r="O41" s="126">
        <f t="shared" si="5"/>
        <v>3.5</v>
      </c>
      <c r="P41" s="125" t="str">
        <f xml:space="preserve"> RTD("cqg.rtd",,"StudyData", "(MA("&amp;$A$5&amp;A41&amp;",Period:="&amp;$Q$5&amp;",MAType:=Sim,InputChoice:=ContractVol) when LocalYear("&amp;$A$5&amp;A41&amp;")="&amp;$R$5&amp;" And (LocalMonth("&amp;$A$5&amp;A41&amp;")="&amp;$P$4&amp;" And LocalDay("&amp;$A$5&amp;A41&amp;")="&amp;$Q$4&amp;" ))", "Bar", "", "Close","D", "0", "all", "", "","False",,)</f>
        <v/>
      </c>
      <c r="Q41" s="125"/>
      <c r="R41" s="125"/>
      <c r="S41" s="46" t="str">
        <f>LEFT(B41,6)</f>
        <v>Mar 20</v>
      </c>
      <c r="T41" s="50">
        <f t="shared" si="14"/>
        <v>2116</v>
      </c>
      <c r="U41" s="50">
        <f>Sheet1!F38</f>
        <v>2116</v>
      </c>
      <c r="V41" s="50">
        <f t="shared" si="12"/>
        <v>65</v>
      </c>
      <c r="W41" s="50">
        <f t="shared" si="3"/>
        <v>65</v>
      </c>
      <c r="X41" s="50">
        <f>Sheet1!G38</f>
        <v>2051</v>
      </c>
      <c r="Y41" s="56">
        <f t="shared" si="13"/>
        <v>1.0316918576304241</v>
      </c>
      <c r="Z41" s="198">
        <f>IF(RTD("cqg.rtd",,"StudyData",$A$5&amp;A41,"Vol","VolType=Exchange,CoCType=Contract","Vol",$Z$4,"0","ALL",,,"TRUE","T")="",0,RTD("cqg.rtd",,"StudyData",$A$5&amp;A41,"Vol","VolType=Exchange,CoCType=Contract","Vol",$Z$4,"0","ALL",,,"TRUE","T"))</f>
        <v>0</v>
      </c>
      <c r="AA41" s="198">
        <f ca="1">IF(B41="","",RTD("cqg.rtd",,"StudyData","Vol("&amp;$A$5&amp;A41&amp;") when (LocalDay("&amp;$A$5&amp;A41&amp;")="&amp;$C$1&amp;" and LocalHour("&amp;$A$5&amp;A41&amp;")="&amp;$E$1&amp;" and LocalMinute("&amp;$A$5&amp;$A41&amp;")="&amp;$F$1&amp;")","Bar",,"Vol",$Z$4,"0"))</f>
        <v>0</v>
      </c>
      <c r="AB41" s="191" t="str">
        <f>B41</f>
        <v>Mar 20, Jun 20</v>
      </c>
      <c r="AC41" s="213"/>
      <c r="AD41" s="73"/>
      <c r="AE41" s="74"/>
      <c r="AF41" s="1"/>
      <c r="AG41" s="1"/>
    </row>
    <row r="42" spans="1:33" ht="13.15" customHeight="1" x14ac:dyDescent="0.3">
      <c r="B42" s="192"/>
      <c r="C42" s="58"/>
      <c r="D42" s="58"/>
      <c r="E42" s="58"/>
      <c r="F42" s="129"/>
      <c r="G42" s="120"/>
      <c r="H42" s="59"/>
      <c r="I42" s="21"/>
      <c r="J42" s="54"/>
      <c r="K42" s="125"/>
      <c r="L42" s="127"/>
      <c r="M42" s="99"/>
      <c r="N42" s="127"/>
      <c r="O42" s="126"/>
      <c r="P42" s="125"/>
      <c r="Q42" s="125"/>
      <c r="R42" s="125"/>
      <c r="S42" s="48" t="str">
        <f>RIGHT(B41,6)</f>
        <v>Jun 20</v>
      </c>
      <c r="T42" s="51">
        <f t="shared" si="14"/>
        <v>495</v>
      </c>
      <c r="U42" s="51">
        <f>Sheet1!L38</f>
        <v>495</v>
      </c>
      <c r="V42" s="51">
        <f t="shared" si="12"/>
        <v>1</v>
      </c>
      <c r="W42" s="50">
        <f t="shared" si="3"/>
        <v>1</v>
      </c>
      <c r="X42" s="51">
        <f>Sheet1!M38</f>
        <v>494</v>
      </c>
      <c r="Y42" s="55">
        <f t="shared" si="13"/>
        <v>1.0020242914979758</v>
      </c>
      <c r="Z42" s="198"/>
      <c r="AA42" s="198"/>
      <c r="AB42" s="192"/>
      <c r="AC42" s="214"/>
      <c r="AD42" s="73"/>
      <c r="AE42" s="74"/>
      <c r="AF42" s="1"/>
      <c r="AG42" s="1"/>
    </row>
    <row r="43" spans="1:33" ht="8.1" customHeight="1" x14ac:dyDescent="0.3">
      <c r="B43" s="100"/>
      <c r="C43" s="19"/>
      <c r="D43" s="19"/>
      <c r="E43" s="19"/>
      <c r="F43" s="26"/>
      <c r="G43" s="19"/>
      <c r="H43" s="95"/>
      <c r="I43" s="19"/>
      <c r="J43" s="19"/>
      <c r="K43" s="79"/>
      <c r="L43" s="79"/>
      <c r="M43" s="80"/>
      <c r="N43" s="79"/>
      <c r="O43" s="81"/>
      <c r="P43" s="82"/>
      <c r="Q43" s="82"/>
      <c r="R43" s="82"/>
      <c r="S43" s="44"/>
      <c r="T43" s="19"/>
      <c r="U43" s="57"/>
      <c r="V43" s="57"/>
      <c r="W43" s="57"/>
      <c r="X43" s="57"/>
      <c r="Y43" s="57"/>
      <c r="Z43" s="83"/>
      <c r="AA43" s="84"/>
      <c r="AB43" s="107"/>
      <c r="AC43" s="108"/>
      <c r="AD43" s="75"/>
      <c r="AE43" s="76"/>
      <c r="AF43" s="1"/>
      <c r="AG43" s="1"/>
    </row>
    <row r="44" spans="1:33" ht="13.15" customHeight="1" x14ac:dyDescent="0.3">
      <c r="A44" s="3">
        <f>A41+1</f>
        <v>18</v>
      </c>
      <c r="B44" s="189" t="str">
        <f>RIGHT(RTD("cqg.rtd",,"ContractData",$A$5&amp;A44,"LongDescription"),14)</f>
        <v>Jun 20, Sep 20</v>
      </c>
      <c r="C44" s="62"/>
      <c r="D44" s="62"/>
      <c r="E44" s="62"/>
      <c r="F44" s="121">
        <f>IF(B44="","",RTD("cqg.rtd",,"ContractData",$A$5&amp;A44,"ExpirationDate",,"D"))</f>
        <v>43999</v>
      </c>
      <c r="G44" s="119">
        <f t="shared" ca="1" si="4"/>
        <v>1588</v>
      </c>
      <c r="H44" s="63"/>
      <c r="I44" s="64"/>
      <c r="J44" s="52">
        <f>K44</f>
        <v>28</v>
      </c>
      <c r="K44" s="125">
        <f>RTD("cqg.rtd", ,"ContractData", $A$5&amp;A44, "T_CVol")</f>
        <v>28</v>
      </c>
      <c r="L44" s="127" t="str">
        <f xml:space="preserve"> RTD("cqg.rtd",,"StudyData", $A$5&amp;A44, "MA", "InputChoice=ContractVol,MAType=Sim,Period="&amp;$L$4&amp;"", "MA",,,"all",,,,"T")</f>
        <v/>
      </c>
      <c r="M44" s="116">
        <f t="shared" si="7"/>
        <v>0</v>
      </c>
      <c r="N44" s="127">
        <f>RTD("cqg.rtd", ,"ContractData", $A$5&amp;A44, "Y_CVol")</f>
        <v>4</v>
      </c>
      <c r="O44" s="126">
        <f t="shared" si="5"/>
        <v>7</v>
      </c>
      <c r="P44" s="125" t="str">
        <f xml:space="preserve"> RTD("cqg.rtd",,"StudyData", "(MA("&amp;$A$5&amp;A44&amp;",Period:="&amp;$Q$5&amp;",MAType:=Sim,InputChoice:=ContractVol) when LocalYear("&amp;$A$5&amp;A44&amp;")="&amp;$R$5&amp;" And (LocalMonth("&amp;$A$5&amp;A44&amp;")="&amp;$P$4&amp;" And LocalDay("&amp;$A$5&amp;A44&amp;")="&amp;$Q$4&amp;" ))", "Bar", "", "Close","D", "0", "all", "", "","False",,)</f>
        <v/>
      </c>
      <c r="Q44" s="125"/>
      <c r="R44" s="125"/>
      <c r="S44" s="46" t="str">
        <f>LEFT(B44,6)</f>
        <v>Jun 20</v>
      </c>
      <c r="T44" s="50">
        <f t="shared" si="14"/>
        <v>495</v>
      </c>
      <c r="U44" s="50">
        <f>Sheet1!F40</f>
        <v>495</v>
      </c>
      <c r="V44" s="50">
        <f t="shared" ref="V44:V51" si="15">IFERROR(U44-X44,"")</f>
        <v>1</v>
      </c>
      <c r="W44" s="50">
        <f t="shared" si="3"/>
        <v>1</v>
      </c>
      <c r="X44" s="50">
        <f>Sheet1!G40</f>
        <v>494</v>
      </c>
      <c r="Y44" s="56">
        <f t="shared" ref="Y44:Y51" si="16">IF(ISERROR(U44/X44),"",U44/X44)</f>
        <v>1.0020242914979758</v>
      </c>
      <c r="Z44" s="198">
        <f>IF(RTD("cqg.rtd",,"StudyData",$A$5&amp;A44,"Vol","VolType=Exchange,CoCType=Contract","Vol",$Z$4,"0","ALL",,,"TRUE","T")="",0,RTD("cqg.rtd",,"StudyData",$A$5&amp;A44,"Vol","VolType=Exchange,CoCType=Contract","Vol",$Z$4,"0","ALL",,,"TRUE","T"))</f>
        <v>0</v>
      </c>
      <c r="AA44" s="198">
        <f ca="1">IF(B44="","",RTD("cqg.rtd",,"StudyData","Vol("&amp;$A$5&amp;A44&amp;") when (LocalDay("&amp;$A$5&amp;A44&amp;")="&amp;$C$1&amp;" and LocalHour("&amp;$A$5&amp;A44&amp;")="&amp;$E$1&amp;" and LocalMinute("&amp;$A$5&amp;$A44&amp;")="&amp;$F$1&amp;")","Bar",,"Vol",$Z$4,"0"))</f>
        <v>0</v>
      </c>
      <c r="AB44" s="193" t="str">
        <f>B44</f>
        <v>Jun 20, Sep 20</v>
      </c>
      <c r="AC44" s="223"/>
      <c r="AD44" s="77"/>
      <c r="AE44" s="78"/>
      <c r="AF44" s="1"/>
      <c r="AG44" s="1"/>
    </row>
    <row r="45" spans="1:33" ht="13.15" customHeight="1" x14ac:dyDescent="0.3">
      <c r="B45" s="190"/>
      <c r="C45" s="62"/>
      <c r="D45" s="62"/>
      <c r="E45" s="62"/>
      <c r="F45" s="122"/>
      <c r="G45" s="120"/>
      <c r="H45" s="63"/>
      <c r="I45" s="64"/>
      <c r="J45" s="53"/>
      <c r="K45" s="125"/>
      <c r="L45" s="127"/>
      <c r="M45" s="116"/>
      <c r="N45" s="127"/>
      <c r="O45" s="126"/>
      <c r="P45" s="125"/>
      <c r="Q45" s="125"/>
      <c r="R45" s="125"/>
      <c r="S45" s="48" t="str">
        <f>RIGHT(B44,6)</f>
        <v>Sep 20</v>
      </c>
      <c r="T45" s="51">
        <f t="shared" si="14"/>
        <v>107</v>
      </c>
      <c r="U45" s="51">
        <f>Sheet1!L40</f>
        <v>107</v>
      </c>
      <c r="V45" s="51">
        <f t="shared" si="15"/>
        <v>-3</v>
      </c>
      <c r="W45" s="50">
        <f t="shared" si="3"/>
        <v>-3</v>
      </c>
      <c r="X45" s="51">
        <f>Sheet1!M40</f>
        <v>110</v>
      </c>
      <c r="Y45" s="55">
        <f t="shared" si="16"/>
        <v>0.97272727272727277</v>
      </c>
      <c r="Z45" s="198"/>
      <c r="AA45" s="198"/>
      <c r="AB45" s="194"/>
      <c r="AC45" s="224"/>
      <c r="AD45" s="77"/>
      <c r="AE45" s="78"/>
      <c r="AF45" s="1"/>
      <c r="AG45" s="1"/>
    </row>
    <row r="46" spans="1:33" ht="13.15" customHeight="1" x14ac:dyDescent="0.3">
      <c r="A46" s="3">
        <f>A44+1</f>
        <v>19</v>
      </c>
      <c r="B46" s="189" t="str">
        <f>RIGHT(RTD("cqg.rtd",,"ContractData",$A$5&amp;A46,"LongDescription"),14)</f>
        <v>Sep 20, Dec 20</v>
      </c>
      <c r="C46" s="62"/>
      <c r="D46" s="62"/>
      <c r="E46" s="62"/>
      <c r="F46" s="121">
        <f>IF(B46="","",RTD("cqg.rtd",,"ContractData",$A$5&amp;A46,"ExpirationDate",,"D"))</f>
        <v>44090</v>
      </c>
      <c r="G46" s="119">
        <f t="shared" ca="1" si="4"/>
        <v>1679</v>
      </c>
      <c r="H46" s="63"/>
      <c r="I46" s="64"/>
      <c r="J46" s="52">
        <f>K46</f>
        <v>2</v>
      </c>
      <c r="K46" s="125">
        <f>RTD("cqg.rtd", ,"ContractData", $A$5&amp;A46, "T_CVol")</f>
        <v>2</v>
      </c>
      <c r="L46" s="127" t="str">
        <f xml:space="preserve"> RTD("cqg.rtd",,"StudyData", $A$5&amp;A46, "MA", "InputChoice=ContractVol,MAType=Sim,Period="&amp;$L$4&amp;"", "MA",,,"all",,,,"T")</f>
        <v/>
      </c>
      <c r="M46" s="116">
        <f t="shared" si="7"/>
        <v>0</v>
      </c>
      <c r="N46" s="127">
        <f>RTD("cqg.rtd", ,"ContractData", $A$5&amp;A46, "Y_CVol")</f>
        <v>0</v>
      </c>
      <c r="O46" s="126" t="str">
        <f t="shared" si="5"/>
        <v/>
      </c>
      <c r="P46" s="125" t="str">
        <f xml:space="preserve"> RTD("cqg.rtd",,"StudyData", "(MA("&amp;$A$5&amp;A46&amp;",Period:="&amp;$Q$5&amp;",MAType:=Sim,InputChoice:=ContractVol) when LocalYear("&amp;$A$5&amp;A46&amp;")="&amp;$R$5&amp;" And (LocalMonth("&amp;$A$5&amp;A46&amp;")="&amp;$P$4&amp;" And LocalDay("&amp;$A$5&amp;A46&amp;")="&amp;$Q$4&amp;" ))", "Bar", "", "Close","D", "0", "all", "", "","False",,)</f>
        <v/>
      </c>
      <c r="Q46" s="125"/>
      <c r="R46" s="125"/>
      <c r="S46" s="46" t="str">
        <f>LEFT(B46,6)</f>
        <v>Sep 20</v>
      </c>
      <c r="T46" s="50">
        <f t="shared" si="14"/>
        <v>107</v>
      </c>
      <c r="U46" s="50">
        <f>Sheet1!F42</f>
        <v>107</v>
      </c>
      <c r="V46" s="50">
        <f t="shared" si="15"/>
        <v>-3</v>
      </c>
      <c r="W46" s="50">
        <f t="shared" si="3"/>
        <v>-3</v>
      </c>
      <c r="X46" s="50">
        <f>Sheet1!G42</f>
        <v>110</v>
      </c>
      <c r="Y46" s="56">
        <f t="shared" si="16"/>
        <v>0.97272727272727277</v>
      </c>
      <c r="Z46" s="198">
        <f>IF(RTD("cqg.rtd",,"StudyData",$A$5&amp;A46,"Vol","VolType=Exchange,CoCType=Contract","Vol",$Z$4,"0","ALL",,,"TRUE","T")="",0,RTD("cqg.rtd",,"StudyData",$A$5&amp;A46,"Vol","VolType=Exchange,CoCType=Contract","Vol",$Z$4,"0","ALL",,,"TRUE","T"))</f>
        <v>0</v>
      </c>
      <c r="AA46" s="198">
        <f ca="1">IF(B46="","",RTD("cqg.rtd",,"StudyData","Vol("&amp;$A$5&amp;A46&amp;") when (LocalDay("&amp;$A$5&amp;A46&amp;")="&amp;$C$1&amp;" and LocalHour("&amp;$A$5&amp;A46&amp;")="&amp;$E$1&amp;" and LocalMinute("&amp;$A$5&amp;$A46&amp;")="&amp;$F$1&amp;")","Bar",,"Vol",$Z$4,"0"))</f>
        <v>0</v>
      </c>
      <c r="AB46" s="193" t="str">
        <f>B46</f>
        <v>Sep 20, Dec 20</v>
      </c>
      <c r="AC46" s="223"/>
      <c r="AD46" s="77"/>
      <c r="AE46" s="78"/>
      <c r="AF46" s="1"/>
      <c r="AG46" s="1"/>
    </row>
    <row r="47" spans="1:33" ht="13.15" customHeight="1" x14ac:dyDescent="0.3">
      <c r="B47" s="190"/>
      <c r="C47" s="62"/>
      <c r="D47" s="62"/>
      <c r="E47" s="62"/>
      <c r="F47" s="122"/>
      <c r="G47" s="120"/>
      <c r="H47" s="63"/>
      <c r="I47" s="64"/>
      <c r="J47" s="53"/>
      <c r="K47" s="125"/>
      <c r="L47" s="127"/>
      <c r="M47" s="116"/>
      <c r="N47" s="127"/>
      <c r="O47" s="126"/>
      <c r="P47" s="125"/>
      <c r="Q47" s="125"/>
      <c r="R47" s="125"/>
      <c r="S47" s="48" t="str">
        <f>RIGHT(B46,6)</f>
        <v>Dec 20</v>
      </c>
      <c r="T47" s="51">
        <f t="shared" si="14"/>
        <v>95</v>
      </c>
      <c r="U47" s="51">
        <f>Sheet1!L42</f>
        <v>95</v>
      </c>
      <c r="V47" s="51">
        <f t="shared" si="15"/>
        <v>0</v>
      </c>
      <c r="W47" s="50">
        <f t="shared" si="3"/>
        <v>0</v>
      </c>
      <c r="X47" s="51">
        <f>Sheet1!M42</f>
        <v>95</v>
      </c>
      <c r="Y47" s="55">
        <f t="shared" si="16"/>
        <v>1</v>
      </c>
      <c r="Z47" s="198"/>
      <c r="AA47" s="198"/>
      <c r="AB47" s="194"/>
      <c r="AC47" s="224"/>
      <c r="AD47" s="77"/>
      <c r="AE47" s="78"/>
      <c r="AF47" s="1"/>
      <c r="AG47" s="1"/>
    </row>
    <row r="48" spans="1:33" ht="13.15" customHeight="1" x14ac:dyDescent="0.3">
      <c r="A48" s="3">
        <f>A46+1</f>
        <v>20</v>
      </c>
      <c r="B48" s="189" t="str">
        <f>RIGHT(RTD("cqg.rtd",,"ContractData",$A$5&amp;A48,"LongDescription"),14)</f>
        <v>Dec 20, Mar 21</v>
      </c>
      <c r="C48" s="62"/>
      <c r="D48" s="62"/>
      <c r="E48" s="62"/>
      <c r="F48" s="121">
        <f>IF(B48="","",RTD("cqg.rtd",,"ContractData",$A$5&amp;A48,"ExpirationDate",,"D"))</f>
        <v>44181</v>
      </c>
      <c r="G48" s="119">
        <f t="shared" ca="1" si="4"/>
        <v>1770</v>
      </c>
      <c r="H48" s="63"/>
      <c r="I48" s="64"/>
      <c r="J48" s="52">
        <f t="shared" si="6"/>
        <v>0</v>
      </c>
      <c r="K48" s="125">
        <f>RTD("cqg.rtd", ,"ContractData", $A$5&amp;A48, "T_CVol")</f>
        <v>0</v>
      </c>
      <c r="L48" s="127" t="str">
        <f xml:space="preserve"> RTD("cqg.rtd",,"StudyData", $A$5&amp;A48, "MA", "InputChoice=ContractVol,MAType=Sim,Period="&amp;$L$4&amp;"", "MA",,,"all",,,,"T")</f>
        <v/>
      </c>
      <c r="M48" s="116">
        <f t="shared" si="7"/>
        <v>0</v>
      </c>
      <c r="N48" s="127">
        <f>RTD("cqg.rtd", ,"ContractData", $A$5&amp;A48, "Y_CVol")</f>
        <v>0</v>
      </c>
      <c r="O48" s="126" t="str">
        <f t="shared" si="5"/>
        <v/>
      </c>
      <c r="P48" s="125" t="str">
        <f xml:space="preserve"> RTD("cqg.rtd",,"StudyData", "(MA("&amp;$A$5&amp;A48&amp;",Period:="&amp;$Q$5&amp;",MAType:=Sim,InputChoice:=ContractVol) when LocalYear("&amp;$A$5&amp;A48&amp;")="&amp;$R$5&amp;" And (LocalMonth("&amp;$A$5&amp;A48&amp;")="&amp;$P$4&amp;" And LocalDay("&amp;$A$5&amp;A48&amp;")="&amp;$Q$4&amp;" ))", "Bar", "", "Close","D", "0", "all", "", "","False",,)</f>
        <v/>
      </c>
      <c r="Q48" s="125"/>
      <c r="R48" s="125"/>
      <c r="S48" s="46" t="str">
        <f>LEFT(B48,6)</f>
        <v>Dec 20</v>
      </c>
      <c r="T48" s="50">
        <f t="shared" si="14"/>
        <v>95</v>
      </c>
      <c r="U48" s="50">
        <f>Sheet1!F44</f>
        <v>95</v>
      </c>
      <c r="V48" s="50">
        <f t="shared" si="15"/>
        <v>0</v>
      </c>
      <c r="W48" s="50">
        <f t="shared" si="3"/>
        <v>0</v>
      </c>
      <c r="X48" s="50">
        <f>Sheet1!G44</f>
        <v>95</v>
      </c>
      <c r="Y48" s="56">
        <f t="shared" si="16"/>
        <v>1</v>
      </c>
      <c r="Z48" s="198">
        <f>IF(RTD("cqg.rtd",,"StudyData",$A$5&amp;A48,"Vol","VolType=Exchange,CoCType=Contract","Vol",$Z$4,"0","ALL",,,"TRUE","T")="",0,RTD("cqg.rtd",,"StudyData",$A$5&amp;A48,"Vol","VolType=Exchange,CoCType=Contract","Vol",$Z$4,"0","ALL",,,"TRUE","T"))</f>
        <v>0</v>
      </c>
      <c r="AA48" s="198">
        <f ca="1">IF(B48="","",RTD("cqg.rtd",,"StudyData","Vol("&amp;$A$5&amp;A48&amp;") when (LocalDay("&amp;$A$5&amp;A48&amp;")="&amp;$C$1&amp;" and LocalHour("&amp;$A$5&amp;A48&amp;")="&amp;$E$1&amp;" and LocalMinute("&amp;$A$5&amp;$A48&amp;")="&amp;$F$1&amp;")","Bar",,"Vol",$Z$4,"0"))</f>
        <v>0</v>
      </c>
      <c r="AB48" s="193" t="str">
        <f>B48</f>
        <v>Dec 20, Mar 21</v>
      </c>
      <c r="AC48" s="223"/>
      <c r="AD48" s="77"/>
      <c r="AE48" s="78"/>
      <c r="AF48" s="1"/>
      <c r="AG48" s="1"/>
    </row>
    <row r="49" spans="1:33" ht="13.15" customHeight="1" x14ac:dyDescent="0.3">
      <c r="B49" s="190"/>
      <c r="C49" s="62"/>
      <c r="D49" s="62"/>
      <c r="E49" s="62"/>
      <c r="F49" s="149"/>
      <c r="G49" s="148"/>
      <c r="H49" s="63"/>
      <c r="I49" s="64"/>
      <c r="J49" s="53"/>
      <c r="K49" s="125"/>
      <c r="L49" s="127"/>
      <c r="M49" s="116"/>
      <c r="N49" s="127"/>
      <c r="O49" s="126"/>
      <c r="P49" s="125"/>
      <c r="Q49" s="125"/>
      <c r="R49" s="125"/>
      <c r="S49" s="48" t="str">
        <f>RIGHT(B48,6)</f>
        <v>Mar 21</v>
      </c>
      <c r="T49" s="51">
        <f t="shared" si="14"/>
        <v>21</v>
      </c>
      <c r="U49" s="51">
        <f>Sheet1!L44</f>
        <v>21</v>
      </c>
      <c r="V49" s="51">
        <f t="shared" si="15"/>
        <v>0</v>
      </c>
      <c r="W49" s="50">
        <f t="shared" si="3"/>
        <v>0</v>
      </c>
      <c r="X49" s="51">
        <f>Sheet1!M44</f>
        <v>21</v>
      </c>
      <c r="Y49" s="55">
        <f t="shared" si="16"/>
        <v>1</v>
      </c>
      <c r="Z49" s="198"/>
      <c r="AA49" s="198"/>
      <c r="AB49" s="194"/>
      <c r="AC49" s="224"/>
      <c r="AD49" s="77"/>
      <c r="AE49" s="78"/>
      <c r="AF49" s="1"/>
      <c r="AG49" s="1"/>
    </row>
    <row r="50" spans="1:33" ht="13.15" customHeight="1" x14ac:dyDescent="0.3">
      <c r="A50" s="3">
        <f>A48+1</f>
        <v>21</v>
      </c>
      <c r="B50" s="193" t="str">
        <f>RIGHT(RTD("cqg.rtd",,"ContractData",$A$5&amp;A50,"LongDescription"),14)</f>
        <v>Mar 21, Jun 21</v>
      </c>
      <c r="C50" s="62"/>
      <c r="D50" s="62"/>
      <c r="E50" s="67"/>
      <c r="F50" s="121">
        <f>IF(B50="","",RTD("cqg.rtd",,"ContractData",$A$5&amp;A50,"ExpirationDate",,"D"))</f>
        <v>44272</v>
      </c>
      <c r="G50" s="119">
        <f t="shared" ca="1" si="4"/>
        <v>1861</v>
      </c>
      <c r="H50" s="68"/>
      <c r="I50" s="64"/>
      <c r="J50" s="52">
        <f t="shared" si="6"/>
        <v>0</v>
      </c>
      <c r="K50" s="125">
        <f>RTD("cqg.rtd", ,"ContractData", $A$5&amp;A50, "T_CVol")</f>
        <v>0</v>
      </c>
      <c r="L50" s="127" t="str">
        <f xml:space="preserve"> RTD("cqg.rtd",,"StudyData", $A$5&amp;A50, "MA", "InputChoice=ContractVol,MAType=Sim,Period="&amp;$L$4&amp;"", "MA",,,"all",,,,"T")</f>
        <v/>
      </c>
      <c r="M50" s="116">
        <f t="shared" si="7"/>
        <v>0</v>
      </c>
      <c r="N50" s="127">
        <f>RTD("cqg.rtd", ,"ContractData", $A$5&amp;A50, "Y_CVol")</f>
        <v>0</v>
      </c>
      <c r="O50" s="126" t="str">
        <f t="shared" si="5"/>
        <v/>
      </c>
      <c r="P50" s="125" t="str">
        <f xml:space="preserve"> RTD("cqg.rtd",,"StudyData", "(MA("&amp;$A$5&amp;A50&amp;",Period:="&amp;$Q$5&amp;",MAType:=Sim,InputChoice:=ContractVol) when LocalYear("&amp;$A$5&amp;A50&amp;")="&amp;$R$5&amp;" And (LocalMonth("&amp;$A$5&amp;A50&amp;")="&amp;$P$4&amp;" And LocalDay("&amp;$A$5&amp;A50&amp;")="&amp;$Q$4&amp;" ))", "Bar", "", "Close","D", "0", "all", "", "","False",,)</f>
        <v/>
      </c>
      <c r="Q50" s="125"/>
      <c r="R50" s="125"/>
      <c r="S50" s="46" t="str">
        <f>LEFT(B50,6)</f>
        <v>Mar 21</v>
      </c>
      <c r="T50" s="50">
        <f t="shared" si="14"/>
        <v>21</v>
      </c>
      <c r="U50" s="50">
        <f>Sheet1!F46</f>
        <v>21</v>
      </c>
      <c r="V50" s="50">
        <f t="shared" si="15"/>
        <v>0</v>
      </c>
      <c r="W50" s="50">
        <f t="shared" si="3"/>
        <v>0</v>
      </c>
      <c r="X50" s="50">
        <f>Sheet1!G46</f>
        <v>21</v>
      </c>
      <c r="Y50" s="56">
        <f t="shared" si="16"/>
        <v>1</v>
      </c>
      <c r="Z50" s="198">
        <f>IF(RTD("cqg.rtd",,"StudyData",$A$5&amp;A50,"Vol","VolType=Exchange,CoCType=Contract","Vol",$Z$4,"0","ALL",,,"TRUE","T")="",0,RTD("cqg.rtd",,"StudyData",$A$5&amp;A50,"Vol","VolType=Exchange,CoCType=Contract","Vol",$Z$4,"0","ALL",,,"TRUE","T"))</f>
        <v>0</v>
      </c>
      <c r="AA50" s="198">
        <f ca="1">IF(B50="","",RTD("cqg.rtd",,"StudyData","Vol("&amp;$A$5&amp;A50&amp;") when (LocalDay("&amp;$A$5&amp;A50&amp;")="&amp;$C$1&amp;" and LocalHour("&amp;$A$5&amp;A50&amp;")="&amp;$E$1&amp;" and LocalMinute("&amp;$A$5&amp;$A50&amp;")="&amp;$F$1&amp;")","Bar",,"Vol",$Z$4,"0"))</f>
        <v>0</v>
      </c>
      <c r="AB50" s="193" t="str">
        <f>B50</f>
        <v>Mar 21, Jun 21</v>
      </c>
      <c r="AC50" s="223"/>
      <c r="AD50" s="77"/>
      <c r="AE50" s="78"/>
      <c r="AF50" s="1"/>
      <c r="AG50" s="1"/>
    </row>
    <row r="51" spans="1:33" ht="13.15" customHeight="1" x14ac:dyDescent="0.3">
      <c r="B51" s="194"/>
      <c r="C51" s="65"/>
      <c r="D51" s="65"/>
      <c r="E51" s="65"/>
      <c r="F51" s="122"/>
      <c r="G51" s="120"/>
      <c r="H51" s="66"/>
      <c r="I51" s="70"/>
      <c r="J51" s="53"/>
      <c r="K51" s="125"/>
      <c r="L51" s="127"/>
      <c r="M51" s="116"/>
      <c r="N51" s="127"/>
      <c r="O51" s="126"/>
      <c r="P51" s="125"/>
      <c r="Q51" s="125"/>
      <c r="R51" s="125"/>
      <c r="S51" s="48" t="str">
        <f>RIGHT(B50,6)</f>
        <v>Jun 21</v>
      </c>
      <c r="T51" s="51">
        <f t="shared" si="14"/>
        <v>40</v>
      </c>
      <c r="U51" s="51">
        <f>Sheet1!L46</f>
        <v>40</v>
      </c>
      <c r="V51" s="51">
        <f t="shared" si="15"/>
        <v>0</v>
      </c>
      <c r="W51" s="50">
        <f t="shared" si="3"/>
        <v>0</v>
      </c>
      <c r="X51" s="51">
        <f>Sheet1!M46</f>
        <v>40</v>
      </c>
      <c r="Y51" s="55">
        <f t="shared" si="16"/>
        <v>1</v>
      </c>
      <c r="Z51" s="198"/>
      <c r="AA51" s="198"/>
      <c r="AB51" s="194"/>
      <c r="AC51" s="224"/>
      <c r="AD51" s="77"/>
      <c r="AE51" s="78"/>
      <c r="AF51" s="1"/>
      <c r="AG51" s="1"/>
    </row>
    <row r="52" spans="1:33" ht="8.1" customHeight="1" x14ac:dyDescent="0.3">
      <c r="B52" s="100"/>
      <c r="C52" s="19"/>
      <c r="D52" s="19"/>
      <c r="E52" s="19"/>
      <c r="F52" s="26"/>
      <c r="G52" s="19"/>
      <c r="H52" s="95"/>
      <c r="I52" s="19"/>
      <c r="J52" s="19"/>
      <c r="K52" s="79"/>
      <c r="L52" s="79"/>
      <c r="M52" s="80"/>
      <c r="N52" s="79"/>
      <c r="O52" s="81"/>
      <c r="P52" s="82"/>
      <c r="Q52" s="82"/>
      <c r="R52" s="82"/>
      <c r="S52" s="44"/>
      <c r="T52" s="19"/>
      <c r="U52" s="57"/>
      <c r="V52" s="57"/>
      <c r="W52" s="57"/>
      <c r="X52" s="57"/>
      <c r="Y52" s="57"/>
      <c r="Z52" s="83"/>
      <c r="AA52" s="84"/>
      <c r="AB52" s="107"/>
      <c r="AC52" s="108"/>
      <c r="AD52" s="75"/>
      <c r="AE52" s="76"/>
      <c r="AF52" s="1"/>
      <c r="AG52" s="1"/>
    </row>
    <row r="53" spans="1:33" ht="13.15" customHeight="1" x14ac:dyDescent="0.3">
      <c r="A53" s="3">
        <f>A50+1</f>
        <v>22</v>
      </c>
      <c r="B53" s="195" t="str">
        <f>RIGHT(RTD("cqg.rtd",,"ContractData",$A$5&amp;A53,"LongDescription"),14)</f>
        <v>Jun 21, Sep 21</v>
      </c>
      <c r="C53" s="69"/>
      <c r="D53" s="69"/>
      <c r="E53" s="69"/>
      <c r="F53" s="121">
        <f>IF(B53="","",RTD("cqg.rtd",,"ContractData",$A$5&amp;A53,"ExpirationDate",,"D"))</f>
        <v>44363</v>
      </c>
      <c r="G53" s="119">
        <f t="shared" ca="1" si="4"/>
        <v>1952</v>
      </c>
      <c r="H53" s="63"/>
      <c r="I53" s="64"/>
      <c r="J53" s="18">
        <f t="shared" si="6"/>
        <v>0</v>
      </c>
      <c r="K53" s="125">
        <f>RTD("cqg.rtd", ,"ContractData", $A$5&amp;A53, "T_CVol")</f>
        <v>0</v>
      </c>
      <c r="L53" s="127" t="str">
        <f xml:space="preserve"> RTD("cqg.rtd",,"StudyData", $A$5&amp;A53, "MA", "InputChoice=ContractVol,MAType=Sim,Period="&amp;$L$4&amp;"", "MA",,,"all",,,,"T")</f>
        <v/>
      </c>
      <c r="M53" s="116">
        <f t="shared" si="7"/>
        <v>0</v>
      </c>
      <c r="N53" s="127">
        <f>RTD("cqg.rtd", ,"ContractData", $A$5&amp;A53, "Y_CVol")</f>
        <v>0</v>
      </c>
      <c r="O53" s="126" t="str">
        <f t="shared" si="5"/>
        <v/>
      </c>
      <c r="P53" s="125" t="str">
        <f xml:space="preserve"> RTD("cqg.rtd",,"StudyData", "(MA("&amp;$A$5&amp;A53&amp;",Period:="&amp;$Q$5&amp;",MAType:=Sim,InputChoice:=ContractVol) when LocalYear("&amp;$A$5&amp;A53&amp;")="&amp;$R$5&amp;" And (LocalMonth("&amp;$A$5&amp;A53&amp;")="&amp;$P$4&amp;" And LocalDay("&amp;$A$5&amp;A53&amp;")="&amp;$Q$4&amp;" ))", "Bar", "", "Close","D", "0", "all", "", "","False",,)</f>
        <v/>
      </c>
      <c r="Q53" s="125"/>
      <c r="R53" s="125"/>
      <c r="S53" s="46" t="str">
        <f>LEFT(B53,6)</f>
        <v>Jun 21</v>
      </c>
      <c r="T53" s="50">
        <f t="shared" si="14"/>
        <v>40</v>
      </c>
      <c r="U53" s="50">
        <f>Sheet1!F48</f>
        <v>40</v>
      </c>
      <c r="V53" s="50">
        <f t="shared" ref="V53:V56" si="17">IFERROR(U53-X53,"")</f>
        <v>0</v>
      </c>
      <c r="W53" s="50">
        <f t="shared" si="3"/>
        <v>0</v>
      </c>
      <c r="X53" s="50">
        <f>Sheet1!G48</f>
        <v>40</v>
      </c>
      <c r="Y53" s="56">
        <f>IF(ISERROR(U53/X53),"",U53/X53)</f>
        <v>1</v>
      </c>
      <c r="Z53" s="198">
        <f>IF(RTD("cqg.rtd",,"StudyData",$A$5&amp;A53,"Vol","VolType=Exchange,CoCType=Contract","Vol",$Z$4,"0","ALL",,,"TRUE","T")="",0,RTD("cqg.rtd",,"StudyData",$A$5&amp;A53,"Vol","VolType=Exchange,CoCType=Contract","Vol",$Z$4,"0","ALL",,,"TRUE","T"))</f>
        <v>0</v>
      </c>
      <c r="AA53" s="198">
        <f ca="1">IF(B53="","",RTD("cqg.rtd",,"StudyData","Vol("&amp;$A$5&amp;A53&amp;") when (LocalDay("&amp;$A$5&amp;A53&amp;")="&amp;$C$1&amp;" and LocalHour("&amp;$A$5&amp;A53&amp;")="&amp;$E$1&amp;" and LocalMinute("&amp;$A$5&amp;$A53&amp;")="&amp;$F$1&amp;")","Bar",,"Vol",$Z$4,"0"))</f>
        <v>0</v>
      </c>
      <c r="AB53" s="219" t="str">
        <f>B53</f>
        <v>Jun 21, Sep 21</v>
      </c>
      <c r="AC53" s="220"/>
      <c r="AD53" s="73"/>
      <c r="AE53" s="74"/>
      <c r="AF53" s="1"/>
      <c r="AG53" s="1"/>
    </row>
    <row r="54" spans="1:33" ht="13.15" customHeight="1" x14ac:dyDescent="0.3">
      <c r="B54" s="196"/>
      <c r="C54" s="69"/>
      <c r="D54" s="69"/>
      <c r="E54" s="69"/>
      <c r="F54" s="122"/>
      <c r="G54" s="120"/>
      <c r="H54" s="63"/>
      <c r="I54" s="64"/>
      <c r="J54" s="21"/>
      <c r="K54" s="125"/>
      <c r="L54" s="127"/>
      <c r="M54" s="116"/>
      <c r="N54" s="127"/>
      <c r="O54" s="126"/>
      <c r="P54" s="125"/>
      <c r="Q54" s="125"/>
      <c r="R54" s="125"/>
      <c r="S54" s="48" t="str">
        <f>RIGHT(B53,6)</f>
        <v>Sep 21</v>
      </c>
      <c r="T54" s="51">
        <f t="shared" si="14"/>
        <v>20</v>
      </c>
      <c r="U54" s="51">
        <f>Sheet1!L48</f>
        <v>20</v>
      </c>
      <c r="V54" s="51">
        <f t="shared" si="17"/>
        <v>0</v>
      </c>
      <c r="W54" s="50">
        <f t="shared" si="3"/>
        <v>0</v>
      </c>
      <c r="X54" s="51">
        <f>Sheet1!M48</f>
        <v>20</v>
      </c>
      <c r="Y54" s="56">
        <f>IF(ISERROR(U54/X54),"",U54/X54)</f>
        <v>1</v>
      </c>
      <c r="Z54" s="198"/>
      <c r="AA54" s="198"/>
      <c r="AB54" s="221"/>
      <c r="AC54" s="222"/>
      <c r="AD54" s="73"/>
      <c r="AE54" s="74"/>
      <c r="AF54" s="1"/>
      <c r="AG54" s="1"/>
    </row>
    <row r="55" spans="1:33" ht="13.15" customHeight="1" x14ac:dyDescent="0.3">
      <c r="A55" s="3">
        <f>A53+1</f>
        <v>23</v>
      </c>
      <c r="B55" s="195" t="str">
        <f>RIGHT(RTD("cqg.rtd",,"ContractData",$A$5&amp;A55,"LongDescription"),14)</f>
        <v>Sep 21, Dec 21</v>
      </c>
      <c r="C55" s="69"/>
      <c r="D55" s="69"/>
      <c r="E55" s="69"/>
      <c r="F55" s="121">
        <f>IF(B55="","",RTD("cqg.rtd",,"ContractData",$A$5&amp;A55,"ExpirationDate",,"D"))</f>
        <v>44454</v>
      </c>
      <c r="G55" s="119">
        <f t="shared" ca="1" si="4"/>
        <v>2043</v>
      </c>
      <c r="H55" s="63"/>
      <c r="I55" s="64"/>
      <c r="J55" s="18">
        <f t="shared" si="6"/>
        <v>0</v>
      </c>
      <c r="K55" s="125">
        <f>RTD("cqg.rtd", ,"ContractData", $A$5&amp;A55, "T_CVol")</f>
        <v>0</v>
      </c>
      <c r="L55" s="127" t="str">
        <f xml:space="preserve"> RTD("cqg.rtd",,"StudyData", $A$5&amp;A55, "MA", "InputChoice=ContractVol,MAType=Sim,Period="&amp;$L$4&amp;"", "MA",,,"all",,,,"T")</f>
        <v/>
      </c>
      <c r="M55" s="116">
        <f t="shared" si="7"/>
        <v>0</v>
      </c>
      <c r="N55" s="127">
        <f>RTD("cqg.rtd", ,"ContractData", $A$5&amp;A55, "Y_CVol")</f>
        <v>0</v>
      </c>
      <c r="O55" s="126" t="str">
        <f t="shared" si="5"/>
        <v/>
      </c>
      <c r="P55" s="125" t="str">
        <f xml:space="preserve"> RTD("cqg.rtd",,"StudyData", "(MA("&amp;$A$5&amp;A55&amp;",Period:="&amp;$Q$5&amp;",MAType:=Sim,InputChoice:=ContractVol) when LocalYear("&amp;$A$5&amp;A55&amp;")="&amp;$R$5&amp;" And (LocalMonth("&amp;$A$5&amp;A55&amp;")="&amp;$P$4&amp;" And LocalDay("&amp;$A$5&amp;A55&amp;")="&amp;$Q$4&amp;" ))", "Bar", "", "Close","D", "0", "all", "", "","False",,)</f>
        <v/>
      </c>
      <c r="Q55" s="125"/>
      <c r="R55" s="125"/>
      <c r="S55" s="46" t="str">
        <f>LEFT(B55,6)</f>
        <v>Sep 21</v>
      </c>
      <c r="T55" s="50">
        <f t="shared" si="14"/>
        <v>20</v>
      </c>
      <c r="U55" s="50">
        <f>Sheet1!F50</f>
        <v>20</v>
      </c>
      <c r="V55" s="50">
        <f t="shared" si="17"/>
        <v>0</v>
      </c>
      <c r="W55" s="50">
        <f t="shared" si="3"/>
        <v>0</v>
      </c>
      <c r="X55" s="50">
        <f>Sheet1!G50</f>
        <v>20</v>
      </c>
      <c r="Y55" s="56">
        <f t="shared" ref="Y55:Y56" si="18">IF(ISERROR(U55/X55),"",U55/X55)</f>
        <v>1</v>
      </c>
      <c r="Z55" s="198">
        <f>IF(RTD("cqg.rtd",,"StudyData",$A$5&amp;A55,"Vol","VolType=Exchange,CoCType=Contract","Vol",$Z$4,"0","ALL",,,"TRUE","T")="",0,RTD("cqg.rtd",,"StudyData",$A$5&amp;A55,"Vol","VolType=Exchange,CoCType=Contract","Vol",$Z$4,"0","ALL",,,"TRUE","T"))</f>
        <v>0</v>
      </c>
      <c r="AA55" s="198">
        <f ca="1">IF(B55="","",RTD("cqg.rtd",,"StudyData","Vol("&amp;$A$5&amp;A55&amp;") when (LocalDay("&amp;$A$5&amp;A55&amp;")="&amp;$C$1&amp;" and LocalHour("&amp;$A$5&amp;A55&amp;")="&amp;$E$1&amp;" and LocalMinute("&amp;$A$5&amp;$A55&amp;")="&amp;$F$1&amp;")","Bar",,"Vol",$Z$4,"0"))</f>
        <v>0</v>
      </c>
      <c r="AB55" s="219" t="str">
        <f>B55</f>
        <v>Sep 21, Dec 21</v>
      </c>
      <c r="AC55" s="220"/>
      <c r="AD55" s="73"/>
      <c r="AE55" s="74"/>
      <c r="AF55" s="1"/>
      <c r="AG55" s="1"/>
    </row>
    <row r="56" spans="1:33" ht="13.15" customHeight="1" x14ac:dyDescent="0.3">
      <c r="B56" s="196"/>
      <c r="C56" s="69"/>
      <c r="D56" s="69"/>
      <c r="E56" s="69"/>
      <c r="F56" s="122"/>
      <c r="G56" s="120"/>
      <c r="H56" s="63"/>
      <c r="I56" s="64"/>
      <c r="J56" s="21"/>
      <c r="K56" s="125"/>
      <c r="L56" s="127"/>
      <c r="M56" s="116"/>
      <c r="N56" s="127"/>
      <c r="O56" s="126"/>
      <c r="P56" s="125"/>
      <c r="Q56" s="125"/>
      <c r="R56" s="125"/>
      <c r="S56" s="48" t="str">
        <f>RIGHT(B55,6)</f>
        <v>Dec 21</v>
      </c>
      <c r="T56" s="51">
        <f t="shared" si="14"/>
        <v>0</v>
      </c>
      <c r="U56" s="51">
        <f>Sheet1!L50</f>
        <v>0</v>
      </c>
      <c r="V56" s="51">
        <f t="shared" si="17"/>
        <v>0</v>
      </c>
      <c r="W56" s="50">
        <f t="shared" si="3"/>
        <v>0</v>
      </c>
      <c r="X56" s="51">
        <f>Sheet1!M50</f>
        <v>0</v>
      </c>
      <c r="Y56" s="56" t="str">
        <f t="shared" si="18"/>
        <v/>
      </c>
      <c r="Z56" s="198"/>
      <c r="AA56" s="198"/>
      <c r="AB56" s="221"/>
      <c r="AC56" s="222"/>
      <c r="AD56" s="73"/>
      <c r="AE56" s="74"/>
      <c r="AF56" s="1"/>
      <c r="AG56" s="1"/>
    </row>
    <row r="57" spans="1:33" x14ac:dyDescent="0.3">
      <c r="B57" s="138" t="s">
        <v>36</v>
      </c>
      <c r="C57" s="139"/>
      <c r="D57" s="139"/>
      <c r="E57" s="139"/>
      <c r="F57" s="139"/>
      <c r="G57" s="139"/>
      <c r="H57" s="139"/>
      <c r="I57" s="139"/>
      <c r="J57" s="139"/>
      <c r="K57" s="96"/>
      <c r="L57" s="96" t="s">
        <v>8</v>
      </c>
      <c r="M57" s="97"/>
      <c r="N57" s="155">
        <f>RTD("cqg.rtd", ,"SystemInfo", "Linetime")</f>
        <v>42411.427083333336</v>
      </c>
      <c r="O57" s="155"/>
      <c r="P57" s="98"/>
      <c r="Q57" s="98"/>
      <c r="R57" s="136" t="s">
        <v>9</v>
      </c>
      <c r="S57" s="137"/>
      <c r="T57" s="154">
        <f>RTD("cqg.rtd", ,"SystemInfo", "Linetime")+1/24</f>
        <v>42411.46875</v>
      </c>
      <c r="U57" s="154"/>
      <c r="V57" s="156" t="s">
        <v>10</v>
      </c>
      <c r="W57" s="156"/>
      <c r="X57" s="156"/>
      <c r="Y57" s="154">
        <f>RTD("cqg.rtd", ,"SystemInfo", "Linetime")+6/24</f>
        <v>42411.677083333336</v>
      </c>
      <c r="Z57" s="155"/>
      <c r="AA57" s="153"/>
      <c r="AB57" s="153"/>
      <c r="AC57" s="109"/>
      <c r="AD57" s="73"/>
      <c r="AE57" s="74"/>
    </row>
    <row r="66" spans="18:18" x14ac:dyDescent="0.3">
      <c r="R66" s="5"/>
    </row>
    <row r="67" spans="18:18" ht="17.25" customHeight="1" x14ac:dyDescent="0.3">
      <c r="R67" s="5"/>
    </row>
    <row r="68" spans="18:18" ht="17.25" customHeight="1" x14ac:dyDescent="0.3">
      <c r="R68" s="5"/>
    </row>
    <row r="69" spans="18:18" x14ac:dyDescent="0.3">
      <c r="R69" s="5"/>
    </row>
    <row r="70" spans="18:18" x14ac:dyDescent="0.3">
      <c r="R70" s="5"/>
    </row>
  </sheetData>
  <sheetProtection algorithmName="SHA-512" hashValue="1N9F2SDoFbpaokMW6XLfgkkl38RvN7Eoibb8+OmNRYCf91x1pNbAEiiC8frMvK3NifNJezh3yYNOt4as1j2VbA==" saltValue="1PCP9HqWVXp58ZkfO2ycag==" spinCount="100000" sheet="1" objects="1" scenarios="1" selectLockedCells="1"/>
  <mergeCells count="279">
    <mergeCell ref="Z55:Z56"/>
    <mergeCell ref="Z53:Z54"/>
    <mergeCell ref="AA50:AA51"/>
    <mergeCell ref="AA48:AA49"/>
    <mergeCell ref="AA46:AA47"/>
    <mergeCell ref="Z50:Z51"/>
    <mergeCell ref="Z48:Z49"/>
    <mergeCell ref="Z46:Z47"/>
    <mergeCell ref="Z44:Z45"/>
    <mergeCell ref="Z23:Z24"/>
    <mergeCell ref="Z21:Z22"/>
    <mergeCell ref="Z19:Z20"/>
    <mergeCell ref="Z17:Z18"/>
    <mergeCell ref="AA32:AA33"/>
    <mergeCell ref="AA30:AA31"/>
    <mergeCell ref="AA28:AA29"/>
    <mergeCell ref="AA26:AA27"/>
    <mergeCell ref="Z32:Z33"/>
    <mergeCell ref="Z30:Z31"/>
    <mergeCell ref="Z28:Z29"/>
    <mergeCell ref="Z26:Z27"/>
    <mergeCell ref="Z41:Z42"/>
    <mergeCell ref="Z39:Z40"/>
    <mergeCell ref="Z37:Z38"/>
    <mergeCell ref="Z35:Z36"/>
    <mergeCell ref="AB55:AC56"/>
    <mergeCell ref="AB53:AC54"/>
    <mergeCell ref="AB50:AC51"/>
    <mergeCell ref="AB48:AC49"/>
    <mergeCell ref="AA23:AA24"/>
    <mergeCell ref="AA55:AA56"/>
    <mergeCell ref="AA53:AA54"/>
    <mergeCell ref="AA41:AA42"/>
    <mergeCell ref="AA39:AA40"/>
    <mergeCell ref="AA37:AA38"/>
    <mergeCell ref="AA35:AA36"/>
    <mergeCell ref="AB46:AC47"/>
    <mergeCell ref="AB44:AC45"/>
    <mergeCell ref="AB41:AC42"/>
    <mergeCell ref="AB39:AC40"/>
    <mergeCell ref="AA44:AA45"/>
    <mergeCell ref="AB14:AC15"/>
    <mergeCell ref="AB12:AC13"/>
    <mergeCell ref="AB10:AC11"/>
    <mergeCell ref="AB8:AC9"/>
    <mergeCell ref="AB6:AC7"/>
    <mergeCell ref="AB4:AC5"/>
    <mergeCell ref="AA2:AC3"/>
    <mergeCell ref="AB37:AC38"/>
    <mergeCell ref="AB35:AC36"/>
    <mergeCell ref="AB32:AC33"/>
    <mergeCell ref="AB30:AC31"/>
    <mergeCell ref="AB28:AC29"/>
    <mergeCell ref="AB26:AC27"/>
    <mergeCell ref="AB23:AC24"/>
    <mergeCell ref="AB21:AC22"/>
    <mergeCell ref="AB19:AC20"/>
    <mergeCell ref="AB17:AC18"/>
    <mergeCell ref="AA21:AA22"/>
    <mergeCell ref="AA19:AA20"/>
    <mergeCell ref="AA17:AA18"/>
    <mergeCell ref="Z14:Z15"/>
    <mergeCell ref="Z12:Z13"/>
    <mergeCell ref="Z10:Z11"/>
    <mergeCell ref="Z8:Z9"/>
    <mergeCell ref="Z6:Z7"/>
    <mergeCell ref="AA14:AA15"/>
    <mergeCell ref="AA12:AA13"/>
    <mergeCell ref="AA10:AA11"/>
    <mergeCell ref="AA8:AA9"/>
    <mergeCell ref="AA6:AA7"/>
    <mergeCell ref="B50:B51"/>
    <mergeCell ref="P50:R51"/>
    <mergeCell ref="O50:O51"/>
    <mergeCell ref="N50:N51"/>
    <mergeCell ref="L50:L51"/>
    <mergeCell ref="K50:K51"/>
    <mergeCell ref="G50:G51"/>
    <mergeCell ref="F50:F51"/>
    <mergeCell ref="B55:B56"/>
    <mergeCell ref="P53:R54"/>
    <mergeCell ref="O53:O54"/>
    <mergeCell ref="N53:N54"/>
    <mergeCell ref="L53:L54"/>
    <mergeCell ref="K53:K54"/>
    <mergeCell ref="G53:G54"/>
    <mergeCell ref="F53:F54"/>
    <mergeCell ref="B53:B54"/>
    <mergeCell ref="P55:R56"/>
    <mergeCell ref="O55:O56"/>
    <mergeCell ref="N55:N56"/>
    <mergeCell ref="L55:L56"/>
    <mergeCell ref="K55:K56"/>
    <mergeCell ref="G55:G56"/>
    <mergeCell ref="F55:F56"/>
    <mergeCell ref="O48:O49"/>
    <mergeCell ref="N48:N49"/>
    <mergeCell ref="L48:L49"/>
    <mergeCell ref="K48:K49"/>
    <mergeCell ref="G48:G49"/>
    <mergeCell ref="F48:F49"/>
    <mergeCell ref="B48:B49"/>
    <mergeCell ref="P46:R47"/>
    <mergeCell ref="O46:O47"/>
    <mergeCell ref="N46:N47"/>
    <mergeCell ref="L46:L47"/>
    <mergeCell ref="K46:K47"/>
    <mergeCell ref="G46:G47"/>
    <mergeCell ref="F46:F47"/>
    <mergeCell ref="B46:B47"/>
    <mergeCell ref="P48:R49"/>
    <mergeCell ref="L44:L45"/>
    <mergeCell ref="K44:K45"/>
    <mergeCell ref="G44:G45"/>
    <mergeCell ref="F44:F45"/>
    <mergeCell ref="B44:B45"/>
    <mergeCell ref="O44:O45"/>
    <mergeCell ref="N44:N45"/>
    <mergeCell ref="P44:R45"/>
    <mergeCell ref="P37:R38"/>
    <mergeCell ref="O37:O38"/>
    <mergeCell ref="N37:N38"/>
    <mergeCell ref="L37:L38"/>
    <mergeCell ref="K37:K38"/>
    <mergeCell ref="G37:G38"/>
    <mergeCell ref="F37:F38"/>
    <mergeCell ref="B37:B38"/>
    <mergeCell ref="P41:R42"/>
    <mergeCell ref="O41:O42"/>
    <mergeCell ref="N41:N42"/>
    <mergeCell ref="L41:L42"/>
    <mergeCell ref="K41:K42"/>
    <mergeCell ref="G41:G42"/>
    <mergeCell ref="F41:F42"/>
    <mergeCell ref="B41:B42"/>
    <mergeCell ref="L39:L40"/>
    <mergeCell ref="K39:K40"/>
    <mergeCell ref="G39:G40"/>
    <mergeCell ref="F39:F40"/>
    <mergeCell ref="B39:B40"/>
    <mergeCell ref="V5:W5"/>
    <mergeCell ref="P35:R36"/>
    <mergeCell ref="O35:O36"/>
    <mergeCell ref="N35:N36"/>
    <mergeCell ref="L35:L36"/>
    <mergeCell ref="K35:K36"/>
    <mergeCell ref="G35:G36"/>
    <mergeCell ref="F35:F36"/>
    <mergeCell ref="B35:B36"/>
    <mergeCell ref="G21:G22"/>
    <mergeCell ref="F21:F22"/>
    <mergeCell ref="B21:B22"/>
    <mergeCell ref="G23:G24"/>
    <mergeCell ref="F23:F24"/>
    <mergeCell ref="B23:B24"/>
    <mergeCell ref="G26:G27"/>
    <mergeCell ref="F26:F27"/>
    <mergeCell ref="B26:B27"/>
    <mergeCell ref="P28:R29"/>
    <mergeCell ref="N57:O57"/>
    <mergeCell ref="Y2:Z3"/>
    <mergeCell ref="S4:U5"/>
    <mergeCell ref="J2:X3"/>
    <mergeCell ref="O12:O13"/>
    <mergeCell ref="N12:N13"/>
    <mergeCell ref="L12:L13"/>
    <mergeCell ref="K12:K13"/>
    <mergeCell ref="J12:J13"/>
    <mergeCell ref="V4:W4"/>
    <mergeCell ref="K17:K18"/>
    <mergeCell ref="P23:R24"/>
    <mergeCell ref="O23:O24"/>
    <mergeCell ref="N23:N24"/>
    <mergeCell ref="L23:L24"/>
    <mergeCell ref="K23:K24"/>
    <mergeCell ref="P21:R22"/>
    <mergeCell ref="O21:O22"/>
    <mergeCell ref="N21:N22"/>
    <mergeCell ref="L21:L22"/>
    <mergeCell ref="K21:K22"/>
    <mergeCell ref="P39:R40"/>
    <mergeCell ref="O39:O40"/>
    <mergeCell ref="N39:N40"/>
    <mergeCell ref="G2:I3"/>
    <mergeCell ref="G6:G7"/>
    <mergeCell ref="J6:J7"/>
    <mergeCell ref="K6:K7"/>
    <mergeCell ref="L6:L7"/>
    <mergeCell ref="L10:L11"/>
    <mergeCell ref="O10:O11"/>
    <mergeCell ref="P10:R11"/>
    <mergeCell ref="P14:R15"/>
    <mergeCell ref="O14:O15"/>
    <mergeCell ref="N14:N15"/>
    <mergeCell ref="L14:L15"/>
    <mergeCell ref="N4:O5"/>
    <mergeCell ref="N6:N7"/>
    <mergeCell ref="O6:O7"/>
    <mergeCell ref="P6:R7"/>
    <mergeCell ref="N8:N9"/>
    <mergeCell ref="O8:O9"/>
    <mergeCell ref="P8:R9"/>
    <mergeCell ref="N10:N11"/>
    <mergeCell ref="AA57:AB57"/>
    <mergeCell ref="Y57:Z57"/>
    <mergeCell ref="V57:X57"/>
    <mergeCell ref="Z5:AA5"/>
    <mergeCell ref="X4:Y5"/>
    <mergeCell ref="T57:U57"/>
    <mergeCell ref="B4:E5"/>
    <mergeCell ref="F10:F11"/>
    <mergeCell ref="G10:G11"/>
    <mergeCell ref="J10:J11"/>
    <mergeCell ref="K10:K11"/>
    <mergeCell ref="F8:F9"/>
    <mergeCell ref="G8:G9"/>
    <mergeCell ref="K8:K9"/>
    <mergeCell ref="L8:L9"/>
    <mergeCell ref="K14:K15"/>
    <mergeCell ref="G14:G15"/>
    <mergeCell ref="F14:F15"/>
    <mergeCell ref="B14:B15"/>
    <mergeCell ref="F12:F13"/>
    <mergeCell ref="B12:B13"/>
    <mergeCell ref="P12:R13"/>
    <mergeCell ref="N17:N18"/>
    <mergeCell ref="L17:L18"/>
    <mergeCell ref="B2:D3"/>
    <mergeCell ref="E2:F3"/>
    <mergeCell ref="R57:S57"/>
    <mergeCell ref="B57:J57"/>
    <mergeCell ref="J4:K4"/>
    <mergeCell ref="J5:K5"/>
    <mergeCell ref="B6:B7"/>
    <mergeCell ref="B8:B9"/>
    <mergeCell ref="F6:F7"/>
    <mergeCell ref="B10:B11"/>
    <mergeCell ref="G12:G13"/>
    <mergeCell ref="G17:G18"/>
    <mergeCell ref="F17:F18"/>
    <mergeCell ref="B17:B18"/>
    <mergeCell ref="P19:R20"/>
    <mergeCell ref="O19:O20"/>
    <mergeCell ref="N19:N20"/>
    <mergeCell ref="L19:L20"/>
    <mergeCell ref="K19:K20"/>
    <mergeCell ref="G19:G20"/>
    <mergeCell ref="F19:F20"/>
    <mergeCell ref="B19:B20"/>
    <mergeCell ref="P17:R18"/>
    <mergeCell ref="O17:O18"/>
    <mergeCell ref="O28:O29"/>
    <mergeCell ref="N28:N29"/>
    <mergeCell ref="L28:L29"/>
    <mergeCell ref="K28:K29"/>
    <mergeCell ref="G28:G29"/>
    <mergeCell ref="F28:F29"/>
    <mergeCell ref="B28:B29"/>
    <mergeCell ref="P26:R27"/>
    <mergeCell ref="O26:O27"/>
    <mergeCell ref="N26:N27"/>
    <mergeCell ref="L26:L27"/>
    <mergeCell ref="K26:K27"/>
    <mergeCell ref="G30:G31"/>
    <mergeCell ref="F30:F31"/>
    <mergeCell ref="B30:B31"/>
    <mergeCell ref="P32:R33"/>
    <mergeCell ref="O32:O33"/>
    <mergeCell ref="N32:N33"/>
    <mergeCell ref="L32:L33"/>
    <mergeCell ref="K32:K33"/>
    <mergeCell ref="G32:G33"/>
    <mergeCell ref="F32:F33"/>
    <mergeCell ref="B32:B33"/>
    <mergeCell ref="P30:R31"/>
    <mergeCell ref="O30:O31"/>
    <mergeCell ref="N30:N31"/>
    <mergeCell ref="L30:L31"/>
    <mergeCell ref="K30:K31"/>
  </mergeCells>
  <conditionalFormatting sqref="K6">
    <cfRule type="expression" dxfId="74" priority="525">
      <formula>M6=1</formula>
    </cfRule>
  </conditionalFormatting>
  <conditionalFormatting sqref="B6:E6 B8 C7:E7 B10 B12 B14">
    <cfRule type="expression" dxfId="73" priority="518">
      <formula>H6=1</formula>
    </cfRule>
  </conditionalFormatting>
  <conditionalFormatting sqref="C8:E9">
    <cfRule type="expression" dxfId="72" priority="512">
      <formula>I8=1</formula>
    </cfRule>
  </conditionalFormatting>
  <conditionalFormatting sqref="C10:E11">
    <cfRule type="expression" dxfId="71" priority="510">
      <formula>I10=1</formula>
    </cfRule>
  </conditionalFormatting>
  <conditionalFormatting sqref="C12:E13">
    <cfRule type="expression" dxfId="70" priority="508">
      <formula>I12=1</formula>
    </cfRule>
  </conditionalFormatting>
  <conditionalFormatting sqref="C14:E15">
    <cfRule type="expression" dxfId="69" priority="506">
      <formula>I14=1</formula>
    </cfRule>
  </conditionalFormatting>
  <conditionalFormatting sqref="Z6">
    <cfRule type="expression" dxfId="68" priority="455">
      <formula>Z6&gt;AA6</formula>
    </cfRule>
  </conditionalFormatting>
  <conditionalFormatting sqref="AB23 AB21 AB19 AB17">
    <cfRule type="expression" dxfId="67" priority="542">
      <formula>#REF!&lt;9</formula>
    </cfRule>
  </conditionalFormatting>
  <conditionalFormatting sqref="AD16">
    <cfRule type="colorScale" priority="39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34">
    <cfRule type="colorScale" priority="39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43">
    <cfRule type="colorScale" priority="38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52">
    <cfRule type="colorScale" priority="38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B6 AD6:AE7">
    <cfRule type="expression" dxfId="66" priority="376">
      <formula>H6=1</formula>
    </cfRule>
  </conditionalFormatting>
  <conditionalFormatting sqref="AB8 AD8:AE9">
    <cfRule type="expression" dxfId="65" priority="375">
      <formula>H8=1</formula>
    </cfRule>
  </conditionalFormatting>
  <conditionalFormatting sqref="AB10 AD10:AE11">
    <cfRule type="expression" dxfId="64" priority="374">
      <formula>H10=1</formula>
    </cfRule>
  </conditionalFormatting>
  <conditionalFormatting sqref="AB12 AD12:AE13">
    <cfRule type="expression" dxfId="63" priority="373">
      <formula>H12=1</formula>
    </cfRule>
  </conditionalFormatting>
  <conditionalFormatting sqref="AB14 AD14:AE15">
    <cfRule type="expression" dxfId="62" priority="372">
      <formula>H14=1</formula>
    </cfRule>
  </conditionalFormatting>
  <conditionalFormatting sqref="J17:J24">
    <cfRule type="dataBar" priority="3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{5C33F127-2136-439B-92C0-3CA3C77D5C11}</x14:id>
        </ext>
      </extLst>
    </cfRule>
  </conditionalFormatting>
  <conditionalFormatting sqref="J26:J33">
    <cfRule type="dataBar" priority="3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{DC04AC1B-0397-46B7-9DDE-30A3C7EC497E}</x14:id>
        </ext>
      </extLst>
    </cfRule>
  </conditionalFormatting>
  <conditionalFormatting sqref="O17:O24">
    <cfRule type="colorScale" priority="33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26:O33">
    <cfRule type="colorScale" priority="3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35:O42">
    <cfRule type="colorScale" priority="334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44:O51">
    <cfRule type="colorScale" priority="333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Z8">
    <cfRule type="expression" dxfId="61" priority="312">
      <formula>Z8&gt;AA8</formula>
    </cfRule>
  </conditionalFormatting>
  <conditionalFormatting sqref="Z10">
    <cfRule type="expression" dxfId="60" priority="311">
      <formula>Z10&gt;AA10</formula>
    </cfRule>
  </conditionalFormatting>
  <conditionalFormatting sqref="Z12">
    <cfRule type="expression" dxfId="59" priority="310">
      <formula>Z12&gt;AA12</formula>
    </cfRule>
  </conditionalFormatting>
  <conditionalFormatting sqref="Z14">
    <cfRule type="expression" dxfId="58" priority="309">
      <formula>Z14&gt;AA14</formula>
    </cfRule>
  </conditionalFormatting>
  <conditionalFormatting sqref="Z17">
    <cfRule type="expression" dxfId="57" priority="305">
      <formula>Z17&gt;AA17</formula>
    </cfRule>
  </conditionalFormatting>
  <conditionalFormatting sqref="Z19">
    <cfRule type="expression" dxfId="56" priority="304">
      <formula>Z19&gt;AA19</formula>
    </cfRule>
  </conditionalFormatting>
  <conditionalFormatting sqref="Z21">
    <cfRule type="expression" dxfId="55" priority="303">
      <formula>Z21&gt;AA21</formula>
    </cfRule>
  </conditionalFormatting>
  <conditionalFormatting sqref="Z23">
    <cfRule type="expression" dxfId="54" priority="302">
      <formula>Z23&gt;AA23</formula>
    </cfRule>
  </conditionalFormatting>
  <conditionalFormatting sqref="Z26">
    <cfRule type="expression" dxfId="53" priority="301">
      <formula>Z26&gt;AA26</formula>
    </cfRule>
  </conditionalFormatting>
  <conditionalFormatting sqref="Z28">
    <cfRule type="expression" dxfId="52" priority="300">
      <formula>Z28&gt;AA28</formula>
    </cfRule>
  </conditionalFormatting>
  <conditionalFormatting sqref="Z30">
    <cfRule type="expression" dxfId="51" priority="299">
      <formula>Z30&gt;AA30</formula>
    </cfRule>
  </conditionalFormatting>
  <conditionalFormatting sqref="Z32">
    <cfRule type="expression" dxfId="50" priority="298">
      <formula>Z32&gt;AA32</formula>
    </cfRule>
  </conditionalFormatting>
  <conditionalFormatting sqref="Z35">
    <cfRule type="expression" dxfId="49" priority="297">
      <formula>Z35&gt;AA35</formula>
    </cfRule>
  </conditionalFormatting>
  <conditionalFormatting sqref="Z37">
    <cfRule type="expression" dxfId="48" priority="296">
      <formula>Z37&gt;AA37</formula>
    </cfRule>
  </conditionalFormatting>
  <conditionalFormatting sqref="Z39">
    <cfRule type="expression" dxfId="47" priority="295">
      <formula>Z39&gt;AA39</formula>
    </cfRule>
  </conditionalFormatting>
  <conditionalFormatting sqref="Z41">
    <cfRule type="expression" dxfId="46" priority="294">
      <formula>Z41&gt;AA41</formula>
    </cfRule>
  </conditionalFormatting>
  <conditionalFormatting sqref="Z44">
    <cfRule type="expression" dxfId="45" priority="293">
      <formula>Z44&gt;AA44</formula>
    </cfRule>
  </conditionalFormatting>
  <conditionalFormatting sqref="Z46">
    <cfRule type="expression" dxfId="44" priority="292">
      <formula>Z46&gt;AA46</formula>
    </cfRule>
  </conditionalFormatting>
  <conditionalFormatting sqref="Z48">
    <cfRule type="expression" dxfId="43" priority="291">
      <formula>Z48&gt;AA48</formula>
    </cfRule>
  </conditionalFormatting>
  <conditionalFormatting sqref="Z50">
    <cfRule type="expression" dxfId="42" priority="290">
      <formula>Z50&gt;AA50</formula>
    </cfRule>
  </conditionalFormatting>
  <conditionalFormatting sqref="Z53">
    <cfRule type="expression" dxfId="41" priority="289">
      <formula>Z53&gt;AA53</formula>
    </cfRule>
  </conditionalFormatting>
  <conditionalFormatting sqref="Z55">
    <cfRule type="expression" dxfId="40" priority="288">
      <formula>Z55&gt;AA55</formula>
    </cfRule>
  </conditionalFormatting>
  <conditionalFormatting sqref="J6:J14">
    <cfRule type="dataBar" priority="5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{3F827478-53AC-4871-BA65-41C5A24FC62D}</x14:id>
        </ext>
      </extLst>
    </cfRule>
  </conditionalFormatting>
  <conditionalFormatting sqref="O6:O15">
    <cfRule type="colorScale" priority="55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6:T15">
    <cfRule type="dataBar" priority="2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{0A3AA89F-E20A-4874-8899-503EABC3106E}</x14:id>
        </ext>
      </extLst>
    </cfRule>
  </conditionalFormatting>
  <conditionalFormatting sqref="T17:T24">
    <cfRule type="dataBar" priority="20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{8F1FCB0F-8E6F-4911-B62A-449388889442}</x14:id>
        </ext>
      </extLst>
    </cfRule>
  </conditionalFormatting>
  <conditionalFormatting sqref="W6:W15">
    <cfRule type="dataBar" priority="2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{61EE27FE-82E3-4F7E-9E45-980594B7315F}</x14:id>
        </ext>
      </extLst>
    </cfRule>
  </conditionalFormatting>
  <conditionalFormatting sqref="Y6:Y15">
    <cfRule type="colorScale" priority="201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17:W24">
    <cfRule type="dataBar" priority="2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{DFCC6FCE-8657-44E4-8BCF-77356A0FB0D4}</x14:id>
        </ext>
      </extLst>
    </cfRule>
  </conditionalFormatting>
  <conditionalFormatting sqref="Y17:Y24">
    <cfRule type="colorScale" priority="199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26:Y33">
    <cfRule type="colorScale" priority="19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26:T33">
    <cfRule type="dataBar" priority="1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{1B68D229-DDC0-41BC-9E95-222DB674AEE1}</x14:id>
        </ext>
      </extLst>
    </cfRule>
  </conditionalFormatting>
  <conditionalFormatting sqref="W26:W33">
    <cfRule type="dataBar" priority="1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{5E837EB7-7F8C-4456-9E96-A86870453753}</x14:id>
        </ext>
      </extLst>
    </cfRule>
  </conditionalFormatting>
  <conditionalFormatting sqref="S35:S42">
    <cfRule type="top10" dxfId="39" priority="195" rank="3"/>
  </conditionalFormatting>
  <conditionalFormatting sqref="Y35:Y42">
    <cfRule type="colorScale" priority="194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35:T42">
    <cfRule type="dataBar" priority="1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{4862A6F2-5443-44A0-BE8A-11487C405C5D}</x14:id>
        </ext>
      </extLst>
    </cfRule>
  </conditionalFormatting>
  <conditionalFormatting sqref="W35:W42">
    <cfRule type="dataBar" priority="19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{7B369072-5470-4533-BA08-E1A14E41F133}</x14:id>
        </ext>
      </extLst>
    </cfRule>
  </conditionalFormatting>
  <conditionalFormatting sqref="S44:S51">
    <cfRule type="top10" dxfId="38" priority="191" rank="3"/>
  </conditionalFormatting>
  <conditionalFormatting sqref="T44:T51">
    <cfRule type="dataBar" priority="1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{20D23897-532C-4CB0-BD2D-E42E5DA3EC1B}</x14:id>
        </ext>
      </extLst>
    </cfRule>
  </conditionalFormatting>
  <conditionalFormatting sqref="W44:W51">
    <cfRule type="dataBar" priority="18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{C97E5B7C-FA5A-4EC3-ADD0-C022DCD89510}</x14:id>
        </ext>
      </extLst>
    </cfRule>
  </conditionalFormatting>
  <conditionalFormatting sqref="Y44:Y51">
    <cfRule type="colorScale" priority="18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J44:J51">
    <cfRule type="dataBar" priority="1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{D508FF41-E6C9-44A3-B7F1-535690600703}</x14:id>
        </ext>
      </extLst>
    </cfRule>
  </conditionalFormatting>
  <conditionalFormatting sqref="J35:J42">
    <cfRule type="dataBar" priority="16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{D2B76551-AAB4-4CEF-B460-DB69671B3CD5}</x14:id>
        </ext>
      </extLst>
    </cfRule>
  </conditionalFormatting>
  <conditionalFormatting sqref="S6:S24 S26:S33">
    <cfRule type="top10" dxfId="37" priority="635" rank="3"/>
  </conditionalFormatting>
  <conditionalFormatting sqref="K25">
    <cfRule type="expression" dxfId="36" priority="122">
      <formula>M25=1</formula>
    </cfRule>
  </conditionalFormatting>
  <conditionalFormatting sqref="K25">
    <cfRule type="top10" dxfId="35" priority="124" rank="1"/>
  </conditionalFormatting>
  <conditionalFormatting sqref="S25">
    <cfRule type="top10" dxfId="34" priority="125" rank="3"/>
  </conditionalFormatting>
  <conditionalFormatting sqref="K34">
    <cfRule type="expression" dxfId="33" priority="117">
      <formula>M34=1</formula>
    </cfRule>
  </conditionalFormatting>
  <conditionalFormatting sqref="K34">
    <cfRule type="top10" dxfId="32" priority="119" rank="1"/>
  </conditionalFormatting>
  <conditionalFormatting sqref="S34">
    <cfRule type="top10" dxfId="31" priority="120" rank="3"/>
  </conditionalFormatting>
  <conditionalFormatting sqref="K43">
    <cfRule type="expression" dxfId="30" priority="112">
      <formula>M43=1</formula>
    </cfRule>
  </conditionalFormatting>
  <conditionalFormatting sqref="K43">
    <cfRule type="top10" dxfId="29" priority="114" rank="1"/>
  </conditionalFormatting>
  <conditionalFormatting sqref="S43">
    <cfRule type="top10" dxfId="28" priority="115" rank="3"/>
  </conditionalFormatting>
  <conditionalFormatting sqref="K52">
    <cfRule type="expression" dxfId="27" priority="107">
      <formula>M52=1</formula>
    </cfRule>
  </conditionalFormatting>
  <conditionalFormatting sqref="K52">
    <cfRule type="top10" dxfId="26" priority="109" rank="1"/>
  </conditionalFormatting>
  <conditionalFormatting sqref="S52">
    <cfRule type="top10" dxfId="25" priority="110" rank="3"/>
  </conditionalFormatting>
  <conditionalFormatting sqref="K8">
    <cfRule type="expression" dxfId="24" priority="34">
      <formula>M8=1</formula>
    </cfRule>
  </conditionalFormatting>
  <conditionalFormatting sqref="K10">
    <cfRule type="expression" dxfId="23" priority="33">
      <formula>M10=1</formula>
    </cfRule>
  </conditionalFormatting>
  <conditionalFormatting sqref="K12">
    <cfRule type="expression" dxfId="22" priority="32">
      <formula>M12=1</formula>
    </cfRule>
  </conditionalFormatting>
  <conditionalFormatting sqref="K14">
    <cfRule type="expression" dxfId="21" priority="31">
      <formula>M14=1</formula>
    </cfRule>
  </conditionalFormatting>
  <conditionalFormatting sqref="K17">
    <cfRule type="expression" dxfId="20" priority="30">
      <formula>M17=1</formula>
    </cfRule>
  </conditionalFormatting>
  <conditionalFormatting sqref="K19">
    <cfRule type="expression" dxfId="19" priority="29">
      <formula>M19=1</formula>
    </cfRule>
  </conditionalFormatting>
  <conditionalFormatting sqref="K21">
    <cfRule type="expression" dxfId="18" priority="28">
      <formula>M21=1</formula>
    </cfRule>
  </conditionalFormatting>
  <conditionalFormatting sqref="K23">
    <cfRule type="expression" dxfId="17" priority="27">
      <formula>M23=1</formula>
    </cfRule>
  </conditionalFormatting>
  <conditionalFormatting sqref="K26">
    <cfRule type="expression" dxfId="16" priority="26">
      <formula>M26=1</formula>
    </cfRule>
  </conditionalFormatting>
  <conditionalFormatting sqref="K28">
    <cfRule type="expression" dxfId="15" priority="25">
      <formula>M28=1</formula>
    </cfRule>
  </conditionalFormatting>
  <conditionalFormatting sqref="K30">
    <cfRule type="expression" dxfId="14" priority="24">
      <formula>M30=1</formula>
    </cfRule>
  </conditionalFormatting>
  <conditionalFormatting sqref="K32">
    <cfRule type="expression" dxfId="13" priority="23">
      <formula>M32=1</formula>
    </cfRule>
  </conditionalFormatting>
  <conditionalFormatting sqref="K35">
    <cfRule type="expression" dxfId="12" priority="22">
      <formula>M35=1</formula>
    </cfRule>
  </conditionalFormatting>
  <conditionalFormatting sqref="K37">
    <cfRule type="expression" dxfId="11" priority="21">
      <formula>M37=1</formula>
    </cfRule>
  </conditionalFormatting>
  <conditionalFormatting sqref="K39">
    <cfRule type="expression" dxfId="10" priority="20">
      <formula>M39=1</formula>
    </cfRule>
  </conditionalFormatting>
  <conditionalFormatting sqref="K41">
    <cfRule type="expression" dxfId="9" priority="19">
      <formula>M41=1</formula>
    </cfRule>
  </conditionalFormatting>
  <conditionalFormatting sqref="K44">
    <cfRule type="expression" dxfId="8" priority="18">
      <formula>M44=1</formula>
    </cfRule>
  </conditionalFormatting>
  <conditionalFormatting sqref="K46">
    <cfRule type="expression" dxfId="7" priority="17">
      <formula>M46=1</formula>
    </cfRule>
  </conditionalFormatting>
  <conditionalFormatting sqref="K48">
    <cfRule type="expression" dxfId="6" priority="16">
      <formula>M48=1</formula>
    </cfRule>
  </conditionalFormatting>
  <conditionalFormatting sqref="K50">
    <cfRule type="expression" dxfId="5" priority="15">
      <formula>M50=1</formula>
    </cfRule>
  </conditionalFormatting>
  <conditionalFormatting sqref="K53">
    <cfRule type="expression" dxfId="4" priority="14">
      <formula>M53=1</formula>
    </cfRule>
  </conditionalFormatting>
  <conditionalFormatting sqref="K55">
    <cfRule type="expression" dxfId="3" priority="13">
      <formula>M55=1</formula>
    </cfRule>
  </conditionalFormatting>
  <conditionalFormatting sqref="O53:O56">
    <cfRule type="colorScale" priority="643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S53:S56">
    <cfRule type="top10" dxfId="2" priority="644" rank="3"/>
  </conditionalFormatting>
  <conditionalFormatting sqref="W53:W56">
    <cfRule type="dataBar" priority="6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{124496E8-9191-47E2-BBDD-E8C5E60AA341}</x14:id>
        </ext>
      </extLst>
    </cfRule>
  </conditionalFormatting>
  <conditionalFormatting sqref="Y53:Y56">
    <cfRule type="colorScale" priority="64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J53:J56">
    <cfRule type="dataBar" priority="6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{76682C17-5E23-45FB-A0FD-64C6EF95C16D}</x14:id>
        </ext>
      </extLst>
    </cfRule>
  </conditionalFormatting>
  <conditionalFormatting sqref="T53:T56">
    <cfRule type="dataBar" priority="64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{B0691C47-66FD-4B00-A8AF-F5EB45E4215A}</x14:id>
        </ext>
      </extLst>
    </cfRule>
  </conditionalFormatting>
  <conditionalFormatting sqref="L6:L56">
    <cfRule type="top10" dxfId="1" priority="649" rank="1"/>
  </conditionalFormatting>
  <conditionalFormatting sqref="K6:K56">
    <cfRule type="top10" dxfId="0" priority="650" rank="1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33F127-2136-439B-92C0-3CA3C77D5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J17:J24</xm:sqref>
        </x14:conditionalFormatting>
        <x14:conditionalFormatting xmlns:xm="http://schemas.microsoft.com/office/excel/2006/main">
          <x14:cfRule type="dataBar" id="{DC04AC1B-0397-46B7-9DDE-30A3C7EC49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J26:J33</xm:sqref>
        </x14:conditionalFormatting>
        <x14:conditionalFormatting xmlns:xm="http://schemas.microsoft.com/office/excel/2006/main">
          <x14:cfRule type="dataBar" id="{3F827478-53AC-4871-BA65-41C5A24FC6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J6:J14</xm:sqref>
        </x14:conditionalFormatting>
        <x14:conditionalFormatting xmlns:xm="http://schemas.microsoft.com/office/excel/2006/main">
          <x14:cfRule type="dataBar" id="{0A3AA89F-E20A-4874-8899-503EABC310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T6:T15</xm:sqref>
        </x14:conditionalFormatting>
        <x14:conditionalFormatting xmlns:xm="http://schemas.microsoft.com/office/excel/2006/main">
          <x14:cfRule type="dataBar" id="{8F1FCB0F-8E6F-4911-B62A-4493888894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T17:T24</xm:sqref>
        </x14:conditionalFormatting>
        <x14:conditionalFormatting xmlns:xm="http://schemas.microsoft.com/office/excel/2006/main">
          <x14:cfRule type="dataBar" id="{61EE27FE-82E3-4F7E-9E45-980594B731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W6:W15</xm:sqref>
        </x14:conditionalFormatting>
        <x14:conditionalFormatting xmlns:xm="http://schemas.microsoft.com/office/excel/2006/main">
          <x14:cfRule type="dataBar" id="{DFCC6FCE-8657-44E4-8BCF-77356A0FB0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W17:W24</xm:sqref>
        </x14:conditionalFormatting>
        <x14:conditionalFormatting xmlns:xm="http://schemas.microsoft.com/office/excel/2006/main">
          <x14:cfRule type="dataBar" id="{1B68D229-DDC0-41BC-9E95-222DB674AE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T26:T33</xm:sqref>
        </x14:conditionalFormatting>
        <x14:conditionalFormatting xmlns:xm="http://schemas.microsoft.com/office/excel/2006/main">
          <x14:cfRule type="dataBar" id="{5E837EB7-7F8C-4456-9E96-A868704537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W26:W33</xm:sqref>
        </x14:conditionalFormatting>
        <x14:conditionalFormatting xmlns:xm="http://schemas.microsoft.com/office/excel/2006/main">
          <x14:cfRule type="dataBar" id="{4862A6F2-5443-44A0-BE8A-11487C405C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T35:T42</xm:sqref>
        </x14:conditionalFormatting>
        <x14:conditionalFormatting xmlns:xm="http://schemas.microsoft.com/office/excel/2006/main">
          <x14:cfRule type="dataBar" id="{7B369072-5470-4533-BA08-E1A14E41F1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W35:W42</xm:sqref>
        </x14:conditionalFormatting>
        <x14:conditionalFormatting xmlns:xm="http://schemas.microsoft.com/office/excel/2006/main">
          <x14:cfRule type="dataBar" id="{20D23897-532C-4CB0-BD2D-E42E5DA3EC1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T44:T51</xm:sqref>
        </x14:conditionalFormatting>
        <x14:conditionalFormatting xmlns:xm="http://schemas.microsoft.com/office/excel/2006/main">
          <x14:cfRule type="dataBar" id="{C97E5B7C-FA5A-4EC3-ADD0-C022DCD895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W44:W51</xm:sqref>
        </x14:conditionalFormatting>
        <x14:conditionalFormatting xmlns:xm="http://schemas.microsoft.com/office/excel/2006/main">
          <x14:cfRule type="dataBar" id="{D508FF41-E6C9-44A3-B7F1-5356906007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J44:J51</xm:sqref>
        </x14:conditionalFormatting>
        <x14:conditionalFormatting xmlns:xm="http://schemas.microsoft.com/office/excel/2006/main">
          <x14:cfRule type="dataBar" id="{D2B76551-AAB4-4CEF-B460-DB69671B3C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J35:J42</xm:sqref>
        </x14:conditionalFormatting>
        <x14:conditionalFormatting xmlns:xm="http://schemas.microsoft.com/office/excel/2006/main">
          <x14:cfRule type="dataBar" id="{124496E8-9191-47E2-BBDD-E8C5E60AA3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W53:W56</xm:sqref>
        </x14:conditionalFormatting>
        <x14:conditionalFormatting xmlns:xm="http://schemas.microsoft.com/office/excel/2006/main">
          <x14:cfRule type="dataBar" id="{76682C17-5E23-45FB-A0FD-64C6EF95C1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J53:J56</xm:sqref>
        </x14:conditionalFormatting>
        <x14:conditionalFormatting xmlns:xm="http://schemas.microsoft.com/office/excel/2006/main">
          <x14:cfRule type="dataBar" id="{B0691C47-66FD-4B00-A8AF-F5EB45E421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T53:T56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50"/>
  <sheetViews>
    <sheetView showRowColHeaders="0" workbookViewId="0">
      <selection sqref="A1:XFD1048576"/>
    </sheetView>
  </sheetViews>
  <sheetFormatPr defaultColWidth="8.85546875" defaultRowHeight="15" x14ac:dyDescent="0.25"/>
  <cols>
    <col min="1" max="16384" width="8.85546875" style="117"/>
  </cols>
  <sheetData>
    <row r="5" spans="1:20" x14ac:dyDescent="0.25">
      <c r="A5" s="117" t="s">
        <v>37</v>
      </c>
      <c r="E5" s="117" t="s">
        <v>39</v>
      </c>
      <c r="F5" s="117" t="s">
        <v>14</v>
      </c>
      <c r="G5" s="117" t="s">
        <v>15</v>
      </c>
      <c r="K5" s="117" t="s">
        <v>39</v>
      </c>
      <c r="L5" s="117" t="s">
        <v>14</v>
      </c>
      <c r="M5" s="117" t="s">
        <v>15</v>
      </c>
    </row>
    <row r="6" spans="1:20" x14ac:dyDescent="0.25">
      <c r="A6" s="117">
        <v>1</v>
      </c>
      <c r="B6" s="118" t="str">
        <f>RTD("cqg.rtd",,"ContractData",$A$5&amp;A6,"Symbol")</f>
        <v>QSAS3H6</v>
      </c>
      <c r="C6" s="117" t="str">
        <f>RIGHT(B6,2)</f>
        <v>H6</v>
      </c>
      <c r="D6" s="117" t="str">
        <f>LEFT(C6,1)</f>
        <v>H</v>
      </c>
      <c r="E6" s="117" t="str">
        <f>$E$5&amp;C6</f>
        <v>QSAH6</v>
      </c>
      <c r="F6" s="117">
        <f>IFERROR(RTD("cqg.rtd", ,"ContractData",E6, "COI"),"")</f>
        <v>323940</v>
      </c>
      <c r="G6" s="117">
        <f>IFERROR(RTD("cqg.rtd", ,"ContractData",E6, "POI"),"")</f>
        <v>333745</v>
      </c>
      <c r="H6" s="117" t="str">
        <f>RIGHT(RTD("cqg.rtd", ,"ContractData",B6, "LongDescription"),2)</f>
        <v>16</v>
      </c>
      <c r="I6" s="117">
        <f>IF(D6="F",1,IF(D6="G",2,IF(D6="H",3,IF(D6="J",4,IF(D6="K",5,IF(D6="M",6,IF(D6="N",7,IF(D6="Q",8,IF(D6="U",9,IF(D6="V",10,IF(D6="X",11,IF(D6="Z",12))))))))))))</f>
        <v>3</v>
      </c>
      <c r="J6" s="117" t="str">
        <f>VLOOKUP(I6,$R$6:$T$17,3)</f>
        <v>M</v>
      </c>
      <c r="K6" s="117" t="str">
        <f>$K$5&amp;J6&amp;RIGHT(H6,2)</f>
        <v>QSAM16</v>
      </c>
      <c r="L6" s="117">
        <f>IF(LEFT(RTD("cqg.rtd", ,"ContractData",K6, "COI"),3)="768","",RTD("cqg.rtd", ,"ContractData",K6, "COI"))</f>
        <v>463484</v>
      </c>
      <c r="M6" s="117">
        <f>IF(LEFT(RTD("cqg.rtd", ,"ContractData",K6, "P_OI"),3)="768","",RTD("cqg.rtd", ,"ContractData",K6, "P_OI"))</f>
        <v>464826</v>
      </c>
      <c r="R6" s="117">
        <v>1</v>
      </c>
      <c r="S6" s="117" t="s">
        <v>16</v>
      </c>
      <c r="T6" s="117" t="s">
        <v>17</v>
      </c>
    </row>
    <row r="7" spans="1:20" x14ac:dyDescent="0.25">
      <c r="R7" s="117">
        <v>2</v>
      </c>
      <c r="S7" s="117" t="s">
        <v>18</v>
      </c>
      <c r="T7" s="117" t="s">
        <v>19</v>
      </c>
    </row>
    <row r="8" spans="1:20" x14ac:dyDescent="0.25">
      <c r="A8" s="117">
        <f>A6+1</f>
        <v>2</v>
      </c>
      <c r="B8" s="117" t="str">
        <f>RTD("cqg.rtd",,"ContractData",$A$5&amp;A8,"Symbol")</f>
        <v>QSAS3M6</v>
      </c>
      <c r="C8" s="117" t="str">
        <f>RIGHT(B8,2)</f>
        <v>M6</v>
      </c>
      <c r="D8" s="117" t="str">
        <f>LEFT(C8,1)</f>
        <v>M</v>
      </c>
      <c r="E8" s="117" t="str">
        <f>$E$5&amp;C8</f>
        <v>QSAM6</v>
      </c>
      <c r="F8" s="117">
        <f>IFERROR(RTD("cqg.rtd", ,"ContractData",E8, "COI"),"")</f>
        <v>463484</v>
      </c>
      <c r="G8" s="117">
        <f>IFERROR(RTD("cqg.rtd", ,"ContractData",E8, "POI"),"")</f>
        <v>464826</v>
      </c>
      <c r="H8" s="117" t="str">
        <f>RIGHT(RTD("cqg.rtd", ,"ContractData",B8, "LongDescription"),2)</f>
        <v>16</v>
      </c>
      <c r="I8" s="117">
        <f>IF(D8="F",1,IF(D8="G",2,IF(D8="H",3,IF(D8="J",4,IF(D8="K",5,IF(D8="M",6,IF(D8="N",7,IF(D8="Q",8,IF(D8="U",9,IF(D8="V",10,IF(D8="X",11,IF(D8="Z",12))))))))))))</f>
        <v>6</v>
      </c>
      <c r="J8" s="117" t="str">
        <f>VLOOKUP(I8,$R$6:$T$17,3)</f>
        <v>U</v>
      </c>
      <c r="K8" s="117" t="str">
        <f>$K$5&amp;J8&amp;RIGHT(H8,2)</f>
        <v>QSAU16</v>
      </c>
      <c r="L8" s="117">
        <f>IF(LEFT(RTD("cqg.rtd", ,"ContractData",K8, "COI"),3)="768","",RTD("cqg.rtd", ,"ContractData",K8, "COI"))</f>
        <v>417926</v>
      </c>
      <c r="M8" s="117">
        <f>IF(LEFT(RTD("cqg.rtd", ,"ContractData",K8, "P_OI"),3)="768","",RTD("cqg.rtd", ,"ContractData",K8, "P_OI"))</f>
        <v>414292</v>
      </c>
      <c r="R8" s="117">
        <v>3</v>
      </c>
      <c r="S8" s="117" t="s">
        <v>20</v>
      </c>
      <c r="T8" s="117" t="s">
        <v>21</v>
      </c>
    </row>
    <row r="9" spans="1:20" x14ac:dyDescent="0.25">
      <c r="R9" s="117">
        <v>4</v>
      </c>
      <c r="S9" s="117" t="s">
        <v>17</v>
      </c>
      <c r="T9" s="117" t="s">
        <v>22</v>
      </c>
    </row>
    <row r="10" spans="1:20" x14ac:dyDescent="0.25">
      <c r="A10" s="117">
        <f>A8+1</f>
        <v>3</v>
      </c>
      <c r="B10" s="117" t="str">
        <f>RTD("cqg.rtd",,"ContractData",$A$5&amp;A10,"Symbol")</f>
        <v>QSAS3U6</v>
      </c>
      <c r="C10" s="117" t="str">
        <f>RIGHT(B10,2)</f>
        <v>U6</v>
      </c>
      <c r="D10" s="117" t="str">
        <f>LEFT(C10,1)</f>
        <v>U</v>
      </c>
      <c r="E10" s="117" t="str">
        <f>$E$5&amp;C10</f>
        <v>QSAU6</v>
      </c>
      <c r="F10" s="117">
        <f>IFERROR(RTD("cqg.rtd", ,"ContractData",E10, "COI"),"")</f>
        <v>417926</v>
      </c>
      <c r="G10" s="117">
        <f>IFERROR(RTD("cqg.rtd", ,"ContractData",E10, "POI"),"")</f>
        <v>414292</v>
      </c>
      <c r="H10" s="117" t="str">
        <f>RIGHT(RTD("cqg.rtd", ,"ContractData",B10, "LongDescription"),2)</f>
        <v>16</v>
      </c>
      <c r="I10" s="117">
        <f>IF(D10="F",1,IF(D10="G",2,IF(D10="H",3,IF(D10="J",4,IF(D10="K",5,IF(D10="M",6,IF(D10="N",7,IF(D10="Q",8,IF(D10="U",9,IF(D10="V",10,IF(D10="X",11,IF(D10="Z",12))))))))))))</f>
        <v>9</v>
      </c>
      <c r="J10" s="117" t="str">
        <f>VLOOKUP(I10,$R$6:$T$17,3)</f>
        <v>Z</v>
      </c>
      <c r="K10" s="117" t="str">
        <f>$K$5&amp;J10&amp;RIGHT(H10,2)</f>
        <v>QSAZ16</v>
      </c>
      <c r="L10" s="117">
        <f>IF(LEFT(RTD("cqg.rtd", ,"ContractData",K10, "COI"),3)="768","",RTD("cqg.rtd", ,"ContractData",K10, "COI"))</f>
        <v>432090</v>
      </c>
      <c r="M10" s="117">
        <f>IF(LEFT(RTD("cqg.rtd", ,"ContractData",K10, "P_OI"),3)="768","",RTD("cqg.rtd", ,"ContractData",K10, "P_OI"))</f>
        <v>438355</v>
      </c>
      <c r="R10" s="117">
        <v>5</v>
      </c>
      <c r="S10" s="117" t="s">
        <v>19</v>
      </c>
      <c r="T10" s="117" t="s">
        <v>23</v>
      </c>
    </row>
    <row r="11" spans="1:20" x14ac:dyDescent="0.25">
      <c r="R11" s="117">
        <v>6</v>
      </c>
      <c r="S11" s="117" t="s">
        <v>21</v>
      </c>
      <c r="T11" s="117" t="s">
        <v>24</v>
      </c>
    </row>
    <row r="12" spans="1:20" x14ac:dyDescent="0.25">
      <c r="A12" s="117">
        <f t="shared" ref="A12:A50" si="0">A10+1</f>
        <v>4</v>
      </c>
      <c r="B12" s="117" t="str">
        <f>RTD("cqg.rtd",,"ContractData",$A$5&amp;A12,"Symbol")</f>
        <v>QSAS3Z6</v>
      </c>
      <c r="C12" s="117" t="str">
        <f>RIGHT(B12,2)</f>
        <v>Z6</v>
      </c>
      <c r="D12" s="117" t="str">
        <f>LEFT(C12,1)</f>
        <v>Z</v>
      </c>
      <c r="E12" s="117" t="str">
        <f>$E$5&amp;C12</f>
        <v>QSAZ6</v>
      </c>
      <c r="F12" s="117">
        <f>IFERROR(RTD("cqg.rtd", ,"ContractData",E12, "COI"),"")</f>
        <v>432090</v>
      </c>
      <c r="G12" s="117">
        <f>IFERROR(RTD("cqg.rtd", ,"ContractData",E12, "POI"),"")</f>
        <v>438355</v>
      </c>
      <c r="H12" s="117" t="str">
        <f>RIGHT(RTD("cqg.rtd", ,"ContractData",B12, "LongDescription"),2)</f>
        <v>17</v>
      </c>
      <c r="I12" s="117">
        <f>IF(D12="F",1,IF(D12="G",2,IF(D12="H",3,IF(D12="J",4,IF(D12="K",5,IF(D12="M",6,IF(D12="N",7,IF(D12="Q",8,IF(D12="U",9,IF(D12="V",10,IF(D12="X",11,IF(D12="Z",12))))))))))))</f>
        <v>12</v>
      </c>
      <c r="J12" s="117" t="str">
        <f>VLOOKUP(I12,$R$6:$T$17,3)</f>
        <v>H</v>
      </c>
      <c r="K12" s="117" t="str">
        <f>$K$5&amp;J12&amp;RIGHT(H12,2)</f>
        <v>QSAH17</v>
      </c>
      <c r="L12" s="117">
        <f>IF(LEFT(RTD("cqg.rtd", ,"ContractData",K12, "COI"),3)="768","",RTD("cqg.rtd", ,"ContractData",K12, "COI"))</f>
        <v>333003</v>
      </c>
      <c r="M12" s="117">
        <f>IF(LEFT(RTD("cqg.rtd", ,"ContractData",K12, "P_OI"),3)="768","",RTD("cqg.rtd", ,"ContractData",K12, "P_OI"))</f>
        <v>336257</v>
      </c>
      <c r="R12" s="117">
        <v>7</v>
      </c>
      <c r="S12" s="117" t="s">
        <v>22</v>
      </c>
      <c r="T12" s="117" t="s">
        <v>25</v>
      </c>
    </row>
    <row r="13" spans="1:20" x14ac:dyDescent="0.25">
      <c r="R13" s="117">
        <v>8</v>
      </c>
      <c r="S13" s="117" t="s">
        <v>23</v>
      </c>
      <c r="T13" s="117" t="s">
        <v>26</v>
      </c>
    </row>
    <row r="14" spans="1:20" x14ac:dyDescent="0.25">
      <c r="A14" s="117">
        <f t="shared" si="0"/>
        <v>5</v>
      </c>
      <c r="B14" s="117" t="str">
        <f>RTD("cqg.rtd",,"ContractData",$A$5&amp;A14,"Symbol")</f>
        <v>QSAS3H7</v>
      </c>
      <c r="C14" s="117" t="str">
        <f>RIGHT(B14,2)</f>
        <v>H7</v>
      </c>
      <c r="D14" s="117" t="str">
        <f>LEFT(C14,1)</f>
        <v>H</v>
      </c>
      <c r="E14" s="117" t="str">
        <f>$E$5&amp;C14</f>
        <v>QSAH7</v>
      </c>
      <c r="F14" s="117">
        <f>IFERROR(RTD("cqg.rtd", ,"ContractData",E14, "COI"),"")</f>
        <v>333003</v>
      </c>
      <c r="G14" s="117">
        <f>IFERROR(RTD("cqg.rtd", ,"ContractData",E14, "POI"),"")</f>
        <v>336257</v>
      </c>
      <c r="H14" s="117" t="str">
        <f>RIGHT(RTD("cqg.rtd", ,"ContractData",B14, "LongDescription"),2)</f>
        <v>17</v>
      </c>
      <c r="I14" s="117">
        <f>IF(D14="F",1,IF(D14="G",2,IF(D14="H",3,IF(D14="J",4,IF(D14="K",5,IF(D14="M",6,IF(D14="N",7,IF(D14="Q",8,IF(D14="U",9,IF(D14="V",10,IF(D14="X",11,IF(D14="Z",12))))))))))))</f>
        <v>3</v>
      </c>
      <c r="J14" s="117" t="str">
        <f>VLOOKUP(I14,$R$6:$T$17,3)</f>
        <v>M</v>
      </c>
      <c r="K14" s="117" t="str">
        <f>$K$5&amp;J14&amp;RIGHT(H14,2)</f>
        <v>QSAM17</v>
      </c>
      <c r="L14" s="117">
        <f>IF(LEFT(RTD("cqg.rtd", ,"ContractData",K14, "COI"),3)="768","",RTD("cqg.rtd", ,"ContractData",K14, "COI"))</f>
        <v>327986</v>
      </c>
      <c r="M14" s="117">
        <f>IF(LEFT(RTD("cqg.rtd", ,"ContractData",K14, "P_OI"),3)="768","",RTD("cqg.rtd", ,"ContractData",K14, "P_OI"))</f>
        <v>331492</v>
      </c>
      <c r="R14" s="117">
        <v>9</v>
      </c>
      <c r="S14" s="117" t="s">
        <v>24</v>
      </c>
      <c r="T14" s="117" t="s">
        <v>27</v>
      </c>
    </row>
    <row r="15" spans="1:20" x14ac:dyDescent="0.25">
      <c r="R15" s="117">
        <v>10</v>
      </c>
      <c r="S15" s="117" t="s">
        <v>25</v>
      </c>
      <c r="T15" s="117" t="s">
        <v>16</v>
      </c>
    </row>
    <row r="16" spans="1:20" x14ac:dyDescent="0.25">
      <c r="A16" s="117">
        <f t="shared" si="0"/>
        <v>6</v>
      </c>
      <c r="B16" s="117" t="str">
        <f>RTD("cqg.rtd",,"ContractData",$A$5&amp;A16,"Symbol")</f>
        <v>QSAS3M7</v>
      </c>
      <c r="C16" s="117" t="str">
        <f>RIGHT(B16,2)</f>
        <v>M7</v>
      </c>
      <c r="D16" s="117" t="str">
        <f>LEFT(C16,1)</f>
        <v>M</v>
      </c>
      <c r="E16" s="117" t="str">
        <f>$E$5&amp;C16</f>
        <v>QSAM7</v>
      </c>
      <c r="F16" s="117">
        <f>IFERROR(RTD("cqg.rtd", ,"ContractData",E16, "COI"),"")</f>
        <v>327986</v>
      </c>
      <c r="G16" s="117">
        <f>IFERROR(RTD("cqg.rtd", ,"ContractData",E16, "POI"),"")</f>
        <v>331492</v>
      </c>
      <c r="H16" s="117" t="str">
        <f>RIGHT(RTD("cqg.rtd", ,"ContractData",B16, "LongDescription"),2)</f>
        <v>17</v>
      </c>
      <c r="I16" s="117">
        <f>IF(D16="F",1,IF(D16="G",2,IF(D16="H",3,IF(D16="J",4,IF(D16="K",5,IF(D16="M",6,IF(D16="N",7,IF(D16="Q",8,IF(D16="U",9,IF(D16="V",10,IF(D16="X",11,IF(D16="Z",12))))))))))))</f>
        <v>6</v>
      </c>
      <c r="J16" s="117" t="str">
        <f>VLOOKUP(I16,$R$6:$T$17,3)</f>
        <v>U</v>
      </c>
      <c r="K16" s="117" t="str">
        <f>$K$5&amp;J16&amp;RIGHT(H16,2)</f>
        <v>QSAU17</v>
      </c>
      <c r="L16" s="117">
        <f>IF(LEFT(RTD("cqg.rtd", ,"ContractData",K16, "COI"),3)="768","",RTD("cqg.rtd", ,"ContractData",K16, "COI"))</f>
        <v>265162</v>
      </c>
      <c r="M16" s="117">
        <f>IF(LEFT(RTD("cqg.rtd", ,"ContractData",K16, "P_OI"),3)="768","",RTD("cqg.rtd", ,"ContractData",K16, "P_OI"))</f>
        <v>264419</v>
      </c>
      <c r="R16" s="117">
        <v>11</v>
      </c>
      <c r="S16" s="117" t="s">
        <v>26</v>
      </c>
      <c r="T16" s="117" t="s">
        <v>18</v>
      </c>
    </row>
    <row r="17" spans="1:20" x14ac:dyDescent="0.25">
      <c r="R17" s="117">
        <v>12</v>
      </c>
      <c r="S17" s="117" t="s">
        <v>27</v>
      </c>
      <c r="T17" s="117" t="s">
        <v>20</v>
      </c>
    </row>
    <row r="18" spans="1:20" x14ac:dyDescent="0.25">
      <c r="A18" s="117">
        <f t="shared" si="0"/>
        <v>7</v>
      </c>
      <c r="B18" s="117" t="str">
        <f>RTD("cqg.rtd",,"ContractData",$A$5&amp;A18,"Symbol")</f>
        <v>QSAS3U7</v>
      </c>
      <c r="C18" s="117" t="str">
        <f>RIGHT(B18,2)</f>
        <v>U7</v>
      </c>
      <c r="D18" s="117" t="str">
        <f>LEFT(C18,1)</f>
        <v>U</v>
      </c>
      <c r="E18" s="117" t="str">
        <f>$E$5&amp;C18</f>
        <v>QSAU7</v>
      </c>
      <c r="F18" s="117">
        <f>IFERROR(RTD("cqg.rtd", ,"ContractData",E18, "COI"),"")</f>
        <v>265162</v>
      </c>
      <c r="G18" s="117">
        <f>IFERROR(RTD("cqg.rtd", ,"ContractData",E18, "POI"),"")</f>
        <v>264419</v>
      </c>
      <c r="H18" s="117" t="str">
        <f>RIGHT(RTD("cqg.rtd", ,"ContractData",B18, "LongDescription"),2)</f>
        <v>17</v>
      </c>
      <c r="I18" s="117">
        <f>IF(D18="F",1,IF(D18="G",2,IF(D18="H",3,IF(D18="J",4,IF(D18="K",5,IF(D18="M",6,IF(D18="N",7,IF(D18="Q",8,IF(D18="U",9,IF(D18="V",10,IF(D18="X",11,IF(D18="Z",12))))))))))))</f>
        <v>9</v>
      </c>
      <c r="J18" s="117" t="str">
        <f>VLOOKUP(I18,$R$6:$T$17,3)</f>
        <v>Z</v>
      </c>
      <c r="K18" s="117" t="str">
        <f>$K$5&amp;J18&amp;RIGHT(H18,2)</f>
        <v>QSAZ17</v>
      </c>
      <c r="L18" s="117">
        <f>IF(LEFT(RTD("cqg.rtd", ,"ContractData",K18, "COI"),3)="768","",RTD("cqg.rtd", ,"ContractData",K18, "COI"))</f>
        <v>320412</v>
      </c>
      <c r="M18" s="117">
        <f>IF(LEFT(RTD("cqg.rtd", ,"ContractData",K18, "P_OI"),3)="768","",RTD("cqg.rtd", ,"ContractData",K18, "P_OI"))</f>
        <v>316932</v>
      </c>
    </row>
    <row r="20" spans="1:20" x14ac:dyDescent="0.25">
      <c r="A20" s="117">
        <f t="shared" si="0"/>
        <v>8</v>
      </c>
      <c r="B20" s="117" t="str">
        <f>RTD("cqg.rtd",,"ContractData",$A$5&amp;A20,"Symbol")</f>
        <v>QSAS3Z7</v>
      </c>
      <c r="C20" s="117" t="str">
        <f>RIGHT(B20,2)</f>
        <v>Z7</v>
      </c>
      <c r="D20" s="117" t="str">
        <f>LEFT(C20,1)</f>
        <v>Z</v>
      </c>
      <c r="E20" s="117" t="str">
        <f>$E$5&amp;C20</f>
        <v>QSAZ7</v>
      </c>
      <c r="F20" s="117">
        <f>IFERROR(RTD("cqg.rtd", ,"ContractData",E20, "COI"),"")</f>
        <v>320412</v>
      </c>
      <c r="G20" s="117">
        <f>IFERROR(RTD("cqg.rtd", ,"ContractData",E20, "POI"),"")</f>
        <v>316932</v>
      </c>
      <c r="H20" s="117" t="str">
        <f>RIGHT(RTD("cqg.rtd", ,"ContractData",B20, "LongDescription"),2)</f>
        <v>18</v>
      </c>
      <c r="I20" s="117">
        <f>IF(D20="F",1,IF(D20="G",2,IF(D20="H",3,IF(D20="J",4,IF(D20="K",5,IF(D20="M",6,IF(D20="N",7,IF(D20="Q",8,IF(D20="U",9,IF(D20="V",10,IF(D20="X",11,IF(D20="Z",12))))))))))))</f>
        <v>12</v>
      </c>
      <c r="J20" s="117" t="str">
        <f>VLOOKUP(I20,$R$6:$T$17,3)</f>
        <v>H</v>
      </c>
      <c r="K20" s="117" t="str">
        <f>$K$5&amp;J20&amp;RIGHT(H20,2)</f>
        <v>QSAH18</v>
      </c>
      <c r="L20" s="117">
        <f>IF(LEFT(RTD("cqg.rtd", ,"ContractData",K20, "COI"),3)="768","",RTD("cqg.rtd", ,"ContractData",K20, "COI"))</f>
        <v>201770</v>
      </c>
      <c r="M20" s="117">
        <f>IF(LEFT(RTD("cqg.rtd", ,"ContractData",K20, "P_OI"),3)="768","",RTD("cqg.rtd", ,"ContractData",K20, "P_OI"))</f>
        <v>193501</v>
      </c>
    </row>
    <row r="22" spans="1:20" x14ac:dyDescent="0.25">
      <c r="A22" s="117">
        <f t="shared" si="0"/>
        <v>9</v>
      </c>
      <c r="B22" s="117" t="str">
        <f>RTD("cqg.rtd",,"ContractData",$A$5&amp;A22,"Symbol")</f>
        <v>QSAS3H8</v>
      </c>
      <c r="C22" s="117" t="str">
        <f>RIGHT(B22,2)</f>
        <v>H8</v>
      </c>
      <c r="D22" s="117" t="str">
        <f>LEFT(C22,1)</f>
        <v>H</v>
      </c>
      <c r="E22" s="117" t="str">
        <f>$E$5&amp;C22</f>
        <v>QSAH8</v>
      </c>
      <c r="F22" s="117">
        <f>IFERROR(RTD("cqg.rtd", ,"ContractData",E22, "COI"),"")</f>
        <v>201770</v>
      </c>
      <c r="G22" s="117">
        <f>IFERROR(RTD("cqg.rtd", ,"ContractData",E22, "POI"),"")</f>
        <v>193501</v>
      </c>
      <c r="H22" s="117" t="str">
        <f>RIGHT(RTD("cqg.rtd", ,"ContractData",B22, "LongDescription"),2)</f>
        <v>18</v>
      </c>
      <c r="I22" s="117">
        <f>IF(D22="F",1,IF(D22="G",2,IF(D22="H",3,IF(D22="J",4,IF(D22="K",5,IF(D22="M",6,IF(D22="N",7,IF(D22="Q",8,IF(D22="U",9,IF(D22="V",10,IF(D22="X",11,IF(D22="Z",12))))))))))))</f>
        <v>3</v>
      </c>
      <c r="J22" s="117" t="str">
        <f>VLOOKUP(I22,$R$6:$T$17,3)</f>
        <v>M</v>
      </c>
      <c r="K22" s="117" t="str">
        <f>$K$5&amp;J22&amp;RIGHT(H22,2)</f>
        <v>QSAM18</v>
      </c>
      <c r="L22" s="117">
        <f>IF(LEFT(RTD("cqg.rtd", ,"ContractData",K22, "COI"),3)="768","",RTD("cqg.rtd", ,"ContractData",K22, "COI"))</f>
        <v>150869</v>
      </c>
      <c r="M22" s="117">
        <f>IF(LEFT(RTD("cqg.rtd", ,"ContractData",K22, "P_OI"),3)="768","",RTD("cqg.rtd", ,"ContractData",K22, "P_OI"))</f>
        <v>152138</v>
      </c>
    </row>
    <row r="24" spans="1:20" x14ac:dyDescent="0.25">
      <c r="A24" s="117">
        <f t="shared" si="0"/>
        <v>10</v>
      </c>
      <c r="B24" s="117" t="str">
        <f>RTD("cqg.rtd",,"ContractData",$A$5&amp;A24,"Symbol")</f>
        <v>QSAS3M8</v>
      </c>
      <c r="C24" s="117" t="str">
        <f>RIGHT(B24,2)</f>
        <v>M8</v>
      </c>
      <c r="D24" s="117" t="str">
        <f>LEFT(C24,1)</f>
        <v>M</v>
      </c>
      <c r="E24" s="117" t="str">
        <f>$E$5&amp;C24</f>
        <v>QSAM8</v>
      </c>
      <c r="F24" s="117">
        <f>IFERROR(RTD("cqg.rtd", ,"ContractData",E24, "COI"),"")</f>
        <v>150869</v>
      </c>
      <c r="G24" s="117">
        <f>IFERROR(RTD("cqg.rtd", ,"ContractData",E24, "POI"),"")</f>
        <v>152138</v>
      </c>
      <c r="H24" s="117" t="str">
        <f>RIGHT(RTD("cqg.rtd", ,"ContractData",B24, "LongDescription"),2)</f>
        <v>18</v>
      </c>
      <c r="I24" s="117">
        <f>IF(D24="F",1,IF(D24="G",2,IF(D24="H",3,IF(D24="J",4,IF(D24="K",5,IF(D24="M",6,IF(D24="N",7,IF(D24="Q",8,IF(D24="U",9,IF(D24="V",10,IF(D24="X",11,IF(D24="Z",12))))))))))))</f>
        <v>6</v>
      </c>
      <c r="J24" s="117" t="str">
        <f>VLOOKUP(I24,$R$6:$T$17,3)</f>
        <v>U</v>
      </c>
      <c r="K24" s="117" t="str">
        <f>$K$5&amp;J24&amp;RIGHT(H24,2)</f>
        <v>QSAU18</v>
      </c>
      <c r="L24" s="117">
        <f>IF(LEFT(RTD("cqg.rtd", ,"ContractData",K24, "COI"),3)="768","",RTD("cqg.rtd", ,"ContractData",K24, "COI"))</f>
        <v>126560</v>
      </c>
      <c r="M24" s="117">
        <f>IF(LEFT(RTD("cqg.rtd", ,"ContractData",K24, "P_OI"),3)="768","",RTD("cqg.rtd", ,"ContractData",K24, "P_OI"))</f>
        <v>128931</v>
      </c>
    </row>
    <row r="26" spans="1:20" x14ac:dyDescent="0.25">
      <c r="A26" s="117">
        <f t="shared" si="0"/>
        <v>11</v>
      </c>
      <c r="B26" s="117" t="str">
        <f>RTD("cqg.rtd",,"ContractData",$A$5&amp;A26,"Symbol")</f>
        <v>QSAS3U8</v>
      </c>
      <c r="C26" s="117" t="str">
        <f>RIGHT(B26,2)</f>
        <v>U8</v>
      </c>
      <c r="D26" s="117" t="str">
        <f>LEFT(C26,1)</f>
        <v>U</v>
      </c>
      <c r="E26" s="117" t="str">
        <f>$E$5&amp;C26</f>
        <v>QSAU8</v>
      </c>
      <c r="F26" s="117">
        <f>IFERROR(RTD("cqg.rtd", ,"ContractData",E26, "COI"),"")</f>
        <v>126560</v>
      </c>
      <c r="G26" s="117">
        <f>IFERROR(RTD("cqg.rtd", ,"ContractData",E26, "POI"),"")</f>
        <v>128931</v>
      </c>
      <c r="H26" s="117" t="str">
        <f>RIGHT(RTD("cqg.rtd", ,"ContractData",B26, "LongDescription"),2)</f>
        <v>18</v>
      </c>
      <c r="I26" s="117">
        <f>IF(D26="F",1,IF(D26="G",2,IF(D26="H",3,IF(D26="J",4,IF(D26="K",5,IF(D26="M",6,IF(D26="N",7,IF(D26="Q",8,IF(D26="U",9,IF(D26="V",10,IF(D26="X",11,IF(D26="Z",12))))))))))))</f>
        <v>9</v>
      </c>
      <c r="J26" s="117" t="str">
        <f>VLOOKUP(I26,$R$6:$T$17,3)</f>
        <v>Z</v>
      </c>
      <c r="K26" s="117" t="str">
        <f>$K$5&amp;J26&amp;RIGHT(H26,2)</f>
        <v>QSAZ18</v>
      </c>
      <c r="L26" s="117">
        <f>IF(LEFT(RTD("cqg.rtd", ,"ContractData",K26, "COI"),3)="768","",RTD("cqg.rtd", ,"ContractData",K26, "COI"))</f>
        <v>112127</v>
      </c>
      <c r="M26" s="117">
        <f>IF(LEFT(RTD("cqg.rtd", ,"ContractData",K26, "P_OI"),3)="768","",RTD("cqg.rtd", ,"ContractData",K26, "P_OI"))</f>
        <v>109506</v>
      </c>
    </row>
    <row r="28" spans="1:20" x14ac:dyDescent="0.25">
      <c r="A28" s="117">
        <f t="shared" si="0"/>
        <v>12</v>
      </c>
      <c r="B28" s="117" t="str">
        <f>RTD("cqg.rtd",,"ContractData",$A$5&amp;A28,"Symbol")</f>
        <v>QSAS3Z8</v>
      </c>
      <c r="C28" s="117" t="str">
        <f>RIGHT(B28,2)</f>
        <v>Z8</v>
      </c>
      <c r="D28" s="117" t="str">
        <f>LEFT(C28,1)</f>
        <v>Z</v>
      </c>
      <c r="E28" s="117" t="str">
        <f>$E$5&amp;C28</f>
        <v>QSAZ8</v>
      </c>
      <c r="F28" s="117">
        <f>IFERROR(RTD("cqg.rtd", ,"ContractData",E28, "COI"),"")</f>
        <v>112127</v>
      </c>
      <c r="G28" s="117">
        <f>IFERROR(RTD("cqg.rtd", ,"ContractData",E28, "POI"),"")</f>
        <v>109506</v>
      </c>
      <c r="H28" s="117" t="str">
        <f>RIGHT(RTD("cqg.rtd", ,"ContractData",B28, "LongDescription"),2)</f>
        <v>19</v>
      </c>
      <c r="I28" s="117">
        <f>IF(D28="F",1,IF(D28="G",2,IF(D28="H",3,IF(D28="J",4,IF(D28="K",5,IF(D28="M",6,IF(D28="N",7,IF(D28="Q",8,IF(D28="U",9,IF(D28="V",10,IF(D28="X",11,IF(D28="Z",12))))))))))))</f>
        <v>12</v>
      </c>
      <c r="J28" s="117" t="str">
        <f>VLOOKUP(I28,$R$6:$T$17,3)</f>
        <v>H</v>
      </c>
      <c r="K28" s="117" t="str">
        <f>$K$5&amp;J28&amp;RIGHT(H28,2)</f>
        <v>QSAH19</v>
      </c>
      <c r="L28" s="117">
        <f>IF(LEFT(RTD("cqg.rtd", ,"ContractData",K28, "COI"),3)="768","",RTD("cqg.rtd", ,"ContractData",K28, "COI"))</f>
        <v>40965</v>
      </c>
      <c r="M28" s="117">
        <f>IF(LEFT(RTD("cqg.rtd", ,"ContractData",K28, "P_OI"),3)="768","",RTD("cqg.rtd", ,"ContractData",K28, "P_OI"))</f>
        <v>39826</v>
      </c>
    </row>
    <row r="30" spans="1:20" x14ac:dyDescent="0.25">
      <c r="A30" s="117">
        <f t="shared" si="0"/>
        <v>13</v>
      </c>
      <c r="B30" s="117" t="str">
        <f>RTD("cqg.rtd",,"ContractData",$A$5&amp;A30,"Symbol")</f>
        <v>QSAS3H9</v>
      </c>
      <c r="C30" s="117" t="str">
        <f>RIGHT(B30,2)</f>
        <v>H9</v>
      </c>
      <c r="D30" s="117" t="str">
        <f>LEFT(C30,1)</f>
        <v>H</v>
      </c>
      <c r="E30" s="117" t="str">
        <f>$E$5&amp;C30</f>
        <v>QSAH9</v>
      </c>
      <c r="F30" s="117">
        <f>IFERROR(RTD("cqg.rtd", ,"ContractData",E30, "COI"),"")</f>
        <v>40965</v>
      </c>
      <c r="G30" s="117">
        <f>IFERROR(RTD("cqg.rtd", ,"ContractData",E30, "POI"),"")</f>
        <v>39826</v>
      </c>
      <c r="H30" s="117" t="str">
        <f>RIGHT(RTD("cqg.rtd", ,"ContractData",B30, "LongDescription"),2)</f>
        <v>19</v>
      </c>
      <c r="I30" s="117">
        <f>IF(D30="F",1,IF(D30="G",2,IF(D30="H",3,IF(D30="J",4,IF(D30="K",5,IF(D30="M",6,IF(D30="N",7,IF(D30="Q",8,IF(D30="U",9,IF(D30="V",10,IF(D30="X",11,IF(D30="Z",12))))))))))))</f>
        <v>3</v>
      </c>
      <c r="J30" s="117" t="str">
        <f>VLOOKUP(I30,$R$6:$T$17,3)</f>
        <v>M</v>
      </c>
      <c r="K30" s="117" t="str">
        <f>$K$5&amp;J30&amp;RIGHT(H30,2)</f>
        <v>QSAM19</v>
      </c>
      <c r="L30" s="117">
        <f>IF(LEFT(RTD("cqg.rtd", ,"ContractData",K30, "COI"),3)="768","",RTD("cqg.rtd", ,"ContractData",K30, "COI"))</f>
        <v>16075</v>
      </c>
      <c r="M30" s="117">
        <f>IF(LEFT(RTD("cqg.rtd", ,"ContractData",K30, "P_OI"),3)="768","",RTD("cqg.rtd", ,"ContractData",K30, "P_OI"))</f>
        <v>16871</v>
      </c>
    </row>
    <row r="32" spans="1:20" x14ac:dyDescent="0.25">
      <c r="A32" s="117">
        <f t="shared" si="0"/>
        <v>14</v>
      </c>
      <c r="B32" s="117" t="str">
        <f>RTD("cqg.rtd",,"ContractData",$A$5&amp;A32,"Symbol")</f>
        <v>QSAS3M9</v>
      </c>
      <c r="C32" s="117" t="str">
        <f>RIGHT(B32,2)</f>
        <v>M9</v>
      </c>
      <c r="D32" s="117" t="str">
        <f>LEFT(C32,1)</f>
        <v>M</v>
      </c>
      <c r="E32" s="117" t="str">
        <f>$E$5&amp;C32</f>
        <v>QSAM9</v>
      </c>
      <c r="F32" s="117">
        <f>IFERROR(RTD("cqg.rtd", ,"ContractData",E32, "COI"),"")</f>
        <v>16075</v>
      </c>
      <c r="G32" s="117">
        <f>IFERROR(RTD("cqg.rtd", ,"ContractData",E32, "POI"),"")</f>
        <v>16871</v>
      </c>
      <c r="H32" s="117" t="str">
        <f>RIGHT(RTD("cqg.rtd", ,"ContractData",B32, "LongDescription"),2)</f>
        <v>19</v>
      </c>
      <c r="I32" s="117">
        <f>IF(D32="F",1,IF(D32="G",2,IF(D32="H",3,IF(D32="J",4,IF(D32="K",5,IF(D32="M",6,IF(D32="N",7,IF(D32="Q",8,IF(D32="U",9,IF(D32="V",10,IF(D32="X",11,IF(D32="Z",12))))))))))))</f>
        <v>6</v>
      </c>
      <c r="J32" s="117" t="str">
        <f>VLOOKUP(I32,$R$6:$T$17,3)</f>
        <v>U</v>
      </c>
      <c r="K32" s="117" t="str">
        <f>$K$5&amp;J32&amp;RIGHT(H32,2)</f>
        <v>QSAU19</v>
      </c>
      <c r="L32" s="117">
        <f>IF(LEFT(RTD("cqg.rtd", ,"ContractData",K32, "COI"),3)="768","",RTD("cqg.rtd", ,"ContractData",K32, "COI"))</f>
        <v>12344</v>
      </c>
      <c r="M32" s="117">
        <f>IF(LEFT(RTD("cqg.rtd", ,"ContractData",K32, "P_OI"),3)="768","",RTD("cqg.rtd", ,"ContractData",K32, "P_OI"))</f>
        <v>12992</v>
      </c>
    </row>
    <row r="34" spans="1:13" x14ac:dyDescent="0.25">
      <c r="A34" s="117">
        <f t="shared" si="0"/>
        <v>15</v>
      </c>
      <c r="B34" s="117" t="str">
        <f>RTD("cqg.rtd",,"ContractData",$A$5&amp;A34,"Symbol")</f>
        <v>QSAS3U9</v>
      </c>
      <c r="C34" s="117" t="str">
        <f>RIGHT(B34,2)</f>
        <v>U9</v>
      </c>
      <c r="D34" s="117" t="str">
        <f>LEFT(C34,1)</f>
        <v>U</v>
      </c>
      <c r="E34" s="117" t="str">
        <f>$E$5&amp;C34</f>
        <v>QSAU9</v>
      </c>
      <c r="F34" s="117">
        <f>IFERROR(RTD("cqg.rtd", ,"ContractData",E34, "COI"),"")</f>
        <v>12344</v>
      </c>
      <c r="G34" s="117">
        <f>IFERROR(RTD("cqg.rtd", ,"ContractData",E34, "POI"),"")</f>
        <v>12992</v>
      </c>
      <c r="H34" s="117" t="str">
        <f>RIGHT(RTD("cqg.rtd", ,"ContractData",B34, "LongDescription"),2)</f>
        <v>19</v>
      </c>
      <c r="I34" s="117">
        <f>IF(D34="F",1,IF(D34="G",2,IF(D34="H",3,IF(D34="J",4,IF(D34="K",5,IF(D34="M",6,IF(D34="N",7,IF(D34="Q",8,IF(D34="U",9,IF(D34="V",10,IF(D34="X",11,IF(D34="Z",12))))))))))))</f>
        <v>9</v>
      </c>
      <c r="J34" s="117" t="str">
        <f>VLOOKUP(I34,$R$6:$T$17,3)</f>
        <v>Z</v>
      </c>
      <c r="K34" s="117" t="str">
        <f>$K$5&amp;J34&amp;RIGHT(H34,2)</f>
        <v>QSAZ19</v>
      </c>
      <c r="L34" s="117">
        <f>IF(LEFT(RTD("cqg.rtd", ,"ContractData",K34, "COI"),3)="768","",RTD("cqg.rtd", ,"ContractData",K34, "COI"))</f>
        <v>10471</v>
      </c>
      <c r="M34" s="117">
        <f>IF(LEFT(RTD("cqg.rtd", ,"ContractData",K34, "P_OI"),3)="768","",RTD("cqg.rtd", ,"ContractData",K34, "P_OI"))</f>
        <v>9012</v>
      </c>
    </row>
    <row r="36" spans="1:13" x14ac:dyDescent="0.25">
      <c r="A36" s="117">
        <f t="shared" si="0"/>
        <v>16</v>
      </c>
      <c r="B36" s="117" t="str">
        <f>RTD("cqg.rtd",,"ContractData",$A$5&amp;A36,"Symbol")</f>
        <v>QSAS3Z9</v>
      </c>
      <c r="C36" s="117" t="str">
        <f>RIGHT(B36,2)</f>
        <v>Z9</v>
      </c>
      <c r="D36" s="117" t="str">
        <f>LEFT(C36,1)</f>
        <v>Z</v>
      </c>
      <c r="E36" s="117" t="str">
        <f>$E$5&amp;C36</f>
        <v>QSAZ9</v>
      </c>
      <c r="F36" s="117">
        <f>IFERROR(RTD("cqg.rtd", ,"ContractData",E36, "COI"),"")</f>
        <v>10471</v>
      </c>
      <c r="G36" s="117">
        <f>IFERROR(RTD("cqg.rtd", ,"ContractData",E36, "POI"),"")</f>
        <v>9012</v>
      </c>
      <c r="H36" s="117" t="str">
        <f>RIGHT(RTD("cqg.rtd", ,"ContractData",B36, "LongDescription"),2)</f>
        <v>20</v>
      </c>
      <c r="I36" s="117">
        <f>IF(D36="F",1,IF(D36="G",2,IF(D36="H",3,IF(D36="J",4,IF(D36="K",5,IF(D36="M",6,IF(D36="N",7,IF(D36="Q",8,IF(D36="U",9,IF(D36="V",10,IF(D36="X",11,IF(D36="Z",12))))))))))))</f>
        <v>12</v>
      </c>
      <c r="J36" s="117" t="str">
        <f>VLOOKUP(I36,$R$6:$T$17,3)</f>
        <v>H</v>
      </c>
      <c r="K36" s="117" t="str">
        <f>$K$5&amp;J36&amp;RIGHT(H36,2)</f>
        <v>QSAH20</v>
      </c>
      <c r="L36" s="117">
        <f>IF(LEFT(RTD("cqg.rtd", ,"ContractData",K36, "COI"),3)="768","",RTD("cqg.rtd", ,"ContractData",K36, "COI"))</f>
        <v>2116</v>
      </c>
      <c r="M36" s="117">
        <f>IF(LEFT(RTD("cqg.rtd", ,"ContractData",K36, "P_OI"),3)="768","",RTD("cqg.rtd", ,"ContractData",K36, "P_OI"))</f>
        <v>2051</v>
      </c>
    </row>
    <row r="38" spans="1:13" x14ac:dyDescent="0.25">
      <c r="A38" s="117">
        <f t="shared" si="0"/>
        <v>17</v>
      </c>
      <c r="B38" s="117" t="str">
        <f>RTD("cqg.rtd",,"ContractData",$A$5&amp;A38,"Symbol")</f>
        <v>QSAS3H0</v>
      </c>
      <c r="C38" s="117" t="str">
        <f>RIGHT(B38,2)</f>
        <v>H0</v>
      </c>
      <c r="D38" s="117" t="str">
        <f>LEFT(C38,1)</f>
        <v>H</v>
      </c>
      <c r="E38" s="117" t="str">
        <f>$E$5&amp;C38</f>
        <v>QSAH0</v>
      </c>
      <c r="F38" s="117">
        <f>IFERROR(RTD("cqg.rtd", ,"ContractData",E38, "COI"),"")</f>
        <v>2116</v>
      </c>
      <c r="G38" s="117">
        <f>IFERROR(RTD("cqg.rtd", ,"ContractData",E38, "POI"),"")</f>
        <v>2051</v>
      </c>
      <c r="H38" s="117" t="str">
        <f>RIGHT(RTD("cqg.rtd", ,"ContractData",B38, "LongDescription"),2)</f>
        <v>20</v>
      </c>
      <c r="I38" s="117">
        <f>IF(D38="F",1,IF(D38="G",2,IF(D38="H",3,IF(D38="J",4,IF(D38="K",5,IF(D38="M",6,IF(D38="N",7,IF(D38="Q",8,IF(D38="U",9,IF(D38="V",10,IF(D38="X",11,IF(D38="Z",12))))))))))))</f>
        <v>3</v>
      </c>
      <c r="J38" s="117" t="str">
        <f>VLOOKUP(I38,$R$6:$T$17,3)</f>
        <v>M</v>
      </c>
      <c r="K38" s="117" t="str">
        <f>$K$5&amp;J38&amp;RIGHT(H38,2)</f>
        <v>QSAM20</v>
      </c>
      <c r="L38" s="117">
        <f>IF(LEFT(RTD("cqg.rtd", ,"ContractData",K38, "COI"),3)="768","",RTD("cqg.rtd", ,"ContractData",K38, "COI"))</f>
        <v>495</v>
      </c>
      <c r="M38" s="117">
        <f>IF(LEFT(RTD("cqg.rtd", ,"ContractData",K38, "P_OI"),3)="768","",RTD("cqg.rtd", ,"ContractData",K38, "P_OI"))</f>
        <v>494</v>
      </c>
    </row>
    <row r="40" spans="1:13" x14ac:dyDescent="0.25">
      <c r="A40" s="117">
        <f t="shared" si="0"/>
        <v>18</v>
      </c>
      <c r="B40" s="117" t="str">
        <f>RTD("cqg.rtd",,"ContractData",$A$5&amp;A40,"Symbol")</f>
        <v>QSAS3M0</v>
      </c>
      <c r="C40" s="117" t="str">
        <f>RIGHT(B40,2)</f>
        <v>M0</v>
      </c>
      <c r="D40" s="117" t="str">
        <f>LEFT(C40,1)</f>
        <v>M</v>
      </c>
      <c r="E40" s="117" t="str">
        <f>$E$5&amp;C40</f>
        <v>QSAM0</v>
      </c>
      <c r="F40" s="117">
        <f>IFERROR(RTD("cqg.rtd", ,"ContractData",E40, "COI"),"")</f>
        <v>495</v>
      </c>
      <c r="G40" s="117">
        <f>IFERROR(RTD("cqg.rtd", ,"ContractData",E40, "POI"),"")</f>
        <v>494</v>
      </c>
      <c r="H40" s="117" t="str">
        <f>RIGHT(RTD("cqg.rtd", ,"ContractData",B40, "LongDescription"),2)</f>
        <v>20</v>
      </c>
      <c r="I40" s="117">
        <f>IF(D40="F",1,IF(D40="G",2,IF(D40="H",3,IF(D40="J",4,IF(D40="K",5,IF(D40="M",6,IF(D40="N",7,IF(D40="Q",8,IF(D40="U",9,IF(D40="V",10,IF(D40="X",11,IF(D40="Z",12))))))))))))</f>
        <v>6</v>
      </c>
      <c r="J40" s="117" t="str">
        <f>VLOOKUP(I40,$R$6:$T$17,3)</f>
        <v>U</v>
      </c>
      <c r="K40" s="117" t="str">
        <f>$K$5&amp;J40&amp;RIGHT(H40,2)</f>
        <v>QSAU20</v>
      </c>
      <c r="L40" s="117">
        <f>IF(LEFT(RTD("cqg.rtd", ,"ContractData",K40, "COI"),3)="768","",RTD("cqg.rtd", ,"ContractData",K40, "COI"))</f>
        <v>107</v>
      </c>
      <c r="M40" s="117">
        <f>IF(LEFT(RTD("cqg.rtd", ,"ContractData",K40, "P_OI"),3)="768","",RTD("cqg.rtd", ,"ContractData",K40, "P_OI"))</f>
        <v>110</v>
      </c>
    </row>
    <row r="42" spans="1:13" x14ac:dyDescent="0.25">
      <c r="A42" s="117">
        <f t="shared" si="0"/>
        <v>19</v>
      </c>
      <c r="B42" s="117" t="str">
        <f>RTD("cqg.rtd",,"ContractData",$A$5&amp;A42,"Symbol")</f>
        <v>QSAS3U0</v>
      </c>
      <c r="C42" s="117" t="str">
        <f>RIGHT(B42,2)</f>
        <v>U0</v>
      </c>
      <c r="D42" s="117" t="str">
        <f>LEFT(C42,1)</f>
        <v>U</v>
      </c>
      <c r="E42" s="117" t="str">
        <f>$E$5&amp;C42</f>
        <v>QSAU0</v>
      </c>
      <c r="F42" s="117">
        <f>IFERROR(RTD("cqg.rtd", ,"ContractData",E42, "COI"),"")</f>
        <v>107</v>
      </c>
      <c r="G42" s="117">
        <f>IFERROR(RTD("cqg.rtd", ,"ContractData",E42, "POI"),"")</f>
        <v>110</v>
      </c>
      <c r="H42" s="117" t="str">
        <f>RIGHT(RTD("cqg.rtd", ,"ContractData",B42, "LongDescription"),2)</f>
        <v>20</v>
      </c>
      <c r="I42" s="117">
        <f>IF(D42="F",1,IF(D42="G",2,IF(D42="H",3,IF(D42="J",4,IF(D42="K",5,IF(D42="M",6,IF(D42="N",7,IF(D42="Q",8,IF(D42="U",9,IF(D42="V",10,IF(D42="X",11,IF(D42="Z",12))))))))))))</f>
        <v>9</v>
      </c>
      <c r="J42" s="117" t="str">
        <f>VLOOKUP(I42,$R$6:$T$17,3)</f>
        <v>Z</v>
      </c>
      <c r="K42" s="117" t="str">
        <f>$K$5&amp;J42&amp;RIGHT(H42,2)</f>
        <v>QSAZ20</v>
      </c>
      <c r="L42" s="117">
        <f>IF(LEFT(RTD("cqg.rtd", ,"ContractData",K42, "COI"),3)="768","",RTD("cqg.rtd", ,"ContractData",K42, "COI"))</f>
        <v>95</v>
      </c>
      <c r="M42" s="117">
        <f>IF(LEFT(RTD("cqg.rtd", ,"ContractData",K42, "P_OI"),3)="768","",RTD("cqg.rtd", ,"ContractData",K42, "P_OI"))</f>
        <v>95</v>
      </c>
    </row>
    <row r="44" spans="1:13" x14ac:dyDescent="0.25">
      <c r="A44" s="117">
        <f t="shared" si="0"/>
        <v>20</v>
      </c>
      <c r="B44" s="117" t="str">
        <f>RTD("cqg.rtd",,"ContractData",$A$5&amp;A44,"Symbol")</f>
        <v>QSAS3Z0</v>
      </c>
      <c r="C44" s="117" t="str">
        <f>RIGHT(B44,2)</f>
        <v>Z0</v>
      </c>
      <c r="D44" s="117" t="str">
        <f>LEFT(C44,1)</f>
        <v>Z</v>
      </c>
      <c r="E44" s="117" t="str">
        <f>$E$5&amp;C44</f>
        <v>QSAZ0</v>
      </c>
      <c r="F44" s="117">
        <f>IFERROR(RTD("cqg.rtd", ,"ContractData",E44, "COI"),"")</f>
        <v>95</v>
      </c>
      <c r="G44" s="117">
        <f>IFERROR(RTD("cqg.rtd", ,"ContractData",E44, "POI"),"")</f>
        <v>95</v>
      </c>
      <c r="H44" s="117" t="str">
        <f>RIGHT(RTD("cqg.rtd", ,"ContractData",B44, "LongDescription"),2)</f>
        <v>21</v>
      </c>
      <c r="I44" s="117">
        <f>IF(D44="F",1,IF(D44="G",2,IF(D44="H",3,IF(D44="J",4,IF(D44="K",5,IF(D44="M",6,IF(D44="N",7,IF(D44="Q",8,IF(D44="U",9,IF(D44="V",10,IF(D44="X",11,IF(D44="Z",12))))))))))))</f>
        <v>12</v>
      </c>
      <c r="J44" s="117" t="str">
        <f>VLOOKUP(I44,$R$6:$T$17,3)</f>
        <v>H</v>
      </c>
      <c r="K44" s="117" t="str">
        <f>$K$5&amp;J44&amp;RIGHT(H44,2)</f>
        <v>QSAH21</v>
      </c>
      <c r="L44" s="117">
        <f>IF(LEFT(RTD("cqg.rtd", ,"ContractData",K44, "COI"),3)="768","",RTD("cqg.rtd", ,"ContractData",K44, "COI"))</f>
        <v>21</v>
      </c>
      <c r="M44" s="117">
        <f>IF(LEFT(RTD("cqg.rtd", ,"ContractData",K44, "P_OI"),3)="768","",RTD("cqg.rtd", ,"ContractData",K44, "P_OI"))</f>
        <v>21</v>
      </c>
    </row>
    <row r="46" spans="1:13" x14ac:dyDescent="0.25">
      <c r="A46" s="117">
        <f t="shared" si="0"/>
        <v>21</v>
      </c>
      <c r="B46" s="117" t="str">
        <f>RTD("cqg.rtd",,"ContractData",$A$5&amp;A46,"Symbol")</f>
        <v>QSAS3H1</v>
      </c>
      <c r="C46" s="117" t="str">
        <f>RIGHT(B46,2)</f>
        <v>H1</v>
      </c>
      <c r="D46" s="117" t="str">
        <f>LEFT(C46,1)</f>
        <v>H</v>
      </c>
      <c r="E46" s="117" t="str">
        <f>$E$5&amp;C46</f>
        <v>QSAH1</v>
      </c>
      <c r="F46" s="117">
        <f>IFERROR(RTD("cqg.rtd", ,"ContractData",E46, "COI"),"")</f>
        <v>21</v>
      </c>
      <c r="G46" s="117">
        <f>IFERROR(RTD("cqg.rtd", ,"ContractData",E46, "POI"),"")</f>
        <v>21</v>
      </c>
      <c r="H46" s="117" t="str">
        <f>RIGHT(RTD("cqg.rtd", ,"ContractData",B46, "LongDescription"),2)</f>
        <v>21</v>
      </c>
      <c r="I46" s="117">
        <f>IF(D46="F",1,IF(D46="G",2,IF(D46="H",3,IF(D46="J",4,IF(D46="K",5,IF(D46="M",6,IF(D46="N",7,IF(D46="Q",8,IF(D46="U",9,IF(D46="V",10,IF(D46="X",11,IF(D46="Z",12))))))))))))</f>
        <v>3</v>
      </c>
      <c r="J46" s="117" t="str">
        <f>VLOOKUP(I46,$R$6:$T$17,3)</f>
        <v>M</v>
      </c>
      <c r="K46" s="117" t="str">
        <f>$K$5&amp;J46&amp;RIGHT(H46,2)</f>
        <v>QSAM21</v>
      </c>
      <c r="L46" s="117">
        <f>IF(LEFT(RTD("cqg.rtd", ,"ContractData",K46, "COI"),3)="768","",RTD("cqg.rtd", ,"ContractData",K46, "COI"))</f>
        <v>40</v>
      </c>
      <c r="M46" s="117">
        <f>IF(LEFT(RTD("cqg.rtd", ,"ContractData",K46, "P_OI"),3)="768","",RTD("cqg.rtd", ,"ContractData",K46, "P_OI"))</f>
        <v>40</v>
      </c>
    </row>
    <row r="48" spans="1:13" x14ac:dyDescent="0.25">
      <c r="A48" s="117">
        <f t="shared" si="0"/>
        <v>22</v>
      </c>
      <c r="B48" s="117" t="str">
        <f>RTD("cqg.rtd",,"ContractData",$A$5&amp;A48,"Symbol")</f>
        <v>QSAS3M1</v>
      </c>
      <c r="C48" s="117" t="str">
        <f>RIGHT(B48,2)</f>
        <v>M1</v>
      </c>
      <c r="D48" s="117" t="str">
        <f>LEFT(C48,1)</f>
        <v>M</v>
      </c>
      <c r="E48" s="117" t="str">
        <f>$E$5&amp;C48</f>
        <v>QSAM1</v>
      </c>
      <c r="F48" s="117">
        <f>IFERROR(RTD("cqg.rtd", ,"ContractData",E48, "COI"),"")</f>
        <v>40</v>
      </c>
      <c r="G48" s="117">
        <f>IFERROR(RTD("cqg.rtd", ,"ContractData",E48, "POI"),"")</f>
        <v>40</v>
      </c>
      <c r="H48" s="117" t="str">
        <f>RIGHT(RTD("cqg.rtd", ,"ContractData",B48, "LongDescription"),2)</f>
        <v>21</v>
      </c>
      <c r="I48" s="117">
        <f>IF(D48="F",1,IF(D48="G",2,IF(D48="H",3,IF(D48="J",4,IF(D48="K",5,IF(D48="M",6,IF(D48="N",7,IF(D48="Q",8,IF(D48="U",9,IF(D48="V",10,IF(D48="X",11,IF(D48="Z",12))))))))))))</f>
        <v>6</v>
      </c>
      <c r="J48" s="117" t="str">
        <f>VLOOKUP(I48,$R$6:$T$17,3)</f>
        <v>U</v>
      </c>
      <c r="K48" s="117" t="str">
        <f>$K$5&amp;J48&amp;RIGHT(H48,2)</f>
        <v>QSAU21</v>
      </c>
      <c r="L48" s="117">
        <f>IF(LEFT(RTD("cqg.rtd", ,"ContractData",K48, "COI"),3)="768","",RTD("cqg.rtd", ,"ContractData",K48, "COI"))</f>
        <v>20</v>
      </c>
      <c r="M48" s="117">
        <f>IF(LEFT(RTD("cqg.rtd", ,"ContractData",K48, "P_OI"),3)="768","",RTD("cqg.rtd", ,"ContractData",K48, "P_OI"))</f>
        <v>20</v>
      </c>
    </row>
    <row r="50" spans="1:13" x14ac:dyDescent="0.25">
      <c r="A50" s="117">
        <f t="shared" si="0"/>
        <v>23</v>
      </c>
      <c r="B50" s="117" t="str">
        <f>RTD("cqg.rtd",,"ContractData",$A$5&amp;A50,"Symbol")</f>
        <v>QSAS3U1</v>
      </c>
      <c r="C50" s="117" t="str">
        <f>RIGHT(B50,2)</f>
        <v>U1</v>
      </c>
      <c r="D50" s="117" t="str">
        <f>LEFT(C50,1)</f>
        <v>U</v>
      </c>
      <c r="E50" s="117" t="str">
        <f>$E$5&amp;C50</f>
        <v>QSAU1</v>
      </c>
      <c r="F50" s="117">
        <f>IFERROR(RTD("cqg.rtd", ,"ContractData",E50, "COI"),"")</f>
        <v>20</v>
      </c>
      <c r="G50" s="117">
        <f>IFERROR(RTD("cqg.rtd", ,"ContractData",E50, "POI"),"")</f>
        <v>20</v>
      </c>
      <c r="H50" s="117" t="str">
        <f>RIGHT(RTD("cqg.rtd", ,"ContractData",B50, "LongDescription"),2)</f>
        <v>21</v>
      </c>
      <c r="I50" s="117">
        <f>IF(D50="F",1,IF(D50="G",2,IF(D50="H",3,IF(D50="J",4,IF(D50="K",5,IF(D50="M",6,IF(D50="N",7,IF(D50="Q",8,IF(D50="U",9,IF(D50="V",10,IF(D50="X",11,IF(D50="Z",12))))))))))))</f>
        <v>9</v>
      </c>
      <c r="J50" s="117" t="str">
        <f>VLOOKUP(I50,$R$6:$T$17,3)</f>
        <v>Z</v>
      </c>
      <c r="K50" s="117" t="str">
        <f>$K$5&amp;J50&amp;RIGHT(H50,2)</f>
        <v>QSAZ21</v>
      </c>
      <c r="L50" s="117">
        <f>IF(LEFT(RTD("cqg.rtd", ,"ContractData",K50, "COI"),3)="768","",RTD("cqg.rtd", ,"ContractData",K50, "COI"))</f>
        <v>0</v>
      </c>
      <c r="M50" s="117">
        <f>IF(LEFT(RTD("cqg.rtd", ,"ContractData",K50, "P_OI"),3)="768","",RTD("cqg.rtd", ,"ContractData",K50, "P_OI"))</f>
        <v>0</v>
      </c>
    </row>
  </sheetData>
  <sheetProtection algorithmName="SHA-512" hashValue="dAtK+WN0g3h33H9/5Y7KkEh4ZN5QJXxTaisPLC6532atkgY4BAdUPEyONSY9+9YYk0TeFgMoy5UxMMv910PyiA==" saltValue="wXHm/bbAIQ1GWyaAsV2MP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Contracts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2016-02-11T16:15:52Z</dcterms:modified>
</cp:coreProperties>
</file>