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5125" windowHeight="13950"/>
  </bookViews>
  <sheets>
    <sheet name="Display" sheetId="3" r:id="rId1"/>
    <sheet name="Data" sheetId="1" state="hidden" r:id="rId2"/>
    <sheet name="First" sheetId="4" state="hidden" r:id="rId3"/>
    <sheet name="Second" sheetId="5" state="hidden" r:id="rId4"/>
    <sheet name="Third" sheetId="6" state="hidden" r:id="rId5"/>
    <sheet name="Fourth" sheetId="7" state="hidden" r:id="rId6"/>
    <sheet name="Fifth" sheetId="8" state="hidden" r:id="rId7"/>
    <sheet name="Sixth" sheetId="9" state="hidden" r:id="rId8"/>
    <sheet name="Seventh" sheetId="10" state="hidden" r:id="rId9"/>
    <sheet name="Eighth" sheetId="11" state="hidden" r:id="rId10"/>
    <sheet name="Ninth" sheetId="12" state="hidden" r:id="rId11"/>
    <sheet name="Tenth" sheetId="13" state="hidden" r:id="rId12"/>
    <sheet name="Eleventh" sheetId="14" state="hidden" r:id="rId13"/>
    <sheet name="Chart" sheetId="15" state="hidden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B18" i="3"/>
  <c r="B17" i="3"/>
  <c r="AG44" i="3"/>
  <c r="AC44" i="3"/>
  <c r="Z44" i="3"/>
  <c r="Q43" i="3"/>
  <c r="Q42" i="3"/>
  <c r="Q41" i="3"/>
  <c r="Q40" i="3"/>
  <c r="Q39" i="3"/>
  <c r="Q37" i="3"/>
  <c r="Q36" i="3"/>
  <c r="Q35" i="3"/>
  <c r="Q38" i="3"/>
  <c r="Q34" i="3"/>
  <c r="O43" i="3"/>
  <c r="O42" i="3"/>
  <c r="O41" i="3"/>
  <c r="O40" i="3"/>
  <c r="O39" i="3"/>
  <c r="O37" i="3"/>
  <c r="O36" i="3"/>
  <c r="O35" i="3"/>
  <c r="O38" i="3"/>
  <c r="O34" i="3"/>
  <c r="L42" i="3"/>
  <c r="L41" i="3"/>
  <c r="L40" i="3"/>
  <c r="L43" i="3"/>
  <c r="L39" i="3"/>
  <c r="K43" i="3"/>
  <c r="K42" i="3"/>
  <c r="K41" i="3"/>
  <c r="K40" i="3"/>
  <c r="K39" i="3"/>
  <c r="I43" i="3"/>
  <c r="I42" i="3"/>
  <c r="I41" i="3"/>
  <c r="I40" i="3"/>
  <c r="I39" i="3"/>
  <c r="I35" i="3"/>
  <c r="I36" i="3"/>
  <c r="I37" i="3"/>
  <c r="I38" i="3"/>
  <c r="L37" i="3"/>
  <c r="L36" i="3"/>
  <c r="L35" i="3"/>
  <c r="L38" i="3"/>
  <c r="L34" i="3"/>
  <c r="K38" i="3"/>
  <c r="K37" i="3"/>
  <c r="K36" i="3"/>
  <c r="K35" i="3"/>
  <c r="K34" i="3"/>
  <c r="H43" i="3"/>
  <c r="H42" i="3"/>
  <c r="H41" i="3"/>
  <c r="H40" i="3"/>
  <c r="H39" i="3"/>
  <c r="H38" i="3"/>
  <c r="H37" i="3"/>
  <c r="H36" i="3"/>
  <c r="H35" i="3"/>
  <c r="I34" i="3"/>
  <c r="H34" i="3"/>
  <c r="L19" i="3"/>
  <c r="L18" i="3"/>
  <c r="L17" i="3"/>
  <c r="F44" i="3"/>
  <c r="AE19" i="3"/>
  <c r="AH17" i="3"/>
  <c r="AH18" i="3"/>
  <c r="AG17" i="3"/>
  <c r="AH19" i="3"/>
  <c r="AG18" i="3"/>
  <c r="AE17" i="3"/>
  <c r="AG19" i="3"/>
  <c r="AE18" i="3"/>
  <c r="Y17" i="3"/>
  <c r="Y19" i="3"/>
  <c r="Y18" i="3"/>
  <c r="V18" i="3"/>
  <c r="V17" i="3"/>
  <c r="V19" i="3"/>
  <c r="T17" i="3"/>
  <c r="T19" i="3"/>
  <c r="T18" i="3"/>
  <c r="R17" i="3"/>
  <c r="R19" i="3"/>
  <c r="R18" i="3"/>
  <c r="Q19" i="3"/>
  <c r="Q18" i="3"/>
  <c r="Q17" i="3"/>
  <c r="P17" i="3"/>
  <c r="P19" i="3"/>
  <c r="P18" i="3"/>
  <c r="D17" i="3"/>
  <c r="D18" i="3"/>
  <c r="D19" i="3"/>
  <c r="Z19" i="3" l="1"/>
  <c r="Z17" i="3"/>
  <c r="Z18" i="3"/>
  <c r="C53" i="15"/>
  <c r="C51" i="15"/>
  <c r="C52" i="15" s="1"/>
  <c r="C36" i="15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" i="15"/>
  <c r="C6" i="15" s="1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4" i="15"/>
  <c r="C2" i="15"/>
  <c r="B2" i="15"/>
  <c r="D10" i="15"/>
  <c r="D18" i="15"/>
  <c r="D26" i="15"/>
  <c r="D34" i="15"/>
  <c r="D42" i="15"/>
  <c r="D50" i="15"/>
  <c r="D7" i="15"/>
  <c r="D11" i="15"/>
  <c r="D15" i="15"/>
  <c r="D19" i="15"/>
  <c r="D23" i="15"/>
  <c r="D27" i="15"/>
  <c r="D31" i="15"/>
  <c r="D35" i="15"/>
  <c r="D39" i="15"/>
  <c r="D43" i="15"/>
  <c r="D47" i="15"/>
  <c r="D51" i="15"/>
  <c r="D6" i="15"/>
  <c r="D14" i="15"/>
  <c r="D22" i="15"/>
  <c r="D30" i="15"/>
  <c r="D38" i="15"/>
  <c r="D46" i="15"/>
  <c r="D4" i="15"/>
  <c r="D8" i="15"/>
  <c r="D12" i="15"/>
  <c r="D16" i="15"/>
  <c r="D20" i="15"/>
  <c r="D24" i="15"/>
  <c r="D28" i="15"/>
  <c r="D32" i="15"/>
  <c r="D36" i="15"/>
  <c r="D40" i="15"/>
  <c r="D44" i="15"/>
  <c r="D48" i="15"/>
  <c r="D52" i="15"/>
  <c r="D5" i="15"/>
  <c r="D9" i="15"/>
  <c r="D13" i="15"/>
  <c r="D17" i="15"/>
  <c r="D21" i="15"/>
  <c r="D25" i="15"/>
  <c r="D29" i="15"/>
  <c r="D33" i="15"/>
  <c r="D37" i="15"/>
  <c r="D41" i="15"/>
  <c r="D45" i="15"/>
  <c r="D49" i="15"/>
  <c r="D53" i="15"/>
  <c r="J19" i="3"/>
  <c r="J17" i="3"/>
  <c r="S33" i="3"/>
  <c r="J18" i="3"/>
  <c r="H49" i="15"/>
  <c r="E36" i="15"/>
  <c r="H21" i="15"/>
  <c r="E8" i="15"/>
  <c r="H31" i="15"/>
  <c r="E6" i="15"/>
  <c r="G37" i="15"/>
  <c r="F22" i="15"/>
  <c r="H8" i="15"/>
  <c r="G40" i="15"/>
  <c r="H11" i="15"/>
  <c r="H30" i="15"/>
  <c r="D3" i="15"/>
  <c r="F31" i="15"/>
  <c r="H17" i="15"/>
  <c r="E4" i="15"/>
  <c r="H23" i="15"/>
  <c r="F20" i="15"/>
  <c r="H32" i="15"/>
  <c r="H4" i="15"/>
  <c r="E53" i="15"/>
  <c r="E48" i="15"/>
  <c r="G6" i="15"/>
  <c r="F52" i="15"/>
  <c r="F50" i="15"/>
  <c r="H20" i="15"/>
  <c r="F37" i="15"/>
  <c r="G27" i="15"/>
  <c r="F43" i="15"/>
  <c r="E16" i="15"/>
  <c r="G20" i="15"/>
  <c r="F16" i="15"/>
  <c r="E31" i="15"/>
  <c r="F53" i="15"/>
  <c r="F48" i="15"/>
  <c r="G46" i="15"/>
  <c r="G39" i="15"/>
  <c r="G25" i="15"/>
  <c r="H12" i="15"/>
  <c r="H10" i="15"/>
  <c r="G36" i="15"/>
  <c r="H47" i="15"/>
  <c r="F44" i="15"/>
  <c r="F30" i="15"/>
  <c r="H27" i="15"/>
  <c r="E52" i="15"/>
  <c r="G10" i="15"/>
  <c r="H34" i="15"/>
  <c r="H24" i="15"/>
  <c r="E18" i="15"/>
  <c r="G11" i="15"/>
  <c r="F14" i="15"/>
  <c r="F33" i="15"/>
  <c r="H52" i="15"/>
  <c r="G9" i="15"/>
  <c r="F32" i="15"/>
  <c r="G53" i="15"/>
  <c r="G19" i="15"/>
  <c r="H45" i="15"/>
  <c r="E32" i="15"/>
  <c r="G18" i="15"/>
  <c r="F25" i="15"/>
  <c r="H50" i="15"/>
  <c r="F34" i="15"/>
  <c r="E19" i="15"/>
  <c r="G5" i="15"/>
  <c r="E34" i="15"/>
  <c r="F5" i="15"/>
  <c r="F24" i="15"/>
  <c r="F3" i="15"/>
  <c r="H41" i="15"/>
  <c r="E28" i="15"/>
  <c r="H13" i="15"/>
  <c r="E46" i="15"/>
  <c r="F17" i="15"/>
  <c r="H42" i="15"/>
  <c r="E13" i="15"/>
  <c r="E43" i="15"/>
  <c r="H28" i="15"/>
  <c r="E15" i="15"/>
  <c r="E26" i="15"/>
  <c r="E45" i="15"/>
  <c r="E44" i="15"/>
  <c r="G30" i="15"/>
  <c r="G52" i="15"/>
  <c r="E22" i="15"/>
  <c r="G47" i="15"/>
  <c r="H18" i="15"/>
  <c r="F46" i="15"/>
  <c r="G17" i="15"/>
  <c r="E21" i="15"/>
  <c r="H53" i="15"/>
  <c r="E40" i="15"/>
  <c r="H25" i="15"/>
  <c r="E12" i="15"/>
  <c r="F41" i="15"/>
  <c r="E14" i="15"/>
  <c r="G41" i="15"/>
  <c r="E27" i="15"/>
  <c r="G48" i="15"/>
  <c r="F40" i="15"/>
  <c r="G15" i="15"/>
  <c r="G16" i="15"/>
  <c r="G3" i="15"/>
  <c r="H14" i="15"/>
  <c r="H46" i="15"/>
  <c r="G38" i="15"/>
  <c r="E38" i="15"/>
  <c r="H6" i="15"/>
  <c r="E11" i="15"/>
  <c r="E37" i="15"/>
  <c r="F27" i="15"/>
  <c r="H15" i="15"/>
  <c r="F42" i="15"/>
  <c r="E50" i="15"/>
  <c r="F12" i="15"/>
  <c r="G22" i="15"/>
  <c r="H7" i="15"/>
  <c r="F38" i="15"/>
  <c r="E42" i="15"/>
  <c r="F4" i="15"/>
  <c r="G29" i="15"/>
  <c r="F39" i="15"/>
  <c r="F11" i="15"/>
  <c r="H39" i="15"/>
  <c r="G12" i="15"/>
  <c r="F36" i="15"/>
  <c r="F8" i="15"/>
  <c r="H40" i="15"/>
  <c r="F26" i="15"/>
  <c r="H19" i="15"/>
  <c r="H38" i="15"/>
  <c r="E9" i="15"/>
  <c r="F35" i="15"/>
  <c r="F7" i="15"/>
  <c r="E30" i="15"/>
  <c r="G4" i="15"/>
  <c r="F28" i="15"/>
  <c r="E51" i="15"/>
  <c r="H36" i="15"/>
  <c r="G21" i="15"/>
  <c r="E10" i="15"/>
  <c r="E29" i="15"/>
  <c r="F51" i="15"/>
  <c r="H37" i="15"/>
  <c r="F23" i="15"/>
  <c r="H9" i="15"/>
  <c r="F9" i="15"/>
  <c r="E33" i="15"/>
  <c r="E5" i="15"/>
  <c r="E39" i="15"/>
  <c r="F10" i="15"/>
  <c r="H43" i="15"/>
  <c r="F47" i="15"/>
  <c r="F19" i="15"/>
  <c r="H5" i="15"/>
  <c r="G51" i="15"/>
  <c r="E25" i="15"/>
  <c r="H48" i="15"/>
  <c r="E35" i="15"/>
  <c r="F6" i="15"/>
  <c r="H35" i="15"/>
  <c r="G7" i="15"/>
  <c r="G33" i="15"/>
  <c r="G26" i="15"/>
  <c r="G13" i="15"/>
  <c r="G44" i="15"/>
  <c r="G34" i="15"/>
  <c r="E49" i="15"/>
  <c r="E47" i="15"/>
  <c r="F18" i="15"/>
  <c r="G32" i="15"/>
  <c r="H22" i="15"/>
  <c r="H33" i="15"/>
  <c r="E20" i="15"/>
  <c r="G28" i="15"/>
  <c r="H26" i="15"/>
  <c r="E7" i="15"/>
  <c r="G8" i="15"/>
  <c r="H3" i="15"/>
  <c r="H29" i="15"/>
  <c r="F49" i="15"/>
  <c r="H44" i="15"/>
  <c r="H16" i="15"/>
  <c r="F29" i="15"/>
  <c r="G35" i="15"/>
  <c r="G24" i="15"/>
  <c r="G43" i="15"/>
  <c r="F21" i="15"/>
  <c r="G14" i="15"/>
  <c r="G45" i="15"/>
  <c r="G42" i="15"/>
  <c r="F15" i="15"/>
  <c r="H51" i="15"/>
  <c r="E17" i="15"/>
  <c r="E24" i="15"/>
  <c r="F45" i="15"/>
  <c r="E3" i="15"/>
  <c r="E41" i="15"/>
  <c r="G50" i="15"/>
  <c r="G31" i="15"/>
  <c r="E23" i="15"/>
  <c r="F13" i="15"/>
  <c r="G49" i="15"/>
  <c r="G23" i="15"/>
  <c r="C1" i="1" l="1"/>
  <c r="A13" i="1" l="1"/>
  <c r="A12" i="1"/>
  <c r="A14" i="1"/>
  <c r="F14" i="1" l="1"/>
  <c r="G14" i="1" s="1"/>
  <c r="D1" i="1"/>
  <c r="B15" i="1" l="1"/>
  <c r="B16" i="1" s="1"/>
  <c r="B17" i="1" s="1"/>
  <c r="B18" i="1" s="1"/>
  <c r="B19" i="1" s="1"/>
  <c r="B20" i="1" s="1"/>
  <c r="B21" i="1" s="1"/>
  <c r="B22" i="1" s="1"/>
  <c r="B23" i="1" s="1"/>
  <c r="H14" i="1"/>
  <c r="C23" i="1" l="1"/>
  <c r="B24" i="1"/>
  <c r="C24" i="1" s="1"/>
  <c r="Y2" i="1"/>
  <c r="X3" i="1"/>
  <c r="X4" i="1" s="1"/>
  <c r="Y4" i="1" s="1"/>
  <c r="M3" i="1"/>
  <c r="N3" i="1" s="1"/>
  <c r="N2" i="1"/>
  <c r="AE3" i="1"/>
  <c r="AF3" i="1" s="1"/>
  <c r="C14" i="1"/>
  <c r="AF2" i="1"/>
  <c r="H2" i="1"/>
  <c r="G3" i="1"/>
  <c r="G4" i="1" s="1"/>
  <c r="H4" i="1" s="1"/>
  <c r="Z2" i="1"/>
  <c r="Z4" i="1"/>
  <c r="D24" i="1"/>
  <c r="O2" i="1"/>
  <c r="D23" i="1"/>
  <c r="O3" i="1"/>
  <c r="D14" i="1"/>
  <c r="I14" i="1"/>
  <c r="AE4" i="1" l="1"/>
  <c r="AF4" i="1" s="1"/>
  <c r="M4" i="1"/>
  <c r="N4" i="1" s="1"/>
  <c r="Y3" i="1"/>
  <c r="AB4" i="1"/>
  <c r="AB2" i="1"/>
  <c r="Q2" i="1"/>
  <c r="Q3" i="1"/>
  <c r="H3" i="1"/>
  <c r="G5" i="1"/>
  <c r="H5" i="1" s="1"/>
  <c r="AC4" i="1"/>
  <c r="R2" i="1"/>
  <c r="AC2" i="1"/>
  <c r="E24" i="1"/>
  <c r="I5" i="1"/>
  <c r="R3" i="1"/>
  <c r="P2" i="1"/>
  <c r="AG2" i="1"/>
  <c r="I4" i="1"/>
  <c r="I3" i="1"/>
  <c r="P3" i="1"/>
  <c r="AA4" i="1"/>
  <c r="AA2" i="1"/>
  <c r="E14" i="1"/>
  <c r="Z3" i="1"/>
  <c r="O4" i="1"/>
  <c r="E23" i="1"/>
  <c r="AG3" i="1"/>
  <c r="I2" i="1"/>
  <c r="F15" i="1" l="1"/>
  <c r="G15" i="1" s="1"/>
  <c r="AE5" i="1"/>
  <c r="AF5" i="1" s="1"/>
  <c r="Q4" i="1"/>
  <c r="AB3" i="1"/>
  <c r="AI3" i="1"/>
  <c r="AI2" i="1"/>
  <c r="K2" i="1"/>
  <c r="K4" i="1"/>
  <c r="K5" i="1"/>
  <c r="K3" i="1"/>
  <c r="G6" i="1"/>
  <c r="H6" i="1" s="1"/>
  <c r="P4" i="1"/>
  <c r="AH3" i="1"/>
  <c r="J2" i="1"/>
  <c r="L5" i="1"/>
  <c r="AG4" i="1"/>
  <c r="R4" i="1"/>
  <c r="AH2" i="1"/>
  <c r="J3" i="1"/>
  <c r="L4" i="1"/>
  <c r="AA3" i="1"/>
  <c r="AJ3" i="1"/>
  <c r="I6" i="1"/>
  <c r="J4" i="1"/>
  <c r="J5" i="1"/>
  <c r="AC3" i="1"/>
  <c r="AJ2" i="1"/>
  <c r="L3" i="1"/>
  <c r="L2" i="1"/>
  <c r="H15" i="1"/>
  <c r="AI4" i="1" l="1"/>
  <c r="K6" i="1"/>
  <c r="G7" i="1"/>
  <c r="H7" i="1" s="1"/>
  <c r="J6" i="1"/>
  <c r="AG5" i="1"/>
  <c r="L6" i="1"/>
  <c r="AH4" i="1"/>
  <c r="I7" i="1"/>
  <c r="AJ4" i="1"/>
  <c r="I15" i="1"/>
  <c r="AI5" i="1" l="1"/>
  <c r="K7" i="1"/>
  <c r="G8" i="1"/>
  <c r="H8" i="1" s="1"/>
  <c r="L7" i="1"/>
  <c r="AJ5" i="1"/>
  <c r="J7" i="1"/>
  <c r="AH5" i="1"/>
  <c r="I8" i="1"/>
  <c r="K8" i="1" l="1"/>
  <c r="G9" i="1"/>
  <c r="H9" i="1" s="1"/>
  <c r="J8" i="1"/>
  <c r="L8" i="1"/>
  <c r="I9" i="1"/>
  <c r="K9" i="1" l="1"/>
  <c r="G10" i="1"/>
  <c r="H10" i="1" s="1"/>
  <c r="J9" i="1"/>
  <c r="I10" i="1"/>
  <c r="L9" i="1"/>
  <c r="K10" i="1" l="1"/>
  <c r="J10" i="1"/>
  <c r="L10" i="1"/>
  <c r="C2" i="1" l="1"/>
  <c r="C16" i="1"/>
  <c r="T27" i="1"/>
  <c r="N27" i="1"/>
  <c r="H27" i="1"/>
  <c r="A27" i="1"/>
  <c r="D16" i="1"/>
  <c r="U27" i="1" l="1"/>
  <c r="V27" i="1" s="1"/>
  <c r="W27" i="1" s="1"/>
  <c r="X27" i="1" s="1"/>
  <c r="Y27" i="1" s="1"/>
  <c r="AH6" i="3" s="1"/>
  <c r="O27" i="1"/>
  <c r="P27" i="1" s="1"/>
  <c r="Q27" i="1" s="1"/>
  <c r="R27" i="1" s="1"/>
  <c r="S27" i="1" s="1"/>
  <c r="AG6" i="3" s="1"/>
  <c r="I27" i="1"/>
  <c r="B27" i="1"/>
  <c r="B6" i="3"/>
  <c r="C3" i="1"/>
  <c r="C17" i="1"/>
  <c r="T28" i="1"/>
  <c r="N28" i="1"/>
  <c r="H28" i="1"/>
  <c r="L6" i="3"/>
  <c r="D17" i="1"/>
  <c r="E16" i="1"/>
  <c r="T6" i="3"/>
  <c r="E2" i="1"/>
  <c r="D2" i="1"/>
  <c r="Y6" i="3"/>
  <c r="P6" i="3"/>
  <c r="U28" i="1" l="1"/>
  <c r="O28" i="1"/>
  <c r="I28" i="1"/>
  <c r="J27" i="1"/>
  <c r="K27" i="1" s="1"/>
  <c r="L27" i="1" s="1"/>
  <c r="M27" i="1" s="1"/>
  <c r="AE6" i="3" s="1"/>
  <c r="C27" i="1"/>
  <c r="D27" i="1" s="1"/>
  <c r="E27" i="1" s="1"/>
  <c r="F27" i="1" s="1"/>
  <c r="B7" i="3"/>
  <c r="D6" i="3"/>
  <c r="B3" i="4"/>
  <c r="B21" i="3"/>
  <c r="C18" i="1"/>
  <c r="L7" i="3"/>
  <c r="Y7" i="3"/>
  <c r="A28" i="1"/>
  <c r="H17" i="4"/>
  <c r="B17" i="4"/>
  <c r="D18" i="1"/>
  <c r="E17" i="1"/>
  <c r="H11" i="4"/>
  <c r="V7" i="3"/>
  <c r="V6" i="3"/>
  <c r="B15" i="4"/>
  <c r="P7" i="3"/>
  <c r="T7" i="3"/>
  <c r="H8" i="4"/>
  <c r="V28" i="1" l="1"/>
  <c r="W28" i="1" s="1"/>
  <c r="X28" i="1" s="1"/>
  <c r="Y28" i="1" s="1"/>
  <c r="AH7" i="3" s="1"/>
  <c r="P28" i="1"/>
  <c r="Q28" i="1" s="1"/>
  <c r="R28" i="1" s="1"/>
  <c r="S28" i="1" s="1"/>
  <c r="AG7" i="3" s="1"/>
  <c r="B3" i="5"/>
  <c r="J28" i="1"/>
  <c r="K28" i="1" s="1"/>
  <c r="L28" i="1" s="1"/>
  <c r="M28" i="1" s="1"/>
  <c r="AE7" i="3" s="1"/>
  <c r="J6" i="3"/>
  <c r="B28" i="1"/>
  <c r="E21" i="3"/>
  <c r="C17" i="4"/>
  <c r="C24" i="3"/>
  <c r="C27" i="3"/>
  <c r="C15" i="4"/>
  <c r="D15" i="4" s="1"/>
  <c r="E15" i="4" s="1"/>
  <c r="F15" i="4" s="1"/>
  <c r="G15" i="4" s="1"/>
  <c r="B31" i="3" s="1"/>
  <c r="Z7" i="3"/>
  <c r="Z6" i="3"/>
  <c r="C19" i="1"/>
  <c r="B12" i="5"/>
  <c r="H12" i="5"/>
  <c r="B14" i="5"/>
  <c r="B6" i="5"/>
  <c r="B7" i="5"/>
  <c r="H7" i="5"/>
  <c r="B10" i="5"/>
  <c r="B8" i="5"/>
  <c r="B13" i="5"/>
  <c r="H15" i="5"/>
  <c r="H14" i="5"/>
  <c r="B11" i="5"/>
  <c r="H8" i="5"/>
  <c r="H9" i="5"/>
  <c r="H6" i="5"/>
  <c r="B15" i="5"/>
  <c r="H13" i="5"/>
  <c r="E18" i="1"/>
  <c r="D19" i="1"/>
  <c r="H6" i="4"/>
  <c r="B8" i="4"/>
  <c r="H7" i="4"/>
  <c r="H10" i="4"/>
  <c r="H9" i="4"/>
  <c r="B14" i="4"/>
  <c r="H14" i="4"/>
  <c r="H11" i="5"/>
  <c r="B6" i="4"/>
  <c r="B11" i="4"/>
  <c r="H15" i="4"/>
  <c r="B12" i="4"/>
  <c r="H13" i="4"/>
  <c r="B10" i="4"/>
  <c r="B9" i="4"/>
  <c r="B7" i="4"/>
  <c r="B9" i="5"/>
  <c r="H12" i="4"/>
  <c r="H10" i="5"/>
  <c r="B13" i="4"/>
  <c r="F29" i="3" l="1"/>
  <c r="C15" i="5"/>
  <c r="D15" i="5" s="1"/>
  <c r="E15" i="5" s="1"/>
  <c r="F15" i="5" s="1"/>
  <c r="G15" i="5" s="1"/>
  <c r="E31" i="3" s="1"/>
  <c r="F22" i="3"/>
  <c r="F25" i="3"/>
  <c r="F24" i="3"/>
  <c r="C11" i="5"/>
  <c r="D11" i="5" s="1"/>
  <c r="E11" i="5" s="1"/>
  <c r="F11" i="5" s="1"/>
  <c r="F30" i="3"/>
  <c r="F31" i="3"/>
  <c r="C13" i="5"/>
  <c r="D13" i="5" s="1"/>
  <c r="E13" i="5" s="1"/>
  <c r="F13" i="5" s="1"/>
  <c r="G13" i="5" s="1"/>
  <c r="E29" i="3" s="1"/>
  <c r="C8" i="5"/>
  <c r="D8" i="5" s="1"/>
  <c r="E8" i="5" s="1"/>
  <c r="F8" i="5" s="1"/>
  <c r="C10" i="5"/>
  <c r="D10" i="5" s="1"/>
  <c r="E10" i="5" s="1"/>
  <c r="F10" i="5" s="1"/>
  <c r="F23" i="3"/>
  <c r="C7" i="5"/>
  <c r="D7" i="5" s="1"/>
  <c r="E7" i="5" s="1"/>
  <c r="F7" i="5" s="1"/>
  <c r="G7" i="5" s="1"/>
  <c r="E23" i="3" s="1"/>
  <c r="C6" i="5"/>
  <c r="D6" i="5" s="1"/>
  <c r="E6" i="5" s="1"/>
  <c r="F6" i="5" s="1"/>
  <c r="C14" i="5"/>
  <c r="D14" i="5" s="1"/>
  <c r="E14" i="5" s="1"/>
  <c r="F14" i="5" s="1"/>
  <c r="F28" i="3"/>
  <c r="C12" i="5"/>
  <c r="D12" i="5" s="1"/>
  <c r="E12" i="5" s="1"/>
  <c r="F12" i="5" s="1"/>
  <c r="G12" i="5" s="1"/>
  <c r="E28" i="3" s="1"/>
  <c r="C28" i="1"/>
  <c r="D28" i="1" s="1"/>
  <c r="E28" i="1" s="1"/>
  <c r="F28" i="1" s="1"/>
  <c r="D17" i="4"/>
  <c r="E17" i="4" s="1"/>
  <c r="F17" i="4" s="1"/>
  <c r="G17" i="4" s="1"/>
  <c r="C9" i="4"/>
  <c r="D9" i="4" s="1"/>
  <c r="E9" i="4" s="1"/>
  <c r="F9" i="4" s="1"/>
  <c r="G9" i="4" s="1"/>
  <c r="B25" i="3" s="1"/>
  <c r="C11" i="4"/>
  <c r="D11" i="4" s="1"/>
  <c r="E11" i="4" s="1"/>
  <c r="F11" i="4" s="1"/>
  <c r="G11" i="4" s="1"/>
  <c r="B27" i="3" s="1"/>
  <c r="Q6" i="3" s="1"/>
  <c r="C14" i="4"/>
  <c r="D14" i="4" s="1"/>
  <c r="E14" i="4" s="1"/>
  <c r="F14" i="4" s="1"/>
  <c r="G14" i="4" s="1"/>
  <c r="B30" i="3" s="1"/>
  <c r="C22" i="3"/>
  <c r="F26" i="3"/>
  <c r="C10" i="4"/>
  <c r="D10" i="4" s="1"/>
  <c r="E10" i="4" s="1"/>
  <c r="F10" i="4" s="1"/>
  <c r="G10" i="4" s="1"/>
  <c r="B26" i="3" s="1"/>
  <c r="R6" i="3" s="1"/>
  <c r="C25" i="3"/>
  <c r="C6" i="4"/>
  <c r="D6" i="4" s="1"/>
  <c r="E6" i="4" s="1"/>
  <c r="F6" i="4" s="1"/>
  <c r="G6" i="4" s="1"/>
  <c r="B22" i="3" s="1"/>
  <c r="C28" i="3"/>
  <c r="C29" i="3"/>
  <c r="C26" i="3"/>
  <c r="F27" i="3"/>
  <c r="C9" i="5"/>
  <c r="D9" i="5" s="1"/>
  <c r="E9" i="5" s="1"/>
  <c r="F9" i="5" s="1"/>
  <c r="G9" i="5" s="1"/>
  <c r="E25" i="3" s="1"/>
  <c r="C12" i="4"/>
  <c r="D12" i="4" s="1"/>
  <c r="E12" i="4" s="1"/>
  <c r="F12" i="4" s="1"/>
  <c r="G12" i="4" s="1"/>
  <c r="B28" i="3" s="1"/>
  <c r="C23" i="3"/>
  <c r="C13" i="4"/>
  <c r="D13" i="4" s="1"/>
  <c r="E13" i="4" s="1"/>
  <c r="F13" i="4" s="1"/>
  <c r="G13" i="4" s="1"/>
  <c r="B29" i="3" s="1"/>
  <c r="C7" i="4"/>
  <c r="D7" i="4" s="1"/>
  <c r="E7" i="4" s="1"/>
  <c r="F7" i="4" s="1"/>
  <c r="G7" i="4" s="1"/>
  <c r="B23" i="3" s="1"/>
  <c r="C31" i="3"/>
  <c r="C8" i="4"/>
  <c r="D8" i="4" s="1"/>
  <c r="E8" i="4" s="1"/>
  <c r="F8" i="4" s="1"/>
  <c r="G8" i="4" s="1"/>
  <c r="B24" i="3" s="1"/>
  <c r="C30" i="3"/>
  <c r="AB7" i="3"/>
  <c r="AB6" i="3"/>
  <c r="C20" i="1"/>
  <c r="D20" i="1"/>
  <c r="E19" i="1"/>
  <c r="G8" i="5" l="1"/>
  <c r="E24" i="3" s="1"/>
  <c r="G6" i="5"/>
  <c r="E22" i="3" s="1"/>
  <c r="G11" i="5"/>
  <c r="E27" i="3" s="1"/>
  <c r="Q7" i="3" s="1"/>
  <c r="G14" i="5"/>
  <c r="E30" i="3" s="1"/>
  <c r="G10" i="5"/>
  <c r="E26" i="3" s="1"/>
  <c r="R7" i="3" s="1"/>
  <c r="J7" i="3"/>
  <c r="C22" i="1"/>
  <c r="D22" i="1"/>
  <c r="E20" i="1"/>
  <c r="C21" i="1" l="1"/>
  <c r="E22" i="1"/>
  <c r="D21" i="1"/>
  <c r="C15" i="1" l="1"/>
  <c r="E21" i="1"/>
  <c r="D15" i="1"/>
  <c r="D3" i="1"/>
  <c r="E3" i="1"/>
  <c r="D7" i="3" l="1"/>
  <c r="E15" i="1"/>
  <c r="F16" i="1" l="1"/>
  <c r="G16" i="1" s="1"/>
  <c r="H16" i="1"/>
  <c r="F17" i="1" l="1"/>
  <c r="I16" i="1"/>
  <c r="F18" i="1" l="1"/>
  <c r="G18" i="1" s="1"/>
  <c r="G17" i="1"/>
  <c r="C4" i="1"/>
  <c r="T29" i="1"/>
  <c r="N29" i="1"/>
  <c r="H29" i="1"/>
  <c r="H17" i="1"/>
  <c r="U29" i="1" l="1"/>
  <c r="V29" i="1" s="1"/>
  <c r="W29" i="1" s="1"/>
  <c r="X29" i="1" s="1"/>
  <c r="Y29" i="1" s="1"/>
  <c r="AH8" i="3" s="1"/>
  <c r="O29" i="1"/>
  <c r="I29" i="1"/>
  <c r="J29" i="1" s="1"/>
  <c r="K29" i="1" s="1"/>
  <c r="L29" i="1" s="1"/>
  <c r="M29" i="1" s="1"/>
  <c r="AE8" i="3" s="1"/>
  <c r="B8" i="3"/>
  <c r="F19" i="1"/>
  <c r="G19" i="1" s="1"/>
  <c r="L8" i="3"/>
  <c r="A29" i="1"/>
  <c r="Y8" i="3"/>
  <c r="P8" i="3"/>
  <c r="D4" i="1"/>
  <c r="I17" i="1"/>
  <c r="H18" i="1"/>
  <c r="T8" i="3"/>
  <c r="E4" i="1"/>
  <c r="V8" i="3"/>
  <c r="P29" i="1" l="1"/>
  <c r="Q29" i="1" s="1"/>
  <c r="R29" i="1" s="1"/>
  <c r="S29" i="1" s="1"/>
  <c r="AG8" i="3" s="1"/>
  <c r="H21" i="3"/>
  <c r="B29" i="1"/>
  <c r="B3" i="6"/>
  <c r="D8" i="3"/>
  <c r="Z8" i="3"/>
  <c r="F20" i="1"/>
  <c r="G20" i="1" s="1"/>
  <c r="C5" i="1"/>
  <c r="T30" i="1"/>
  <c r="N30" i="1"/>
  <c r="H30" i="1"/>
  <c r="B11" i="6"/>
  <c r="B13" i="6"/>
  <c r="B6" i="6"/>
  <c r="B7" i="6"/>
  <c r="H15" i="6"/>
  <c r="B15" i="6"/>
  <c r="H14" i="6"/>
  <c r="H6" i="6"/>
  <c r="H13" i="6"/>
  <c r="H7" i="6"/>
  <c r="B8" i="6"/>
  <c r="B14" i="6"/>
  <c r="H9" i="6"/>
  <c r="H11" i="6"/>
  <c r="B10" i="6"/>
  <c r="H10" i="6"/>
  <c r="H12" i="6"/>
  <c r="H8" i="6"/>
  <c r="B12" i="6"/>
  <c r="B9" i="6"/>
  <c r="A30" i="1"/>
  <c r="I18" i="1"/>
  <c r="H19" i="1"/>
  <c r="D5" i="1"/>
  <c r="U30" i="1" l="1"/>
  <c r="V30" i="1" s="1"/>
  <c r="W30" i="1" s="1"/>
  <c r="X30" i="1" s="1"/>
  <c r="O30" i="1"/>
  <c r="P30" i="1" s="1"/>
  <c r="Q30" i="1" s="1"/>
  <c r="R30" i="1" s="1"/>
  <c r="I30" i="1"/>
  <c r="J30" i="1" s="1"/>
  <c r="K30" i="1" s="1"/>
  <c r="L30" i="1" s="1"/>
  <c r="M30" i="1" s="1"/>
  <c r="AE9" i="3" s="1"/>
  <c r="B30" i="1"/>
  <c r="C29" i="1"/>
  <c r="D29" i="1" s="1"/>
  <c r="E29" i="1" s="1"/>
  <c r="F29" i="1" s="1"/>
  <c r="C9" i="6"/>
  <c r="D9" i="6" s="1"/>
  <c r="E9" i="6" s="1"/>
  <c r="F9" i="6" s="1"/>
  <c r="G9" i="6" s="1"/>
  <c r="H25" i="3" s="1"/>
  <c r="C12" i="6"/>
  <c r="D12" i="6" s="1"/>
  <c r="E12" i="6" s="1"/>
  <c r="F12" i="6" s="1"/>
  <c r="G12" i="6" s="1"/>
  <c r="H28" i="3" s="1"/>
  <c r="I24" i="3"/>
  <c r="I28" i="3"/>
  <c r="I26" i="3"/>
  <c r="C10" i="6"/>
  <c r="D10" i="6" s="1"/>
  <c r="E10" i="6" s="1"/>
  <c r="F10" i="6" s="1"/>
  <c r="G10" i="6" s="1"/>
  <c r="H26" i="3" s="1"/>
  <c r="R8" i="3" s="1"/>
  <c r="I27" i="3"/>
  <c r="I25" i="3"/>
  <c r="C14" i="6"/>
  <c r="D14" i="6" s="1"/>
  <c r="E14" i="6" s="1"/>
  <c r="F14" i="6" s="1"/>
  <c r="G14" i="6" s="1"/>
  <c r="H30" i="3" s="1"/>
  <c r="C8" i="6"/>
  <c r="D8" i="6" s="1"/>
  <c r="E8" i="6" s="1"/>
  <c r="F8" i="6" s="1"/>
  <c r="G8" i="6" s="1"/>
  <c r="H24" i="3" s="1"/>
  <c r="I23" i="3"/>
  <c r="I29" i="3"/>
  <c r="I22" i="3"/>
  <c r="I30" i="3"/>
  <c r="C15" i="6"/>
  <c r="D15" i="6" s="1"/>
  <c r="E15" i="6" s="1"/>
  <c r="F15" i="6" s="1"/>
  <c r="G15" i="6" s="1"/>
  <c r="H31" i="3" s="1"/>
  <c r="I31" i="3"/>
  <c r="C7" i="6"/>
  <c r="D7" i="6" s="1"/>
  <c r="E7" i="6" s="1"/>
  <c r="F7" i="6" s="1"/>
  <c r="G7" i="6" s="1"/>
  <c r="H23" i="3" s="1"/>
  <c r="C6" i="6"/>
  <c r="D6" i="6" s="1"/>
  <c r="E6" i="6" s="1"/>
  <c r="F6" i="6" s="1"/>
  <c r="G6" i="6" s="1"/>
  <c r="H22" i="3" s="1"/>
  <c r="C13" i="6"/>
  <c r="D13" i="6" s="1"/>
  <c r="E13" i="6" s="1"/>
  <c r="F13" i="6" s="1"/>
  <c r="G13" i="6" s="1"/>
  <c r="C11" i="6"/>
  <c r="D11" i="6" s="1"/>
  <c r="E11" i="6" s="1"/>
  <c r="F11" i="6" s="1"/>
  <c r="G11" i="6" s="1"/>
  <c r="H27" i="3" s="1"/>
  <c r="Q8" i="3" s="1"/>
  <c r="AB8" i="3"/>
  <c r="F21" i="1"/>
  <c r="G21" i="1" s="1"/>
  <c r="C6" i="1"/>
  <c r="B9" i="3"/>
  <c r="T31" i="1"/>
  <c r="N31" i="1"/>
  <c r="H31" i="1"/>
  <c r="L9" i="3"/>
  <c r="Y9" i="3"/>
  <c r="E5" i="1"/>
  <c r="E6" i="1"/>
  <c r="I19" i="1"/>
  <c r="H20" i="1"/>
  <c r="V9" i="3"/>
  <c r="U31" i="1" l="1"/>
  <c r="V31" i="1" s="1"/>
  <c r="W31" i="1" s="1"/>
  <c r="X31" i="1" s="1"/>
  <c r="Y31" i="1" s="1"/>
  <c r="AH10" i="3" s="1"/>
  <c r="Y30" i="1"/>
  <c r="AH9" i="3" s="1"/>
  <c r="O31" i="1"/>
  <c r="S30" i="1"/>
  <c r="AG9" i="3" s="1"/>
  <c r="I31" i="1"/>
  <c r="J31" i="1" s="1"/>
  <c r="K31" i="1" s="1"/>
  <c r="L31" i="1" s="1"/>
  <c r="M31" i="1" s="1"/>
  <c r="AE10" i="3" s="1"/>
  <c r="C30" i="1"/>
  <c r="D30" i="1" s="1"/>
  <c r="E30" i="1" s="1"/>
  <c r="F30" i="1" s="1"/>
  <c r="J8" i="3"/>
  <c r="B10" i="3"/>
  <c r="D10" i="3"/>
  <c r="D9" i="3"/>
  <c r="H29" i="3"/>
  <c r="B3" i="7"/>
  <c r="K21" i="3"/>
  <c r="Z9" i="3"/>
  <c r="F22" i="1"/>
  <c r="G22" i="1" s="1"/>
  <c r="C7" i="1"/>
  <c r="B11" i="3" s="1"/>
  <c r="T32" i="1"/>
  <c r="N32" i="1"/>
  <c r="H32" i="1"/>
  <c r="L10" i="3"/>
  <c r="A31" i="1"/>
  <c r="V10" i="3"/>
  <c r="Y10" i="3"/>
  <c r="T10" i="3"/>
  <c r="E7" i="1"/>
  <c r="P9" i="3"/>
  <c r="I20" i="1"/>
  <c r="H21" i="1"/>
  <c r="H12" i="7"/>
  <c r="H6" i="7"/>
  <c r="H14" i="7"/>
  <c r="D6" i="1"/>
  <c r="T9" i="3"/>
  <c r="P10" i="3"/>
  <c r="B8" i="7"/>
  <c r="U32" i="1" l="1"/>
  <c r="O32" i="1"/>
  <c r="P32" i="1" s="1"/>
  <c r="Q32" i="1" s="1"/>
  <c r="R32" i="1" s="1"/>
  <c r="P31" i="1"/>
  <c r="Q31" i="1" s="1"/>
  <c r="R31" i="1" s="1"/>
  <c r="S31" i="1" s="1"/>
  <c r="AG10" i="3" s="1"/>
  <c r="O21" i="3"/>
  <c r="I32" i="1"/>
  <c r="J9" i="3"/>
  <c r="B31" i="1"/>
  <c r="Z10" i="3"/>
  <c r="AB10" i="3" s="1"/>
  <c r="B3" i="8"/>
  <c r="D11" i="3"/>
  <c r="AB9" i="3"/>
  <c r="L30" i="3"/>
  <c r="L28" i="3"/>
  <c r="L22" i="3"/>
  <c r="C8" i="7"/>
  <c r="D8" i="7" s="1"/>
  <c r="E8" i="7" s="1"/>
  <c r="F8" i="7" s="1"/>
  <c r="G8" i="7" s="1"/>
  <c r="K24" i="3" s="1"/>
  <c r="F23" i="1"/>
  <c r="G23" i="1" s="1"/>
  <c r="C8" i="1"/>
  <c r="T33" i="1"/>
  <c r="N33" i="1"/>
  <c r="H33" i="1"/>
  <c r="L11" i="3"/>
  <c r="Y11" i="3"/>
  <c r="A32" i="1"/>
  <c r="B10" i="8"/>
  <c r="H8" i="8"/>
  <c r="H7" i="8"/>
  <c r="B15" i="8"/>
  <c r="H14" i="8"/>
  <c r="H11" i="8"/>
  <c r="H10" i="7"/>
  <c r="H11" i="7"/>
  <c r="B10" i="7"/>
  <c r="B11" i="8"/>
  <c r="H7" i="7"/>
  <c r="B14" i="8"/>
  <c r="B6" i="8"/>
  <c r="H22" i="1"/>
  <c r="B7" i="7"/>
  <c r="B9" i="8"/>
  <c r="B6" i="7"/>
  <c r="B11" i="7"/>
  <c r="H13" i="7"/>
  <c r="B7" i="8"/>
  <c r="D7" i="1"/>
  <c r="B13" i="8"/>
  <c r="H9" i="8"/>
  <c r="H6" i="8"/>
  <c r="P11" i="3"/>
  <c r="H10" i="8"/>
  <c r="B12" i="7"/>
  <c r="B12" i="8"/>
  <c r="B9" i="7"/>
  <c r="B14" i="7"/>
  <c r="B15" i="7"/>
  <c r="H15" i="7"/>
  <c r="B13" i="7"/>
  <c r="H8" i="7"/>
  <c r="H15" i="8"/>
  <c r="V11" i="3"/>
  <c r="I21" i="1"/>
  <c r="H12" i="8"/>
  <c r="T11" i="3"/>
  <c r="H9" i="7"/>
  <c r="B8" i="8"/>
  <c r="H13" i="8"/>
  <c r="U33" i="1" l="1"/>
  <c r="V33" i="1" s="1"/>
  <c r="W33" i="1" s="1"/>
  <c r="X33" i="1" s="1"/>
  <c r="Y33" i="1" s="1"/>
  <c r="AH12" i="3" s="1"/>
  <c r="V32" i="1"/>
  <c r="W32" i="1" s="1"/>
  <c r="X32" i="1" s="1"/>
  <c r="Y32" i="1" s="1"/>
  <c r="AH11" i="3" s="1"/>
  <c r="O33" i="1"/>
  <c r="S32" i="1"/>
  <c r="AG11" i="3" s="1"/>
  <c r="S21" i="3"/>
  <c r="I33" i="1"/>
  <c r="J33" i="1" s="1"/>
  <c r="K33" i="1" s="1"/>
  <c r="L33" i="1" s="1"/>
  <c r="M33" i="1" s="1"/>
  <c r="AE12" i="3" s="1"/>
  <c r="J32" i="1"/>
  <c r="K32" i="1" s="1"/>
  <c r="L32" i="1" s="1"/>
  <c r="M32" i="1" s="1"/>
  <c r="AE11" i="3" s="1"/>
  <c r="B32" i="1"/>
  <c r="C31" i="1"/>
  <c r="D31" i="1" s="1"/>
  <c r="E31" i="1" s="1"/>
  <c r="F31" i="1" s="1"/>
  <c r="B3" i="9"/>
  <c r="Q27" i="3"/>
  <c r="Q30" i="3"/>
  <c r="C15" i="8"/>
  <c r="D15" i="8" s="1"/>
  <c r="E15" i="8" s="1"/>
  <c r="F15" i="8" s="1"/>
  <c r="Q23" i="3"/>
  <c r="Q24" i="3"/>
  <c r="C10" i="8"/>
  <c r="D10" i="8" s="1"/>
  <c r="E10" i="8" s="1"/>
  <c r="F10" i="8" s="1"/>
  <c r="B12" i="3"/>
  <c r="L25" i="3"/>
  <c r="L31" i="3"/>
  <c r="C15" i="7"/>
  <c r="D15" i="7" s="1"/>
  <c r="E15" i="7" s="1"/>
  <c r="F15" i="7" s="1"/>
  <c r="G15" i="7" s="1"/>
  <c r="K31" i="3" s="1"/>
  <c r="C14" i="7"/>
  <c r="D14" i="7" s="1"/>
  <c r="E14" i="7" s="1"/>
  <c r="F14" i="7" s="1"/>
  <c r="G14" i="7" s="1"/>
  <c r="K30" i="3" s="1"/>
  <c r="C12" i="7"/>
  <c r="D12" i="7" s="1"/>
  <c r="E12" i="7" s="1"/>
  <c r="F12" i="7" s="1"/>
  <c r="G12" i="7" s="1"/>
  <c r="K28" i="3" s="1"/>
  <c r="L29" i="3"/>
  <c r="C11" i="7"/>
  <c r="D11" i="7" s="1"/>
  <c r="E11" i="7" s="1"/>
  <c r="F11" i="7" s="1"/>
  <c r="G11" i="7" s="1"/>
  <c r="K27" i="3" s="1"/>
  <c r="Q9" i="3" s="1"/>
  <c r="C6" i="7"/>
  <c r="D6" i="7" s="1"/>
  <c r="E6" i="7" s="1"/>
  <c r="F6" i="7" s="1"/>
  <c r="G6" i="7" s="1"/>
  <c r="K22" i="3" s="1"/>
  <c r="C7" i="7"/>
  <c r="D7" i="7" s="1"/>
  <c r="E7" i="7" s="1"/>
  <c r="F7" i="7" s="1"/>
  <c r="G7" i="7" s="1"/>
  <c r="K23" i="3" s="1"/>
  <c r="C10" i="7"/>
  <c r="D10" i="7" s="1"/>
  <c r="E10" i="7" s="1"/>
  <c r="F10" i="7" s="1"/>
  <c r="G10" i="7" s="1"/>
  <c r="K26" i="3" s="1"/>
  <c r="R9" i="3" s="1"/>
  <c r="L27" i="3"/>
  <c r="L26" i="3"/>
  <c r="Q26" i="3"/>
  <c r="C9" i="8"/>
  <c r="D9" i="8" s="1"/>
  <c r="E9" i="8" s="1"/>
  <c r="F9" i="8" s="1"/>
  <c r="G9" i="8" s="1"/>
  <c r="Q22" i="3"/>
  <c r="Q29" i="3"/>
  <c r="Q25" i="3"/>
  <c r="C9" i="7"/>
  <c r="D9" i="7" s="1"/>
  <c r="E9" i="7" s="1"/>
  <c r="F9" i="7" s="1"/>
  <c r="G9" i="7" s="1"/>
  <c r="K25" i="3" s="1"/>
  <c r="Q28" i="3"/>
  <c r="Q31" i="3"/>
  <c r="C13" i="8"/>
  <c r="D13" i="8" s="1"/>
  <c r="E13" i="8" s="1"/>
  <c r="F13" i="8" s="1"/>
  <c r="C8" i="8"/>
  <c r="D8" i="8" s="1"/>
  <c r="E8" i="8" s="1"/>
  <c r="F8" i="8" s="1"/>
  <c r="G8" i="8" s="1"/>
  <c r="C6" i="8"/>
  <c r="D6" i="8" s="1"/>
  <c r="E6" i="8" s="1"/>
  <c r="F6" i="8" s="1"/>
  <c r="G6" i="8" s="1"/>
  <c r="C14" i="8"/>
  <c r="D14" i="8" s="1"/>
  <c r="E14" i="8" s="1"/>
  <c r="F14" i="8" s="1"/>
  <c r="G14" i="8" s="1"/>
  <c r="L24" i="3"/>
  <c r="L23" i="3"/>
  <c r="C13" i="7"/>
  <c r="D13" i="7" s="1"/>
  <c r="E13" i="7" s="1"/>
  <c r="F13" i="7" s="1"/>
  <c r="G13" i="7" s="1"/>
  <c r="K29" i="3" s="1"/>
  <c r="C7" i="8"/>
  <c r="D7" i="8" s="1"/>
  <c r="E7" i="8" s="1"/>
  <c r="F7" i="8" s="1"/>
  <c r="G7" i="8" s="1"/>
  <c r="C12" i="8"/>
  <c r="D12" i="8" s="1"/>
  <c r="E12" i="8" s="1"/>
  <c r="F12" i="8" s="1"/>
  <c r="C11" i="8"/>
  <c r="D11" i="8" s="1"/>
  <c r="E11" i="8" s="1"/>
  <c r="F11" i="8" s="1"/>
  <c r="G11" i="8" s="1"/>
  <c r="O27" i="3" s="1"/>
  <c r="Q10" i="3" s="1"/>
  <c r="Z11" i="3"/>
  <c r="F24" i="1"/>
  <c r="G24" i="1" s="1"/>
  <c r="C9" i="1"/>
  <c r="T34" i="1"/>
  <c r="N34" i="1"/>
  <c r="H34" i="1"/>
  <c r="L12" i="3"/>
  <c r="B13" i="9"/>
  <c r="B14" i="9"/>
  <c r="B8" i="9"/>
  <c r="H6" i="9"/>
  <c r="H8" i="9"/>
  <c r="H15" i="9"/>
  <c r="Y12" i="3"/>
  <c r="A33" i="1"/>
  <c r="B9" i="9"/>
  <c r="B12" i="9"/>
  <c r="B6" i="9"/>
  <c r="P12" i="3"/>
  <c r="H23" i="1"/>
  <c r="H11" i="9"/>
  <c r="H7" i="9"/>
  <c r="H12" i="9"/>
  <c r="B7" i="9"/>
  <c r="H24" i="1"/>
  <c r="H10" i="9"/>
  <c r="B11" i="9"/>
  <c r="H9" i="9"/>
  <c r="B15" i="9"/>
  <c r="V12" i="3"/>
  <c r="H14" i="9"/>
  <c r="D8" i="1"/>
  <c r="H13" i="9"/>
  <c r="I22" i="1"/>
  <c r="E8" i="1"/>
  <c r="B10" i="9"/>
  <c r="T12" i="3"/>
  <c r="U34" i="1" l="1"/>
  <c r="O34" i="1"/>
  <c r="P34" i="1" s="1"/>
  <c r="Q34" i="1" s="1"/>
  <c r="R34" i="1" s="1"/>
  <c r="P33" i="1"/>
  <c r="Q33" i="1" s="1"/>
  <c r="R33" i="1" s="1"/>
  <c r="S33" i="1" s="1"/>
  <c r="AG12" i="3" s="1"/>
  <c r="W21" i="3"/>
  <c r="I34" i="1"/>
  <c r="J34" i="1" s="1"/>
  <c r="K34" i="1" s="1"/>
  <c r="L34" i="1" s="1"/>
  <c r="M34" i="1" s="1"/>
  <c r="AE13" i="3" s="1"/>
  <c r="G10" i="8"/>
  <c r="O26" i="3" s="1"/>
  <c r="R10" i="3" s="1"/>
  <c r="J10" i="3"/>
  <c r="B33" i="1"/>
  <c r="C32" i="1"/>
  <c r="D32" i="1" s="1"/>
  <c r="E32" i="1" s="1"/>
  <c r="F32" i="1" s="1"/>
  <c r="B3" i="10"/>
  <c r="T31" i="3"/>
  <c r="T24" i="3"/>
  <c r="T22" i="3"/>
  <c r="C8" i="9"/>
  <c r="D8" i="9" s="1"/>
  <c r="E8" i="9" s="1"/>
  <c r="F8" i="9" s="1"/>
  <c r="G8" i="9" s="1"/>
  <c r="S24" i="3" s="1"/>
  <c r="C14" i="9"/>
  <c r="D14" i="9" s="1"/>
  <c r="E14" i="9" s="1"/>
  <c r="F14" i="9" s="1"/>
  <c r="G14" i="9" s="1"/>
  <c r="S30" i="3" s="1"/>
  <c r="C13" i="9"/>
  <c r="D13" i="9" s="1"/>
  <c r="E13" i="9" s="1"/>
  <c r="F13" i="9" s="1"/>
  <c r="G15" i="8"/>
  <c r="O31" i="3" s="1"/>
  <c r="B13" i="3"/>
  <c r="C15" i="9"/>
  <c r="D15" i="9" s="1"/>
  <c r="E15" i="9" s="1"/>
  <c r="F15" i="9" s="1"/>
  <c r="G15" i="9" s="1"/>
  <c r="S31" i="3" s="1"/>
  <c r="T28" i="3"/>
  <c r="T23" i="3"/>
  <c r="C12" i="9"/>
  <c r="D12" i="9" s="1"/>
  <c r="E12" i="9" s="1"/>
  <c r="F12" i="9" s="1"/>
  <c r="G12" i="9" s="1"/>
  <c r="S28" i="3" s="1"/>
  <c r="C9" i="9"/>
  <c r="D9" i="9" s="1"/>
  <c r="E9" i="9" s="1"/>
  <c r="F9" i="9" s="1"/>
  <c r="T27" i="3"/>
  <c r="T29" i="3"/>
  <c r="C11" i="9"/>
  <c r="D11" i="9" s="1"/>
  <c r="E11" i="9" s="1"/>
  <c r="F11" i="9" s="1"/>
  <c r="G11" i="9" s="1"/>
  <c r="S27" i="3" s="1"/>
  <c r="Q11" i="3" s="1"/>
  <c r="C10" i="9"/>
  <c r="D10" i="9" s="1"/>
  <c r="E10" i="9" s="1"/>
  <c r="F10" i="9" s="1"/>
  <c r="G10" i="9" s="1"/>
  <c r="T30" i="3"/>
  <c r="T26" i="3"/>
  <c r="T25" i="3"/>
  <c r="D12" i="3"/>
  <c r="C6" i="9"/>
  <c r="D6" i="9" s="1"/>
  <c r="E6" i="9" s="1"/>
  <c r="F6" i="9" s="1"/>
  <c r="G6" i="9" s="1"/>
  <c r="S22" i="3" s="1"/>
  <c r="Z12" i="3"/>
  <c r="AB12" i="3" s="1"/>
  <c r="C7" i="9"/>
  <c r="D7" i="9" s="1"/>
  <c r="E7" i="9" s="1"/>
  <c r="F7" i="9" s="1"/>
  <c r="G7" i="9" s="1"/>
  <c r="S23" i="3" s="1"/>
  <c r="G12" i="8"/>
  <c r="O28" i="3" s="1"/>
  <c r="G13" i="8"/>
  <c r="O29" i="3" s="1"/>
  <c r="AB11" i="3"/>
  <c r="O30" i="3"/>
  <c r="O25" i="3"/>
  <c r="O24" i="3"/>
  <c r="O23" i="3"/>
  <c r="O22" i="3"/>
  <c r="C10" i="1"/>
  <c r="T35" i="1"/>
  <c r="N35" i="1"/>
  <c r="H35" i="1"/>
  <c r="L13" i="3"/>
  <c r="B10" i="10"/>
  <c r="H15" i="10"/>
  <c r="H8" i="10"/>
  <c r="B7" i="10"/>
  <c r="H12" i="10"/>
  <c r="B12" i="10"/>
  <c r="V13" i="3"/>
  <c r="A34" i="1"/>
  <c r="A35" i="1"/>
  <c r="B9" i="10"/>
  <c r="Y13" i="3"/>
  <c r="T13" i="3"/>
  <c r="I23" i="1"/>
  <c r="H13" i="10"/>
  <c r="D10" i="1"/>
  <c r="D9" i="1"/>
  <c r="B11" i="10"/>
  <c r="B6" i="10"/>
  <c r="B14" i="10"/>
  <c r="P13" i="3"/>
  <c r="H14" i="10"/>
  <c r="I24" i="1"/>
  <c r="H6" i="10"/>
  <c r="H9" i="10"/>
  <c r="E10" i="1"/>
  <c r="H11" i="10"/>
  <c r="E9" i="1"/>
  <c r="B15" i="10"/>
  <c r="B13" i="10"/>
  <c r="B8" i="10"/>
  <c r="H7" i="10"/>
  <c r="H10" i="10"/>
  <c r="U35" i="1" l="1"/>
  <c r="V35" i="1" s="1"/>
  <c r="W35" i="1" s="1"/>
  <c r="X35" i="1" s="1"/>
  <c r="Y35" i="1" s="1"/>
  <c r="AH14" i="3" s="1"/>
  <c r="V34" i="1"/>
  <c r="W34" i="1" s="1"/>
  <c r="X34" i="1" s="1"/>
  <c r="Y34" i="1" s="1"/>
  <c r="AH13" i="3" s="1"/>
  <c r="O35" i="1"/>
  <c r="S34" i="1"/>
  <c r="AG13" i="3" s="1"/>
  <c r="B3" i="11"/>
  <c r="I35" i="1"/>
  <c r="J35" i="1" s="1"/>
  <c r="K35" i="1" s="1"/>
  <c r="L35" i="1" s="1"/>
  <c r="M35" i="1" s="1"/>
  <c r="AE14" i="3" s="1"/>
  <c r="J11" i="3"/>
  <c r="B35" i="1"/>
  <c r="B34" i="1"/>
  <c r="C33" i="1"/>
  <c r="D33" i="1" s="1"/>
  <c r="E33" i="1" s="1"/>
  <c r="F33" i="1" s="1"/>
  <c r="G13" i="9"/>
  <c r="S29" i="3" s="1"/>
  <c r="AA21" i="3"/>
  <c r="C12" i="10"/>
  <c r="D12" i="10" s="1"/>
  <c r="E12" i="10" s="1"/>
  <c r="F12" i="10" s="1"/>
  <c r="G12" i="10" s="1"/>
  <c r="W28" i="3" s="1"/>
  <c r="Y28" i="3"/>
  <c r="C7" i="10"/>
  <c r="D7" i="10" s="1"/>
  <c r="E7" i="10" s="1"/>
  <c r="F7" i="10" s="1"/>
  <c r="G7" i="10" s="1"/>
  <c r="W23" i="3" s="1"/>
  <c r="Y24" i="3"/>
  <c r="Y31" i="3"/>
  <c r="C10" i="10"/>
  <c r="D10" i="10" s="1"/>
  <c r="E10" i="10" s="1"/>
  <c r="F10" i="10" s="1"/>
  <c r="G10" i="10" s="1"/>
  <c r="W26" i="3" s="1"/>
  <c r="R12" i="3" s="1"/>
  <c r="G9" i="9"/>
  <c r="S25" i="3" s="1"/>
  <c r="Y29" i="3"/>
  <c r="C8" i="10"/>
  <c r="D8" i="10" s="1"/>
  <c r="E8" i="10" s="1"/>
  <c r="F8" i="10" s="1"/>
  <c r="G8" i="10" s="1"/>
  <c r="W24" i="3" s="1"/>
  <c r="Y30" i="3"/>
  <c r="Y26" i="3"/>
  <c r="C13" i="10"/>
  <c r="D13" i="10" s="1"/>
  <c r="E13" i="10" s="1"/>
  <c r="F13" i="10" s="1"/>
  <c r="G13" i="10" s="1"/>
  <c r="W29" i="3" s="1"/>
  <c r="C14" i="10"/>
  <c r="D14" i="10" s="1"/>
  <c r="E14" i="10" s="1"/>
  <c r="F14" i="10" s="1"/>
  <c r="G14" i="10" s="1"/>
  <c r="W30" i="3" s="1"/>
  <c r="Y23" i="3"/>
  <c r="C15" i="10"/>
  <c r="D15" i="10" s="1"/>
  <c r="E15" i="10" s="1"/>
  <c r="F15" i="10" s="1"/>
  <c r="G15" i="10" s="1"/>
  <c r="W31" i="3" s="1"/>
  <c r="C6" i="10"/>
  <c r="D6" i="10" s="1"/>
  <c r="E6" i="10" s="1"/>
  <c r="F6" i="10" s="1"/>
  <c r="G6" i="10" s="1"/>
  <c r="W22" i="3" s="1"/>
  <c r="Y25" i="3"/>
  <c r="Y22" i="3"/>
  <c r="C9" i="10"/>
  <c r="D9" i="10" s="1"/>
  <c r="E9" i="10" s="1"/>
  <c r="F9" i="10" s="1"/>
  <c r="Y27" i="3"/>
  <c r="C11" i="10"/>
  <c r="D11" i="10" s="1"/>
  <c r="E11" i="10" s="1"/>
  <c r="F11" i="10" s="1"/>
  <c r="G11" i="10" s="1"/>
  <c r="W27" i="3" s="1"/>
  <c r="Q12" i="3" s="1"/>
  <c r="D13" i="3"/>
  <c r="Z13" i="3"/>
  <c r="AB13" i="3" s="1"/>
  <c r="D14" i="3"/>
  <c r="S26" i="3"/>
  <c r="R11" i="3" s="1"/>
  <c r="C11" i="1"/>
  <c r="B14" i="3"/>
  <c r="T36" i="1"/>
  <c r="N36" i="1"/>
  <c r="H36" i="1"/>
  <c r="H8" i="11"/>
  <c r="B10" i="11"/>
  <c r="H10" i="11"/>
  <c r="H15" i="11"/>
  <c r="H14" i="11"/>
  <c r="B6" i="11"/>
  <c r="B9" i="11"/>
  <c r="B12" i="11"/>
  <c r="H7" i="11"/>
  <c r="H11" i="11"/>
  <c r="H9" i="11"/>
  <c r="H13" i="11"/>
  <c r="B14" i="11"/>
  <c r="B11" i="11"/>
  <c r="H12" i="11"/>
  <c r="B7" i="11"/>
  <c r="B8" i="11"/>
  <c r="H6" i="11"/>
  <c r="B15" i="11"/>
  <c r="B13" i="11"/>
  <c r="L14" i="3"/>
  <c r="A36" i="1"/>
  <c r="V14" i="3"/>
  <c r="E11" i="1"/>
  <c r="D11" i="1"/>
  <c r="U36" i="1" l="1"/>
  <c r="O36" i="1"/>
  <c r="P36" i="1" s="1"/>
  <c r="Q36" i="1" s="1"/>
  <c r="R36" i="1" s="1"/>
  <c r="P35" i="1"/>
  <c r="Q35" i="1" s="1"/>
  <c r="R35" i="1" s="1"/>
  <c r="S35" i="1" s="1"/>
  <c r="AG14" i="3" s="1"/>
  <c r="C13" i="11"/>
  <c r="D13" i="11" s="1"/>
  <c r="E13" i="11" s="1"/>
  <c r="F13" i="11" s="1"/>
  <c r="C15" i="11"/>
  <c r="D15" i="11" s="1"/>
  <c r="E15" i="11" s="1"/>
  <c r="F15" i="11" s="1"/>
  <c r="AC22" i="3"/>
  <c r="C8" i="11"/>
  <c r="D8" i="11" s="1"/>
  <c r="E8" i="11" s="1"/>
  <c r="F8" i="11" s="1"/>
  <c r="G8" i="11" s="1"/>
  <c r="AA24" i="3" s="1"/>
  <c r="C7" i="11"/>
  <c r="D7" i="11" s="1"/>
  <c r="E7" i="11" s="1"/>
  <c r="F7" i="11" s="1"/>
  <c r="G7" i="11" s="1"/>
  <c r="AA23" i="3" s="1"/>
  <c r="AC28" i="3"/>
  <c r="C11" i="11"/>
  <c r="D11" i="11" s="1"/>
  <c r="E11" i="11" s="1"/>
  <c r="F11" i="11" s="1"/>
  <c r="G11" i="11" s="1"/>
  <c r="AA27" i="3" s="1"/>
  <c r="Q13" i="3" s="1"/>
  <c r="C14" i="11"/>
  <c r="D14" i="11" s="1"/>
  <c r="E14" i="11" s="1"/>
  <c r="F14" i="11" s="1"/>
  <c r="G14" i="11" s="1"/>
  <c r="AA30" i="3" s="1"/>
  <c r="AC29" i="3"/>
  <c r="AC25" i="3"/>
  <c r="AC27" i="3"/>
  <c r="AC23" i="3"/>
  <c r="C12" i="11"/>
  <c r="D12" i="11" s="1"/>
  <c r="E12" i="11" s="1"/>
  <c r="F12" i="11" s="1"/>
  <c r="G12" i="11" s="1"/>
  <c r="AA28" i="3" s="1"/>
  <c r="C9" i="11"/>
  <c r="D9" i="11" s="1"/>
  <c r="E9" i="11" s="1"/>
  <c r="F9" i="11" s="1"/>
  <c r="G9" i="11" s="1"/>
  <c r="AA25" i="3" s="1"/>
  <c r="C6" i="11"/>
  <c r="D6" i="11" s="1"/>
  <c r="E6" i="11" s="1"/>
  <c r="F6" i="11" s="1"/>
  <c r="G6" i="11" s="1"/>
  <c r="AA22" i="3" s="1"/>
  <c r="AC30" i="3"/>
  <c r="AC31" i="3"/>
  <c r="AC26" i="3"/>
  <c r="C10" i="11"/>
  <c r="D10" i="11" s="1"/>
  <c r="E10" i="11" s="1"/>
  <c r="F10" i="11" s="1"/>
  <c r="G10" i="11" s="1"/>
  <c r="AA26" i="3" s="1"/>
  <c r="R13" i="3" s="1"/>
  <c r="AC24" i="3"/>
  <c r="I36" i="1"/>
  <c r="C34" i="1"/>
  <c r="D34" i="1" s="1"/>
  <c r="E34" i="1" s="1"/>
  <c r="F34" i="1" s="1"/>
  <c r="J12" i="3"/>
  <c r="B36" i="1"/>
  <c r="C35" i="1"/>
  <c r="D35" i="1" s="1"/>
  <c r="E35" i="1" s="1"/>
  <c r="F35" i="1" s="1"/>
  <c r="G9" i="10"/>
  <c r="W25" i="3" s="1"/>
  <c r="D15" i="3"/>
  <c r="AG21" i="3"/>
  <c r="B3" i="12"/>
  <c r="B15" i="3"/>
  <c r="C12" i="1"/>
  <c r="H12" i="12"/>
  <c r="H11" i="12"/>
  <c r="T37" i="1"/>
  <c r="N37" i="1"/>
  <c r="H37" i="1"/>
  <c r="L15" i="3"/>
  <c r="A37" i="1"/>
  <c r="B11" i="12"/>
  <c r="Y14" i="3"/>
  <c r="E12" i="1"/>
  <c r="T14" i="3"/>
  <c r="P14" i="3"/>
  <c r="B6" i="12"/>
  <c r="U37" i="1" l="1"/>
  <c r="V37" i="1" s="1"/>
  <c r="W37" i="1" s="1"/>
  <c r="X37" i="1" s="1"/>
  <c r="Y37" i="1" s="1"/>
  <c r="AH16" i="3" s="1"/>
  <c r="V36" i="1"/>
  <c r="W36" i="1" s="1"/>
  <c r="X36" i="1" s="1"/>
  <c r="Y36" i="1" s="1"/>
  <c r="AH15" i="3" s="1"/>
  <c r="O37" i="1"/>
  <c r="S36" i="1"/>
  <c r="AG15" i="3" s="1"/>
  <c r="G15" i="11"/>
  <c r="AA31" i="3" s="1"/>
  <c r="G13" i="11"/>
  <c r="AA29" i="3" s="1"/>
  <c r="I37" i="1"/>
  <c r="J37" i="1" s="1"/>
  <c r="K37" i="1" s="1"/>
  <c r="L37" i="1" s="1"/>
  <c r="M37" i="1" s="1"/>
  <c r="AE16" i="3" s="1"/>
  <c r="J36" i="1"/>
  <c r="K36" i="1" s="1"/>
  <c r="L36" i="1" s="1"/>
  <c r="M36" i="1" s="1"/>
  <c r="AE15" i="3" s="1"/>
  <c r="J13" i="3"/>
  <c r="C36" i="1"/>
  <c r="D36" i="1" s="1"/>
  <c r="E36" i="1" s="1"/>
  <c r="F36" i="1" s="1"/>
  <c r="J14" i="3"/>
  <c r="B37" i="1"/>
  <c r="Z14" i="3"/>
  <c r="AB14" i="3" s="1"/>
  <c r="D16" i="3"/>
  <c r="B33" i="3"/>
  <c r="B3" i="13"/>
  <c r="AH28" i="3"/>
  <c r="C11" i="12"/>
  <c r="D11" i="12" s="1"/>
  <c r="E11" i="12" s="1"/>
  <c r="F11" i="12" s="1"/>
  <c r="G11" i="12" s="1"/>
  <c r="C6" i="12"/>
  <c r="D6" i="12" s="1"/>
  <c r="E6" i="12" s="1"/>
  <c r="F6" i="12" s="1"/>
  <c r="G6" i="12" s="1"/>
  <c r="AG22" i="3" s="1"/>
  <c r="B16" i="3"/>
  <c r="L16" i="3"/>
  <c r="B15" i="12"/>
  <c r="Y15" i="3"/>
  <c r="H7" i="13"/>
  <c r="H7" i="12"/>
  <c r="B12" i="13"/>
  <c r="B14" i="13"/>
  <c r="H6" i="12"/>
  <c r="H10" i="12"/>
  <c r="D12" i="1"/>
  <c r="H12" i="13"/>
  <c r="B7" i="12"/>
  <c r="H15" i="12"/>
  <c r="H9" i="12"/>
  <c r="H13" i="12"/>
  <c r="H15" i="13"/>
  <c r="B10" i="12"/>
  <c r="P15" i="3"/>
  <c r="B12" i="12"/>
  <c r="H14" i="13"/>
  <c r="B13" i="12"/>
  <c r="V16" i="3"/>
  <c r="B8" i="12"/>
  <c r="B9" i="13"/>
  <c r="H14" i="12"/>
  <c r="B14" i="12"/>
  <c r="B11" i="13"/>
  <c r="H11" i="13"/>
  <c r="V15" i="3"/>
  <c r="B10" i="13"/>
  <c r="B15" i="13"/>
  <c r="H8" i="12"/>
  <c r="T15" i="3"/>
  <c r="B9" i="12"/>
  <c r="AG27" i="3" l="1"/>
  <c r="P37" i="1"/>
  <c r="Q37" i="1" s="1"/>
  <c r="R37" i="1" s="1"/>
  <c r="S37" i="1" s="1"/>
  <c r="AG16" i="3" s="1"/>
  <c r="J15" i="3"/>
  <c r="C37" i="1"/>
  <c r="D37" i="1" s="1"/>
  <c r="E37" i="1" s="1"/>
  <c r="F37" i="1" s="1"/>
  <c r="C12" i="12"/>
  <c r="D12" i="12" s="1"/>
  <c r="E12" i="12" s="1"/>
  <c r="F12" i="12" s="1"/>
  <c r="G12" i="12" s="1"/>
  <c r="AH22" i="3"/>
  <c r="Z15" i="3"/>
  <c r="AB15" i="3" s="1"/>
  <c r="C7" i="12"/>
  <c r="D7" i="12" s="1"/>
  <c r="E7" i="12" s="1"/>
  <c r="F7" i="12" s="1"/>
  <c r="G7" i="12" s="1"/>
  <c r="AG23" i="3" s="1"/>
  <c r="AH24" i="3"/>
  <c r="AH23" i="3"/>
  <c r="AH26" i="3"/>
  <c r="C14" i="12"/>
  <c r="D14" i="12" s="1"/>
  <c r="E14" i="12" s="1"/>
  <c r="F14" i="12" s="1"/>
  <c r="G14" i="12" s="1"/>
  <c r="AH31" i="3"/>
  <c r="C8" i="12"/>
  <c r="D8" i="12" s="1"/>
  <c r="E8" i="12" s="1"/>
  <c r="F8" i="12" s="1"/>
  <c r="G8" i="12" s="1"/>
  <c r="AG24" i="3" s="1"/>
  <c r="C15" i="12"/>
  <c r="D15" i="12" s="1"/>
  <c r="E15" i="12" s="1"/>
  <c r="F15" i="12" s="1"/>
  <c r="G15" i="12" s="1"/>
  <c r="AG31" i="3" s="1"/>
  <c r="C9" i="12"/>
  <c r="D9" i="12" s="1"/>
  <c r="E9" i="12" s="1"/>
  <c r="F9" i="12" s="1"/>
  <c r="G9" i="12" s="1"/>
  <c r="AG25" i="3" s="1"/>
  <c r="AH29" i="3"/>
  <c r="C10" i="12"/>
  <c r="D10" i="12" s="1"/>
  <c r="E10" i="12" s="1"/>
  <c r="F10" i="12" s="1"/>
  <c r="G10" i="12" s="1"/>
  <c r="AG26" i="3" s="1"/>
  <c r="R14" i="3" s="1"/>
  <c r="C13" i="12"/>
  <c r="D13" i="12" s="1"/>
  <c r="E13" i="12" s="1"/>
  <c r="F13" i="12" s="1"/>
  <c r="G13" i="12" s="1"/>
  <c r="AH25" i="3"/>
  <c r="AH27" i="3"/>
  <c r="AH30" i="3"/>
  <c r="C42" i="3"/>
  <c r="C43" i="3"/>
  <c r="C40" i="3"/>
  <c r="C39" i="3"/>
  <c r="C35" i="3"/>
  <c r="E33" i="3"/>
  <c r="B3" i="14"/>
  <c r="C9" i="13"/>
  <c r="D9" i="13" s="1"/>
  <c r="E9" i="13" s="1"/>
  <c r="F9" i="13" s="1"/>
  <c r="C10" i="13"/>
  <c r="D10" i="13" s="1"/>
  <c r="E10" i="13" s="1"/>
  <c r="F10" i="13" s="1"/>
  <c r="G10" i="13" s="1"/>
  <c r="B38" i="3" s="1"/>
  <c r="R15" i="3" s="1"/>
  <c r="C12" i="13"/>
  <c r="D12" i="13" s="1"/>
  <c r="E12" i="13" s="1"/>
  <c r="F12" i="13" s="1"/>
  <c r="G12" i="13" s="1"/>
  <c r="B40" i="3" s="1"/>
  <c r="C11" i="13"/>
  <c r="D11" i="13" s="1"/>
  <c r="E11" i="13" s="1"/>
  <c r="F11" i="13" s="1"/>
  <c r="G11" i="13" s="1"/>
  <c r="B39" i="3" s="1"/>
  <c r="Q15" i="3" s="1"/>
  <c r="C14" i="13"/>
  <c r="D14" i="13" s="1"/>
  <c r="E14" i="13" s="1"/>
  <c r="F14" i="13" s="1"/>
  <c r="G14" i="13" s="1"/>
  <c r="B42" i="3" s="1"/>
  <c r="C15" i="13"/>
  <c r="D15" i="13" s="1"/>
  <c r="E15" i="13" s="1"/>
  <c r="F15" i="13" s="1"/>
  <c r="G15" i="13" s="1"/>
  <c r="B43" i="3" s="1"/>
  <c r="B14" i="14"/>
  <c r="B11" i="14"/>
  <c r="H15" i="14"/>
  <c r="H10" i="13"/>
  <c r="B13" i="13"/>
  <c r="H13" i="13"/>
  <c r="H9" i="13"/>
  <c r="B8" i="13"/>
  <c r="T16" i="3"/>
  <c r="B6" i="13"/>
  <c r="Y16" i="3"/>
  <c r="H11" i="14"/>
  <c r="P16" i="3"/>
  <c r="B9" i="14"/>
  <c r="H8" i="13"/>
  <c r="B7" i="13"/>
  <c r="H6" i="13"/>
  <c r="AG30" i="3" l="1"/>
  <c r="AG29" i="3"/>
  <c r="AG28" i="3"/>
  <c r="J16" i="3"/>
  <c r="C34" i="3"/>
  <c r="Z16" i="3"/>
  <c r="AB16" i="3" s="1"/>
  <c r="C41" i="3"/>
  <c r="C7" i="13"/>
  <c r="D7" i="13" s="1"/>
  <c r="E7" i="13" s="1"/>
  <c r="F7" i="13" s="1"/>
  <c r="G7" i="13" s="1"/>
  <c r="B35" i="3" s="1"/>
  <c r="C6" i="13"/>
  <c r="D6" i="13" s="1"/>
  <c r="E6" i="13" s="1"/>
  <c r="F6" i="13" s="1"/>
  <c r="G6" i="13" s="1"/>
  <c r="B34" i="3" s="1"/>
  <c r="C13" i="13"/>
  <c r="D13" i="13" s="1"/>
  <c r="E13" i="13" s="1"/>
  <c r="F13" i="13" s="1"/>
  <c r="C36" i="3"/>
  <c r="C8" i="13"/>
  <c r="D8" i="13" s="1"/>
  <c r="E8" i="13" s="1"/>
  <c r="F8" i="13" s="1"/>
  <c r="G8" i="13" s="1"/>
  <c r="B36" i="3" s="1"/>
  <c r="C38" i="3"/>
  <c r="C37" i="3"/>
  <c r="Q14" i="3"/>
  <c r="F43" i="3"/>
  <c r="F39" i="3"/>
  <c r="C9" i="14"/>
  <c r="D9" i="14" s="1"/>
  <c r="E9" i="14" s="1"/>
  <c r="F9" i="14" s="1"/>
  <c r="C11" i="14"/>
  <c r="D11" i="14" s="1"/>
  <c r="E11" i="14" s="1"/>
  <c r="F11" i="14" s="1"/>
  <c r="G11" i="14" s="1"/>
  <c r="E39" i="3" s="1"/>
  <c r="Q16" i="3" s="1"/>
  <c r="C14" i="14"/>
  <c r="D14" i="14" s="1"/>
  <c r="E14" i="14" s="1"/>
  <c r="F14" i="14" s="1"/>
  <c r="G14" i="14" s="1"/>
  <c r="E42" i="3" s="1"/>
  <c r="G9" i="13"/>
  <c r="B37" i="3" s="1"/>
  <c r="B13" i="14"/>
  <c r="H14" i="14"/>
  <c r="H13" i="14"/>
  <c r="B6" i="14"/>
  <c r="B10" i="14"/>
  <c r="H9" i="14"/>
  <c r="H8" i="14"/>
  <c r="H6" i="14"/>
  <c r="H10" i="14"/>
  <c r="B12" i="14"/>
  <c r="B7" i="14"/>
  <c r="H12" i="14"/>
  <c r="B15" i="14"/>
  <c r="B8" i="14"/>
  <c r="H7" i="14"/>
  <c r="F42" i="3" l="1"/>
  <c r="C12" i="14"/>
  <c r="D12" i="14" s="1"/>
  <c r="E12" i="14" s="1"/>
  <c r="F12" i="14" s="1"/>
  <c r="G12" i="14" s="1"/>
  <c r="E40" i="3" s="1"/>
  <c r="F37" i="3"/>
  <c r="F35" i="3"/>
  <c r="F40" i="3"/>
  <c r="F38" i="3"/>
  <c r="C10" i="14"/>
  <c r="D10" i="14" s="1"/>
  <c r="E10" i="14" s="1"/>
  <c r="F10" i="14" s="1"/>
  <c r="G10" i="14" s="1"/>
  <c r="E38" i="3" s="1"/>
  <c r="R16" i="3" s="1"/>
  <c r="C8" i="14"/>
  <c r="D8" i="14" s="1"/>
  <c r="E8" i="14" s="1"/>
  <c r="F8" i="14" s="1"/>
  <c r="G8" i="14" s="1"/>
  <c r="E36" i="3" s="1"/>
  <c r="C7" i="14"/>
  <c r="D7" i="14" s="1"/>
  <c r="E7" i="14" s="1"/>
  <c r="F7" i="14" s="1"/>
  <c r="G7" i="14" s="1"/>
  <c r="E35" i="3" s="1"/>
  <c r="F34" i="3"/>
  <c r="C6" i="14"/>
  <c r="D6" i="14" s="1"/>
  <c r="E6" i="14" s="1"/>
  <c r="F6" i="14" s="1"/>
  <c r="G6" i="14" s="1"/>
  <c r="E34" i="3" s="1"/>
  <c r="C15" i="14"/>
  <c r="D15" i="14" s="1"/>
  <c r="E15" i="14" s="1"/>
  <c r="F15" i="14" s="1"/>
  <c r="G15" i="14" s="1"/>
  <c r="E43" i="3" s="1"/>
  <c r="C13" i="14"/>
  <c r="D13" i="14" s="1"/>
  <c r="E13" i="14" s="1"/>
  <c r="F13" i="14" s="1"/>
  <c r="G13" i="14" s="1"/>
  <c r="E41" i="3" s="1"/>
  <c r="F36" i="3"/>
  <c r="F41" i="3"/>
  <c r="G13" i="13"/>
  <c r="B41" i="3" s="1"/>
  <c r="G9" i="14"/>
  <c r="E37" i="3" s="1"/>
</calcChain>
</file>

<file path=xl/sharedStrings.xml><?xml version="1.0" encoding="utf-8"?>
<sst xmlns="http://schemas.openxmlformats.org/spreadsheetml/2006/main" count="35" uniqueCount="28">
  <si>
    <t>Year 1</t>
  </si>
  <si>
    <t>Year 2</t>
  </si>
  <si>
    <t>One December</t>
  </si>
  <si>
    <t>Two Decembers</t>
  </si>
  <si>
    <t>Symbol</t>
  </si>
  <si>
    <t>Description</t>
  </si>
  <si>
    <t>Last Trade</t>
  </si>
  <si>
    <t>Net Chge</t>
  </si>
  <si>
    <t>Volume</t>
  </si>
  <si>
    <t>Bid Vol</t>
  </si>
  <si>
    <t>Ask</t>
  </si>
  <si>
    <t>Ask Vol</t>
  </si>
  <si>
    <t>Bid</t>
  </si>
  <si>
    <t>Open</t>
  </si>
  <si>
    <t>High</t>
  </si>
  <si>
    <t>Low</t>
  </si>
  <si>
    <t>Y_Volume</t>
  </si>
  <si>
    <t>Volume Net Change</t>
  </si>
  <si>
    <t>ZSE</t>
  </si>
  <si>
    <t>ZME</t>
  </si>
  <si>
    <t>ZLE</t>
  </si>
  <si>
    <t>Year:</t>
  </si>
  <si>
    <t>Symbol:</t>
  </si>
  <si>
    <t>D</t>
  </si>
  <si>
    <t>Time Frame:</t>
  </si>
  <si>
    <t>CQG Globex Exchange Quoted Crush Spreads Monitor</t>
  </si>
  <si>
    <t xml:space="preserve">           Copyright © 2016  </t>
  </si>
  <si>
    <t xml:space="preserve">Chicago: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</si>
</sst>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6" formatCode="[$-F400]h:mm:ss\ AM/PM"/>
  </numFmts>
  <fonts count="1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sz val="28"/>
      <color rgb="FF00B050"/>
      <name val="Century Gothic"/>
      <family val="2"/>
    </font>
    <font>
      <sz val="14"/>
      <color theme="0"/>
      <name val="Century Gothic"/>
      <family val="2"/>
    </font>
    <font>
      <sz val="12"/>
      <color theme="1"/>
      <name val="Century Gothic"/>
      <family val="2"/>
    </font>
    <font>
      <sz val="14"/>
      <color rgb="FF00B050"/>
      <name val="Century Gothic"/>
      <family val="2"/>
    </font>
    <font>
      <sz val="14"/>
      <color rgb="FFFF0000"/>
      <name val="Century Gothic"/>
      <family val="2"/>
    </font>
    <font>
      <sz val="14"/>
      <color theme="4"/>
      <name val="Century Gothic"/>
      <family val="2"/>
    </font>
    <font>
      <sz val="11"/>
      <color theme="4"/>
      <name val="Century Gothic"/>
      <family val="2"/>
    </font>
    <font>
      <sz val="12"/>
      <color theme="0"/>
      <name val="Century Gothic"/>
      <family val="2"/>
    </font>
    <font>
      <sz val="12"/>
      <color theme="4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00000F"/>
        </stop>
        <stop position="1">
          <color rgb="FFFF0000"/>
        </stop>
      </gradientFill>
    </fill>
    <fill>
      <gradientFill degree="270">
        <stop position="0">
          <color rgb="FF00000F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FF0000"/>
      </bottom>
      <diagonal/>
    </border>
    <border>
      <left/>
      <right style="thin">
        <color rgb="FF002060"/>
      </right>
      <top style="thin">
        <color rgb="FF002060"/>
      </top>
      <bottom style="thin">
        <color rgb="FFFF000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00B050"/>
      </bottom>
      <diagonal/>
    </border>
    <border>
      <left/>
      <right style="thin">
        <color rgb="FFFF0000"/>
      </right>
      <top style="thin">
        <color rgb="FFFF0000"/>
      </top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2060"/>
      </top>
      <bottom style="thin">
        <color rgb="FFFF0000"/>
      </bottom>
      <diagonal/>
    </border>
    <border>
      <left style="thin">
        <color theme="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B05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/>
      <right/>
      <top style="thin">
        <color rgb="FF00B05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theme="4"/>
      </bottom>
      <diagonal/>
    </border>
    <border>
      <left/>
      <right/>
      <top style="thin">
        <color rgb="FF002060"/>
      </top>
      <bottom style="thin">
        <color theme="4"/>
      </bottom>
      <diagonal/>
    </border>
    <border>
      <left/>
      <right style="thin">
        <color rgb="FF002060"/>
      </right>
      <top style="thin">
        <color rgb="FF002060"/>
      </top>
      <bottom style="thin">
        <color theme="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2" borderId="0" xfId="0" applyFont="1" applyFill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8" borderId="35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0" fillId="4" borderId="9" xfId="0" applyFont="1" applyFill="1" applyBorder="1" applyAlignment="1" applyProtection="1">
      <alignment horizontal="center"/>
    </xf>
    <xf numFmtId="0" fontId="0" fillId="4" borderId="9" xfId="0" applyFont="1" applyFill="1" applyBorder="1" applyAlignment="1" applyProtection="1">
      <alignment horizontal="right"/>
    </xf>
    <xf numFmtId="0" fontId="0" fillId="4" borderId="26" xfId="0" applyFont="1" applyFill="1" applyBorder="1" applyAlignment="1" applyProtection="1">
      <alignment horizontal="center"/>
    </xf>
    <xf numFmtId="0" fontId="0" fillId="4" borderId="27" xfId="0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4" borderId="9" xfId="0" applyFont="1" applyFill="1" applyBorder="1" applyAlignment="1" applyProtection="1">
      <alignment horizontal="center"/>
    </xf>
    <xf numFmtId="0" fontId="0" fillId="4" borderId="26" xfId="0" applyFont="1" applyFill="1" applyBorder="1" applyAlignment="1" applyProtection="1">
      <alignment horizont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2" fontId="4" fillId="2" borderId="7" xfId="0" applyNumberFormat="1" applyFont="1" applyFill="1" applyBorder="1" applyAlignment="1" applyProtection="1">
      <alignment horizontal="center" vertical="center"/>
    </xf>
    <xf numFmtId="2" fontId="4" fillId="5" borderId="7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2" fontId="4" fillId="2" borderId="7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2" fontId="4" fillId="2" borderId="7" xfId="0" applyNumberFormat="1" applyFont="1" applyFill="1" applyBorder="1" applyAlignment="1" applyProtection="1">
      <alignment horizontal="center"/>
    </xf>
    <xf numFmtId="2" fontId="4" fillId="2" borderId="7" xfId="0" applyNumberFormat="1" applyFont="1" applyFill="1" applyBorder="1" applyAlignment="1" applyProtection="1">
      <alignment horizontal="center"/>
    </xf>
    <xf numFmtId="2" fontId="4" fillId="2" borderId="10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166" fontId="4" fillId="2" borderId="40" xfId="0" applyNumberFormat="1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2" fontId="4" fillId="5" borderId="11" xfId="0" applyNumberFormat="1" applyFont="1" applyFill="1" applyBorder="1" applyAlignment="1" applyProtection="1">
      <alignment horizontal="center" vertical="center"/>
    </xf>
    <xf numFmtId="1" fontId="4" fillId="2" borderId="11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1" fontId="4" fillId="2" borderId="11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/>
    </xf>
    <xf numFmtId="2" fontId="4" fillId="2" borderId="11" xfId="0" applyNumberFormat="1" applyFont="1" applyFill="1" applyBorder="1" applyAlignment="1" applyProtection="1">
      <alignment horizontal="center"/>
    </xf>
    <xf numFmtId="2" fontId="4" fillId="2" borderId="12" xfId="0" applyNumberFormat="1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4" fillId="8" borderId="0" xfId="0" applyFont="1" applyFill="1" applyProtection="1"/>
    <xf numFmtId="0" fontId="8" fillId="3" borderId="34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right"/>
    </xf>
    <xf numFmtId="0" fontId="4" fillId="2" borderId="24" xfId="0" applyFont="1" applyFill="1" applyBorder="1" applyAlignment="1" applyProtection="1">
      <alignment horizontal="right"/>
    </xf>
    <xf numFmtId="0" fontId="4" fillId="2" borderId="32" xfId="0" applyFont="1" applyFill="1" applyBorder="1" applyAlignment="1" applyProtection="1">
      <alignment horizontal="right"/>
    </xf>
    <xf numFmtId="0" fontId="4" fillId="2" borderId="25" xfId="0" applyFont="1" applyFill="1" applyBorder="1" applyAlignment="1" applyProtection="1">
      <alignment horizontal="right"/>
    </xf>
    <xf numFmtId="0" fontId="4" fillId="6" borderId="15" xfId="0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vertical="center"/>
    </xf>
    <xf numFmtId="0" fontId="4" fillId="6" borderId="28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vertical="center"/>
    </xf>
    <xf numFmtId="0" fontId="4" fillId="6" borderId="28" xfId="0" applyFont="1" applyFill="1" applyBorder="1" applyAlignment="1" applyProtection="1">
      <alignment horizontal="center"/>
    </xf>
    <xf numFmtId="0" fontId="4" fillId="6" borderId="29" xfId="0" applyFont="1" applyFill="1" applyBorder="1" applyAlignment="1" applyProtection="1">
      <alignment horizontal="center"/>
    </xf>
    <xf numFmtId="0" fontId="4" fillId="6" borderId="36" xfId="0" applyFont="1" applyFill="1" applyBorder="1" applyAlignment="1" applyProtection="1">
      <alignment horizontal="center"/>
    </xf>
    <xf numFmtId="0" fontId="4" fillId="6" borderId="36" xfId="0" applyFont="1" applyFill="1" applyBorder="1" applyAlignment="1" applyProtection="1">
      <alignment horizontal="right"/>
    </xf>
    <xf numFmtId="0" fontId="4" fillId="6" borderId="22" xfId="0" applyFont="1" applyFill="1" applyBorder="1" applyAlignment="1" applyProtection="1">
      <alignment horizontal="center"/>
    </xf>
    <xf numFmtId="0" fontId="4" fillId="6" borderId="23" xfId="0" applyFont="1" applyFill="1" applyBorder="1" applyAlignment="1" applyProtection="1">
      <alignment horizontal="center"/>
    </xf>
    <xf numFmtId="0" fontId="4" fillId="6" borderId="28" xfId="0" applyFont="1" applyFill="1" applyBorder="1" applyAlignment="1" applyProtection="1">
      <alignment horizontal="right"/>
    </xf>
    <xf numFmtId="0" fontId="4" fillId="6" borderId="31" xfId="0" applyFont="1" applyFill="1" applyBorder="1" applyAlignment="1" applyProtection="1">
      <alignment horizontal="right"/>
    </xf>
    <xf numFmtId="0" fontId="4" fillId="6" borderId="29" xfId="0" applyFont="1" applyFill="1" applyBorder="1" applyAlignment="1" applyProtection="1">
      <alignment horizontal="right"/>
    </xf>
    <xf numFmtId="0" fontId="4" fillId="6" borderId="15" xfId="0" applyFont="1" applyFill="1" applyBorder="1" applyAlignment="1" applyProtection="1">
      <alignment horizontal="center"/>
    </xf>
    <xf numFmtId="0" fontId="4" fillId="6" borderId="15" xfId="0" applyFont="1" applyFill="1" applyBorder="1" applyAlignment="1" applyProtection="1">
      <alignment horizontal="right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left" vertical="center"/>
    </xf>
    <xf numFmtId="0" fontId="4" fillId="7" borderId="20" xfId="0" applyFont="1" applyFill="1" applyBorder="1" applyAlignment="1" applyProtection="1">
      <alignment horizontal="center"/>
    </xf>
    <xf numFmtId="0" fontId="4" fillId="7" borderId="21" xfId="0" applyFont="1" applyFill="1" applyBorder="1" applyAlignment="1" applyProtection="1">
      <alignment horizontal="center"/>
    </xf>
    <xf numFmtId="0" fontId="4" fillId="7" borderId="14" xfId="0" applyFont="1" applyFill="1" applyBorder="1" applyAlignment="1" applyProtection="1">
      <alignment horizontal="center"/>
    </xf>
    <xf numFmtId="0" fontId="4" fillId="7" borderId="14" xfId="0" applyFont="1" applyFill="1" applyBorder="1" applyAlignment="1" applyProtection="1">
      <alignment horizontal="left"/>
    </xf>
    <xf numFmtId="0" fontId="4" fillId="7" borderId="20" xfId="0" applyFont="1" applyFill="1" applyBorder="1" applyAlignment="1" applyProtection="1">
      <alignment horizontal="left"/>
    </xf>
    <xf numFmtId="0" fontId="4" fillId="7" borderId="33" xfId="0" applyFont="1" applyFill="1" applyBorder="1" applyAlignment="1" applyProtection="1">
      <alignment horizontal="left"/>
    </xf>
    <xf numFmtId="0" fontId="4" fillId="7" borderId="21" xfId="0" applyFont="1" applyFill="1" applyBorder="1" applyAlignment="1" applyProtection="1">
      <alignment horizontal="left"/>
    </xf>
    <xf numFmtId="0" fontId="4" fillId="8" borderId="1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left"/>
    </xf>
    <xf numFmtId="0" fontId="4" fillId="2" borderId="20" xfId="0" applyFont="1" applyFill="1" applyBorder="1" applyAlignment="1" applyProtection="1">
      <alignment horizontal="left"/>
    </xf>
    <xf numFmtId="0" fontId="4" fillId="2" borderId="33" xfId="0" applyFont="1" applyFill="1" applyBorder="1" applyAlignment="1" applyProtection="1">
      <alignment horizontal="left"/>
    </xf>
    <xf numFmtId="0" fontId="4" fillId="2" borderId="21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11" fillId="8" borderId="26" xfId="0" applyFont="1" applyFill="1" applyBorder="1" applyAlignment="1" applyProtection="1">
      <alignment horizontal="center" vertical="center"/>
    </xf>
    <xf numFmtId="0" fontId="11" fillId="8" borderId="27" xfId="0" applyFont="1" applyFill="1" applyBorder="1" applyAlignment="1" applyProtection="1">
      <alignment horizontal="center" vertical="center"/>
    </xf>
    <xf numFmtId="0" fontId="11" fillId="8" borderId="30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38" xfId="0" applyFont="1" applyFill="1" applyBorder="1" applyProtection="1"/>
    <xf numFmtId="0" fontId="4" fillId="9" borderId="36" xfId="0" applyFont="1" applyFill="1" applyBorder="1" applyAlignment="1" applyProtection="1">
      <alignment vertical="center"/>
    </xf>
    <xf numFmtId="0" fontId="4" fillId="8" borderId="37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2" fillId="10" borderId="39" xfId="0" applyFont="1" applyFill="1" applyBorder="1" applyAlignment="1" applyProtection="1">
      <alignment horizontal="right" vertical="center"/>
    </xf>
    <xf numFmtId="0" fontId="2" fillId="10" borderId="8" xfId="0" applyFont="1" applyFill="1" applyBorder="1" applyAlignment="1" applyProtection="1">
      <alignment horizontal="right" vertical="center"/>
    </xf>
    <xf numFmtId="0" fontId="2" fillId="10" borderId="8" xfId="0" applyFont="1" applyFill="1" applyBorder="1" applyAlignment="1" applyProtection="1">
      <alignment horizontal="right" vertical="center"/>
    </xf>
    <xf numFmtId="0" fontId="10" fillId="10" borderId="18" xfId="0" applyFont="1" applyFill="1" applyBorder="1" applyAlignment="1" applyProtection="1">
      <alignment vertical="center"/>
    </xf>
    <xf numFmtId="12" fontId="4" fillId="2" borderId="18" xfId="0" applyNumberFormat="1" applyFont="1" applyFill="1" applyBorder="1" applyAlignment="1" applyProtection="1">
      <alignment vertical="center"/>
    </xf>
    <xf numFmtId="12" fontId="4" fillId="2" borderId="19" xfId="0" applyNumberFormat="1" applyFont="1" applyFill="1" applyBorder="1" applyAlignment="1" applyProtection="1">
      <alignment vertical="center"/>
    </xf>
    <xf numFmtId="12" fontId="4" fillId="2" borderId="7" xfId="0" applyNumberFormat="1" applyFont="1" applyFill="1" applyBorder="1" applyAlignment="1" applyProtection="1">
      <alignment horizontal="center"/>
    </xf>
    <xf numFmtId="12" fontId="4" fillId="2" borderId="7" xfId="0" applyNumberFormat="1" applyFont="1" applyFill="1" applyBorder="1" applyAlignment="1" applyProtection="1">
      <alignment horizontal="center"/>
    </xf>
    <xf numFmtId="12" fontId="4" fillId="2" borderId="10" xfId="0" applyNumberFormat="1" applyFont="1" applyFill="1" applyBorder="1" applyAlignment="1" applyProtection="1">
      <alignment horizontal="center"/>
    </xf>
    <xf numFmtId="0" fontId="10" fillId="10" borderId="18" xfId="0" applyFont="1" applyFill="1" applyBorder="1" applyAlignment="1" applyProtection="1">
      <alignment horizontal="right" vertical="center" shrinkToFit="1"/>
    </xf>
    <xf numFmtId="0" fontId="10" fillId="10" borderId="18" xfId="0" applyFont="1" applyFill="1" applyBorder="1" applyAlignment="1" applyProtection="1">
      <alignment vertical="center" shrinkToFit="1"/>
      <protection locked="0"/>
    </xf>
    <xf numFmtId="0" fontId="10" fillId="10" borderId="18" xfId="0" applyFont="1" applyFill="1" applyBorder="1" applyAlignment="1" applyProtection="1">
      <alignment vertical="center" shrinkToFit="1"/>
    </xf>
    <xf numFmtId="0" fontId="10" fillId="10" borderId="18" xfId="0" applyFont="1" applyFill="1" applyBorder="1" applyAlignment="1" applyProtection="1">
      <alignment horizontal="center" vertical="center" shrinkToFit="1"/>
    </xf>
    <xf numFmtId="0" fontId="10" fillId="10" borderId="18" xfId="0" applyFont="1" applyFill="1" applyBorder="1" applyAlignment="1" applyProtection="1">
      <alignment horizontal="left" vertical="center" shrinkToFit="1"/>
      <protection locked="0"/>
    </xf>
    <xf numFmtId="0" fontId="10" fillId="10" borderId="18" xfId="0" applyFont="1" applyFill="1" applyBorder="1" applyAlignment="1" applyProtection="1">
      <alignment horizontal="left" vertical="center" shrinkToFit="1"/>
    </xf>
    <xf numFmtId="0" fontId="10" fillId="10" borderId="19" xfId="0" applyFont="1" applyFill="1" applyBorder="1" applyAlignment="1" applyProtection="1">
      <alignment horizontal="left" vertical="center" shrinkToFit="1"/>
    </xf>
    <xf numFmtId="166" fontId="10" fillId="10" borderId="8" xfId="0" applyNumberFormat="1" applyFont="1" applyFill="1" applyBorder="1" applyAlignment="1" applyProtection="1">
      <alignment horizontal="center" vertical="center" shrinkToFit="1"/>
    </xf>
    <xf numFmtId="0" fontId="10" fillId="10" borderId="8" xfId="0" applyFont="1" applyFill="1" applyBorder="1" applyAlignment="1" applyProtection="1">
      <alignment horizontal="right" vertical="center" shrinkToFit="1"/>
    </xf>
    <xf numFmtId="166" fontId="10" fillId="10" borderId="8" xfId="0" applyNumberFormat="1" applyFont="1" applyFill="1" applyBorder="1" applyAlignment="1" applyProtection="1">
      <alignment horizontal="center" vertical="center" shrinkToFit="1"/>
      <protection locked="0"/>
    </xf>
    <xf numFmtId="166" fontId="10" fillId="10" borderId="18" xfId="0" applyNumberFormat="1" applyFont="1" applyFill="1" applyBorder="1" applyAlignment="1" applyProtection="1">
      <alignment vertical="center" shrinkToFit="1"/>
    </xf>
    <xf numFmtId="0" fontId="10" fillId="10" borderId="8" xfId="0" applyFont="1" applyFill="1" applyBorder="1" applyAlignment="1" applyProtection="1">
      <alignment horizontal="center" vertical="center" shrinkToFit="1"/>
      <protection locked="0"/>
    </xf>
    <xf numFmtId="0" fontId="10" fillId="10" borderId="42" xfId="0" applyFont="1" applyFill="1" applyBorder="1" applyAlignment="1" applyProtection="1">
      <alignment horizontal="right" vertical="center" shrinkToFit="1"/>
    </xf>
    <xf numFmtId="2" fontId="4" fillId="2" borderId="24" xfId="0" applyNumberFormat="1" applyFont="1" applyFill="1" applyBorder="1" applyAlignment="1" applyProtection="1">
      <alignment horizontal="center" vertical="center"/>
    </xf>
    <xf numFmtId="2" fontId="4" fillId="6" borderId="28" xfId="0" applyNumberFormat="1" applyFont="1" applyFill="1" applyBorder="1" applyAlignment="1" applyProtection="1">
      <alignment horizontal="center" vertical="center"/>
    </xf>
    <xf numFmtId="2" fontId="4" fillId="7" borderId="14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</xf>
    <xf numFmtId="2" fontId="4" fillId="2" borderId="13" xfId="0" applyNumberFormat="1" applyFont="1" applyFill="1" applyBorder="1" applyAlignment="1" applyProtection="1">
      <alignment horizontal="center" vertical="center"/>
    </xf>
    <xf numFmtId="2" fontId="4" fillId="2" borderId="24" xfId="0" applyNumberFormat="1" applyFont="1" applyFill="1" applyBorder="1" applyAlignment="1" applyProtection="1">
      <alignment horizontal="center"/>
    </xf>
    <xf numFmtId="2" fontId="4" fillId="2" borderId="25" xfId="0" applyNumberFormat="1" applyFont="1" applyFill="1" applyBorder="1" applyAlignment="1" applyProtection="1">
      <alignment horizontal="center"/>
    </xf>
    <xf numFmtId="2" fontId="4" fillId="6" borderId="28" xfId="0" applyNumberFormat="1" applyFont="1" applyFill="1" applyBorder="1" applyAlignment="1" applyProtection="1">
      <alignment horizontal="center"/>
    </xf>
    <xf numFmtId="2" fontId="4" fillId="6" borderId="29" xfId="0" applyNumberFormat="1" applyFont="1" applyFill="1" applyBorder="1" applyAlignment="1" applyProtection="1">
      <alignment horizontal="center"/>
    </xf>
    <xf numFmtId="2" fontId="4" fillId="7" borderId="20" xfId="0" applyNumberFormat="1" applyFont="1" applyFill="1" applyBorder="1" applyAlignment="1" applyProtection="1">
      <alignment horizontal="center"/>
    </xf>
    <xf numFmtId="2" fontId="4" fillId="7" borderId="21" xfId="0" applyNumberFormat="1" applyFont="1" applyFill="1" applyBorder="1" applyAlignment="1" applyProtection="1">
      <alignment horizontal="center"/>
    </xf>
    <xf numFmtId="2" fontId="4" fillId="2" borderId="20" xfId="0" applyNumberFormat="1" applyFont="1" applyFill="1" applyBorder="1" applyAlignment="1" applyProtection="1">
      <alignment horizontal="center"/>
    </xf>
    <xf numFmtId="2" fontId="4" fillId="2" borderId="21" xfId="0" applyNumberFormat="1" applyFont="1" applyFill="1" applyBorder="1" applyAlignment="1" applyProtection="1">
      <alignment horizontal="center"/>
    </xf>
    <xf numFmtId="0" fontId="0" fillId="11" borderId="0" xfId="0" applyFill="1"/>
    <xf numFmtId="0" fontId="0" fillId="11" borderId="0" xfId="0" applyFill="1" applyAlignment="1">
      <alignment horizontal="right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left"/>
    </xf>
    <xf numFmtId="0" fontId="0" fillId="11" borderId="0" xfId="0" quotePrefix="1" applyFill="1"/>
    <xf numFmtId="14" fontId="0" fillId="11" borderId="0" xfId="0" applyNumberFormat="1" applyFill="1"/>
    <xf numFmtId="0" fontId="1" fillId="11" borderId="0" xfId="0" applyFont="1" applyFill="1"/>
    <xf numFmtId="2" fontId="0" fillId="11" borderId="0" xfId="0" applyNumberFormat="1" applyFill="1"/>
    <xf numFmtId="0" fontId="5" fillId="11" borderId="0" xfId="0" applyFont="1" applyFill="1"/>
    <xf numFmtId="164" fontId="5" fillId="11" borderId="0" xfId="0" applyNumberFormat="1" applyFont="1" applyFill="1"/>
    <xf numFmtId="2" fontId="5" fillId="11" borderId="0" xfId="0" applyNumberFormat="1" applyFont="1" applyFill="1"/>
    <xf numFmtId="0" fontId="5" fillId="11" borderId="0" xfId="0" applyFont="1" applyFill="1" applyAlignment="1">
      <alignment horizontal="left"/>
    </xf>
    <xf numFmtId="22" fontId="0" fillId="11" borderId="0" xfId="0" applyNumberFormat="1" applyFill="1"/>
    <xf numFmtId="2" fontId="4" fillId="2" borderId="18" xfId="0" applyNumberFormat="1" applyFont="1" applyFill="1" applyBorder="1" applyAlignment="1" applyProtection="1">
      <alignment vertical="center"/>
    </xf>
    <xf numFmtId="2" fontId="4" fillId="2" borderId="19" xfId="0" applyNumberFormat="1" applyFont="1" applyFill="1" applyBorder="1" applyAlignment="1" applyProtection="1">
      <alignment vertical="center"/>
    </xf>
    <xf numFmtId="2" fontId="4" fillId="2" borderId="45" xfId="0" applyNumberFormat="1" applyFont="1" applyFill="1" applyBorder="1" applyAlignment="1" applyProtection="1">
      <alignment vertical="center"/>
    </xf>
    <xf numFmtId="2" fontId="4" fillId="2" borderId="46" xfId="0" applyNumberFormat="1" applyFont="1" applyFill="1" applyBorder="1" applyAlignment="1" applyProtection="1">
      <alignment vertical="center"/>
    </xf>
    <xf numFmtId="12" fontId="4" fillId="2" borderId="43" xfId="0" applyNumberFormat="1" applyFont="1" applyFill="1" applyBorder="1" applyAlignment="1" applyProtection="1">
      <alignment horizontal="right" vertical="center"/>
    </xf>
    <xf numFmtId="2" fontId="4" fillId="2" borderId="43" xfId="0" applyNumberFormat="1" applyFont="1" applyFill="1" applyBorder="1" applyAlignment="1" applyProtection="1">
      <alignment horizontal="right" vertical="center"/>
    </xf>
    <xf numFmtId="2" fontId="4" fillId="2" borderId="44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852.75</v>
        <stp/>
        <stp>StudyData</stp>
        <stp>ZSE</stp>
        <stp>Bar</stp>
        <stp/>
        <stp>Low</stp>
        <stp>D</stp>
        <stp>-42</stp>
        <stp/>
        <stp/>
        <stp/>
        <stp/>
        <stp>T</stp>
        <tr r="G45" s="15"/>
      </tp>
      <tp>
        <v>881.75</v>
        <stp/>
        <stp>StudyData</stp>
        <stp>ZSE</stp>
        <stp>Bar</stp>
        <stp/>
        <stp>Low</stp>
        <stp>D</stp>
        <stp>-32</stp>
        <stp/>
        <stp/>
        <stp/>
        <stp/>
        <stp>T</stp>
        <tr r="G35" s="15"/>
      </tp>
      <tp>
        <v>867</v>
        <stp/>
        <stp>StudyData</stp>
        <stp>ZSE</stp>
        <stp>Bar</stp>
        <stp/>
        <stp>Low</stp>
        <stp>D</stp>
        <stp>-22</stp>
        <stp/>
        <stp/>
        <stp/>
        <stp/>
        <stp>T</stp>
        <tr r="G25" s="15"/>
      </tp>
      <tp>
        <v>864</v>
        <stp/>
        <stp>StudyData</stp>
        <stp>ZSE</stp>
        <stp>Bar</stp>
        <stp/>
        <stp>Low</stp>
        <stp>D</stp>
        <stp>-12</stp>
        <stp/>
        <stp/>
        <stp/>
        <stp/>
        <stp>T</stp>
        <tr r="G15" s="15"/>
      </tp>
      <tp>
        <v>855.5</v>
        <stp/>
        <stp>StudyData</stp>
        <stp>ZSE</stp>
        <stp>Bar</stp>
        <stp/>
        <stp>Low</stp>
        <stp>D</stp>
        <stp>-43</stp>
        <stp/>
        <stp/>
        <stp/>
        <stp/>
        <stp>T</stp>
        <tr r="G46" s="15"/>
      </tp>
      <tp>
        <v>872.25</v>
        <stp/>
        <stp>StudyData</stp>
        <stp>ZSE</stp>
        <stp>Bar</stp>
        <stp/>
        <stp>Low</stp>
        <stp>D</stp>
        <stp>-33</stp>
        <stp/>
        <stp/>
        <stp/>
        <stp/>
        <stp>T</stp>
        <tr r="G36" s="15"/>
      </tp>
      <tp>
        <v>870.75</v>
        <stp/>
        <stp>StudyData</stp>
        <stp>ZSE</stp>
        <stp>Bar</stp>
        <stp/>
        <stp>Low</stp>
        <stp>D</stp>
        <stp>-23</stp>
        <stp/>
        <stp/>
        <stp/>
        <stp/>
        <stp>T</stp>
        <tr r="G26" s="15"/>
      </tp>
      <tp>
        <v>861</v>
        <stp/>
        <stp>StudyData</stp>
        <stp>ZSE</stp>
        <stp>Bar</stp>
        <stp/>
        <stp>Low</stp>
        <stp>D</stp>
        <stp>-13</stp>
        <stp/>
        <stp/>
        <stp/>
        <stp/>
        <stp>T</stp>
        <tr r="G16" s="15"/>
      </tp>
      <tp>
        <v>2</v>
        <stp/>
        <stp>DOMData</stp>
        <stp>SOMI01Z6</stp>
        <stp>Volume</stp>
        <stp>1</stp>
        <stp>T</stp>
        <tr r="H10" s="11"/>
      </tp>
      <tp>
        <v>881</v>
        <stp/>
        <stp>StudyData</stp>
        <stp>ZSE</stp>
        <stp>Bar</stp>
        <stp/>
        <stp>Low</stp>
        <stp>D</stp>
        <stp>-50</stp>
        <stp/>
        <stp/>
        <stp/>
        <stp/>
        <stp>T</stp>
        <tr r="G53" s="15"/>
      </tp>
      <tp>
        <v>855.75</v>
        <stp/>
        <stp>StudyData</stp>
        <stp>ZSE</stp>
        <stp>Bar</stp>
        <stp/>
        <stp>Low</stp>
        <stp>D</stp>
        <stp>-40</stp>
        <stp/>
        <stp/>
        <stp/>
        <stp/>
        <stp>T</stp>
        <tr r="G43" s="15"/>
      </tp>
      <tp>
        <v>887.5</v>
        <stp/>
        <stp>StudyData</stp>
        <stp>ZSE</stp>
        <stp>Bar</stp>
        <stp/>
        <stp>Low</stp>
        <stp>D</stp>
        <stp>-30</stp>
        <stp/>
        <stp/>
        <stp/>
        <stp/>
        <stp>T</stp>
        <tr r="G33" s="15"/>
      </tp>
      <tp>
        <v>854.25</v>
        <stp/>
        <stp>StudyData</stp>
        <stp>ZSE</stp>
        <stp>Bar</stp>
        <stp/>
        <stp>Low</stp>
        <stp>D</stp>
        <stp>-20</stp>
        <stp/>
        <stp/>
        <stp/>
        <stp/>
        <stp>T</stp>
        <tr r="G23" s="15"/>
      </tp>
      <tp>
        <v>853.25</v>
        <stp/>
        <stp>StudyData</stp>
        <stp>ZSE</stp>
        <stp>Bar</stp>
        <stp/>
        <stp>Low</stp>
        <stp>D</stp>
        <stp>-10</stp>
        <stp/>
        <stp/>
        <stp/>
        <stp/>
        <stp>T</stp>
        <tr r="G13" s="15"/>
      </tp>
      <tp>
        <v>881.75</v>
        <stp/>
        <stp>DOMData</stp>
        <stp>ZSE</stp>
        <stp>Price</stp>
        <stp>-5</stp>
        <stp>T</stp>
        <tr r="H43" s="3"/>
      </tp>
      <tp>
        <v>30.02</v>
        <stp/>
        <stp>DOMData</stp>
        <stp>ZLE</stp>
        <stp>Price</stp>
        <stp>-5</stp>
        <stp>T</stp>
        <tr r="O43" s="3"/>
      </tp>
      <tp>
        <v>270.5</v>
        <stp/>
        <stp>DOMData</stp>
        <stp>ZME</stp>
        <stp>Price</stp>
        <stp>-5</stp>
        <stp>T</stp>
        <tr r="K43" s="3"/>
      </tp>
      <tp>
        <v>6</v>
        <stp/>
        <stp>DOMData</stp>
        <stp>SOMI01Z6</stp>
        <stp>Volume</stp>
        <stp>2</stp>
        <stp>T</stp>
        <tr r="H9" s="11"/>
      </tp>
      <tp>
        <v>859</v>
        <stp/>
        <stp>StudyData</stp>
        <stp>ZSE</stp>
        <stp>Bar</stp>
        <stp/>
        <stp>Low</stp>
        <stp>D</stp>
        <stp>-41</stp>
        <stp/>
        <stp/>
        <stp/>
        <stp/>
        <stp>T</stp>
        <tr r="G44" s="15"/>
      </tp>
      <tp>
        <v>887</v>
        <stp/>
        <stp>StudyData</stp>
        <stp>ZSE</stp>
        <stp>Bar</stp>
        <stp/>
        <stp>Low</stp>
        <stp>D</stp>
        <stp>-31</stp>
        <stp/>
        <stp/>
        <stp/>
        <stp/>
        <stp>T</stp>
        <tr r="G34" s="15"/>
      </tp>
      <tp>
        <v>856.75</v>
        <stp/>
        <stp>StudyData</stp>
        <stp>ZSE</stp>
        <stp>Bar</stp>
        <stp/>
        <stp>Low</stp>
        <stp>D</stp>
        <stp>-21</stp>
        <stp/>
        <stp/>
        <stp/>
        <stp/>
        <stp>T</stp>
        <tr r="G24" s="15"/>
      </tp>
      <tp>
        <v>863</v>
        <stp/>
        <stp>StudyData</stp>
        <stp>ZSE</stp>
        <stp>Bar</stp>
        <stp/>
        <stp>Low</stp>
        <stp>D</stp>
        <stp>-11</stp>
        <stp/>
        <stp/>
        <stp/>
        <stp/>
        <stp>T</stp>
        <tr r="G14" s="15"/>
      </tp>
      <tp>
        <v>882</v>
        <stp/>
        <stp>DOMData</stp>
        <stp>ZSE</stp>
        <stp>Price</stp>
        <stp>-4</stp>
        <stp>T</stp>
        <tr r="H42" s="3"/>
      </tp>
      <tp>
        <v>30.03</v>
        <stp/>
        <stp>DOMData</stp>
        <stp>ZLE</stp>
        <stp>Price</stp>
        <stp>-4</stp>
        <stp>T</stp>
        <tr r="O42" s="3"/>
      </tp>
      <tp>
        <v>270.60000000000002</v>
        <stp/>
        <stp>DOMData</stp>
        <stp>ZME</stp>
        <stp>Price</stp>
        <stp>-4</stp>
        <stp>T</stp>
        <tr r="K42" s="3"/>
      </tp>
      <tp>
        <v>5</v>
        <stp/>
        <stp>DOMData</stp>
        <stp>SOMI01Z6</stp>
        <stp>Volume</stp>
        <stp>3</stp>
        <stp>T</stp>
        <tr r="H8" s="11"/>
      </tp>
      <tp>
        <v>850.5</v>
        <stp/>
        <stp>StudyData</stp>
        <stp>ZSE</stp>
        <stp>Bar</stp>
        <stp/>
        <stp>Low</stp>
        <stp>D</stp>
        <stp>-46</stp>
        <stp/>
        <stp/>
        <stp/>
        <stp/>
        <stp>T</stp>
        <tr r="G49" s="15"/>
      </tp>
      <tp>
        <v>863</v>
        <stp/>
        <stp>StudyData</stp>
        <stp>ZSE</stp>
        <stp>Bar</stp>
        <stp/>
        <stp>Low</stp>
        <stp>D</stp>
        <stp>-36</stp>
        <stp/>
        <stp/>
        <stp/>
        <stp/>
        <stp>T</stp>
        <tr r="G39" s="15"/>
      </tp>
      <tp>
        <v>872.5</v>
        <stp/>
        <stp>StudyData</stp>
        <stp>ZSE</stp>
        <stp>Bar</stp>
        <stp/>
        <stp>Low</stp>
        <stp>D</stp>
        <stp>-26</stp>
        <stp/>
        <stp/>
        <stp/>
        <stp/>
        <stp>T</stp>
        <tr r="G29" s="15"/>
      </tp>
      <tp>
        <v>880.25</v>
        <stp/>
        <stp>StudyData</stp>
        <stp>ZSE</stp>
        <stp>Bar</stp>
        <stp/>
        <stp>Low</stp>
        <stp>D</stp>
        <stp>-16</stp>
        <stp/>
        <stp/>
        <stp/>
        <stp/>
        <stp>T</stp>
        <tr r="G19" s="15"/>
      </tp>
      <tp>
        <v>0.41000000000000003</v>
        <stp/>
        <stp>ContractData</stp>
        <stp>ZLE</stp>
        <stp>NetLastTradeToday</stp>
        <stp/>
        <stp>T</stp>
        <tr r="L19" s="3"/>
      </tp>
      <tp>
        <v>882.25</v>
        <stp/>
        <stp>DOMData</stp>
        <stp>ZSE</stp>
        <stp>Price</stp>
        <stp>-3</stp>
        <stp>T</stp>
        <tr r="H41" s="3"/>
      </tp>
      <tp>
        <v>30.04</v>
        <stp/>
        <stp>DOMData</stp>
        <stp>ZLE</stp>
        <stp>Price</stp>
        <stp>-3</stp>
        <stp>T</stp>
        <tr r="O41" s="3"/>
      </tp>
      <tp>
        <v>270.7</v>
        <stp/>
        <stp>DOMData</stp>
        <stp>ZME</stp>
        <stp>Price</stp>
        <stp>-3</stp>
        <stp>T</stp>
        <tr r="K41" s="3"/>
      </tp>
      <tp>
        <v>3</v>
        <stp/>
        <stp>DOMData</stp>
        <stp>SOMI01Z6</stp>
        <stp>Volume</stp>
        <stp>4</stp>
        <stp>T</stp>
        <tr r="H7" s="11"/>
      </tp>
      <tp>
        <v>867</v>
        <stp/>
        <stp>StudyData</stp>
        <stp>ZSE</stp>
        <stp>Bar</stp>
        <stp/>
        <stp>Low</stp>
        <stp>D</stp>
        <stp>-47</stp>
        <stp/>
        <stp/>
        <stp/>
        <stp/>
        <stp>T</stp>
        <tr r="G50" s="15"/>
      </tp>
      <tp>
        <v>847</v>
        <stp/>
        <stp>StudyData</stp>
        <stp>ZSE</stp>
        <stp>Bar</stp>
        <stp/>
        <stp>Low</stp>
        <stp>D</stp>
        <stp>-37</stp>
        <stp/>
        <stp/>
        <stp/>
        <stp/>
        <stp>T</stp>
        <tr r="G40" s="15"/>
      </tp>
      <tp>
        <v>876.25</v>
        <stp/>
        <stp>StudyData</stp>
        <stp>ZSE</stp>
        <stp>Bar</stp>
        <stp/>
        <stp>Low</stp>
        <stp>D</stp>
        <stp>-27</stp>
        <stp/>
        <stp/>
        <stp/>
        <stp/>
        <stp>T</stp>
        <tr r="G30" s="15"/>
      </tp>
      <tp>
        <v>885.25</v>
        <stp/>
        <stp>StudyData</stp>
        <stp>ZSE</stp>
        <stp>Bar</stp>
        <stp/>
        <stp>Low</stp>
        <stp>D</stp>
        <stp>-17</stp>
        <stp/>
        <stp/>
        <stp/>
        <stp/>
        <stp>T</stp>
        <tr r="G20" s="15"/>
      </tp>
      <tp>
        <v>2</v>
        <stp/>
        <stp>ContractData</stp>
        <stp>ZLE</stp>
        <stp>MT_LastAskVolume</stp>
        <stp/>
        <stp>T</stp>
        <tr r="T19" s="3"/>
      </tp>
      <tp>
        <v>13</v>
        <stp/>
        <stp>ContractData</stp>
        <stp>ZME</stp>
        <stp>MT_LastAskVolume</stp>
        <stp/>
        <stp>T</stp>
        <tr r="T18" s="3"/>
      </tp>
      <tp>
        <v>0.2</v>
        <stp/>
        <stp>ContractData</stp>
        <stp>ZME</stp>
        <stp>NetLastTradeToday</stp>
        <stp/>
        <stp>T</stp>
        <tr r="L18" s="3"/>
      </tp>
      <tp>
        <v>57</v>
        <stp/>
        <stp>ContractData</stp>
        <stp>ZSE</stp>
        <stp>MT_LastAskVolume</stp>
        <stp/>
        <stp>T</stp>
        <tr r="T17" s="3"/>
      </tp>
      <tp>
        <v>882.5</v>
        <stp/>
        <stp>DOMData</stp>
        <stp>ZSE</stp>
        <stp>Price</stp>
        <stp>-2</stp>
        <stp>T</stp>
        <tr r="H40" s="3"/>
      </tp>
      <tp>
        <v>30.05</v>
        <stp/>
        <stp>DOMData</stp>
        <stp>ZLE</stp>
        <stp>Price</stp>
        <stp>-2</stp>
        <stp>T</stp>
        <tr r="O40" s="3"/>
      </tp>
      <tp>
        <v>270.8</v>
        <stp/>
        <stp>DOMData</stp>
        <stp>ZME</stp>
        <stp>Price</stp>
        <stp>-2</stp>
        <stp>T</stp>
        <tr r="K40" s="3"/>
      </tp>
      <tp>
        <v>3</v>
        <stp/>
        <stp>DOMData</stp>
        <stp>SOMI01Z6</stp>
        <stp>Volume</stp>
        <stp>5</stp>
        <stp>T</stp>
        <tr r="H6" s="11"/>
      </tp>
      <tp>
        <v>854.25</v>
        <stp/>
        <stp>StudyData</stp>
        <stp>ZSE</stp>
        <stp>Bar</stp>
        <stp/>
        <stp>Low</stp>
        <stp>D</stp>
        <stp>-44</stp>
        <stp/>
        <stp/>
        <stp/>
        <stp/>
        <stp>T</stp>
        <tr r="G47" s="15"/>
      </tp>
      <tp>
        <v>873.5</v>
        <stp/>
        <stp>StudyData</stp>
        <stp>ZSE</stp>
        <stp>Bar</stp>
        <stp/>
        <stp>Low</stp>
        <stp>D</stp>
        <stp>-34</stp>
        <stp/>
        <stp/>
        <stp/>
        <stp/>
        <stp>T</stp>
        <tr r="G37" s="15"/>
      </tp>
      <tp>
        <v>873</v>
        <stp/>
        <stp>StudyData</stp>
        <stp>ZSE</stp>
        <stp>Bar</stp>
        <stp/>
        <stp>Low</stp>
        <stp>D</stp>
        <stp>-24</stp>
        <stp/>
        <stp/>
        <stp/>
        <stp/>
        <stp>T</stp>
        <tr r="G27" s="15"/>
      </tp>
      <tp>
        <v>860.5</v>
        <stp/>
        <stp>StudyData</stp>
        <stp>ZSE</stp>
        <stp>Bar</stp>
        <stp/>
        <stp>Low</stp>
        <stp>D</stp>
        <stp>-14</stp>
        <stp/>
        <stp/>
        <stp/>
        <stp/>
        <stp>T</stp>
        <tr r="G17" s="15"/>
      </tp>
      <tp>
        <v>882.75</v>
        <stp/>
        <stp>DOMData</stp>
        <stp>ZSE</stp>
        <stp>Price</stp>
        <stp>-1</stp>
        <stp>T</stp>
        <tr r="H39" s="3"/>
      </tp>
      <tp>
        <v>30.06</v>
        <stp/>
        <stp>DOMData</stp>
        <stp>ZLE</stp>
        <stp>Price</stp>
        <stp>-1</stp>
        <stp>T</stp>
        <tr r="O39" s="3"/>
      </tp>
      <tp>
        <v>270.89999999999998</v>
        <stp/>
        <stp>DOMData</stp>
        <stp>ZME</stp>
        <stp>Price</stp>
        <stp>-1</stp>
        <stp>T</stp>
        <tr r="K39" s="3"/>
      </tp>
      <tp>
        <v>853.5</v>
        <stp/>
        <stp>StudyData</stp>
        <stp>ZSE</stp>
        <stp>Bar</stp>
        <stp/>
        <stp>Low</stp>
        <stp>D</stp>
        <stp>-45</stp>
        <stp/>
        <stp/>
        <stp/>
        <stp/>
        <stp>T</stp>
        <tr r="G48" s="15"/>
      </tp>
      <tp>
        <v>863.25</v>
        <stp/>
        <stp>StudyData</stp>
        <stp>ZSE</stp>
        <stp>Bar</stp>
        <stp/>
        <stp>Low</stp>
        <stp>D</stp>
        <stp>-35</stp>
        <stp/>
        <stp/>
        <stp/>
        <stp/>
        <stp>T</stp>
        <tr r="G38" s="15"/>
      </tp>
      <tp>
        <v>875.75</v>
        <stp/>
        <stp>StudyData</stp>
        <stp>ZSE</stp>
        <stp>Bar</stp>
        <stp/>
        <stp>Low</stp>
        <stp>D</stp>
        <stp>-25</stp>
        <stp/>
        <stp/>
        <stp/>
        <stp/>
        <stp>T</stp>
        <tr r="G28" s="15"/>
      </tp>
      <tp>
        <v>872.75</v>
        <stp/>
        <stp>StudyData</stp>
        <stp>ZSE</stp>
        <stp>Bar</stp>
        <stp/>
        <stp>Low</stp>
        <stp>D</stp>
        <stp>-15</stp>
        <stp/>
        <stp/>
        <stp/>
        <stp/>
        <stp>T</stp>
        <tr r="G18" s="15"/>
      </tp>
      <tp>
        <v>2</v>
        <stp/>
        <stp>ContractData</stp>
        <stp>SOMI01Z6</stp>
        <stp>MT_LastBidVolume</stp>
        <stp/>
        <stp>T</stp>
        <tr r="P13" s="3"/>
      </tp>
      <tp>
        <v>860.25</v>
        <stp/>
        <stp>StudyData</stp>
        <stp>ZSE</stp>
        <stp>Bar</stp>
        <stp/>
        <stp>Low</stp>
        <stp>D</stp>
        <stp>-48</stp>
        <stp/>
        <stp/>
        <stp/>
        <stp/>
        <stp>T</stp>
        <tr r="G51" s="15"/>
      </tp>
      <tp>
        <v>855.25</v>
        <stp/>
        <stp>StudyData</stp>
        <stp>ZSE</stp>
        <stp>Bar</stp>
        <stp/>
        <stp>Low</stp>
        <stp>D</stp>
        <stp>-38</stp>
        <stp/>
        <stp/>
        <stp/>
        <stp/>
        <stp>T</stp>
        <tr r="G41" s="15"/>
      </tp>
      <tp>
        <v>884.75</v>
        <stp/>
        <stp>StudyData</stp>
        <stp>ZSE</stp>
        <stp>Bar</stp>
        <stp/>
        <stp>Low</stp>
        <stp>D</stp>
        <stp>-28</stp>
        <stp/>
        <stp/>
        <stp/>
        <stp/>
        <stp>T</stp>
        <tr r="G31" s="15"/>
      </tp>
      <tp>
        <v>887.5</v>
        <stp/>
        <stp>StudyData</stp>
        <stp>ZSE</stp>
        <stp>Bar</stp>
        <stp/>
        <stp>Low</stp>
        <stp>D</stp>
        <stp>-18</stp>
        <stp/>
        <stp/>
        <stp/>
        <stp/>
        <stp>T</stp>
        <tr r="G21" s="15"/>
      </tp>
      <tp>
        <v>865.25</v>
        <stp/>
        <stp>StudyData</stp>
        <stp>ZSE</stp>
        <stp>Bar</stp>
        <stp/>
        <stp>Low</stp>
        <stp>D</stp>
        <stp>-49</stp>
        <stp/>
        <stp/>
        <stp/>
        <stp/>
        <stp>T</stp>
        <tr r="G52" s="15"/>
      </tp>
      <tp>
        <v>855</v>
        <stp/>
        <stp>StudyData</stp>
        <stp>ZSE</stp>
        <stp>Bar</stp>
        <stp/>
        <stp>Low</stp>
        <stp>D</stp>
        <stp>-39</stp>
        <stp/>
        <stp/>
        <stp/>
        <stp/>
        <stp>T</stp>
        <tr r="G42" s="15"/>
      </tp>
      <tp>
        <v>895</v>
        <stp/>
        <stp>StudyData</stp>
        <stp>ZSE</stp>
        <stp>Bar</stp>
        <stp/>
        <stp>Low</stp>
        <stp>D</stp>
        <stp>-29</stp>
        <stp/>
        <stp/>
        <stp/>
        <stp/>
        <stp>T</stp>
        <tr r="G32" s="15"/>
      </tp>
      <tp>
        <v>873.5</v>
        <stp/>
        <stp>StudyData</stp>
        <stp>ZSE</stp>
        <stp>Bar</stp>
        <stp/>
        <stp>Low</stp>
        <stp>D</stp>
        <stp>-19</stp>
        <stp/>
        <stp/>
        <stp/>
        <stp/>
        <stp>T</stp>
        <tr r="G22" s="15"/>
      </tp>
      <tp t="s">
        <v>Soybean Oil (Globex), Mar 16</v>
        <stp/>
        <stp>ContractData</stp>
        <stp>ZLE</stp>
        <stp>LongDescription</stp>
        <stp/>
        <stp>T</stp>
        <tr r="D19" s="3"/>
      </tp>
      <tp t="s">
        <v>Soybean Meal (Globex), Mar 16</v>
        <stp/>
        <stp>ContractData</stp>
        <stp>ZME</stp>
        <stp>LongDescription</stp>
        <stp/>
        <stp>T</stp>
        <tr r="D18" s="3"/>
      </tp>
      <tp t="s">
        <v>Soybeans (Globex), Mar 16</v>
        <stp/>
        <stp>ContractData</stp>
        <stp>ZSE</stp>
        <stp>LongDescription</stp>
        <stp/>
        <stp>T</stp>
        <tr r="S33" s="3"/>
        <tr r="D17" s="3"/>
      </tp>
      <tp>
        <v>64.25</v>
        <stp/>
        <stp>ContractData</stp>
        <stp>SOMI01Z6</stp>
        <stp>Low</stp>
        <stp/>
        <stp>T</stp>
        <tr r="T34" s="1"/>
      </tp>
      <tp>
        <v>858.25</v>
        <stp/>
        <stp>StudyData</stp>
        <stp>ZSE</stp>
        <stp>Bar</stp>
        <stp/>
        <stp>Low</stp>
        <stp>D</stp>
        <stp>-7</stp>
        <stp/>
        <stp/>
        <stp/>
        <stp/>
        <stp>T</stp>
        <tr r="G10" s="15"/>
      </tp>
      <tp>
        <v>27</v>
        <stp/>
        <stp>DOMData</stp>
        <stp>ZLE</stp>
        <stp>Volume</stp>
        <stp>2</stp>
        <stp>T</stp>
        <tr r="Q37" s="3"/>
      </tp>
      <tp>
        <v>81</v>
        <stp/>
        <stp>DOMData</stp>
        <stp>ZME</stp>
        <stp>Volume</stp>
        <stp>2</stp>
        <stp>T</stp>
        <tr r="L37" s="3"/>
      </tp>
      <tp>
        <v>102</v>
        <stp/>
        <stp>DOMData</stp>
        <stp>ZSE</stp>
        <stp>Volume</stp>
        <stp>2</stp>
        <stp>T</stp>
        <tr r="I37" s="3"/>
      </tp>
      <tp>
        <v>63.25</v>
        <stp/>
        <stp>DOMData</stp>
        <stp>SOMI01Z6</stp>
        <stp>Price</stp>
        <stp>-5</stp>
        <stp>T</stp>
        <tr r="B15" s="11"/>
      </tp>
      <tp>
        <v>863.5</v>
        <stp/>
        <stp>StudyData</stp>
        <stp>ZSE</stp>
        <stp>Bar</stp>
        <stp/>
        <stp>Low</stp>
        <stp>D</stp>
        <stp>-6</stp>
        <stp/>
        <stp/>
        <stp/>
        <stp/>
        <stp>T</stp>
        <tr r="G9" s="15"/>
      </tp>
      <tp>
        <v>42</v>
        <stp/>
        <stp>DOMData</stp>
        <stp>ZLE</stp>
        <stp>Volume</stp>
        <stp>3</stp>
        <stp>T</stp>
        <tr r="Q36" s="3"/>
      </tp>
      <tp>
        <v>18</v>
        <stp/>
        <stp>DOMData</stp>
        <stp>ZME</stp>
        <stp>Volume</stp>
        <stp>3</stp>
        <stp>T</stp>
        <tr r="L36" s="3"/>
      </tp>
      <tp>
        <v>65</v>
        <stp/>
        <stp>DOMData</stp>
        <stp>ZSE</stp>
        <stp>Volume</stp>
        <stp>3</stp>
        <stp>T</stp>
        <tr r="I36" s="3"/>
      </tp>
      <tp>
        <v>63.5</v>
        <stp/>
        <stp>DOMData</stp>
        <stp>SOMI01Z6</stp>
        <stp>Price</stp>
        <stp>-4</stp>
        <stp>T</stp>
        <tr r="B14" s="11"/>
      </tp>
      <tp>
        <v>859.5</v>
        <stp/>
        <stp>StudyData</stp>
        <stp>ZSE</stp>
        <stp>Bar</stp>
        <stp/>
        <stp>Low</stp>
        <stp>D</stp>
        <stp>-5</stp>
        <stp/>
        <stp/>
        <stp/>
        <stp/>
        <stp>T</stp>
        <tr r="G8" s="15"/>
      </tp>
      <tp>
        <v>857.25</v>
        <stp/>
        <stp>StudyData</stp>
        <stp>ZSE</stp>
        <stp>Bar</stp>
        <stp/>
        <stp>Low</stp>
        <stp>D</stp>
        <stp>-4</stp>
        <stp/>
        <stp/>
        <stp/>
        <stp/>
        <stp>T</stp>
        <tr r="G7" s="15"/>
      </tp>
      <tp>
        <v>2</v>
        <stp/>
        <stp>DOMData</stp>
        <stp>ZLE</stp>
        <stp>Volume</stp>
        <stp>1</stp>
        <stp>T</stp>
        <tr r="Q38" s="3"/>
      </tp>
      <tp>
        <v>13</v>
        <stp/>
        <stp>DOMData</stp>
        <stp>ZME</stp>
        <stp>Volume</stp>
        <stp>1</stp>
        <stp>T</stp>
        <tr r="L38" s="3"/>
      </tp>
      <tp>
        <v>57</v>
        <stp/>
        <stp>DOMData</stp>
        <stp>ZSE</stp>
        <stp>Volume</stp>
        <stp>1</stp>
        <stp>T</stp>
        <tr r="I38" s="3"/>
      </tp>
      <tp>
        <v>871</v>
        <stp/>
        <stp>StudyData</stp>
        <stp>ZSE</stp>
        <stp>Bar</stp>
        <stp/>
        <stp>Low</stp>
        <stp>D</stp>
        <stp>-3</stp>
        <stp/>
        <stp/>
        <stp/>
        <stp/>
        <stp>T</stp>
        <tr r="G6" s="15"/>
      </tp>
      <tp>
        <v>64.25</v>
        <stp/>
        <stp>DOMData</stp>
        <stp>SOMI01Z6</stp>
        <stp>Price</stp>
        <stp>-1</stp>
        <stp>T</stp>
        <tr r="B11" s="11"/>
      </tp>
      <tp>
        <v>874.75</v>
        <stp/>
        <stp>StudyData</stp>
        <stp>ZSE</stp>
        <stp>Bar</stp>
        <stp/>
        <stp>Low</stp>
        <stp>D</stp>
        <stp>-2</stp>
        <stp/>
        <stp/>
        <stp/>
        <stp/>
        <stp>T</stp>
        <tr r="G5" s="15"/>
      </tp>
      <tp>
        <v>871</v>
        <stp/>
        <stp>StudyData</stp>
        <stp>ZSE</stp>
        <stp>Bar</stp>
        <stp/>
        <stp>Low</stp>
        <stp>D</stp>
        <stp>-1</stp>
        <stp/>
        <stp/>
        <stp/>
        <stp/>
        <stp>T</stp>
        <tr r="G4" s="15"/>
      </tp>
      <tp>
        <v>16</v>
        <stp/>
        <stp>DOMData</stp>
        <stp>ZLE</stp>
        <stp>Volume</stp>
        <stp>4</stp>
        <stp>T</stp>
        <tr r="Q35" s="3"/>
      </tp>
      <tp>
        <v>16</v>
        <stp/>
        <stp>DOMData</stp>
        <stp>ZME</stp>
        <stp>Volume</stp>
        <stp>4</stp>
        <stp>T</stp>
        <tr r="L35" s="3"/>
      </tp>
      <tp>
        <v>82</v>
        <stp/>
        <stp>DOMData</stp>
        <stp>ZSE</stp>
        <stp>Volume</stp>
        <stp>4</stp>
        <stp>T</stp>
        <tr r="I35" s="3"/>
      </tp>
      <tp>
        <v>63.75</v>
        <stp/>
        <stp>DOMData</stp>
        <stp>SOMI01Z6</stp>
        <stp>Price</stp>
        <stp>-3</stp>
        <stp>T</stp>
        <tr r="B13" s="11"/>
      </tp>
      <tp>
        <v>15</v>
        <stp/>
        <stp>DOMData</stp>
        <stp>ZLE</stp>
        <stp>Volume</stp>
        <stp>5</stp>
        <stp>T</stp>
        <tr r="Q34" s="3"/>
      </tp>
      <tp>
        <v>30</v>
        <stp/>
        <stp>DOMData</stp>
        <stp>ZME</stp>
        <stp>Volume</stp>
        <stp>5</stp>
        <stp>T</stp>
        <tr r="L34" s="3"/>
      </tp>
      <tp>
        <v>238</v>
        <stp/>
        <stp>DOMData</stp>
        <stp>ZSE</stp>
        <stp>Volume</stp>
        <stp>5</stp>
        <stp>T</stp>
        <tr r="I34" s="3"/>
      </tp>
      <tp>
        <v>64</v>
        <stp/>
        <stp>DOMData</stp>
        <stp>SOMI01Z6</stp>
        <stp>Price</stp>
        <stp>-2</stp>
        <stp>T</stp>
        <tr r="B12" s="11"/>
      </tp>
      <tp>
        <v>271</v>
        <stp/>
        <stp>DOMData</stp>
        <stp>ZME</stp>
        <stp>Price</stp>
        <stp>1</stp>
        <stp>T</stp>
        <tr r="K38" s="3"/>
      </tp>
      <tp>
        <v>30.07</v>
        <stp/>
        <stp>DOMData</stp>
        <stp>ZLE</stp>
        <stp>Price</stp>
        <stp>1</stp>
        <stp>T</stp>
        <tr r="O38" s="3"/>
      </tp>
      <tp>
        <v>883</v>
        <stp/>
        <stp>DOMData</stp>
        <stp>ZSE</stp>
        <stp>Price</stp>
        <stp>1</stp>
        <stp>T</stp>
        <tr r="H38" s="3"/>
      </tp>
      <tp>
        <v>271.2</v>
        <stp/>
        <stp>DOMData</stp>
        <stp>ZME</stp>
        <stp>Price</stp>
        <stp>3</stp>
        <stp>T</stp>
        <tr r="K36" s="3"/>
      </tp>
      <tp>
        <v>30.09</v>
        <stp/>
        <stp>DOMData</stp>
        <stp>ZLE</stp>
        <stp>Price</stp>
        <stp>3</stp>
        <stp>T</stp>
        <tr r="O36" s="3"/>
      </tp>
      <tp>
        <v>271.10000000000002</v>
        <stp/>
        <stp>DOMData</stp>
        <stp>ZME</stp>
        <stp>Price</stp>
        <stp>2</stp>
        <stp>T</stp>
        <tr r="K37" s="3"/>
      </tp>
      <tp>
        <v>30.08</v>
        <stp/>
        <stp>DOMData</stp>
        <stp>ZLE</stp>
        <stp>Price</stp>
        <stp>2</stp>
        <stp>T</stp>
        <tr r="O37" s="3"/>
      </tp>
      <tp>
        <v>883.25</v>
        <stp/>
        <stp>DOMData</stp>
        <stp>ZSE</stp>
        <stp>Price</stp>
        <stp>2</stp>
        <stp>T</stp>
        <tr r="H37" s="3"/>
      </tp>
      <tp>
        <v>3.75</v>
        <stp/>
        <stp>ContractData</stp>
        <stp>ZSE</stp>
        <stp>NetLastTradeToday</stp>
        <stp/>
        <stp>T</stp>
        <tr r="L17" s="3"/>
      </tp>
      <tp>
        <v>271.39999999999998</v>
        <stp/>
        <stp>DOMData</stp>
        <stp>ZME</stp>
        <stp>Price</stp>
        <stp>5</stp>
        <stp>T</stp>
        <tr r="K34" s="3"/>
      </tp>
      <tp>
        <v>30.11</v>
        <stp/>
        <stp>DOMData</stp>
        <stp>ZLE</stp>
        <stp>Price</stp>
        <stp>5</stp>
        <stp>T</stp>
        <tr r="O34" s="3"/>
      </tp>
      <tp>
        <v>884</v>
        <stp/>
        <stp>DOMData</stp>
        <stp>ZSE</stp>
        <stp>Price</stp>
        <stp>5</stp>
        <stp>T</stp>
        <tr r="H34" s="3"/>
      </tp>
      <tp>
        <v>271.3</v>
        <stp/>
        <stp>DOMData</stp>
        <stp>ZME</stp>
        <stp>Price</stp>
        <stp>4</stp>
        <stp>T</stp>
        <tr r="K35" s="3"/>
      </tp>
      <tp>
        <v>30.1</v>
        <stp/>
        <stp>DOMData</stp>
        <stp>ZLE</stp>
        <stp>Price</stp>
        <stp>4</stp>
        <stp>T</stp>
        <tr r="O35" s="3"/>
      </tp>
      <tp>
        <v>883.75</v>
        <stp/>
        <stp>DOMData</stp>
        <stp>ZSE</stp>
        <stp>Price</stp>
        <stp>4</stp>
        <stp>T</stp>
        <tr r="H35" s="3"/>
        <tr r="H36" s="3"/>
      </tp>
      <tp>
        <v>2</v>
        <stp/>
        <stp>ContractData</stp>
        <stp>SOMI01Z6</stp>
        <stp>MT_LastAskVolume</stp>
        <stp/>
        <stp>T</stp>
        <tr r="T13" s="3"/>
      </tp>
      <tp>
        <v>855.5</v>
        <stp/>
        <stp>StudyData</stp>
        <stp>ZSE</stp>
        <stp>Bar</stp>
        <stp/>
        <stp>Low</stp>
        <stp>D</stp>
        <stp>-9</stp>
        <stp/>
        <stp/>
        <stp/>
        <stp/>
        <stp>T</stp>
        <tr r="G12" s="15"/>
      </tp>
      <tp>
        <v>7</v>
        <stp/>
        <stp>ContractData</stp>
        <stp>ZME</stp>
        <stp>MT_LastBidVolume</stp>
        <stp/>
        <stp>T</stp>
        <tr r="P18" s="3"/>
      </tp>
      <tp>
        <v>6</v>
        <stp/>
        <stp>ContractData</stp>
        <stp>ZLE</stp>
        <stp>MT_LastBidVolume</stp>
        <stp/>
        <stp>T</stp>
        <tr r="P19" s="3"/>
      </tp>
      <tp>
        <v>852</v>
        <stp/>
        <stp>StudyData</stp>
        <stp>ZSE</stp>
        <stp>Bar</stp>
        <stp/>
        <stp>Low</stp>
        <stp>D</stp>
        <stp>-8</stp>
        <stp/>
        <stp/>
        <stp/>
        <stp/>
        <stp>T</stp>
        <tr r="G11" s="15"/>
      </tp>
      <tp>
        <v>37</v>
        <stp/>
        <stp>ContractData</stp>
        <stp>ZSE</stp>
        <stp>MT_LastBidVolume</stp>
        <stp/>
        <stp>T</stp>
        <tr r="P17" s="3"/>
      </tp>
      <tp>
        <v>874.5</v>
        <stp/>
        <stp>StudyData</stp>
        <stp>ZSE</stp>
        <stp>Bar</stp>
        <stp/>
        <stp>Close</stp>
        <stp>D</stp>
        <stp>-4</stp>
        <stp/>
        <stp/>
        <stp/>
        <stp/>
        <stp>T</stp>
        <tr r="H7" s="15"/>
      </tp>
      <tp>
        <v>869.5</v>
        <stp/>
        <stp>StudyData</stp>
        <stp>ZSE</stp>
        <stp>Bar</stp>
        <stp/>
        <stp>Close</stp>
        <stp>D</stp>
        <stp>-48</stp>
        <stp/>
        <stp/>
        <stp/>
        <stp/>
        <stp>T</stp>
        <tr r="H51" s="15"/>
      </tp>
      <tp>
        <v>891.5</v>
        <stp/>
        <stp>StudyData</stp>
        <stp>ZSE</stp>
        <stp>Bar</stp>
        <stp/>
        <stp>Close</stp>
        <stp>D</stp>
        <stp>-18</stp>
        <stp/>
        <stp/>
        <stp/>
        <stp/>
        <stp>T</stp>
        <tr r="H21" s="15"/>
      </tp>
      <tp>
        <v>885.75</v>
        <stp/>
        <stp>StudyData</stp>
        <stp>ZSE</stp>
        <stp>Bar</stp>
        <stp/>
        <stp>Close</stp>
        <stp>D</stp>
        <stp>-28</stp>
        <stp/>
        <stp/>
        <stp/>
        <stp/>
        <stp>T</stp>
        <tr r="H31" s="15"/>
      </tp>
      <tp>
        <v>860.5</v>
        <stp/>
        <stp>StudyData</stp>
        <stp>ZSE</stp>
        <stp>Bar</stp>
        <stp/>
        <stp>Close</stp>
        <stp>D</stp>
        <stp>-38</stp>
        <stp/>
        <stp/>
        <stp/>
        <stp/>
        <stp>T</stp>
        <tr r="H41" s="15"/>
      </tp>
      <tp>
        <v>861.25</v>
        <stp/>
        <stp>StudyData</stp>
        <stp>ZSE</stp>
        <stp>Bar</stp>
        <stp/>
        <stp>Close</stp>
        <stp>D</stp>
        <stp>-5</stp>
        <stp/>
        <stp/>
        <stp/>
        <stp/>
        <stp>T</stp>
        <tr r="H8" s="15"/>
      </tp>
      <tp>
        <v>866.25</v>
        <stp/>
        <stp>StudyData</stp>
        <stp>ZSE</stp>
        <stp>Bar</stp>
        <stp/>
        <stp>Close</stp>
        <stp>D</stp>
        <stp>-49</stp>
        <stp/>
        <stp/>
        <stp/>
        <stp/>
        <stp>T</stp>
        <tr r="H52" s="15"/>
      </tp>
      <tp>
        <v>892.75</v>
        <stp/>
        <stp>StudyData</stp>
        <stp>ZSE</stp>
        <stp>Bar</stp>
        <stp/>
        <stp>Close</stp>
        <stp>D</stp>
        <stp>-19</stp>
        <stp/>
        <stp/>
        <stp/>
        <stp/>
        <stp>T</stp>
        <tr r="H22" s="15"/>
      </tp>
      <tp>
        <v>908</v>
        <stp/>
        <stp>StudyData</stp>
        <stp>ZSE</stp>
        <stp>Bar</stp>
        <stp/>
        <stp>Close</stp>
        <stp>D</stp>
        <stp>-29</stp>
        <stp/>
        <stp/>
        <stp/>
        <stp/>
        <stp>T</stp>
        <tr r="H32" s="15"/>
      </tp>
      <tp>
        <v>863</v>
        <stp/>
        <stp>StudyData</stp>
        <stp>ZSE</stp>
        <stp>Bar</stp>
        <stp/>
        <stp>Close</stp>
        <stp>D</stp>
        <stp>-39</stp>
        <stp/>
        <stp/>
        <stp/>
        <stp/>
        <stp>T</stp>
        <tr r="H42" s="15"/>
      </tp>
      <tp t="s">
        <v/>
        <stp/>
        <stp>DOMData</stp>
        <stp>SOM02U6</stp>
        <stp>Price</stp>
        <stp>5</stp>
        <stp>T</stp>
        <tr r="B6" s="9"/>
      </tp>
      <tp>
        <v>85.5</v>
        <stp/>
        <stp>DOMData</stp>
        <stp>SOM00F7</stp>
        <stp>Price</stp>
        <stp>4</stp>
        <stp>T</stp>
        <tr r="B7" s="13"/>
      </tp>
      <tp>
        <v>57.25</v>
        <stp/>
        <stp>DOMData</stp>
        <stp>SOM00N6</stp>
        <stp>Price</stp>
        <stp>5</stp>
        <stp>T</stp>
        <tr r="B6" s="6"/>
      </tp>
      <tp>
        <v>45</v>
        <stp/>
        <stp>DOMData</stp>
        <stp>SOM00H6</stp>
        <stp>Price</stp>
        <stp>5</stp>
        <stp>T</stp>
        <tr r="B6" s="4"/>
      </tp>
      <tp>
        <v>90</v>
        <stp/>
        <stp>DOMData</stp>
        <stp>SOM00H7</stp>
        <stp>Price</stp>
        <stp>4</stp>
        <stp>T</stp>
        <tr r="B7" s="14"/>
      </tp>
      <tp>
        <v>53.25</v>
        <stp/>
        <stp>DOMData</stp>
        <stp>SOM00K6</stp>
        <stp>Price</stp>
        <stp>5</stp>
        <stp>T</stp>
        <tr r="B6" s="5"/>
      </tp>
      <tp>
        <v>80</v>
        <stp/>
        <stp>DOMData</stp>
        <stp>SOM00U6</stp>
        <stp>Price</stp>
        <stp>5</stp>
        <stp>T</stp>
        <tr r="B6" s="8"/>
      </tp>
      <tp>
        <v>64.5</v>
        <stp/>
        <stp>DOMData</stp>
        <stp>SOM00Q6</stp>
        <stp>Price</stp>
        <stp>5</stp>
        <stp>T</stp>
        <tr r="B6" s="7"/>
      </tp>
      <tp>
        <v>64.5</v>
        <stp/>
        <stp>DOMData</stp>
        <stp>SOM01V6</stp>
        <stp>Price</stp>
        <stp>5</stp>
        <stp>T</stp>
        <tr r="B6" s="10"/>
      </tp>
      <tp t="s">
        <v/>
        <stp/>
        <stp>DOMData</stp>
        <stp>SOM01Z6</stp>
        <stp>Price</stp>
        <stp>5</stp>
        <stp>T</stp>
        <tr r="B6" s="12"/>
      </tp>
      <tp>
        <v>865.25</v>
        <stp/>
        <stp>StudyData</stp>
        <stp>ZSE</stp>
        <stp>Bar</stp>
        <stp/>
        <stp>Close</stp>
        <stp>D</stp>
        <stp>-6</stp>
        <stp/>
        <stp/>
        <stp/>
        <stp/>
        <stp>T</stp>
        <tr r="H9" s="15"/>
      </tp>
      <tp t="s">
        <v/>
        <stp/>
        <stp>DOMData</stp>
        <stp>SOM01Z6</stp>
        <stp>Volume</stp>
        <stp>4</stp>
        <stp>T</stp>
        <tr r="H7" s="12"/>
      </tp>
      <tp>
        <v>3</v>
        <stp/>
        <stp>DOMData</stp>
        <stp>SOM01V6</stp>
        <stp>Volume</stp>
        <stp>4</stp>
        <stp>T</stp>
        <tr r="H7" s="10"/>
      </tp>
      <tp>
        <v>1</v>
        <stp/>
        <stp>DOMData</stp>
        <stp>SOM00H7</stp>
        <stp>Volume</stp>
        <stp>4</stp>
        <stp>T</stp>
        <tr r="H7" s="14"/>
      </tp>
      <tp>
        <v>7</v>
        <stp/>
        <stp>DOMData</stp>
        <stp>SOM00H6</stp>
        <stp>Volume</stp>
        <stp>4</stp>
        <stp>T</stp>
        <tr r="H7" s="4"/>
      </tp>
      <tp>
        <v>6</v>
        <stp/>
        <stp>DOMData</stp>
        <stp>SOM00K6</stp>
        <stp>Volume</stp>
        <stp>4</stp>
        <stp>T</stp>
        <tr r="H7" s="5"/>
      </tp>
      <tp>
        <v>6</v>
        <stp/>
        <stp>DOMData</stp>
        <stp>SOM00N6</stp>
        <stp>Volume</stp>
        <stp>4</stp>
        <stp>T</stp>
        <tr r="H7" s="6"/>
      </tp>
      <tp>
        <v>2</v>
        <stp/>
        <stp>DOMData</stp>
        <stp>SOM00F7</stp>
        <stp>Volume</stp>
        <stp>4</stp>
        <stp>T</stp>
        <tr r="H7" s="13"/>
      </tp>
      <tp>
        <v>3</v>
        <stp/>
        <stp>DOMData</stp>
        <stp>SOM00Q6</stp>
        <stp>Volume</stp>
        <stp>4</stp>
        <stp>T</stp>
        <tr r="H7" s="7"/>
      </tp>
      <tp>
        <v>1</v>
        <stp/>
        <stp>DOMData</stp>
        <stp>SOM00U6</stp>
        <stp>Volume</stp>
        <stp>4</stp>
        <stp>T</stp>
        <tr r="H7" s="8"/>
      </tp>
      <tp t="s">
        <v/>
        <stp/>
        <stp>DOMData</stp>
        <stp>SOM02U6</stp>
        <stp>Volume</stp>
        <stp>4</stp>
        <stp>T</stp>
        <tr r="H7" s="9"/>
      </tp>
      <tp t="s">
        <v/>
        <stp/>
        <stp>DOMData</stp>
        <stp>SOM02U6</stp>
        <stp>Price</stp>
        <stp>4</stp>
        <stp>T</stp>
        <tr r="B7" s="9"/>
      </tp>
      <tp>
        <v>85.75</v>
        <stp/>
        <stp>DOMData</stp>
        <stp>SOM00F7</stp>
        <stp>Price</stp>
        <stp>5</stp>
        <stp>T</stp>
        <tr r="B6" s="13"/>
      </tp>
      <tp>
        <v>56.75</v>
        <stp/>
        <stp>DOMData</stp>
        <stp>SOM00N6</stp>
        <stp>Price</stp>
        <stp>4</stp>
        <stp>T</stp>
        <tr r="B7" s="6"/>
      </tp>
      <tp>
        <v>44.75</v>
        <stp/>
        <stp>DOMData</stp>
        <stp>SOM00H6</stp>
        <stp>Price</stp>
        <stp>4</stp>
        <stp>T</stp>
        <tr r="B7" s="4"/>
      </tp>
      <tp t="s">
        <v/>
        <stp/>
        <stp>DOMData</stp>
        <stp>SOM00H7</stp>
        <stp>Price</stp>
        <stp>5</stp>
        <stp>T</stp>
        <tr r="B6" s="14"/>
      </tp>
      <tp>
        <v>52.75</v>
        <stp/>
        <stp>DOMData</stp>
        <stp>SOM00K6</stp>
        <stp>Price</stp>
        <stp>4</stp>
        <stp>T</stp>
        <tr r="B7" s="5"/>
      </tp>
      <tp>
        <v>74.5</v>
        <stp/>
        <stp>DOMData</stp>
        <stp>SOM00U6</stp>
        <stp>Price</stp>
        <stp>4</stp>
        <stp>T</stp>
        <tr r="B7" s="8"/>
      </tp>
      <tp>
        <v>63</v>
        <stp/>
        <stp>DOMData</stp>
        <stp>SOM00Q6</stp>
        <stp>Price</stp>
        <stp>4</stp>
        <stp>T</stp>
        <tr r="B7" s="7"/>
      </tp>
      <tp>
        <v>64</v>
        <stp/>
        <stp>DOMData</stp>
        <stp>SOM01V6</stp>
        <stp>Price</stp>
        <stp>4</stp>
        <stp>T</stp>
        <tr r="B7" s="10"/>
      </tp>
      <tp t="s">
        <v/>
        <stp/>
        <stp>DOMData</stp>
        <stp>SOM01Z6</stp>
        <stp>Price</stp>
        <stp>4</stp>
        <stp>T</stp>
        <tr r="B7" s="12"/>
      </tp>
      <tp>
        <v>864.5</v>
        <stp/>
        <stp>StudyData</stp>
        <stp>ZSE</stp>
        <stp>Bar</stp>
        <stp/>
        <stp>Close</stp>
        <stp>D</stp>
        <stp>-7</stp>
        <stp/>
        <stp/>
        <stp/>
        <stp/>
        <stp>T</stp>
        <tr r="H10" s="15"/>
      </tp>
      <tp t="s">
        <v/>
        <stp/>
        <stp>DOMData</stp>
        <stp>SOM01Z6</stp>
        <stp>Volume</stp>
        <stp>5</stp>
        <stp>T</stp>
        <tr r="H6" s="12"/>
      </tp>
      <tp>
        <v>1</v>
        <stp/>
        <stp>DOMData</stp>
        <stp>SOM01V6</stp>
        <stp>Volume</stp>
        <stp>5</stp>
        <stp>T</stp>
        <tr r="H6" s="10"/>
      </tp>
      <tp t="s">
        <v/>
        <stp/>
        <stp>DOMData</stp>
        <stp>SOM00H7</stp>
        <stp>Volume</stp>
        <stp>5</stp>
        <stp>T</stp>
        <tr r="H6" s="14"/>
      </tp>
      <tp>
        <v>4</v>
        <stp/>
        <stp>DOMData</stp>
        <stp>SOM00H6</stp>
        <stp>Volume</stp>
        <stp>5</stp>
        <stp>T</stp>
        <tr r="H6" s="4"/>
      </tp>
      <tp>
        <v>1</v>
        <stp/>
        <stp>DOMData</stp>
        <stp>SOM00K6</stp>
        <stp>Volume</stp>
        <stp>5</stp>
        <stp>T</stp>
        <tr r="H6" s="5"/>
      </tp>
      <tp>
        <v>1</v>
        <stp/>
        <stp>DOMData</stp>
        <stp>SOM00N6</stp>
        <stp>Volume</stp>
        <stp>5</stp>
        <stp>T</stp>
        <tr r="H6" s="6"/>
      </tp>
      <tp>
        <v>1</v>
        <stp/>
        <stp>DOMData</stp>
        <stp>SOM00F7</stp>
        <stp>Volume</stp>
        <stp>5</stp>
        <stp>T</stp>
        <tr r="H6" s="13"/>
      </tp>
      <tp>
        <v>3</v>
        <stp/>
        <stp>DOMData</stp>
        <stp>SOM00Q6</stp>
        <stp>Volume</stp>
        <stp>5</stp>
        <stp>T</stp>
        <tr r="H6" s="7"/>
      </tp>
      <tp>
        <v>10</v>
        <stp/>
        <stp>DOMData</stp>
        <stp>SOM00U6</stp>
        <stp>Volume</stp>
        <stp>5</stp>
        <stp>T</stp>
        <tr r="H6" s="8"/>
      </tp>
      <tp t="s">
        <v/>
        <stp/>
        <stp>DOMData</stp>
        <stp>SOM02U6</stp>
        <stp>Volume</stp>
        <stp>5</stp>
        <stp>T</stp>
        <tr r="H6" s="9"/>
      </tp>
      <tp t="s">
        <v/>
        <stp/>
        <stp>DOMData</stp>
        <stp>SOM02U6</stp>
        <stp>Price</stp>
        <stp>3</stp>
        <stp>T</stp>
        <tr r="B8" s="9"/>
      </tp>
      <tp>
        <v>69</v>
        <stp/>
        <stp>DOMData</stp>
        <stp>SOM00F7</stp>
        <stp>Price</stp>
        <stp>2</stp>
        <stp>T</stp>
        <tr r="B9" s="13"/>
      </tp>
      <tp>
        <v>56.5</v>
        <stp/>
        <stp>DOMData</stp>
        <stp>SOM00N6</stp>
        <stp>Price</stp>
        <stp>3</stp>
        <stp>T</stp>
        <tr r="B8" s="6"/>
      </tp>
      <tp>
        <v>44.5</v>
        <stp/>
        <stp>DOMData</stp>
        <stp>SOM00H6</stp>
        <stp>Price</stp>
        <stp>3</stp>
        <stp>T</stp>
        <tr r="B8" s="4"/>
      </tp>
      <tp>
        <v>72</v>
        <stp/>
        <stp>DOMData</stp>
        <stp>SOM00H7</stp>
        <stp>Price</stp>
        <stp>2</stp>
        <stp>T</stp>
        <tr r="B9" s="14"/>
      </tp>
      <tp>
        <v>52.5</v>
        <stp/>
        <stp>DOMData</stp>
        <stp>SOM00K6</stp>
        <stp>Price</stp>
        <stp>3</stp>
        <stp>T</stp>
        <tr r="B8" s="5"/>
      </tp>
      <tp>
        <v>65</v>
        <stp/>
        <stp>DOMData</stp>
        <stp>SOM00U6</stp>
        <stp>Price</stp>
        <stp>3</stp>
        <stp>T</stp>
        <tr r="B8" s="8"/>
      </tp>
      <tp>
        <v>62.25</v>
        <stp/>
        <stp>DOMData</stp>
        <stp>SOM00Q6</stp>
        <stp>Price</stp>
        <stp>3</stp>
        <stp>T</stp>
        <tr r="B8" s="7"/>
      </tp>
      <tp>
        <v>63.5</v>
        <stp/>
        <stp>DOMData</stp>
        <stp>SOM01V6</stp>
        <stp>Price</stp>
        <stp>3</stp>
        <stp>T</stp>
        <tr r="B8" s="10"/>
      </tp>
      <tp t="s">
        <v/>
        <stp/>
        <stp>DOMData</stp>
        <stp>SOM01Z6</stp>
        <stp>Price</stp>
        <stp>3</stp>
        <stp>T</stp>
        <tr r="B8" s="12"/>
      </tp>
      <tp>
        <v>1</v>
        <stp/>
        <stp>DOMData</stp>
        <stp>SOM01Z6</stp>
        <stp>Volume</stp>
        <stp>2</stp>
        <stp>T</stp>
        <tr r="H9" s="12"/>
      </tp>
      <tp>
        <v>1</v>
        <stp/>
        <stp>DOMData</stp>
        <stp>SOM01V6</stp>
        <stp>Volume</stp>
        <stp>2</stp>
        <stp>T</stp>
        <tr r="H9" s="10"/>
      </tp>
      <tp>
        <v>2</v>
        <stp/>
        <stp>DOMData</stp>
        <stp>SOM00H7</stp>
        <stp>Volume</stp>
        <stp>2</stp>
        <stp>T</stp>
        <tr r="H9" s="14"/>
      </tp>
      <tp>
        <v>7</v>
        <stp/>
        <stp>DOMData</stp>
        <stp>SOM00H6</stp>
        <stp>Volume</stp>
        <stp>2</stp>
        <stp>T</stp>
        <tr r="H9" s="4"/>
      </tp>
      <tp>
        <v>10</v>
        <stp/>
        <stp>DOMData</stp>
        <stp>SOM00K6</stp>
        <stp>Volume</stp>
        <stp>2</stp>
        <stp>T</stp>
        <tr r="H9" s="5"/>
      </tp>
      <tp>
        <v>6</v>
        <stp/>
        <stp>DOMData</stp>
        <stp>SOM00N6</stp>
        <stp>Volume</stp>
        <stp>2</stp>
        <stp>T</stp>
        <tr r="H9" s="6"/>
      </tp>
      <tp>
        <v>2</v>
        <stp/>
        <stp>DOMData</stp>
        <stp>SOM00F7</stp>
        <stp>Volume</stp>
        <stp>2</stp>
        <stp>T</stp>
        <tr r="H9" s="13"/>
      </tp>
      <tp>
        <v>4</v>
        <stp/>
        <stp>DOMData</stp>
        <stp>SOM00Q6</stp>
        <stp>Volume</stp>
        <stp>2</stp>
        <stp>T</stp>
        <tr r="H9" s="7"/>
      </tp>
      <tp>
        <v>3</v>
        <stp/>
        <stp>DOMData</stp>
        <stp>SOM00U6</stp>
        <stp>Volume</stp>
        <stp>2</stp>
        <stp>T</stp>
        <tr r="H9" s="8"/>
      </tp>
      <tp>
        <v>1</v>
        <stp/>
        <stp>DOMData</stp>
        <stp>SOM02U6</stp>
        <stp>Volume</stp>
        <stp>2</stp>
        <stp>T</stp>
        <tr r="H9" s="9"/>
      </tp>
      <tp>
        <v>1</v>
        <stp/>
        <stp>ContractData</stp>
        <stp>SOM02U6</stp>
        <stp>MT_LastBidVolume</stp>
        <stp/>
        <stp>T</stp>
        <tr r="P11" s="3"/>
      </tp>
      <tp>
        <v>68.25</v>
        <stp/>
        <stp>DOMData</stp>
        <stp>SOM02U6</stp>
        <stp>Price</stp>
        <stp>2</stp>
        <stp>T</stp>
        <tr r="B9" s="9"/>
      </tp>
      <tp>
        <v>69.5</v>
        <stp/>
        <stp>DOMData</stp>
        <stp>SOM00F7</stp>
        <stp>Price</stp>
        <stp>3</stp>
        <stp>T</stp>
        <tr r="B8" s="13"/>
      </tp>
      <tp>
        <v>56.25</v>
        <stp/>
        <stp>DOMData</stp>
        <stp>SOM00N6</stp>
        <stp>Price</stp>
        <stp>2</stp>
        <stp>T</stp>
        <tr r="B9" s="6"/>
      </tp>
      <tp>
        <v>44.25</v>
        <stp/>
        <stp>DOMData</stp>
        <stp>SOM00H6</stp>
        <stp>Price</stp>
        <stp>2</stp>
        <stp>T</stp>
        <tr r="B9" s="4"/>
      </tp>
      <tp>
        <v>73</v>
        <stp/>
        <stp>DOMData</stp>
        <stp>SOM00H7</stp>
        <stp>Price</stp>
        <stp>3</stp>
        <stp>T</stp>
        <tr r="B8" s="14"/>
      </tp>
      <tp>
        <v>52.25</v>
        <stp/>
        <stp>DOMData</stp>
        <stp>SOM00K6</stp>
        <stp>Price</stp>
        <stp>2</stp>
        <stp>T</stp>
        <tr r="B9" s="5"/>
      </tp>
      <tp>
        <v>64.5</v>
        <stp/>
        <stp>DOMData</stp>
        <stp>SOM00U6</stp>
        <stp>Price</stp>
        <stp>2</stp>
        <stp>T</stp>
        <tr r="B9" s="8"/>
      </tp>
      <tp>
        <v>60</v>
        <stp/>
        <stp>DOMData</stp>
        <stp>SOM00Q6</stp>
        <stp>Price</stp>
        <stp>2</stp>
        <stp>T</stp>
        <tr r="B9" s="7"/>
      </tp>
      <tp>
        <v>63</v>
        <stp/>
        <stp>DOMData</stp>
        <stp>SOM01V6</stp>
        <stp>Price</stp>
        <stp>2</stp>
        <stp>T</stp>
        <tr r="B9" s="10"/>
      </tp>
      <tp>
        <v>95</v>
        <stp/>
        <stp>DOMData</stp>
        <stp>SOM01Z6</stp>
        <stp>Price</stp>
        <stp>2</stp>
        <stp>T</stp>
        <tr r="B9" s="12"/>
      </tp>
      <tp>
        <v>879</v>
        <stp/>
        <stp>StudyData</stp>
        <stp>ZSE</stp>
        <stp>Bar</stp>
        <stp/>
        <stp>Close</stp>
        <stp>D</stp>
        <stp>-1</stp>
        <stp/>
        <stp/>
        <stp/>
        <stp/>
        <stp>T</stp>
        <tr r="H4" s="15"/>
      </tp>
      <tp t="s">
        <v/>
        <stp/>
        <stp>DOMData</stp>
        <stp>SOM01Z6</stp>
        <stp>Volume</stp>
        <stp>3</stp>
        <stp>T</stp>
        <tr r="H8" s="12"/>
      </tp>
      <tp>
        <v>1</v>
        <stp/>
        <stp>DOMData</stp>
        <stp>SOM01V6</stp>
        <stp>Volume</stp>
        <stp>3</stp>
        <stp>T</stp>
        <tr r="H8" s="10"/>
      </tp>
      <tp>
        <v>2</v>
        <stp/>
        <stp>DOMData</stp>
        <stp>SOM00H7</stp>
        <stp>Volume</stp>
        <stp>3</stp>
        <stp>T</stp>
        <tr r="H8" s="14"/>
      </tp>
      <tp>
        <v>14</v>
        <stp/>
        <stp>DOMData</stp>
        <stp>SOM00H6</stp>
        <stp>Volume</stp>
        <stp>3</stp>
        <stp>T</stp>
        <tr r="H8" s="4"/>
      </tp>
      <tp>
        <v>12</v>
        <stp/>
        <stp>DOMData</stp>
        <stp>SOM00K6</stp>
        <stp>Volume</stp>
        <stp>3</stp>
        <stp>T</stp>
        <tr r="H8" s="5"/>
      </tp>
      <tp>
        <v>10</v>
        <stp/>
        <stp>DOMData</stp>
        <stp>SOM00N6</stp>
        <stp>Volume</stp>
        <stp>3</stp>
        <stp>T</stp>
        <tr r="H8" s="6"/>
      </tp>
      <tp>
        <v>3</v>
        <stp/>
        <stp>DOMData</stp>
        <stp>SOM00F7</stp>
        <stp>Volume</stp>
        <stp>3</stp>
        <stp>T</stp>
        <tr r="H8" s="13"/>
      </tp>
      <tp>
        <v>1</v>
        <stp/>
        <stp>DOMData</stp>
        <stp>SOM00Q6</stp>
        <stp>Volume</stp>
        <stp>3</stp>
        <stp>T</stp>
        <tr r="H8" s="7"/>
      </tp>
      <tp>
        <v>1</v>
        <stp/>
        <stp>DOMData</stp>
        <stp>SOM00U6</stp>
        <stp>Volume</stp>
        <stp>3</stp>
        <stp>T</stp>
        <tr r="H8" s="8"/>
      </tp>
      <tp t="s">
        <v/>
        <stp/>
        <stp>DOMData</stp>
        <stp>SOM02U6</stp>
        <stp>Volume</stp>
        <stp>3</stp>
        <stp>T</stp>
        <tr r="H8" s="9"/>
      </tp>
      <tp>
        <v>63.75</v>
        <stp/>
        <stp>DOMData</stp>
        <stp>SOM02U6</stp>
        <stp>Price</stp>
        <stp>1</stp>
        <stp>T</stp>
        <tr r="B10" s="9"/>
      </tp>
      <tp>
        <v>56</v>
        <stp/>
        <stp>DOMData</stp>
        <stp>SOM00N6</stp>
        <stp>Price</stp>
        <stp>1</stp>
        <stp>T</stp>
        <tr r="B10" s="6"/>
      </tp>
      <tp>
        <v>44</v>
        <stp/>
        <stp>DOMData</stp>
        <stp>SOM00H6</stp>
        <stp>Price</stp>
        <stp>1</stp>
        <stp>T</stp>
        <tr r="B10" s="4"/>
      </tp>
      <tp>
        <v>52</v>
        <stp/>
        <stp>DOMData</stp>
        <stp>SOM00K6</stp>
        <stp>Price</stp>
        <stp>1</stp>
        <stp>T</stp>
        <tr r="B10" s="5"/>
      </tp>
      <tp>
        <v>64</v>
        <stp/>
        <stp>DOMData</stp>
        <stp>SOM00U6</stp>
        <stp>Price</stp>
        <stp>1</stp>
        <stp>T</stp>
        <tr r="B10" s="8"/>
      </tp>
      <tp>
        <v>59</v>
        <stp/>
        <stp>DOMData</stp>
        <stp>SOM00Q6</stp>
        <stp>Price</stp>
        <stp>1</stp>
        <stp>T</stp>
        <tr r="B10" s="7"/>
      </tp>
      <tp>
        <v>61.75</v>
        <stp/>
        <stp>DOMData</stp>
        <stp>SOM01V6</stp>
        <stp>Price</stp>
        <stp>1</stp>
        <stp>T</stp>
        <tr r="B10" s="10"/>
      </tp>
      <tp>
        <v>79.75</v>
        <stp/>
        <stp>DOMData</stp>
        <stp>SOM01Z6</stp>
        <stp>Price</stp>
        <stp>1</stp>
        <stp>T</stp>
        <tr r="B10" s="12"/>
      </tp>
      <tp>
        <v>882.25</v>
        <stp/>
        <stp>StudyData</stp>
        <stp>ZSE</stp>
        <stp>Bar</stp>
        <stp/>
        <stp>Close</stp>
        <stp>D</stp>
        <stp>-2</stp>
        <stp/>
        <stp/>
        <stp/>
        <stp/>
        <stp>T</stp>
        <tr r="H5" s="15"/>
      </tp>
      <tp>
        <v>1</v>
        <stp/>
        <stp>ContractData</stp>
        <stp>SOM00H7</stp>
        <stp>MT_LastBidVolume</stp>
        <stp/>
        <stp>T</stp>
        <tr r="P16" s="3"/>
      </tp>
      <tp>
        <v>6</v>
        <stp/>
        <stp>ContractData</stp>
        <stp>SOM00H6</stp>
        <stp>MT_LastBidVolume</stp>
        <stp/>
        <stp>T</stp>
        <tr r="P6" s="3"/>
      </tp>
      <tp>
        <v>2</v>
        <stp/>
        <stp>ContractData</stp>
        <stp>SOM00K6</stp>
        <stp>MT_LastBidVolume</stp>
        <stp/>
        <stp>T</stp>
        <tr r="P7" s="3"/>
      </tp>
      <tp>
        <v>2</v>
        <stp/>
        <stp>ContractData</stp>
        <stp>SOM00N6</stp>
        <stp>MT_LastBidVolume</stp>
        <stp/>
        <stp>T</stp>
        <tr r="P8" s="3"/>
      </tp>
      <tp>
        <v>1</v>
        <stp/>
        <stp>ContractData</stp>
        <stp>SOM00F7</stp>
        <stp>MT_LastBidVolume</stp>
        <stp/>
        <stp>T</stp>
        <tr r="P15" s="3"/>
      </tp>
      <tp>
        <v>2</v>
        <stp/>
        <stp>ContractData</stp>
        <stp>SOM00Q6</stp>
        <stp>MT_LastBidVolume</stp>
        <stp/>
        <stp>T</stp>
        <tr r="P9" s="3"/>
      </tp>
      <tp>
        <v>1</v>
        <stp/>
        <stp>ContractData</stp>
        <stp>SOM00U6</stp>
        <stp>MT_LastBidVolume</stp>
        <stp/>
        <stp>T</stp>
        <tr r="P10" s="3"/>
      </tp>
      <tp>
        <v>65</v>
        <stp/>
        <stp>DOMData</stp>
        <stp>SOM00F7</stp>
        <stp>Price</stp>
        <stp>1</stp>
        <stp>T</stp>
        <tr r="B10" s="13"/>
      </tp>
      <tp>
        <v>69</v>
        <stp/>
        <stp>DOMData</stp>
        <stp>SOM00H7</stp>
        <stp>Price</stp>
        <stp>1</stp>
        <stp>T</stp>
        <tr r="B10" s="14"/>
      </tp>
      <tp>
        <v>880</v>
        <stp/>
        <stp>StudyData</stp>
        <stp>ZSE</stp>
        <stp>Bar</stp>
        <stp/>
        <stp>Close</stp>
        <stp>D</stp>
        <stp>-3</stp>
        <stp/>
        <stp/>
        <stp/>
        <stp/>
        <stp>T</stp>
        <tr r="H6" s="15"/>
      </tp>
      <tp>
        <v>1</v>
        <stp/>
        <stp>ContractData</stp>
        <stp>SOM01Z6</stp>
        <stp>MT_LastBidVolume</stp>
        <stp/>
        <stp>T</stp>
        <tr r="P14" s="3"/>
      </tp>
      <tp>
        <v>1</v>
        <stp/>
        <stp>DOMData</stp>
        <stp>SOM01Z6</stp>
        <stp>Volume</stp>
        <stp>1</stp>
        <stp>T</stp>
        <tr r="H10" s="12"/>
      </tp>
      <tp>
        <v>2</v>
        <stp/>
        <stp>DOMData</stp>
        <stp>SOM01V6</stp>
        <stp>Volume</stp>
        <stp>1</stp>
        <stp>T</stp>
        <tr r="H10" s="10"/>
      </tp>
      <tp>
        <v>1</v>
        <stp/>
        <stp>DOMData</stp>
        <stp>SOM00H7</stp>
        <stp>Volume</stp>
        <stp>1</stp>
        <stp>T</stp>
        <tr r="H10" s="14"/>
      </tp>
      <tp>
        <v>15</v>
        <stp/>
        <stp>DOMData</stp>
        <stp>SOM00H6</stp>
        <stp>Volume</stp>
        <stp>1</stp>
        <stp>T</stp>
        <tr r="H10" s="4"/>
      </tp>
      <tp>
        <v>1</v>
        <stp/>
        <stp>DOMData</stp>
        <stp>SOM00K6</stp>
        <stp>Volume</stp>
        <stp>1</stp>
        <stp>T</stp>
        <tr r="H10" s="5"/>
      </tp>
      <tp>
        <v>1</v>
        <stp/>
        <stp>DOMData</stp>
        <stp>SOM00N6</stp>
        <stp>Volume</stp>
        <stp>1</stp>
        <stp>T</stp>
        <tr r="H10" s="6"/>
      </tp>
      <tp>
        <v>1</v>
        <stp/>
        <stp>DOMData</stp>
        <stp>SOM00F7</stp>
        <stp>Volume</stp>
        <stp>1</stp>
        <stp>T</stp>
        <tr r="H10" s="13"/>
      </tp>
      <tp>
        <v>5</v>
        <stp/>
        <stp>DOMData</stp>
        <stp>SOM00Q6</stp>
        <stp>Volume</stp>
        <stp>1</stp>
        <stp>T</stp>
        <tr r="H10" s="7"/>
      </tp>
      <tp>
        <v>6</v>
        <stp/>
        <stp>DOMData</stp>
        <stp>SOM00U6</stp>
        <stp>Volume</stp>
        <stp>1</stp>
        <stp>T</stp>
        <tr r="H10" s="8"/>
      </tp>
      <tp>
        <v>1</v>
        <stp/>
        <stp>DOMData</stp>
        <stp>SOM02U6</stp>
        <stp>Volume</stp>
        <stp>1</stp>
        <stp>T</stp>
        <tr r="H10" s="9"/>
      </tp>
      <tp>
        <v>2</v>
        <stp/>
        <stp>ContractData</stp>
        <stp>SOM01V6</stp>
        <stp>MT_LastBidVolume</stp>
        <stp/>
        <stp>T</stp>
        <tr r="P12" s="3"/>
      </tp>
      <tp>
        <v>860.75</v>
        <stp/>
        <stp>StudyData</stp>
        <stp>ZSE</stp>
        <stp>Bar</stp>
        <stp/>
        <stp>Close</stp>
        <stp>D</stp>
        <stp>-40</stp>
        <stp/>
        <stp/>
        <stp/>
        <stp/>
        <stp>T</stp>
        <tr r="H43" s="15"/>
      </tp>
      <tp>
        <v>886.5</v>
        <stp/>
        <stp>StudyData</stp>
        <stp>ZSE</stp>
        <stp>Bar</stp>
        <stp/>
        <stp>Close</stp>
        <stp>D</stp>
        <stp>-50</stp>
        <stp/>
        <stp/>
        <stp/>
        <stp/>
        <stp>T</stp>
        <tr r="H53" s="15"/>
      </tp>
      <tp>
        <v>856</v>
        <stp/>
        <stp>StudyData</stp>
        <stp>ZSE</stp>
        <stp>Bar</stp>
        <stp/>
        <stp>Close</stp>
        <stp>D</stp>
        <stp>-10</stp>
        <stp/>
        <stp/>
        <stp/>
        <stp/>
        <stp>T</stp>
        <tr r="H13" s="15"/>
      </tp>
      <tp>
        <v>877.75</v>
        <stp/>
        <stp>StudyData</stp>
        <stp>ZSE</stp>
        <stp>Bar</stp>
        <stp/>
        <stp>Close</stp>
        <stp>D</stp>
        <stp>-20</stp>
        <stp/>
        <stp/>
        <stp/>
        <stp/>
        <stp>T</stp>
        <tr r="H23" s="15"/>
      </tp>
      <tp>
        <v>900.25</v>
        <stp/>
        <stp>StudyData</stp>
        <stp>ZSE</stp>
        <stp>Bar</stp>
        <stp/>
        <stp>Close</stp>
        <stp>D</stp>
        <stp>-30</stp>
        <stp/>
        <stp/>
        <stp/>
        <stp/>
        <stp>T</stp>
        <tr r="H33" s="15"/>
      </tp>
      <tp>
        <v>865</v>
        <stp/>
        <stp>StudyData</stp>
        <stp>ZSE</stp>
        <stp>Bar</stp>
        <stp/>
        <stp>Close</stp>
        <stp>D</stp>
        <stp>-41</stp>
        <stp/>
        <stp/>
        <stp/>
        <stp/>
        <stp>T</stp>
        <tr r="H44" s="15"/>
      </tp>
      <tp>
        <v>864.25</v>
        <stp/>
        <stp>StudyData</stp>
        <stp>ZSE</stp>
        <stp>Bar</stp>
        <stp/>
        <stp>Close</stp>
        <stp>D</stp>
        <stp>-11</stp>
        <stp/>
        <stp/>
        <stp/>
        <stp/>
        <stp>T</stp>
        <tr r="H14" s="15"/>
      </tp>
      <tp>
        <v>863.25</v>
        <stp/>
        <stp>StudyData</stp>
        <stp>ZSE</stp>
        <stp>Bar</stp>
        <stp/>
        <stp>Close</stp>
        <stp>D</stp>
        <stp>-21</stp>
        <stp/>
        <stp/>
        <stp/>
        <stp/>
        <stp>T</stp>
        <tr r="H24" s="15"/>
      </tp>
      <tp>
        <v>895</v>
        <stp/>
        <stp>StudyData</stp>
        <stp>ZSE</stp>
        <stp>Bar</stp>
        <stp/>
        <stp>Close</stp>
        <stp>D</stp>
        <stp>-31</stp>
        <stp/>
        <stp/>
        <stp/>
        <stp/>
        <stp>T</stp>
        <tr r="H34" s="15"/>
      </tp>
      <tp>
        <v>860.75</v>
        <stp/>
        <stp>StudyData</stp>
        <stp>ZSE</stp>
        <stp>Bar</stp>
        <stp/>
        <stp>Close</stp>
        <stp>D</stp>
        <stp>-42</stp>
        <stp/>
        <stp/>
        <stp/>
        <stp/>
        <stp>T</stp>
        <tr r="H45" s="15"/>
      </tp>
      <tp>
        <v>870.25</v>
        <stp/>
        <stp>StudyData</stp>
        <stp>ZSE</stp>
        <stp>Bar</stp>
        <stp/>
        <stp>Close</stp>
        <stp>D</stp>
        <stp>-12</stp>
        <stp/>
        <stp/>
        <stp/>
        <stp/>
        <stp>T</stp>
        <tr r="H15" s="15"/>
      </tp>
      <tp>
        <v>867.75</v>
        <stp/>
        <stp>StudyData</stp>
        <stp>ZSE</stp>
        <stp>Bar</stp>
        <stp/>
        <stp>Close</stp>
        <stp>D</stp>
        <stp>-22</stp>
        <stp/>
        <stp/>
        <stp/>
        <stp/>
        <stp>T</stp>
        <tr r="H25" s="15"/>
      </tp>
      <tp>
        <v>891.5</v>
        <stp/>
        <stp>StudyData</stp>
        <stp>ZSE</stp>
        <stp>Bar</stp>
        <stp/>
        <stp>Close</stp>
        <stp>D</stp>
        <stp>-32</stp>
        <stp/>
        <stp/>
        <stp/>
        <stp/>
        <stp>T</stp>
        <tr r="H35" s="15"/>
      </tp>
      <tp>
        <v>856.25</v>
        <stp/>
        <stp>StudyData</stp>
        <stp>ZSE</stp>
        <stp>Bar</stp>
        <stp/>
        <stp>Close</stp>
        <stp>D</stp>
        <stp>-43</stp>
        <stp/>
        <stp/>
        <stp/>
        <stp/>
        <stp>T</stp>
        <tr r="H46" s="15"/>
      </tp>
      <tp>
        <v>865.75</v>
        <stp/>
        <stp>StudyData</stp>
        <stp>ZSE</stp>
        <stp>Bar</stp>
        <stp/>
        <stp>Close</stp>
        <stp>D</stp>
        <stp>-13</stp>
        <stp/>
        <stp/>
        <stp/>
        <stp/>
        <stp>T</stp>
        <tr r="H16" s="15"/>
      </tp>
      <tp>
        <v>876</v>
        <stp/>
        <stp>StudyData</stp>
        <stp>ZSE</stp>
        <stp>Bar</stp>
        <stp/>
        <stp>Close</stp>
        <stp>D</stp>
        <stp>-23</stp>
        <stp/>
        <stp/>
        <stp/>
        <stp/>
        <stp>T</stp>
        <tr r="H26" s="15"/>
      </tp>
      <tp>
        <v>883.25</v>
        <stp/>
        <stp>StudyData</stp>
        <stp>ZSE</stp>
        <stp>Bar</stp>
        <stp/>
        <stp>Close</stp>
        <stp>D</stp>
        <stp>-33</stp>
        <stp/>
        <stp/>
        <stp/>
        <stp/>
        <stp>T</stp>
        <tr r="H36" s="15"/>
      </tp>
      <tp>
        <v>882.75</v>
        <stp/>
        <stp>StudyData</stp>
        <stp>ZSE</stp>
        <stp>Bar</stp>
        <stp/>
        <stp>Close</stp>
        <stp>D</stp>
        <stp>0</stp>
        <stp/>
        <stp/>
        <stp/>
        <stp/>
        <stp>T</stp>
        <tr r="H3" s="15"/>
        <tr r="H3" s="15"/>
      </tp>
      <tp>
        <v>864.75</v>
        <stp/>
        <stp>StudyData</stp>
        <stp>ZSE</stp>
        <stp>Bar</stp>
        <stp/>
        <stp>Close</stp>
        <stp>D</stp>
        <stp>-8</stp>
        <stp/>
        <stp/>
        <stp/>
        <stp/>
        <stp>T</stp>
        <tr r="H11" s="15"/>
      </tp>
      <tp>
        <v>864</v>
        <stp/>
        <stp>StudyData</stp>
        <stp>ZSE</stp>
        <stp>Bar</stp>
        <stp/>
        <stp>Close</stp>
        <stp>D</stp>
        <stp>-44</stp>
        <stp/>
        <stp/>
        <stp/>
        <stp/>
        <stp>T</stp>
        <tr r="H47" s="15"/>
      </tp>
      <tp>
        <v>861.25</v>
        <stp/>
        <stp>StudyData</stp>
        <stp>ZSE</stp>
        <stp>Bar</stp>
        <stp/>
        <stp>Close</stp>
        <stp>D</stp>
        <stp>-14</stp>
        <stp/>
        <stp/>
        <stp/>
        <stp/>
        <stp>T</stp>
        <tr r="H17" s="15"/>
      </tp>
      <tp>
        <v>873.75</v>
        <stp/>
        <stp>StudyData</stp>
        <stp>ZSE</stp>
        <stp>Bar</stp>
        <stp/>
        <stp>Close</stp>
        <stp>D</stp>
        <stp>-24</stp>
        <stp/>
        <stp/>
        <stp/>
        <stp/>
        <stp>T</stp>
        <tr r="H27" s="15"/>
      </tp>
      <tp>
        <v>875.5</v>
        <stp/>
        <stp>StudyData</stp>
        <stp>ZSE</stp>
        <stp>Bar</stp>
        <stp/>
        <stp>Close</stp>
        <stp>D</stp>
        <stp>-34</stp>
        <stp/>
        <stp/>
        <stp/>
        <stp/>
        <stp>T</stp>
        <tr r="H37" s="15"/>
      </tp>
      <tp>
        <v>857.25</v>
        <stp/>
        <stp>StudyData</stp>
        <stp>ZSE</stp>
        <stp>Bar</stp>
        <stp/>
        <stp>Close</stp>
        <stp>D</stp>
        <stp>-9</stp>
        <stp/>
        <stp/>
        <stp/>
        <stp/>
        <stp>T</stp>
        <tr r="H12" s="15"/>
      </tp>
      <tp>
        <v>860.5</v>
        <stp/>
        <stp>StudyData</stp>
        <stp>ZSE</stp>
        <stp>Bar</stp>
        <stp/>
        <stp>Close</stp>
        <stp>D</stp>
        <stp>-45</stp>
        <stp/>
        <stp/>
        <stp/>
        <stp/>
        <stp>T</stp>
        <tr r="H48" s="15"/>
      </tp>
      <tp>
        <v>873</v>
        <stp/>
        <stp>StudyData</stp>
        <stp>ZSE</stp>
        <stp>Bar</stp>
        <stp/>
        <stp>Close</stp>
        <stp>D</stp>
        <stp>-15</stp>
        <stp/>
        <stp/>
        <stp/>
        <stp/>
        <stp>T</stp>
        <tr r="H18" s="15"/>
      </tp>
      <tp>
        <v>881.25</v>
        <stp/>
        <stp>StudyData</stp>
        <stp>ZSE</stp>
        <stp>Bar</stp>
        <stp/>
        <stp>Close</stp>
        <stp>D</stp>
        <stp>-25</stp>
        <stp/>
        <stp/>
        <stp/>
        <stp/>
        <stp>T</stp>
        <tr r="H28" s="15"/>
      </tp>
      <tp>
        <v>877.75</v>
        <stp/>
        <stp>StudyData</stp>
        <stp>ZSE</stp>
        <stp>Bar</stp>
        <stp/>
        <stp>Close</stp>
        <stp>D</stp>
        <stp>-35</stp>
        <stp/>
        <stp/>
        <stp/>
        <stp/>
        <stp>T</stp>
        <tr r="H38" s="15"/>
      </tp>
      <tp>
        <v>855.5</v>
        <stp/>
        <stp>StudyData</stp>
        <stp>ZSE</stp>
        <stp>Bar</stp>
        <stp/>
        <stp>Close</stp>
        <stp>D</stp>
        <stp>-46</stp>
        <stp/>
        <stp/>
        <stp/>
        <stp/>
        <stp>T</stp>
        <tr r="H49" s="15"/>
      </tp>
      <tp>
        <v>880.75</v>
        <stp/>
        <stp>StudyData</stp>
        <stp>ZSE</stp>
        <stp>Bar</stp>
        <stp/>
        <stp>Close</stp>
        <stp>D</stp>
        <stp>-16</stp>
        <stp/>
        <stp/>
        <stp/>
        <stp/>
        <stp>T</stp>
        <tr r="H19" s="15"/>
      </tp>
      <tp>
        <v>879.75</v>
        <stp/>
        <stp>StudyData</stp>
        <stp>ZSE</stp>
        <stp>Bar</stp>
        <stp/>
        <stp>Close</stp>
        <stp>D</stp>
        <stp>-26</stp>
        <stp/>
        <stp/>
        <stp/>
        <stp/>
        <stp>T</stp>
        <tr r="H29" s="15"/>
      </tp>
      <tp>
        <v>866.25</v>
        <stp/>
        <stp>StudyData</stp>
        <stp>ZSE</stp>
        <stp>Bar</stp>
        <stp/>
        <stp>Close</stp>
        <stp>D</stp>
        <stp>-36</stp>
        <stp/>
        <stp/>
        <stp/>
        <stp/>
        <stp>T</stp>
        <tr r="H39" s="15"/>
      </tp>
      <tp>
        <v>867.25</v>
        <stp/>
        <stp>StudyData</stp>
        <stp>ZSE</stp>
        <stp>Bar</stp>
        <stp/>
        <stp>Close</stp>
        <stp>D</stp>
        <stp>-47</stp>
        <stp/>
        <stp/>
        <stp/>
        <stp/>
        <stp>T</stp>
        <tr r="H50" s="15"/>
      </tp>
      <tp>
        <v>885.5</v>
        <stp/>
        <stp>StudyData</stp>
        <stp>ZSE</stp>
        <stp>Bar</stp>
        <stp/>
        <stp>Close</stp>
        <stp>D</stp>
        <stp>-17</stp>
        <stp/>
        <stp/>
        <stp/>
        <stp/>
        <stp>T</stp>
        <tr r="H20" s="15"/>
      </tp>
      <tp>
        <v>879.75</v>
        <stp/>
        <stp>StudyData</stp>
        <stp>ZSE</stp>
        <stp>Bar</stp>
        <stp/>
        <stp>Close</stp>
        <stp>D</stp>
        <stp>-27</stp>
        <stp/>
        <stp/>
        <stp/>
        <stp/>
        <stp>T</stp>
        <tr r="H30" s="15"/>
      </tp>
      <tp>
        <v>866.25</v>
        <stp/>
        <stp>StudyData</stp>
        <stp>ZSE</stp>
        <stp>Bar</stp>
        <stp/>
        <stp>Close</stp>
        <stp>D</stp>
        <stp>-37</stp>
        <stp/>
        <stp/>
        <stp/>
        <stp/>
        <stp>T</stp>
        <tr r="H40" s="15"/>
      </tp>
      <tp t="s">
        <v/>
        <stp/>
        <stp>DOMData</stp>
        <stp>SOM02U6</stp>
        <stp>Price</stp>
        <stp>-3</stp>
        <stp>T</stp>
        <tr r="B13" s="9"/>
      </tp>
      <tp>
        <v>59</v>
        <stp/>
        <stp>DOMData</stp>
        <stp>SOM01V6</stp>
        <stp>Price</stp>
        <stp>-3</stp>
        <stp>T</stp>
        <tr r="B13" s="10"/>
      </tp>
      <tp t="s">
        <v/>
        <stp/>
        <stp>DOMData</stp>
        <stp>SOM01Z6</stp>
        <stp>Price</stp>
        <stp>-3</stp>
        <stp>T</stp>
        <tr r="B13" s="12"/>
      </tp>
      <tp>
        <v>54.75</v>
        <stp/>
        <stp>DOMData</stp>
        <stp>SOM00Q6</stp>
        <stp>Price</stp>
        <stp>-3</stp>
        <stp>T</stp>
        <tr r="B13" s="7"/>
      </tp>
      <tp>
        <v>59</v>
        <stp/>
        <stp>DOMData</stp>
        <stp>SOM00U6</stp>
        <stp>Price</stp>
        <stp>-3</stp>
        <stp>T</stp>
        <tr r="B13" s="8"/>
      </tp>
      <tp>
        <v>63</v>
        <stp/>
        <stp>DOMData</stp>
        <stp>SOM00F7</stp>
        <stp>Price</stp>
        <stp>-3</stp>
        <stp>T</stp>
        <tr r="B13" s="13"/>
      </tp>
      <tp>
        <v>51.25</v>
        <stp/>
        <stp>DOMData</stp>
        <stp>SOM00K6</stp>
        <stp>Price</stp>
        <stp>-3</stp>
        <stp>T</stp>
        <tr r="B13" s="5"/>
      </tp>
      <tp>
        <v>43.25</v>
        <stp/>
        <stp>DOMData</stp>
        <stp>SOM00H6</stp>
        <stp>Price</stp>
        <stp>-3</stp>
        <stp>T</stp>
        <tr r="B13" s="4"/>
      </tp>
      <tp>
        <v>65</v>
        <stp/>
        <stp>DOMData</stp>
        <stp>SOM00H7</stp>
        <stp>Price</stp>
        <stp>-3</stp>
        <stp>T</stp>
        <tr r="B13" s="14"/>
      </tp>
      <tp>
        <v>55</v>
        <stp/>
        <stp>DOMData</stp>
        <stp>SOM00N6</stp>
        <stp>Price</stp>
        <stp>-3</stp>
        <stp>T</stp>
        <tr r="B13" s="6"/>
      </tp>
      <tp>
        <v>57</v>
        <stp/>
        <stp>DOMData</stp>
        <stp>SOM02U6</stp>
        <stp>Price</stp>
        <stp>-2</stp>
        <stp>T</stp>
        <tr r="B12" s="9"/>
      </tp>
      <tp>
        <v>60</v>
        <stp/>
        <stp>DOMData</stp>
        <stp>SOM01V6</stp>
        <stp>Price</stp>
        <stp>-2</stp>
        <stp>T</stp>
        <tr r="B12" s="10"/>
      </tp>
      <tp t="s">
        <v/>
        <stp/>
        <stp>DOMData</stp>
        <stp>SOM01Z6</stp>
        <stp>Price</stp>
        <stp>-2</stp>
        <stp>T</stp>
        <tr r="B12" s="12"/>
      </tp>
      <tp>
        <v>56.5</v>
        <stp/>
        <stp>DOMData</stp>
        <stp>SOM00Q6</stp>
        <stp>Price</stp>
        <stp>-2</stp>
        <stp>T</stp>
        <tr r="B12" s="7"/>
      </tp>
      <tp>
        <v>61</v>
        <stp/>
        <stp>DOMData</stp>
        <stp>SOM00U6</stp>
        <stp>Price</stp>
        <stp>-2</stp>
        <stp>T</stp>
        <tr r="B12" s="8"/>
      </tp>
      <tp>
        <v>63.25</v>
        <stp/>
        <stp>DOMData</stp>
        <stp>SOM00F7</stp>
        <stp>Price</stp>
        <stp>-2</stp>
        <stp>T</stp>
        <tr r="B12" s="13"/>
      </tp>
      <tp>
        <v>51.5</v>
        <stp/>
        <stp>DOMData</stp>
        <stp>SOM00K6</stp>
        <stp>Price</stp>
        <stp>-2</stp>
        <stp>T</stp>
        <tr r="B12" s="5"/>
      </tp>
      <tp>
        <v>43.5</v>
        <stp/>
        <stp>DOMData</stp>
        <stp>SOM00H6</stp>
        <stp>Price</stp>
        <stp>-2</stp>
        <stp>T</stp>
        <tr r="B12" s="4"/>
      </tp>
      <tp>
        <v>66.5</v>
        <stp/>
        <stp>DOMData</stp>
        <stp>SOM00H7</stp>
        <stp>Price</stp>
        <stp>-2</stp>
        <stp>T</stp>
        <tr r="B12" s="14"/>
      </tp>
      <tp>
        <v>55.25</v>
        <stp/>
        <stp>DOMData</stp>
        <stp>SOM00N6</stp>
        <stp>Price</stp>
        <stp>-2</stp>
        <stp>T</stp>
        <tr r="B12" s="6"/>
      </tp>
      <tp>
        <v>60</v>
        <stp/>
        <stp>DOMData</stp>
        <stp>SOM02U6</stp>
        <stp>Price</stp>
        <stp>-1</stp>
        <stp>T</stp>
        <tr r="B11" s="9"/>
      </tp>
      <tp>
        <v>60.75</v>
        <stp/>
        <stp>DOMData</stp>
        <stp>SOM01V6</stp>
        <stp>Price</stp>
        <stp>-1</stp>
        <stp>T</stp>
        <tr r="B11" s="10"/>
      </tp>
      <tp>
        <v>56.5</v>
        <stp/>
        <stp>DOMData</stp>
        <stp>SOM01Z6</stp>
        <stp>Price</stp>
        <stp>-1</stp>
        <stp>T</stp>
        <tr r="B11" s="12"/>
      </tp>
      <tp>
        <v>57.25</v>
        <stp/>
        <stp>DOMData</stp>
        <stp>SOM00Q6</stp>
        <stp>Price</stp>
        <stp>-1</stp>
        <stp>T</stp>
        <tr r="B11" s="7"/>
      </tp>
      <tp>
        <v>61.5</v>
        <stp/>
        <stp>DOMData</stp>
        <stp>SOM00U6</stp>
        <stp>Price</stp>
        <stp>-1</stp>
        <stp>T</stp>
        <tr r="B11" s="8"/>
      </tp>
      <tp>
        <v>64</v>
        <stp/>
        <stp>DOMData</stp>
        <stp>SOM00F7</stp>
        <stp>Price</stp>
        <stp>-1</stp>
        <stp>T</stp>
        <tr r="B11" s="13"/>
      </tp>
      <tp>
        <v>51.75</v>
        <stp/>
        <stp>DOMData</stp>
        <stp>SOM00K6</stp>
        <stp>Price</stp>
        <stp>-1</stp>
        <stp>T</stp>
        <tr r="B11" s="5"/>
      </tp>
      <tp>
        <v>43.75</v>
        <stp/>
        <stp>DOMData</stp>
        <stp>SOM00H6</stp>
        <stp>Price</stp>
        <stp>-1</stp>
        <stp>T</stp>
        <tr r="B11" s="4"/>
      </tp>
      <tp>
        <v>67</v>
        <stp/>
        <stp>DOMData</stp>
        <stp>SOM00H7</stp>
        <stp>Price</stp>
        <stp>-1</stp>
        <stp>T</stp>
        <tr r="B11" s="14"/>
      </tp>
      <tp>
        <v>55.5</v>
        <stp/>
        <stp>DOMData</stp>
        <stp>SOM00N6</stp>
        <stp>Price</stp>
        <stp>-1</stp>
        <stp>T</stp>
        <tr r="B11" s="6"/>
      </tp>
      <tp t="s">
        <v/>
        <stp/>
        <stp>DOMData</stp>
        <stp>SOM02U6</stp>
        <stp>Price</stp>
        <stp>-5</stp>
        <stp>T</stp>
        <tr r="B15" s="9"/>
      </tp>
      <tp t="s">
        <v/>
        <stp/>
        <stp>DOMData</stp>
        <stp>SOM01V6</stp>
        <stp>Price</stp>
        <stp>-5</stp>
        <stp>T</stp>
        <tr r="B15" s="10"/>
      </tp>
      <tp t="s">
        <v/>
        <stp/>
        <stp>DOMData</stp>
        <stp>SOM01Z6</stp>
        <stp>Price</stp>
        <stp>-5</stp>
        <stp>T</stp>
        <tr r="B15" s="12"/>
      </tp>
      <tp t="s">
        <v/>
        <stp/>
        <stp>DOMData</stp>
        <stp>SOM00Q6</stp>
        <stp>Price</stp>
        <stp>-5</stp>
        <stp>T</stp>
        <tr r="B15" s="7"/>
      </tp>
      <tp t="s">
        <v/>
        <stp/>
        <stp>DOMData</stp>
        <stp>SOM00U6</stp>
        <stp>Price</stp>
        <stp>-5</stp>
        <stp>T</stp>
        <tr r="B15" s="8"/>
      </tp>
      <tp>
        <v>60</v>
        <stp/>
        <stp>DOMData</stp>
        <stp>SOM00F7</stp>
        <stp>Price</stp>
        <stp>-5</stp>
        <stp>T</stp>
        <tr r="B15" s="13"/>
      </tp>
      <tp>
        <v>50.75</v>
        <stp/>
        <stp>DOMData</stp>
        <stp>SOM00K6</stp>
        <stp>Price</stp>
        <stp>-5</stp>
        <stp>T</stp>
        <tr r="B15" s="5"/>
      </tp>
      <tp>
        <v>42.75</v>
        <stp/>
        <stp>DOMData</stp>
        <stp>SOM00H6</stp>
        <stp>Price</stp>
        <stp>-5</stp>
        <stp>T</stp>
        <tr r="B15" s="4"/>
      </tp>
      <tp>
        <v>60</v>
        <stp/>
        <stp>DOMData</stp>
        <stp>SOM00H7</stp>
        <stp>Price</stp>
        <stp>-5</stp>
        <stp>T</stp>
        <tr r="B15" s="14"/>
      </tp>
      <tp>
        <v>54.5</v>
        <stp/>
        <stp>DOMData</stp>
        <stp>SOM00N6</stp>
        <stp>Price</stp>
        <stp>-5</stp>
        <stp>T</stp>
        <tr r="B15" s="6"/>
      </tp>
      <tp t="s">
        <v/>
        <stp/>
        <stp>DOMData</stp>
        <stp>SOM02U6</stp>
        <stp>Price</stp>
        <stp>-4</stp>
        <stp>T</stp>
        <tr r="B14" s="9"/>
      </tp>
      <tp>
        <v>50.75</v>
        <stp/>
        <stp>DOMData</stp>
        <stp>SOM01V6</stp>
        <stp>Price</stp>
        <stp>-4</stp>
        <stp>T</stp>
        <tr r="B14" s="10"/>
      </tp>
      <tp t="s">
        <v/>
        <stp/>
        <stp>DOMData</stp>
        <stp>SOM01Z6</stp>
        <stp>Price</stp>
        <stp>-4</stp>
        <stp>T</stp>
        <tr r="B14" s="12"/>
      </tp>
      <tp t="s">
        <v/>
        <stp/>
        <stp>DOMData</stp>
        <stp>SOM00Q6</stp>
        <stp>Price</stp>
        <stp>-4</stp>
        <stp>T</stp>
        <tr r="B14" s="7"/>
      </tp>
      <tp>
        <v>57.75</v>
        <stp/>
        <stp>DOMData</stp>
        <stp>SOM00U6</stp>
        <stp>Price</stp>
        <stp>-4</stp>
        <stp>T</stp>
        <tr r="B14" s="8"/>
      </tp>
      <tp>
        <v>61.25</v>
        <stp/>
        <stp>DOMData</stp>
        <stp>SOM00F7</stp>
        <stp>Price</stp>
        <stp>-4</stp>
        <stp>T</stp>
        <tr r="B14" s="13"/>
      </tp>
      <tp>
        <v>51</v>
        <stp/>
        <stp>DOMData</stp>
        <stp>SOM00K6</stp>
        <stp>Price</stp>
        <stp>-4</stp>
        <stp>T</stp>
        <tr r="B14" s="5"/>
      </tp>
      <tp>
        <v>43</v>
        <stp/>
        <stp>DOMData</stp>
        <stp>SOM00H6</stp>
        <stp>Price</stp>
        <stp>-4</stp>
        <stp>T</stp>
        <tr r="B14" s="4"/>
      </tp>
      <tp>
        <v>63</v>
        <stp/>
        <stp>DOMData</stp>
        <stp>SOM00H7</stp>
        <stp>Price</stp>
        <stp>-4</stp>
        <stp>T</stp>
        <tr r="B14" s="14"/>
      </tp>
      <tp>
        <v>54.75</v>
        <stp/>
        <stp>DOMData</stp>
        <stp>SOM00N6</stp>
        <stp>Price</stp>
        <stp>-4</stp>
        <stp>T</stp>
        <tr r="B14" s="6"/>
      </tp>
      <tp t="s">
        <v>Soybean Crush (Meal,Oil EXP ahead Beans), Oct 16</v>
        <stp/>
        <stp>ContractData</stp>
        <stp>SOM01V6</stp>
        <stp>LongDescription</stp>
        <stp/>
        <stp>T</stp>
        <tr r="E8" s="1"/>
        <tr r="D8" s="1"/>
        <tr r="AJ2" s="1"/>
        <tr r="AH2" s="1"/>
      </tp>
      <tp t="s">
        <v>Soybean Crush (Meal,Oil EXP ahead Beans), Oct 17</v>
        <stp/>
        <stp>ContractData</stp>
        <stp>SOM01V7</stp>
        <stp>LongDescription</stp>
        <stp/>
        <stp>T</stp>
        <tr r="AJ4" s="1"/>
        <tr r="AH4" s="1"/>
      </tp>
      <tp t="s">
        <v>Soybean Crush (Meal,Oil EXP ahead Beans), Oct 18</v>
        <stp/>
        <stp>ContractData</stp>
        <stp>SOM01V8</stp>
        <stp>LongDescription</stp>
        <stp/>
        <stp>T</stp>
        <tr r="AH5" s="1"/>
        <tr r="AJ5" s="1"/>
      </tp>
      <tp t="s">
        <v>Soybean Crush (Meal,Oil EXP ahead Beans), Dec 16</v>
        <stp/>
        <stp>ContractData</stp>
        <stp>SOM01Z6</stp>
        <stp>LongDescription</stp>
        <stp/>
        <stp>T</stp>
        <tr r="E10" s="1"/>
        <tr r="D10" s="1"/>
        <tr r="AJ3" s="1"/>
        <tr r="AH3" s="1"/>
      </tp>
      <tp t="s">
        <v>Soybean Crush (Same-month), Jan 17</v>
        <stp/>
        <stp>ContractData</stp>
        <stp>SOM00F7</stp>
        <stp>LongDescription</stp>
        <stp/>
        <stp>T</stp>
        <tr r="D11" s="1"/>
        <tr r="E11" s="1"/>
        <tr r="J7" s="1"/>
        <tr r="L7" s="1"/>
      </tp>
      <tp t="s">
        <v>Soybean Crush (Same-month), Jul 16</v>
        <stp/>
        <stp>ContractData</stp>
        <stp>SOM00N6</stp>
        <stp>LongDescription</stp>
        <stp/>
        <stp>T</stp>
        <tr r="E4" s="1"/>
        <tr r="D4" s="1"/>
        <tr r="J4" s="1"/>
        <tr r="L4" s="1"/>
      </tp>
      <tp t="s">
        <v>Soybean Crush (Same-month), Jul 17</v>
        <stp/>
        <stp>ContractData</stp>
        <stp>SOM00N7</stp>
        <stp>LongDescription</stp>
        <stp/>
        <stp>T</stp>
        <tr r="L10" s="1"/>
        <tr r="J10" s="1"/>
      </tp>
      <tp t="s">
        <v>Soybean Crush (Same-month), May 16</v>
        <stp/>
        <stp>ContractData</stp>
        <stp>SOM00K6</stp>
        <stp>LongDescription</stp>
        <stp/>
        <stp>T</stp>
        <tr r="E3" s="1"/>
        <tr r="D3" s="1"/>
        <tr r="L3" s="1"/>
        <tr r="J3" s="1"/>
      </tp>
      <tp t="s">
        <v>Soybean Crush (Same-month), May 17</v>
        <stp/>
        <stp>ContractData</stp>
        <stp>SOM00K7</stp>
        <stp>LongDescription</stp>
        <stp/>
        <stp>T</stp>
        <tr r="L9" s="1"/>
        <tr r="J9" s="1"/>
      </tp>
      <tp t="s">
        <v>Soybean Crush (Same-month), Mar 16</v>
        <stp/>
        <stp>ContractData</stp>
        <stp>SOM00H6</stp>
        <stp>LongDescription</stp>
        <stp/>
        <stp>T</stp>
        <tr r="D2" s="1"/>
        <tr r="E2" s="1"/>
        <tr r="L2" s="1"/>
        <tr r="J2" s="1"/>
      </tp>
      <tp t="s">
        <v>Soybean Crush (Same-month), Mar 17</v>
        <stp/>
        <stp>ContractData</stp>
        <stp>SOM00H7</stp>
        <stp>LongDescription</stp>
        <stp/>
        <stp>T</stp>
        <tr r="D12" s="1"/>
        <tr r="E12" s="1"/>
        <tr r="L8" s="1"/>
        <tr r="J8" s="1"/>
      </tp>
      <tp t="s">
        <v>Soybean Crush (Same-month), Sep 16</v>
        <stp/>
        <stp>ContractData</stp>
        <stp>SOM00U6</stp>
        <stp>LongDescription</stp>
        <stp/>
        <stp>T</stp>
        <tr r="D6" s="1"/>
        <tr r="E6" s="1"/>
        <tr r="L6" s="1"/>
        <tr r="J6" s="1"/>
      </tp>
      <tp t="s">
        <v>Soybean Crush (Same-month), Aug 16</v>
        <stp/>
        <stp>ContractData</stp>
        <stp>SOM00Q6</stp>
        <stp>LongDescription</stp>
        <stp/>
        <stp>T</stp>
        <tr r="E5" s="1"/>
        <tr r="D5" s="1"/>
        <tr r="J5" s="1"/>
        <tr r="L5" s="1"/>
      </tp>
      <tp t="s">
        <v>Soybean Crush2(Meal,Oil EXP ahead Beans), Sep 16</v>
        <stp/>
        <stp>ContractData</stp>
        <stp>SOM02U6</stp>
        <stp>LongDescription</stp>
        <stp/>
        <stp>T</stp>
        <tr r="D7" s="1"/>
        <tr r="E7" s="1"/>
        <tr r="P2" s="1"/>
        <tr r="R2" s="1"/>
      </tp>
      <tp t="s">
        <v>Soybean Crush2(Meal,Oil EXP ahead Beans), Sep 17</v>
        <stp/>
        <stp>ContractData</stp>
        <stp>SOM02U7</stp>
        <stp>LongDescription</stp>
        <stp/>
        <stp>T</stp>
        <tr r="P3" s="1"/>
        <tr r="R3" s="1"/>
      </tp>
      <tp t="s">
        <v>Soybean Crush2(Meal,Oil EXP ahead Beans), Sep 18</v>
        <stp/>
        <stp>ContractData</stp>
        <stp>SOM02U8</stp>
        <stp>LongDescription</stp>
        <stp/>
        <stp>T</stp>
        <tr r="R4" s="1"/>
        <tr r="P4" s="1"/>
      </tp>
      <tp>
        <v>1</v>
        <stp/>
        <stp>ContractData</stp>
        <stp>SOM00F7</stp>
        <stp>MT_LastAskVolume</stp>
        <stp/>
        <stp>T</stp>
        <tr r="T15" s="3"/>
      </tp>
      <tp>
        <v>1</v>
        <stp/>
        <stp>ContractData</stp>
        <stp>SOM00N6</stp>
        <stp>MT_LastAskVolume</stp>
        <stp/>
        <stp>T</stp>
        <tr r="T8" s="3"/>
      </tp>
      <tp>
        <v>1</v>
        <stp/>
        <stp>ContractData</stp>
        <stp>SOM00K6</stp>
        <stp>MT_LastAskVolume</stp>
        <stp/>
        <stp>T</stp>
        <tr r="T7" s="3"/>
      </tp>
      <tp>
        <v>1</v>
        <stp/>
        <stp>ContractData</stp>
        <stp>SOM00H7</stp>
        <stp>MT_LastAskVolume</stp>
        <stp/>
        <stp>T</stp>
        <tr r="T16" s="3"/>
      </tp>
      <tp>
        <v>15</v>
        <stp/>
        <stp>ContractData</stp>
        <stp>SOM00H6</stp>
        <stp>MT_LastAskVolume</stp>
        <stp/>
        <stp>T</stp>
        <tr r="T6" s="3"/>
      </tp>
      <tp>
        <v>6</v>
        <stp/>
        <stp>ContractData</stp>
        <stp>SOM00U6</stp>
        <stp>MT_LastAskVolume</stp>
        <stp/>
        <stp>T</stp>
        <tr r="T10" s="3"/>
      </tp>
      <tp>
        <v>5</v>
        <stp/>
        <stp>ContractData</stp>
        <stp>SOM00Q6</stp>
        <stp>MT_LastAskVolume</stp>
        <stp/>
        <stp>T</stp>
        <tr r="T9" s="3"/>
      </tp>
      <tp>
        <v>2</v>
        <stp/>
        <stp>ContractData</stp>
        <stp>SOM01V6</stp>
        <stp>MT_LastAskVolume</stp>
        <stp/>
        <stp>T</stp>
        <tr r="T12" s="3"/>
      </tp>
      <tp>
        <v>1</v>
        <stp/>
        <stp>ContractData</stp>
        <stp>SOM01Z6</stp>
        <stp>MT_LastAskVolume</stp>
        <stp/>
        <stp>T</stp>
        <tr r="T14" s="3"/>
      </tp>
      <tp>
        <v>1</v>
        <stp/>
        <stp>ContractData</stp>
        <stp>SOM02U6</stp>
        <stp>MT_LastAskVolume</stp>
        <stp/>
        <stp>T</stp>
        <tr r="T11" s="3"/>
      </tp>
      <tp>
        <v>56.75</v>
        <stp/>
        <stp>ContractData</stp>
        <stp>SOM00N6</stp>
        <stp>Open</stp>
        <stp/>
        <stp>T</stp>
        <tr r="H29" s="1"/>
      </tp>
      <tp>
        <v>50</v>
        <stp/>
        <stp>ContractData</stp>
        <stp>SOM00K6</stp>
        <stp>Open</stp>
        <stp/>
        <stp>T</stp>
        <tr r="H28" s="1"/>
      </tp>
      <tp>
        <v>40.5</v>
        <stp/>
        <stp>ContractData</stp>
        <stp>SOM00H6</stp>
        <stp>Open</stp>
        <stp/>
        <stp>T</stp>
        <tr r="H27" s="1"/>
      </tp>
      <tp>
        <v>67</v>
        <stp/>
        <stp>ContractData</stp>
        <stp>SOM00H7</stp>
        <stp>Open</stp>
        <stp/>
        <stp>T</stp>
        <tr r="H37" s="1"/>
      </tp>
      <tp>
        <v>64</v>
        <stp/>
        <stp>ContractData</stp>
        <stp>SOM00F7</stp>
        <stp>Open</stp>
        <stp/>
        <stp>T</stp>
        <tr r="H36" s="1"/>
      </tp>
      <tp>
        <v>63</v>
        <stp/>
        <stp>ContractData</stp>
        <stp>SOM00U6</stp>
        <stp>Open</stp>
        <stp/>
        <stp>T</stp>
        <tr r="H31" s="1"/>
      </tp>
      <tp t="s">
        <v/>
        <stp/>
        <stp>ContractData</stp>
        <stp>SOM00Q6</stp>
        <stp>Open</stp>
        <stp/>
        <stp>T</stp>
        <tr r="H30" s="1"/>
      </tp>
      <tp>
        <v>861.25</v>
        <stp/>
        <stp>StudyData</stp>
        <stp>ZSE</stp>
        <stp>Bar</stp>
        <stp/>
        <stp>Open</stp>
        <stp>D</stp>
        <stp>-4</stp>
        <stp/>
        <stp/>
        <stp/>
        <stp/>
        <stp>T</stp>
        <tr r="E7" s="15"/>
      </tp>
      <tp>
        <v>880.75</v>
        <stp/>
        <stp>StudyData</stp>
        <stp>ZSE</stp>
        <stp>Bar</stp>
        <stp/>
        <stp>High</stp>
        <stp>D</stp>
        <stp>-3</stp>
        <stp/>
        <stp/>
        <stp/>
        <stp/>
        <stp>T</stp>
        <tr r="F6" s="15"/>
      </tp>
      <tp t="s">
        <v>ZMEK7</v>
        <stp/>
        <stp>ContractData</stp>
        <stp>ZME?10</stp>
        <stp>Symbol</stp>
        <stp/>
        <stp>T</stp>
        <tr r="D23" s="1"/>
      </tp>
      <tp>
        <v>0</v>
        <stp/>
        <stp>ContractData</stp>
        <stp>SOM00F7</stp>
        <stp>NetLastTradeToday</stp>
        <stp/>
        <stp>T</stp>
        <tr r="L15" s="3"/>
      </tp>
      <tp t="s">
        <v/>
        <stp/>
        <stp>ContractData</stp>
        <stp>SOM01Z6</stp>
        <stp>Open</stp>
        <stp/>
        <stp>T</stp>
        <tr r="H35" s="1"/>
      </tp>
      <tp>
        <v>61.25</v>
        <stp/>
        <stp>ContractData</stp>
        <stp>SOM01V6</stp>
        <stp>Open</stp>
        <stp/>
        <stp>T</stp>
        <tr r="H33" s="1"/>
      </tp>
      <tp>
        <v>865.5</v>
        <stp/>
        <stp>StudyData</stp>
        <stp>ZSE</stp>
        <stp>Bar</stp>
        <stp/>
        <stp>Open</stp>
        <stp>D</stp>
        <stp>-5</stp>
        <stp/>
        <stp/>
        <stp/>
        <stp/>
        <stp>T</stp>
        <tr r="E8" s="15"/>
      </tp>
      <tp>
        <v>884.5</v>
        <stp/>
        <stp>StudyData</stp>
        <stp>ZSE</stp>
        <stp>Bar</stp>
        <stp/>
        <stp>High</stp>
        <stp>D</stp>
        <stp>-2</stp>
        <stp/>
        <stp/>
        <stp/>
        <stp/>
        <stp>T</stp>
        <tr r="F5" s="15"/>
      </tp>
      <tp t="s">
        <v>ZMEN7</v>
        <stp/>
        <stp>ContractData</stp>
        <stp>ZME?11</stp>
        <stp>Symbol</stp>
        <stp/>
        <stp>T</stp>
        <tr r="D24" s="1"/>
      </tp>
      <tp t="s">
        <v/>
        <stp/>
        <stp>ContractData</stp>
        <stp>SOM02U6</stp>
        <stp>Open</stp>
        <stp/>
        <stp>T</stp>
        <tr r="H32" s="1"/>
      </tp>
      <tp>
        <v>865</v>
        <stp/>
        <stp>StudyData</stp>
        <stp>ZSE</stp>
        <stp>Bar</stp>
        <stp/>
        <stp>Open</stp>
        <stp>D</stp>
        <stp>-6</stp>
        <stp/>
        <stp/>
        <stp/>
        <stp/>
        <stp>T</stp>
        <tr r="E9" s="15"/>
      </tp>
      <tp>
        <v>882.75</v>
        <stp/>
        <stp>StudyData</stp>
        <stp>ZSE</stp>
        <stp>Bar</stp>
        <stp/>
        <stp>High</stp>
        <stp>D</stp>
        <stp>-1</stp>
        <stp/>
        <stp/>
        <stp/>
        <stp/>
        <stp>T</stp>
        <tr r="F4" s="15"/>
      </tp>
      <tp>
        <v>864.5</v>
        <stp/>
        <stp>StudyData</stp>
        <stp>ZSE</stp>
        <stp>Bar</stp>
        <stp/>
        <stp>Open</stp>
        <stp>D</stp>
        <stp>-7</stp>
        <stp/>
        <stp/>
        <stp/>
        <stp/>
        <stp>T</stp>
        <tr r="E10" s="15"/>
      </tp>
      <tp>
        <v>30.060000000000002</v>
        <stp/>
        <stp>ContractData</stp>
        <stp>ZLE</stp>
        <stp>LastTradeToday</stp>
        <stp/>
        <stp>T</stp>
        <tr r="J19" s="3"/>
      </tp>
      <tp>
        <v>270.90000000000003</v>
        <stp/>
        <stp>ContractData</stp>
        <stp>ZME</stp>
        <stp>LastTradeToday</stp>
        <stp/>
        <stp>T</stp>
        <tr r="J18" s="3"/>
      </tp>
      <tp>
        <v>882.75</v>
        <stp/>
        <stp>ContractData</stp>
        <stp>ZSE</stp>
        <stp>LastTradeToday</stp>
        <stp/>
        <stp>T</stp>
        <tr r="J17" s="3"/>
      </tp>
      <tp>
        <v>17</v>
        <stp/>
        <stp>ContractData</stp>
        <stp>SOM00N6</stp>
        <stp>T_CVol</stp>
        <stp/>
        <stp>T</stp>
        <tr r="V8" s="3"/>
      </tp>
      <tp>
        <v>141</v>
        <stp/>
        <stp>ContractData</stp>
        <stp>SOM00H6</stp>
        <stp>T_CVol</stp>
        <stp/>
        <stp>T</stp>
        <tr r="V6" s="3"/>
      </tp>
      <tp>
        <v>18</v>
        <stp/>
        <stp>ContractData</stp>
        <stp>SOM00K6</stp>
        <stp>T_CVol</stp>
        <stp/>
        <stp>T</stp>
        <tr r="V7" s="3"/>
      </tp>
      <tp>
        <v>3</v>
        <stp/>
        <stp>ContractData</stp>
        <stp>SOM00U6</stp>
        <stp>T_CVol</stp>
        <stp/>
        <stp>T</stp>
        <tr r="V10" s="3"/>
      </tp>
      <tp>
        <v>0</v>
        <stp/>
        <stp>ContractData</stp>
        <stp>SOM00Q6</stp>
        <stp>T_CVol</stp>
        <stp/>
        <stp>T</stp>
        <tr r="V9" s="3"/>
      </tp>
      <tp>
        <v>0</v>
        <stp/>
        <stp>ContractData</stp>
        <stp>SOM01Z6</stp>
        <stp>T_CVol</stp>
        <stp/>
        <stp>T</stp>
        <tr r="V14" s="3"/>
      </tp>
      <tp>
        <v>1</v>
        <stp/>
        <stp>ContractData</stp>
        <stp>SOM01V6</stp>
        <stp>T_CVol</stp>
        <stp/>
        <stp>T</stp>
        <tr r="V12" s="3"/>
      </tp>
      <tp>
        <v>0</v>
        <stp/>
        <stp>ContractData</stp>
        <stp>SOM02U6</stp>
        <stp>T_CVol</stp>
        <stp/>
        <stp>T</stp>
        <tr r="V11" s="3"/>
      </tp>
      <tp>
        <v>0</v>
        <stp/>
        <stp>ContractData</stp>
        <stp>SOM01Z6</stp>
        <stp>Y_CVol</stp>
        <stp/>
        <stp>T</stp>
        <tr r="Y14" s="3"/>
      </tp>
      <tp>
        <v>1</v>
        <stp/>
        <stp>ContractData</stp>
        <stp>SOM01V6</stp>
        <stp>Y_CVol</stp>
        <stp/>
        <stp>T</stp>
        <tr r="Y12" s="3"/>
      </tp>
      <tp>
        <v>141</v>
        <stp/>
        <stp>ContractData</stp>
        <stp>SOM00N6</stp>
        <stp>Y_CVol</stp>
        <stp/>
        <stp>T</stp>
        <tr r="Y8" s="3"/>
      </tp>
      <tp>
        <v>409</v>
        <stp/>
        <stp>ContractData</stp>
        <stp>SOM00H6</stp>
        <stp>Y_CVol</stp>
        <stp/>
        <stp>T</stp>
        <tr r="Y6" s="3"/>
      </tp>
      <tp>
        <v>119</v>
        <stp/>
        <stp>ContractData</stp>
        <stp>SOM00K6</stp>
        <stp>Y_CVol</stp>
        <stp/>
        <stp>T</stp>
        <tr r="Y7" s="3"/>
      </tp>
      <tp>
        <v>5</v>
        <stp/>
        <stp>ContractData</stp>
        <stp>SOM00U6</stp>
        <stp>Y_CVol</stp>
        <stp/>
        <stp>T</stp>
        <tr r="Y10" s="3"/>
      </tp>
      <tp>
        <v>26</v>
        <stp/>
        <stp>ContractData</stp>
        <stp>SOM00Q6</stp>
        <stp>Y_CVol</stp>
        <stp/>
        <stp>T</stp>
        <tr r="Y9" s="3"/>
      </tp>
      <tp>
        <v>0</v>
        <stp/>
        <stp>ContractData</stp>
        <stp>SOM02U6</stp>
        <stp>Y_CVol</stp>
        <stp/>
        <stp>T</stp>
        <tr r="Y11" s="3"/>
      </tp>
      <tp t="s">
        <v/>
        <stp/>
        <stp>ContractData</stp>
        <stp>SOM02U6</stp>
        <stp>Low</stp>
        <stp/>
        <stp>T</stp>
        <tr r="T32" s="1"/>
      </tp>
      <tp>
        <v>64</v>
        <stp/>
        <stp>ContractData</stp>
        <stp>SOM00F7</stp>
        <stp>Low</stp>
        <stp/>
        <stp>T</stp>
        <tr r="T36" s="1"/>
      </tp>
      <tp>
        <v>54.5</v>
        <stp/>
        <stp>ContractData</stp>
        <stp>SOM00N6</stp>
        <stp>Low</stp>
        <stp/>
        <stp>T</stp>
        <tr r="T29" s="1"/>
      </tp>
      <tp>
        <v>40</v>
        <stp/>
        <stp>ContractData</stp>
        <stp>SOM00H6</stp>
        <stp>Low</stp>
        <stp/>
        <stp>T</stp>
        <tr r="T27" s="1"/>
      </tp>
      <tp>
        <v>67</v>
        <stp/>
        <stp>ContractData</stp>
        <stp>SOM00H7</stp>
        <stp>Low</stp>
        <stp/>
        <stp>T</stp>
        <tr r="T37" s="1"/>
      </tp>
      <tp>
        <v>50</v>
        <stp/>
        <stp>ContractData</stp>
        <stp>SOM00K6</stp>
        <stp>Low</stp>
        <stp/>
        <stp>T</stp>
        <tr r="T28" s="1"/>
      </tp>
      <tp>
        <v>63</v>
        <stp/>
        <stp>ContractData</stp>
        <stp>SOM00U6</stp>
        <stp>Low</stp>
        <stp/>
        <stp>T</stp>
        <tr r="T31" s="1"/>
      </tp>
      <tp t="s">
        <v/>
        <stp/>
        <stp>ContractData</stp>
        <stp>SOM00Q6</stp>
        <stp>Low</stp>
        <stp/>
        <stp>T</stp>
        <tr r="T30" s="1"/>
      </tp>
      <tp>
        <v>61.25</v>
        <stp/>
        <stp>ContractData</stp>
        <stp>SOM01V6</stp>
        <stp>Low</stp>
        <stp/>
        <stp>T</stp>
        <tr r="T33" s="1"/>
      </tp>
      <tp t="s">
        <v/>
        <stp/>
        <stp>ContractData</stp>
        <stp>SOM01Z6</stp>
        <stp>Low</stp>
        <stp/>
        <stp>T</stp>
        <tr r="T35" s="1"/>
      </tp>
      <tp>
        <v>868.75</v>
        <stp/>
        <stp>StudyData</stp>
        <stp>ZSE</stp>
        <stp>Bar</stp>
        <stp/>
        <stp>High</stp>
        <stp>D</stp>
        <stp>-7</stp>
        <stp/>
        <stp/>
        <stp/>
        <stp/>
        <stp>T</stp>
        <tr r="F10" s="15"/>
      </tp>
      <tp>
        <v>51</v>
        <stp/>
        <stp>ContractData</stp>
        <stp>SOMI01Z6</stp>
        <stp>T_CVol</stp>
        <stp/>
        <stp>T</stp>
        <tr r="V13" s="3"/>
      </tp>
      <tp>
        <v>62</v>
        <stp/>
        <stp>ContractData</stp>
        <stp>SOMI01Z6</stp>
        <stp>Y_CVol</stp>
        <stp/>
        <stp>T</stp>
        <tr r="Y13" s="3"/>
      </tp>
      <tp>
        <v>1</v>
        <stp/>
        <stp>ContractData</stp>
        <stp>SOM00H7</stp>
        <stp>T_CVol</stp>
        <stp/>
        <stp>T</stp>
        <tr r="V16" s="3"/>
      </tp>
      <tp>
        <v>1</v>
        <stp/>
        <stp>ContractData</stp>
        <stp>SOM00F7</stp>
        <stp>T_CVol</stp>
        <stp/>
        <stp>T</stp>
        <tr r="V15" s="3"/>
      </tp>
      <tp>
        <v>1</v>
        <stp/>
        <stp>ContractData</stp>
        <stp>SOM00H7</stp>
        <stp>Y_CVol</stp>
        <stp/>
        <stp>T</stp>
        <tr r="Y16" s="3"/>
      </tp>
      <tp>
        <v>1</v>
        <stp/>
        <stp>ContractData</stp>
        <stp>SOM00F7</stp>
        <stp>Y_CVol</stp>
        <stp/>
        <stp>T</stp>
        <tr r="Y15" s="3"/>
      </tp>
      <tp t="s">
        <v/>
        <stp/>
        <stp>ContractData</stp>
        <stp>SOM02U6</stp>
        <stp>High</stp>
        <stp/>
        <stp>T</stp>
        <tr r="N32" s="1"/>
      </tp>
      <tp>
        <v>882.25</v>
        <stp/>
        <stp>StudyData</stp>
        <stp>ZSE</stp>
        <stp>Bar</stp>
        <stp/>
        <stp>Open</stp>
        <stp>D</stp>
        <stp>-1</stp>
        <stp/>
        <stp/>
        <stp/>
        <stp/>
        <stp>T</stp>
        <tr r="E4" s="15"/>
      </tp>
      <tp>
        <v>871</v>
        <stp/>
        <stp>StudyData</stp>
        <stp>ZSE</stp>
        <stp>Bar</stp>
        <stp/>
        <stp>High</stp>
        <stp>D</stp>
        <stp>-6</stp>
        <stp/>
        <stp/>
        <stp/>
        <stp/>
        <stp>T</stp>
        <tr r="F9" s="15"/>
      </tp>
      <tp>
        <v>61.25</v>
        <stp/>
        <stp>ContractData</stp>
        <stp>SOM01V6</stp>
        <stp>High</stp>
        <stp/>
        <stp>T</stp>
        <tr r="N33" s="1"/>
      </tp>
      <tp t="s">
        <v/>
        <stp/>
        <stp>ContractData</stp>
        <stp>SOM01Z6</stp>
        <stp>High</stp>
        <stp/>
        <stp>T</stp>
        <tr r="N35" s="1"/>
      </tp>
      <tp>
        <v>879</v>
        <stp/>
        <stp>StudyData</stp>
        <stp>ZSE</stp>
        <stp>Bar</stp>
        <stp/>
        <stp>Open</stp>
        <stp>D</stp>
        <stp>-2</stp>
        <stp/>
        <stp/>
        <stp/>
        <stp/>
        <stp>T</stp>
        <tr r="E5" s="15"/>
      </tp>
      <tp>
        <v>869.75</v>
        <stp/>
        <stp>StudyData</stp>
        <stp>ZSE</stp>
        <stp>Bar</stp>
        <stp/>
        <stp>High</stp>
        <stp>D</stp>
        <stp>-5</stp>
        <stp/>
        <stp/>
        <stp/>
        <stp/>
        <stp>T</stp>
        <tr r="F8" s="15"/>
      </tp>
      <tp>
        <v>63</v>
        <stp/>
        <stp>ContractData</stp>
        <stp>SOM00U6</stp>
        <stp>High</stp>
        <stp/>
        <stp>T</stp>
        <tr r="N31" s="1"/>
      </tp>
      <tp t="s">
        <v/>
        <stp/>
        <stp>ContractData</stp>
        <stp>SOM00Q6</stp>
        <stp>High</stp>
        <stp/>
        <stp>T</stp>
        <tr r="N30" s="1"/>
      </tp>
      <tp>
        <v>64</v>
        <stp/>
        <stp>ContractData</stp>
        <stp>SOM00F7</stp>
        <stp>High</stp>
        <stp/>
        <stp>T</stp>
        <tr r="N36" s="1"/>
      </tp>
      <tp>
        <v>56.75</v>
        <stp/>
        <stp>ContractData</stp>
        <stp>SOM00N6</stp>
        <stp>High</stp>
        <stp/>
        <stp>T</stp>
        <tr r="N29" s="1"/>
      </tp>
      <tp>
        <v>53</v>
        <stp/>
        <stp>ContractData</stp>
        <stp>SOM00K6</stp>
        <stp>High</stp>
        <stp/>
        <stp>T</stp>
        <tr r="N28" s="1"/>
      </tp>
      <tp>
        <v>45</v>
        <stp/>
        <stp>ContractData</stp>
        <stp>SOM00H6</stp>
        <stp>High</stp>
        <stp/>
        <stp>T</stp>
        <tr r="N27" s="1"/>
      </tp>
      <tp>
        <v>67</v>
        <stp/>
        <stp>ContractData</stp>
        <stp>SOM00H7</stp>
        <stp>High</stp>
        <stp/>
        <stp>T</stp>
        <tr r="N37" s="1"/>
      </tp>
      <tp>
        <v>875</v>
        <stp/>
        <stp>StudyData</stp>
        <stp>ZSE</stp>
        <stp>Bar</stp>
        <stp/>
        <stp>Open</stp>
        <stp>D</stp>
        <stp>-3</stp>
        <stp/>
        <stp/>
        <stp/>
        <stp/>
        <stp>T</stp>
        <tr r="E6" s="15"/>
      </tp>
      <tp>
        <v>881.25</v>
        <stp/>
        <stp>StudyData</stp>
        <stp>ZSE</stp>
        <stp>Bar</stp>
        <stp/>
        <stp>High</stp>
        <stp>D</stp>
        <stp>-4</stp>
        <stp/>
        <stp/>
        <stp/>
        <stp/>
        <stp>T</stp>
        <tr r="F7" s="15"/>
      </tp>
      <tp>
        <v>42443</v>
        <stp/>
        <stp>ContractData</stp>
        <stp>ZME?1</stp>
        <stp>ExpirationDate</stp>
        <stp/>
        <stp>T</stp>
        <tr r="A14" s="1"/>
        <tr r="A14" s="1"/>
      </tp>
      <tp>
        <v>1</v>
        <stp/>
        <stp>DOMData</stp>
        <stp>SOMI01Z6</stp>
        <stp>Volume</stp>
        <stp>-5</stp>
        <stp>T</stp>
        <tr r="H15" s="11"/>
      </tp>
      <tp>
        <v>1</v>
        <stp/>
        <stp>DOMData</stp>
        <stp>SOM01Z6</stp>
        <stp>Volume</stp>
        <stp>-1</stp>
        <stp>T</stp>
        <tr r="H11" s="12"/>
      </tp>
      <tp>
        <v>1</v>
        <stp/>
        <stp>DOMData</stp>
        <stp>SOM02U6</stp>
        <stp>Volume</stp>
        <stp>-2</stp>
        <stp>T</stp>
        <tr r="H12" s="9"/>
      </tp>
      <tp>
        <v>2</v>
        <stp/>
        <stp>DOMData</stp>
        <stp>SOM01V6</stp>
        <stp>Volume</stp>
        <stp>-1</stp>
        <stp>T</stp>
        <tr r="H11" s="10"/>
      </tp>
      <tp>
        <v>-1.25</v>
        <stp/>
        <stp>ContractData</stp>
        <stp>SOM00N6</stp>
        <stp>NetLastTradeToday</stp>
        <stp/>
        <stp>T</stp>
        <tr r="L8" s="3"/>
      </tp>
      <tp>
        <v>3</v>
        <stp/>
        <stp>DOMData</stp>
        <stp>SOMI01Z6</stp>
        <stp>Volume</stp>
        <stp>-4</stp>
        <stp>T</stp>
        <tr r="H14" s="11"/>
      </tp>
      <tp>
        <v>1</v>
        <stp/>
        <stp>DOMData</stp>
        <stp>SOM00U6</stp>
        <stp>Volume</stp>
        <stp>-1</stp>
        <stp>T</stp>
        <tr r="H11" s="8"/>
      </tp>
      <tp t="s">
        <v/>
        <stp/>
        <stp>DOMData</stp>
        <stp>SOM02U6</stp>
        <stp>Volume</stp>
        <stp>-3</stp>
        <stp>T</stp>
        <tr r="H13" s="9"/>
      </tp>
      <tp>
        <v>2</v>
        <stp/>
        <stp>DOMData</stp>
        <stp>SOM00Q6</stp>
        <stp>Volume</stp>
        <stp>-1</stp>
        <stp>T</stp>
        <tr r="H11" s="7"/>
      </tp>
      <tp>
        <v>2</v>
        <stp/>
        <stp>DOMData</stp>
        <stp>SOM00N6</stp>
        <stp>Volume</stp>
        <stp>-1</stp>
        <stp>T</stp>
        <tr r="H11" s="6"/>
      </tp>
      <tp>
        <v>6</v>
        <stp/>
        <stp>DOMData</stp>
        <stp>SOM00H6</stp>
        <stp>Volume</stp>
        <stp>-1</stp>
        <stp>T</stp>
        <tr r="H11" s="4"/>
      </tp>
      <tp>
        <v>1</v>
        <stp/>
        <stp>DOMData</stp>
        <stp>SOM00H7</stp>
        <stp>Volume</stp>
        <stp>-1</stp>
        <stp>T</stp>
        <tr r="H11" s="14"/>
      </tp>
      <tp>
        <v>2</v>
        <stp/>
        <stp>DOMData</stp>
        <stp>SOM00K6</stp>
        <stp>Volume</stp>
        <stp>-1</stp>
        <stp>T</stp>
        <tr r="H11" s="5"/>
      </tp>
      <tp>
        <v>1</v>
        <stp/>
        <stp>DOMData</stp>
        <stp>SOM00F7</stp>
        <stp>Volume</stp>
        <stp>-1</stp>
        <stp>T</stp>
        <tr r="H11" s="13"/>
      </tp>
      <tp t="s">
        <v/>
        <stp/>
        <stp>DOMData</stp>
        <stp>SOM01Z6</stp>
        <stp>Volume</stp>
        <stp>-3</stp>
        <stp>T</stp>
        <tr r="H13" s="12"/>
      </tp>
      <tp>
        <v>2</v>
        <stp/>
        <stp>DOMData</stp>
        <stp>SOM00U6</stp>
        <stp>Volume</stp>
        <stp>-2</stp>
        <stp>T</stp>
        <tr r="H12" s="8"/>
      </tp>
      <tp>
        <v>1</v>
        <stp/>
        <stp>DOMData</stp>
        <stp>SOM01V6</stp>
        <stp>Volume</stp>
        <stp>-3</stp>
        <stp>T</stp>
        <tr r="H13" s="10"/>
      </tp>
      <tp>
        <v>1</v>
        <stp/>
        <stp>DOMData</stp>
        <stp>SOM00Q6</stp>
        <stp>Volume</stp>
        <stp>-2</stp>
        <stp>T</stp>
        <tr r="H12" s="7"/>
      </tp>
      <tp>
        <v>8</v>
        <stp/>
        <stp>DOMData</stp>
        <stp>SOM00N6</stp>
        <stp>Volume</stp>
        <stp>-2</stp>
        <stp>T</stp>
        <tr r="H12" s="6"/>
      </tp>
      <tp>
        <v>9</v>
        <stp/>
        <stp>DOMData</stp>
        <stp>SOM00H6</stp>
        <stp>Volume</stp>
        <stp>-2</stp>
        <stp>T</stp>
        <tr r="H12" s="4"/>
      </tp>
      <tp>
        <v>1</v>
        <stp/>
        <stp>DOMData</stp>
        <stp>SOM00H7</stp>
        <stp>Volume</stp>
        <stp>-2</stp>
        <stp>T</stp>
        <tr r="H12" s="14"/>
      </tp>
      <tp>
        <v>8</v>
        <stp/>
        <stp>DOMData</stp>
        <stp>SOM00K6</stp>
        <stp>Volume</stp>
        <stp>-2</stp>
        <stp>T</stp>
        <tr r="H12" s="5"/>
      </tp>
      <tp>
        <v>1</v>
        <stp/>
        <stp>DOMData</stp>
        <stp>SOM00F7</stp>
        <stp>Volume</stp>
        <stp>-2</stp>
        <stp>T</stp>
        <tr r="H12" s="13"/>
      </tp>
      <tp>
        <v>864.75</v>
        <stp/>
        <stp>StudyData</stp>
        <stp>ZSE</stp>
        <stp>Bar</stp>
        <stp/>
        <stp>High</stp>
        <stp>D</stp>
        <stp>-9</stp>
        <stp/>
        <stp/>
        <stp/>
        <stp/>
        <stp>T</stp>
        <tr r="F12" s="15"/>
      </tp>
      <tp t="s">
        <v/>
        <stp/>
        <stp>DOMData</stp>
        <stp>SOM01Z6</stp>
        <stp>Volume</stp>
        <stp>-2</stp>
        <stp>T</stp>
        <tr r="H12" s="12"/>
      </tp>
      <tp>
        <v>1</v>
        <stp/>
        <stp>DOMData</stp>
        <stp>SOM00U6</stp>
        <stp>Volume</stp>
        <stp>-3</stp>
        <stp>T</stp>
        <tr r="H13" s="8"/>
      </tp>
      <tp>
        <v>1</v>
        <stp/>
        <stp>DOMData</stp>
        <stp>SOM02U6</stp>
        <stp>Volume</stp>
        <stp>-1</stp>
        <stp>T</stp>
        <tr r="H11" s="9"/>
      </tp>
      <tp>
        <v>1</v>
        <stp/>
        <stp>DOMData</stp>
        <stp>SOM01V6</stp>
        <stp>Volume</stp>
        <stp>-2</stp>
        <stp>T</stp>
        <tr r="H12" s="10"/>
      </tp>
      <tp>
        <v>1</v>
        <stp/>
        <stp>DOMData</stp>
        <stp>SOM00Q6</stp>
        <stp>Volume</stp>
        <stp>-3</stp>
        <stp>T</stp>
        <tr r="H13" s="7"/>
      </tp>
      <tp>
        <v>7</v>
        <stp/>
        <stp>DOMData</stp>
        <stp>SOM00N6</stp>
        <stp>Volume</stp>
        <stp>-3</stp>
        <stp>T</stp>
        <tr r="H13" s="6"/>
      </tp>
      <tp>
        <v>21</v>
        <stp/>
        <stp>DOMData</stp>
        <stp>SOM00H6</stp>
        <stp>Volume</stp>
        <stp>-3</stp>
        <stp>T</stp>
        <tr r="H13" s="4"/>
      </tp>
      <tp>
        <v>1</v>
        <stp/>
        <stp>DOMData</stp>
        <stp>SOM00H7</stp>
        <stp>Volume</stp>
        <stp>-3</stp>
        <stp>T</stp>
        <tr r="H13" s="14"/>
      </tp>
      <tp>
        <v>13</v>
        <stp/>
        <stp>DOMData</stp>
        <stp>SOM00K6</stp>
        <stp>Volume</stp>
        <stp>-3</stp>
        <stp>T</stp>
        <tr r="H13" s="5"/>
      </tp>
      <tp>
        <v>1</v>
        <stp/>
        <stp>DOMData</stp>
        <stp>SOM00F7</stp>
        <stp>Volume</stp>
        <stp>-3</stp>
        <stp>T</stp>
        <tr r="H13" s="13"/>
      </tp>
      <tp>
        <v>868</v>
        <stp/>
        <stp>StudyData</stp>
        <stp>ZSE</stp>
        <stp>Bar</stp>
        <stp/>
        <stp>High</stp>
        <stp>D</stp>
        <stp>-8</stp>
        <stp/>
        <stp/>
        <stp/>
        <stp/>
        <stp>T</stp>
        <tr r="F11" s="15"/>
      </tp>
      <tp>
        <v>-0.25</v>
        <stp/>
        <stp>ContractData</stp>
        <stp>SOM00K6</stp>
        <stp>NetLastTradeToday</stp>
        <stp/>
        <stp>T</stp>
        <tr r="L7" s="3"/>
      </tp>
      <tp>
        <v>2</v>
        <stp/>
        <stp>DOMData</stp>
        <stp>SOMI01Z6</stp>
        <stp>Volume</stp>
        <stp>-1</stp>
        <stp>T</stp>
        <tr r="H11" s="11"/>
      </tp>
      <tp t="s">
        <v/>
        <stp/>
        <stp>DOMData</stp>
        <stp>SOM01Z6</stp>
        <stp>Volume</stp>
        <stp>-5</stp>
        <stp>T</stp>
        <tr r="H15" s="12"/>
      </tp>
      <tp>
        <v>1</v>
        <stp/>
        <stp>DOMData</stp>
        <stp>SOM00U6</stp>
        <stp>Volume</stp>
        <stp>-4</stp>
        <stp>T</stp>
        <tr r="H14" s="8"/>
      </tp>
      <tp t="s">
        <v/>
        <stp/>
        <stp>DOMData</stp>
        <stp>SOM01V6</stp>
        <stp>Volume</stp>
        <stp>-5</stp>
        <stp>T</stp>
        <tr r="H15" s="10"/>
      </tp>
      <tp t="s">
        <v/>
        <stp/>
        <stp>DOMData</stp>
        <stp>SOM00Q6</stp>
        <stp>Volume</stp>
        <stp>-4</stp>
        <stp>T</stp>
        <tr r="H14" s="7"/>
      </tp>
      <tp>
        <v>5</v>
        <stp/>
        <stp>DOMData</stp>
        <stp>SOM00N6</stp>
        <stp>Volume</stp>
        <stp>-4</stp>
        <stp>T</stp>
        <tr r="H14" s="6"/>
      </tp>
      <tp>
        <v>5</v>
        <stp/>
        <stp>DOMData</stp>
        <stp>SOM00H6</stp>
        <stp>Volume</stp>
        <stp>-4</stp>
        <stp>T</stp>
        <tr r="H14" s="4"/>
      </tp>
      <tp>
        <v>1</v>
        <stp/>
        <stp>DOMData</stp>
        <stp>SOM00H7</stp>
        <stp>Volume</stp>
        <stp>-4</stp>
        <stp>T</stp>
        <tr r="H14" s="14"/>
      </tp>
      <tp>
        <v>4</v>
        <stp/>
        <stp>DOMData</stp>
        <stp>SOM00K6</stp>
        <stp>Volume</stp>
        <stp>-4</stp>
        <stp>T</stp>
        <tr r="H14" s="5"/>
      </tp>
      <tp>
        <v>1</v>
        <stp/>
        <stp>DOMData</stp>
        <stp>SOM00F7</stp>
        <stp>Volume</stp>
        <stp>-4</stp>
        <stp>T</stp>
        <tr r="H14" s="13"/>
      </tp>
      <tp>
        <v>856.5</v>
        <stp/>
        <stp>StudyData</stp>
        <stp>ZSE</stp>
        <stp>Bar</stp>
        <stp/>
        <stp>Open</stp>
        <stp>D</stp>
        <stp>-8</stp>
        <stp/>
        <stp/>
        <stp/>
        <stp/>
        <stp>T</stp>
        <tr r="E11" s="15"/>
      </tp>
      <tp t="s">
        <v/>
        <stp/>
        <stp>DOMData</stp>
        <stp>SOM01Z6</stp>
        <stp>Volume</stp>
        <stp>-4</stp>
        <stp>T</stp>
        <tr r="H14" s="12"/>
      </tp>
      <tp t="s">
        <v/>
        <stp/>
        <stp>DOMData</stp>
        <stp>SOM00U6</stp>
        <stp>Volume</stp>
        <stp>-5</stp>
        <stp>T</stp>
        <tr r="H15" s="8"/>
      </tp>
      <tp>
        <v>1</v>
        <stp/>
        <stp>DOMData</stp>
        <stp>SOM01V6</stp>
        <stp>Volume</stp>
        <stp>-4</stp>
        <stp>T</stp>
        <tr r="H14" s="10"/>
      </tp>
      <tp t="s">
        <v/>
        <stp/>
        <stp>DOMData</stp>
        <stp>SOM00Q6</stp>
        <stp>Volume</stp>
        <stp>-5</stp>
        <stp>T</stp>
        <tr r="H15" s="7"/>
      </tp>
      <tp>
        <v>2</v>
        <stp/>
        <stp>DOMData</stp>
        <stp>SOM00N6</stp>
        <stp>Volume</stp>
        <stp>-5</stp>
        <stp>T</stp>
        <tr r="H15" s="6"/>
      </tp>
      <tp>
        <v>1</v>
        <stp/>
        <stp>DOMData</stp>
        <stp>SOM00H6</stp>
        <stp>Volume</stp>
        <stp>-5</stp>
        <stp>T</stp>
        <tr r="H15" s="4"/>
      </tp>
      <tp>
        <v>5</v>
        <stp/>
        <stp>DOMData</stp>
        <stp>SOM00H7</stp>
        <stp>Volume</stp>
        <stp>-5</stp>
        <stp>T</stp>
        <tr r="H15" s="14"/>
      </tp>
      <tp>
        <v>3</v>
        <stp/>
        <stp>DOMData</stp>
        <stp>SOM00K6</stp>
        <stp>Volume</stp>
        <stp>-5</stp>
        <stp>T</stp>
        <tr r="H15" s="5"/>
      </tp>
      <tp>
        <v>2</v>
        <stp/>
        <stp>DOMData</stp>
        <stp>SOM00F7</stp>
        <stp>Volume</stp>
        <stp>-5</stp>
        <stp>T</stp>
        <tr r="H15" s="13"/>
      </tp>
      <tp>
        <v>858.25</v>
        <stp/>
        <stp>StudyData</stp>
        <stp>ZSE</stp>
        <stp>Bar</stp>
        <stp/>
        <stp>Open</stp>
        <stp>D</stp>
        <stp>-9</stp>
        <stp/>
        <stp/>
        <stp/>
        <stp/>
        <stp>T</stp>
        <tr r="E12" s="15"/>
      </tp>
      <tp>
        <v>2</v>
        <stp/>
        <stp>DOMData</stp>
        <stp>SOMI01Z6</stp>
        <stp>Volume</stp>
        <stp>-3</stp>
        <stp>T</stp>
        <tr r="H13" s="11"/>
      </tp>
      <tp t="s">
        <v/>
        <stp/>
        <stp>DOMData</stp>
        <stp>SOM02U6</stp>
        <stp>Volume</stp>
        <stp>-4</stp>
        <stp>T</stp>
        <tr r="H14" s="9"/>
      </tp>
      <tp>
        <v>1</v>
        <stp/>
        <stp>ContractData</stp>
        <stp>SOM00H6</stp>
        <stp>NetLastTradeToday</stp>
        <stp/>
        <stp>T</stp>
        <tr r="H17" s="4"/>
        <tr r="L6" s="3"/>
      </tp>
      <tp>
        <v>-0.75</v>
        <stp/>
        <stp>ContractData</stp>
        <stp>SOM00H7</stp>
        <stp>NetLastTradeToday</stp>
        <stp/>
        <stp>T</stp>
        <tr r="L16" s="3"/>
      </tp>
      <tp>
        <v>6</v>
        <stp/>
        <stp>DOMData</stp>
        <stp>SOMI01Z6</stp>
        <stp>Volume</stp>
        <stp>-2</stp>
        <stp>T</stp>
        <tr r="H12" s="11"/>
      </tp>
      <tp t="s">
        <v/>
        <stp/>
        <stp>DOMData</stp>
        <stp>SOM02U6</stp>
        <stp>Volume</stp>
        <stp>-5</stp>
        <stp>T</stp>
        <tr r="H15" s="9"/>
      </tp>
      <tp>
        <v>0</v>
        <stp/>
        <stp>ContractData</stp>
        <stp>SOM01V6</stp>
        <stp>NetLastTradeToday</stp>
        <stp/>
        <stp>T</stp>
        <tr r="L12" s="3"/>
      </tp>
      <tp t="s">
        <v/>
        <stp/>
        <stp>ContractData</stp>
        <stp>SOM02U6</stp>
        <stp>NetLastTradeToday</stp>
        <stp/>
        <stp>T</stp>
        <tr r="L11" s="3"/>
      </tp>
      <tp>
        <v>0.25</v>
        <stp/>
        <stp>ContractData</stp>
        <stp>SOM00U6</stp>
        <stp>NetLastTradeToday</stp>
        <stp/>
        <stp>T</stp>
        <tr r="L10" s="3"/>
      </tp>
      <tp>
        <v>42388.501215277778</v>
        <stp/>
        <stp>SystemInfo</stp>
        <stp>Linetime</stp>
        <tr r="F44" s="3"/>
      </tp>
      <tp t="s">
        <v/>
        <stp/>
        <stp>ContractData</stp>
        <stp>SOM00Q6</stp>
        <stp>NetLastTradeToday</stp>
        <stp/>
        <stp>T</stp>
        <tr r="L9" s="3"/>
      </tp>
      <tp>
        <v>42374</v>
        <stp/>
        <stp>StudyData</stp>
        <stp>ZSE</stp>
        <stp>Bar</stp>
        <stp/>
        <stp>Time</stp>
        <stp>D</stp>
        <stp>-9</stp>
        <stp/>
        <stp/>
        <stp/>
        <stp/>
        <stp>T</stp>
        <tr r="D12" s="15"/>
      </tp>
      <tp>
        <v>42375</v>
        <stp/>
        <stp>StudyData</stp>
        <stp>ZSE</stp>
        <stp>Bar</stp>
        <stp/>
        <stp>Time</stp>
        <stp>D</stp>
        <stp>-8</stp>
        <stp/>
        <stp/>
        <stp/>
        <stp/>
        <stp>T</stp>
        <tr r="D11" s="15"/>
      </tp>
      <tp>
        <v>42376</v>
        <stp/>
        <stp>StudyData</stp>
        <stp>ZSE</stp>
        <stp>Bar</stp>
        <stp/>
        <stp>Time</stp>
        <stp>D</stp>
        <stp>-7</stp>
        <stp/>
        <stp/>
        <stp/>
        <stp/>
        <stp>T</stp>
        <tr r="D10" s="15"/>
      </tp>
      <tp>
        <v>42377</v>
        <stp/>
        <stp>StudyData</stp>
        <stp>ZSE</stp>
        <stp>Bar</stp>
        <stp/>
        <stp>Time</stp>
        <stp>D</stp>
        <stp>-6</stp>
        <stp/>
        <stp/>
        <stp/>
        <stp/>
        <stp>T</stp>
        <tr r="D9" s="15"/>
      </tp>
      <tp>
        <v>42380</v>
        <stp/>
        <stp>StudyData</stp>
        <stp>ZSE</stp>
        <stp>Bar</stp>
        <stp/>
        <stp>Time</stp>
        <stp>D</stp>
        <stp>-5</stp>
        <stp/>
        <stp/>
        <stp/>
        <stp/>
        <stp>T</stp>
        <tr r="D8" s="15"/>
      </tp>
      <tp>
        <v>42381</v>
        <stp/>
        <stp>StudyData</stp>
        <stp>ZSE</stp>
        <stp>Bar</stp>
        <stp/>
        <stp>Time</stp>
        <stp>D</stp>
        <stp>-4</stp>
        <stp/>
        <stp/>
        <stp/>
        <stp/>
        <stp>T</stp>
        <tr r="D7" s="15"/>
      </tp>
      <tp>
        <v>42382</v>
        <stp/>
        <stp>StudyData</stp>
        <stp>ZSE</stp>
        <stp>Bar</stp>
        <stp/>
        <stp>Time</stp>
        <stp>D</stp>
        <stp>-3</stp>
        <stp/>
        <stp/>
        <stp/>
        <stp/>
        <stp>T</stp>
        <tr r="D6" s="15"/>
      </tp>
      <tp t="s">
        <v/>
        <stp/>
        <stp>ContractData</stp>
        <stp>SOM01Z6</stp>
        <stp>NetLastTradeToday</stp>
        <stp/>
        <stp>T</stp>
        <tr r="L14" s="3"/>
      </tp>
      <tp>
        <v>42383</v>
        <stp/>
        <stp>StudyData</stp>
        <stp>ZSE</stp>
        <stp>Bar</stp>
        <stp/>
        <stp>Time</stp>
        <stp>D</stp>
        <stp>-2</stp>
        <stp/>
        <stp/>
        <stp/>
        <stp/>
        <stp>T</stp>
        <tr r="D5" s="15"/>
      </tp>
      <tp>
        <v>42384</v>
        <stp/>
        <stp>StudyData</stp>
        <stp>ZSE</stp>
        <stp>Bar</stp>
        <stp/>
        <stp>Time</stp>
        <stp>D</stp>
        <stp>-1</stp>
        <stp/>
        <stp/>
        <stp/>
        <stp/>
        <stp>T</stp>
        <tr r="D4" s="15"/>
      </tp>
      <tp>
        <v>879.75</v>
        <stp/>
        <stp>StudyData</stp>
        <stp>ZSE</stp>
        <stp>Bar</stp>
        <stp/>
        <stp>High</stp>
        <stp>D</stp>
        <stp>-34</stp>
        <stp/>
        <stp/>
        <stp/>
        <stp/>
        <stp>T</stp>
        <tr r="F37" s="15"/>
      </tp>
      <tp>
        <v>887.75</v>
        <stp/>
        <stp>StudyData</stp>
        <stp>ZSE</stp>
        <stp>Bar</stp>
        <stp/>
        <stp>High</stp>
        <stp>D</stp>
        <stp>-24</stp>
        <stp/>
        <stp/>
        <stp/>
        <stp/>
        <stp>T</stp>
        <tr r="F27" s="15"/>
      </tp>
      <tp>
        <v>871.5</v>
        <stp/>
        <stp>StudyData</stp>
        <stp>ZSE</stp>
        <stp>Bar</stp>
        <stp/>
        <stp>High</stp>
        <stp>D</stp>
        <stp>-14</stp>
        <stp/>
        <stp/>
        <stp/>
        <stp/>
        <stp>T</stp>
        <tr r="F17" s="15"/>
      </tp>
      <tp>
        <v>865.75</v>
        <stp/>
        <stp>StudyData</stp>
        <stp>ZSE</stp>
        <stp>Bar</stp>
        <stp/>
        <stp>High</stp>
        <stp>D</stp>
        <stp>-44</stp>
        <stp/>
        <stp/>
        <stp/>
        <stp/>
        <stp>T</stp>
        <tr r="F47" s="15"/>
      </tp>
      <tp>
        <v>42320</v>
        <stp/>
        <stp>StudyData</stp>
        <stp>ZSE</stp>
        <stp>Bar</stp>
        <stp/>
        <stp>Time</stp>
        <stp>D</stp>
        <stp>-44</stp>
        <stp/>
        <stp/>
        <stp/>
        <stp/>
        <stp>T</stp>
        <tr r="D47" s="15"/>
      </tp>
      <tp>
        <v>42335</v>
        <stp/>
        <stp>StudyData</stp>
        <stp>ZSE</stp>
        <stp>Bar</stp>
        <stp/>
        <stp>Time</stp>
        <stp>D</stp>
        <stp>-34</stp>
        <stp/>
        <stp/>
        <stp/>
        <stp/>
        <stp>T</stp>
        <tr r="D37" s="15"/>
      </tp>
      <tp>
        <v>42349</v>
        <stp/>
        <stp>StudyData</stp>
        <stp>ZSE</stp>
        <stp>Bar</stp>
        <stp/>
        <stp>Time</stp>
        <stp>D</stp>
        <stp>-24</stp>
        <stp/>
        <stp/>
        <stp/>
        <stp/>
        <stp>T</stp>
        <tr r="D27" s="15"/>
      </tp>
      <tp>
        <v>42366</v>
        <stp/>
        <stp>StudyData</stp>
        <stp>ZSE</stp>
        <stp>Bar</stp>
        <stp/>
        <stp>Time</stp>
        <stp>D</stp>
        <stp>-14</stp>
        <stp/>
        <stp/>
        <stp/>
        <stp/>
        <stp>T</stp>
        <tr r="D17" s="15"/>
      </tp>
      <tp>
        <v>65.5</v>
        <stp/>
        <stp>ContractData</stp>
        <stp>SOMI01Z6</stp>
        <stp>Open</stp>
        <stp/>
        <stp>T</stp>
        <tr r="H34" s="1"/>
      </tp>
      <tp>
        <v>878.5</v>
        <stp/>
        <stp>StudyData</stp>
        <stp>ZSE</stp>
        <stp>Bar</stp>
        <stp/>
        <stp>High</stp>
        <stp>D</stp>
        <stp>-35</stp>
        <stp/>
        <stp/>
        <stp/>
        <stp/>
        <stp>T</stp>
        <tr r="F38" s="15"/>
      </tp>
      <tp>
        <v>889.5</v>
        <stp/>
        <stp>StudyData</stp>
        <stp>ZSE</stp>
        <stp>Bar</stp>
        <stp/>
        <stp>High</stp>
        <stp>D</stp>
        <stp>-25</stp>
        <stp/>
        <stp/>
        <stp/>
        <stp/>
        <stp>T</stp>
        <tr r="F28" s="15"/>
      </tp>
      <tp>
        <v>884.5</v>
        <stp/>
        <stp>StudyData</stp>
        <stp>ZSE</stp>
        <stp>Bar</stp>
        <stp/>
        <stp>High</stp>
        <stp>D</stp>
        <stp>-15</stp>
        <stp/>
        <stp/>
        <stp/>
        <stp/>
        <stp>T</stp>
        <tr r="F18" s="15"/>
      </tp>
      <tp>
        <v>861.5</v>
        <stp/>
        <stp>StudyData</stp>
        <stp>ZSE</stp>
        <stp>Bar</stp>
        <stp/>
        <stp>High</stp>
        <stp>D</stp>
        <stp>-45</stp>
        <stp/>
        <stp/>
        <stp/>
        <stp/>
        <stp>T</stp>
        <tr r="F48" s="15"/>
      </tp>
      <tp>
        <v>42319</v>
        <stp/>
        <stp>StudyData</stp>
        <stp>ZSE</stp>
        <stp>Bar</stp>
        <stp/>
        <stp>Time</stp>
        <stp>D</stp>
        <stp>-45</stp>
        <stp/>
        <stp/>
        <stp/>
        <stp/>
        <stp>T</stp>
        <tr r="D48" s="15"/>
      </tp>
      <tp>
        <v>42333</v>
        <stp/>
        <stp>StudyData</stp>
        <stp>ZSE</stp>
        <stp>Bar</stp>
        <stp/>
        <stp>Time</stp>
        <stp>D</stp>
        <stp>-35</stp>
        <stp/>
        <stp/>
        <stp/>
        <stp/>
        <stp>T</stp>
        <tr r="D38" s="15"/>
      </tp>
      <tp>
        <v>42348</v>
        <stp/>
        <stp>StudyData</stp>
        <stp>ZSE</stp>
        <stp>Bar</stp>
        <stp/>
        <stp>Time</stp>
        <stp>D</stp>
        <stp>-25</stp>
        <stp/>
        <stp/>
        <stp/>
        <stp/>
        <stp>T</stp>
        <tr r="D28" s="15"/>
      </tp>
      <tp>
        <v>42362</v>
        <stp/>
        <stp>StudyData</stp>
        <stp>ZSE</stp>
        <stp>Bar</stp>
        <stp/>
        <stp>Time</stp>
        <stp>D</stp>
        <stp>-15</stp>
        <stp/>
        <stp/>
        <stp/>
        <stp/>
        <stp>T</stp>
        <tr r="D18" s="15"/>
      </tp>
      <tp t="s">
        <v>Soybean Meal (Globex), Jul 17</v>
        <stp/>
        <stp>ContractData</stp>
        <stp>ZMEN7</stp>
        <stp>LongDescription</stp>
        <stp/>
        <stp>T</stp>
        <tr r="E24" s="1"/>
      </tp>
      <tp t="s">
        <v>Soybean Meal (Globex), Jul 16</v>
        <stp/>
        <stp>ContractData</stp>
        <stp>ZMEN6</stp>
        <stp>LongDescription</stp>
        <stp/>
        <stp>T</stp>
        <tr r="I16" s="1"/>
        <tr r="E16" s="1"/>
      </tp>
      <tp t="s">
        <v>Soybean Meal (Globex), Mar 17</v>
        <stp/>
        <stp>ContractData</stp>
        <stp>ZMEH7</stp>
        <stp>LongDescription</stp>
        <stp/>
        <stp>T</stp>
        <tr r="I24" s="1"/>
        <tr r="E22" s="1"/>
      </tp>
      <tp t="s">
        <v>Soybean Meal (Globex), Mar 16</v>
        <stp/>
        <stp>ContractData</stp>
        <stp>ZMEH6</stp>
        <stp>LongDescription</stp>
        <stp/>
        <stp>T</stp>
        <tr r="I14" s="1"/>
        <tr r="E14" s="1"/>
      </tp>
      <tp t="s">
        <v>Soybean Meal (Globex), May 17</v>
        <stp/>
        <stp>ContractData</stp>
        <stp>ZMEK7</stp>
        <stp>LongDescription</stp>
        <stp/>
        <stp>T</stp>
        <tr r="E23" s="1"/>
      </tp>
      <tp t="s">
        <v>Soybean Meal (Globex), May 16</v>
        <stp/>
        <stp>ContractData</stp>
        <stp>ZMEK6</stp>
        <stp>LongDescription</stp>
        <stp/>
        <stp>T</stp>
        <tr r="I15" s="1"/>
        <tr r="E15" s="1"/>
      </tp>
      <tp t="s">
        <v>Soybean Meal (Globex), Jan 17</v>
        <stp/>
        <stp>ContractData</stp>
        <stp>ZMEF7</stp>
        <stp>LongDescription</stp>
        <stp/>
        <stp>T</stp>
        <tr r="I23" s="1"/>
        <tr r="E21" s="1"/>
      </tp>
      <tp t="s">
        <v>Soybean Meal (Globex), Dec 16</v>
        <stp/>
        <stp>ContractData</stp>
        <stp>ZMEZ6</stp>
        <stp>LongDescription</stp>
        <stp/>
        <stp>T</stp>
        <tr r="I22" s="1"/>
        <tr r="I21" s="1"/>
        <tr r="E20" s="1"/>
      </tp>
      <tp t="s">
        <v>Soybean Meal (Globex), Sep 16</v>
        <stp/>
        <stp>ContractData</stp>
        <stp>ZMEU6</stp>
        <stp>LongDescription</stp>
        <stp/>
        <stp>T</stp>
        <tr r="I19" s="1"/>
        <tr r="I18" s="1"/>
        <tr r="E18" s="1"/>
      </tp>
      <tp t="s">
        <v>Soybean Meal (Globex), Oct 16</v>
        <stp/>
        <stp>ContractData</stp>
        <stp>ZMEV6</stp>
        <stp>LongDescription</stp>
        <stp/>
        <stp>T</stp>
        <tr r="I20" s="1"/>
        <tr r="E19" s="1"/>
      </tp>
      <tp t="s">
        <v>Soybean Meal (Globex), Aug 16</v>
        <stp/>
        <stp>ContractData</stp>
        <stp>ZMEQ6</stp>
        <stp>LongDescription</stp>
        <stp/>
        <stp>T</stp>
        <tr r="I17" s="1"/>
        <tr r="E17" s="1"/>
      </tp>
      <tp>
        <v>870.75</v>
        <stp/>
        <stp>StudyData</stp>
        <stp>ZSE</stp>
        <stp>Bar</stp>
        <stp/>
        <stp>High</stp>
        <stp>D</stp>
        <stp>-36</stp>
        <stp/>
        <stp/>
        <stp/>
        <stp/>
        <stp>T</stp>
        <tr r="F39" s="15"/>
      </tp>
      <tp>
        <v>886.75</v>
        <stp/>
        <stp>StudyData</stp>
        <stp>ZSE</stp>
        <stp>Bar</stp>
        <stp/>
        <stp>High</stp>
        <stp>D</stp>
        <stp>-26</stp>
        <stp/>
        <stp/>
        <stp/>
        <stp/>
        <stp>T</stp>
        <tr r="F29" s="15"/>
      </tp>
      <tp>
        <v>888.75</v>
        <stp/>
        <stp>StudyData</stp>
        <stp>ZSE</stp>
        <stp>Bar</stp>
        <stp/>
        <stp>High</stp>
        <stp>D</stp>
        <stp>-16</stp>
        <stp/>
        <stp/>
        <stp/>
        <stp/>
        <stp>T</stp>
        <tr r="F19" s="15"/>
      </tp>
      <tp>
        <v>869.25</v>
        <stp/>
        <stp>StudyData</stp>
        <stp>ZSE</stp>
        <stp>Bar</stp>
        <stp/>
        <stp>High</stp>
        <stp>D</stp>
        <stp>-46</stp>
        <stp/>
        <stp/>
        <stp/>
        <stp/>
        <stp>T</stp>
        <tr r="F49" s="15"/>
      </tp>
      <tp>
        <v>42318</v>
        <stp/>
        <stp>StudyData</stp>
        <stp>ZSE</stp>
        <stp>Bar</stp>
        <stp/>
        <stp>Time</stp>
        <stp>D</stp>
        <stp>-46</stp>
        <stp/>
        <stp/>
        <stp/>
        <stp/>
        <stp>T</stp>
        <tr r="D49" s="15"/>
      </tp>
      <tp>
        <v>42332</v>
        <stp/>
        <stp>StudyData</stp>
        <stp>ZSE</stp>
        <stp>Bar</stp>
        <stp/>
        <stp>Time</stp>
        <stp>D</stp>
        <stp>-36</stp>
        <stp/>
        <stp/>
        <stp/>
        <stp/>
        <stp>T</stp>
        <tr r="D39" s="15"/>
      </tp>
      <tp>
        <v>42347</v>
        <stp/>
        <stp>StudyData</stp>
        <stp>ZSE</stp>
        <stp>Bar</stp>
        <stp/>
        <stp>Time</stp>
        <stp>D</stp>
        <stp>-26</stp>
        <stp/>
        <stp/>
        <stp/>
        <stp/>
        <stp>T</stp>
        <tr r="D29" s="15"/>
      </tp>
      <tp>
        <v>42361</v>
        <stp/>
        <stp>StudyData</stp>
        <stp>ZSE</stp>
        <stp>Bar</stp>
        <stp/>
        <stp>Time</stp>
        <stp>D</stp>
        <stp>-16</stp>
        <stp/>
        <stp/>
        <stp/>
        <stp/>
        <stp>T</stp>
        <tr r="D19" s="15"/>
      </tp>
      <tp t="s">
        <v>ZMEH7</v>
        <stp/>
        <stp>ContractData</stp>
        <stp>ZME?9</stp>
        <stp>Symbol</stp>
        <stp/>
        <stp>T</stp>
        <tr r="H24" s="1"/>
        <tr r="D22" s="1"/>
      </tp>
      <tp>
        <v>867</v>
        <stp/>
        <stp>StudyData</stp>
        <stp>ZSE</stp>
        <stp>Bar</stp>
        <stp/>
        <stp>High</stp>
        <stp>D</stp>
        <stp>-37</stp>
        <stp/>
        <stp/>
        <stp/>
        <stp/>
        <stp>T</stp>
        <tr r="F40" s="15"/>
      </tp>
      <tp>
        <v>890.25</v>
        <stp/>
        <stp>StudyData</stp>
        <stp>ZSE</stp>
        <stp>Bar</stp>
        <stp/>
        <stp>High</stp>
        <stp>D</stp>
        <stp>-27</stp>
        <stp/>
        <stp/>
        <stp/>
        <stp/>
        <stp>T</stp>
        <tr r="F30" s="15"/>
      </tp>
      <tp>
        <v>895.5</v>
        <stp/>
        <stp>StudyData</stp>
        <stp>ZSE</stp>
        <stp>Bar</stp>
        <stp/>
        <stp>High</stp>
        <stp>D</stp>
        <stp>-17</stp>
        <stp/>
        <stp/>
        <stp/>
        <stp/>
        <stp>T</stp>
        <tr r="F20" s="15"/>
      </tp>
      <tp>
        <v>873.25</v>
        <stp/>
        <stp>StudyData</stp>
        <stp>ZSE</stp>
        <stp>Bar</stp>
        <stp/>
        <stp>High</stp>
        <stp>D</stp>
        <stp>-47</stp>
        <stp/>
        <stp/>
        <stp/>
        <stp/>
        <stp>T</stp>
        <tr r="F50" s="15"/>
      </tp>
      <tp>
        <v>42317</v>
        <stp/>
        <stp>StudyData</stp>
        <stp>ZSE</stp>
        <stp>Bar</stp>
        <stp/>
        <stp>Time</stp>
        <stp>D</stp>
        <stp>-47</stp>
        <stp/>
        <stp/>
        <stp/>
        <stp/>
        <stp>T</stp>
        <tr r="D50" s="15"/>
      </tp>
      <tp>
        <v>42331</v>
        <stp/>
        <stp>StudyData</stp>
        <stp>ZSE</stp>
        <stp>Bar</stp>
        <stp/>
        <stp>Time</stp>
        <stp>D</stp>
        <stp>-37</stp>
        <stp/>
        <stp/>
        <stp/>
        <stp/>
        <stp>T</stp>
        <tr r="D40" s="15"/>
      </tp>
      <tp>
        <v>42346</v>
        <stp/>
        <stp>StudyData</stp>
        <stp>ZSE</stp>
        <stp>Bar</stp>
        <stp/>
        <stp>Time</stp>
        <stp>D</stp>
        <stp>-27</stp>
        <stp/>
        <stp/>
        <stp/>
        <stp/>
        <stp>T</stp>
        <tr r="D30" s="15"/>
      </tp>
      <tp>
        <v>42360</v>
        <stp/>
        <stp>StudyData</stp>
        <stp>ZSE</stp>
        <stp>Bar</stp>
        <stp/>
        <stp>Time</stp>
        <stp>D</stp>
        <stp>-17</stp>
        <stp/>
        <stp/>
        <stp/>
        <stp/>
        <stp>T</stp>
        <tr r="D20" s="15"/>
      </tp>
      <tp t="s">
        <v>ZMEF7</v>
        <stp/>
        <stp>ContractData</stp>
        <stp>ZME?8</stp>
        <stp>Symbol</stp>
        <stp/>
        <stp>T</stp>
        <tr r="H23" s="1"/>
        <tr r="D21" s="1"/>
      </tp>
      <tp t="s">
        <v>SOM00K7</v>
        <stp/>
        <stp>ContractData</stp>
        <stp>SOM00?8</stp>
        <stp>Symbol</stp>
        <stp/>
        <stp>T</stp>
        <tr r="I9" s="1"/>
      </tp>
      <tp>
        <v>900.5</v>
        <stp/>
        <stp>StudyData</stp>
        <stp>ZSE</stp>
        <stp>Bar</stp>
        <stp/>
        <stp>High</stp>
        <stp>D</stp>
        <stp>-30</stp>
        <stp/>
        <stp/>
        <stp/>
        <stp/>
        <stp>T</stp>
        <tr r="F33" s="15"/>
      </tp>
      <tp>
        <v>879</v>
        <stp/>
        <stp>StudyData</stp>
        <stp>ZSE</stp>
        <stp>Bar</stp>
        <stp/>
        <stp>High</stp>
        <stp>D</stp>
        <stp>-20</stp>
        <stp/>
        <stp/>
        <stp/>
        <stp/>
        <stp>T</stp>
        <tr r="F23" s="15"/>
      </tp>
      <tp>
        <v>867</v>
        <stp/>
        <stp>StudyData</stp>
        <stp>ZSE</stp>
        <stp>Bar</stp>
        <stp/>
        <stp>High</stp>
        <stp>D</stp>
        <stp>-10</stp>
        <stp/>
        <stp/>
        <stp/>
        <stp/>
        <stp>T</stp>
        <tr r="F13" s="15"/>
      </tp>
      <tp>
        <v>889.5</v>
        <stp/>
        <stp>StudyData</stp>
        <stp>ZSE</stp>
        <stp>Bar</stp>
        <stp/>
        <stp>High</stp>
        <stp>D</stp>
        <stp>-50</stp>
        <stp/>
        <stp/>
        <stp/>
        <stp/>
        <stp>T</stp>
        <tr r="F53" s="15"/>
      </tp>
      <tp>
        <v>868.5</v>
        <stp/>
        <stp>StudyData</stp>
        <stp>ZSE</stp>
        <stp>Bar</stp>
        <stp/>
        <stp>High</stp>
        <stp>D</stp>
        <stp>-40</stp>
        <stp/>
        <stp/>
        <stp/>
        <stp/>
        <stp>T</stp>
        <tr r="F43" s="15"/>
      </tp>
      <tp>
        <v>42312</v>
        <stp/>
        <stp>StudyData</stp>
        <stp>ZSE</stp>
        <stp>Bar</stp>
        <stp/>
        <stp>Time</stp>
        <stp>D</stp>
        <stp>-50</stp>
        <stp/>
        <stp/>
        <stp/>
        <stp/>
        <stp>T</stp>
        <tr r="D53" s="15"/>
      </tp>
      <tp>
        <v>42326</v>
        <stp/>
        <stp>StudyData</stp>
        <stp>ZSE</stp>
        <stp>Bar</stp>
        <stp/>
        <stp>Time</stp>
        <stp>D</stp>
        <stp>-40</stp>
        <stp/>
        <stp/>
        <stp/>
        <stp/>
        <stp>T</stp>
        <tr r="D43" s="15"/>
      </tp>
      <tp>
        <v>42341</v>
        <stp/>
        <stp>StudyData</stp>
        <stp>ZSE</stp>
        <stp>Bar</stp>
        <stp/>
        <stp>Time</stp>
        <stp>D</stp>
        <stp>-30</stp>
        <stp/>
        <stp/>
        <stp/>
        <stp/>
        <stp>T</stp>
        <tr r="D33" s="15"/>
      </tp>
      <tp>
        <v>42355</v>
        <stp/>
        <stp>StudyData</stp>
        <stp>ZSE</stp>
        <stp>Bar</stp>
        <stp/>
        <stp>Time</stp>
        <stp>D</stp>
        <stp>-20</stp>
        <stp/>
        <stp/>
        <stp/>
        <stp/>
        <stp>T</stp>
        <tr r="D23" s="15"/>
      </tp>
      <tp>
        <v>42373</v>
        <stp/>
        <stp>StudyData</stp>
        <stp>ZSE</stp>
        <stp>Bar</stp>
        <stp/>
        <stp>Time</stp>
        <stp>D</stp>
        <stp>-10</stp>
        <stp/>
        <stp/>
        <stp/>
        <stp/>
        <stp>T</stp>
        <tr r="D13" s="15"/>
      </tp>
      <tp t="s">
        <v>SOM00N7</v>
        <stp/>
        <stp>ContractData</stp>
        <stp>SOM00?9</stp>
        <stp>Symbol</stp>
        <stp/>
        <stp>T</stp>
        <tr r="I10" s="1"/>
      </tp>
      <tp>
        <v>897.25</v>
        <stp/>
        <stp>StudyData</stp>
        <stp>ZSE</stp>
        <stp>Bar</stp>
        <stp/>
        <stp>High</stp>
        <stp>D</stp>
        <stp>-31</stp>
        <stp/>
        <stp/>
        <stp/>
        <stp/>
        <stp>T</stp>
        <tr r="F34" s="15"/>
      </tp>
      <tp>
        <v>871.25</v>
        <stp/>
        <stp>StudyData</stp>
        <stp>ZSE</stp>
        <stp>Bar</stp>
        <stp/>
        <stp>High</stp>
        <stp>D</stp>
        <stp>-21</stp>
        <stp/>
        <stp/>
        <stp/>
        <stp/>
        <stp>T</stp>
        <tr r="F24" s="15"/>
      </tp>
      <tp>
        <v>873</v>
        <stp/>
        <stp>StudyData</stp>
        <stp>ZSE</stp>
        <stp>Bar</stp>
        <stp/>
        <stp>High</stp>
        <stp>D</stp>
        <stp>-11</stp>
        <stp/>
        <stp/>
        <stp/>
        <stp/>
        <stp>T</stp>
        <tr r="F14" s="15"/>
      </tp>
      <tp>
        <v>866</v>
        <stp/>
        <stp>StudyData</stp>
        <stp>ZSE</stp>
        <stp>Bar</stp>
        <stp/>
        <stp>High</stp>
        <stp>D</stp>
        <stp>-41</stp>
        <stp/>
        <stp/>
        <stp/>
        <stp/>
        <stp>T</stp>
        <tr r="F44" s="15"/>
      </tp>
      <tp>
        <v>42325</v>
        <stp/>
        <stp>StudyData</stp>
        <stp>ZSE</stp>
        <stp>Bar</stp>
        <stp/>
        <stp>Time</stp>
        <stp>D</stp>
        <stp>-41</stp>
        <stp/>
        <stp/>
        <stp/>
        <stp/>
        <stp>T</stp>
        <tr r="D44" s="15"/>
      </tp>
      <tp>
        <v>42340</v>
        <stp/>
        <stp>StudyData</stp>
        <stp>ZSE</stp>
        <stp>Bar</stp>
        <stp/>
        <stp>Time</stp>
        <stp>D</stp>
        <stp>-31</stp>
        <stp/>
        <stp/>
        <stp/>
        <stp/>
        <stp>T</stp>
        <tr r="D34" s="15"/>
      </tp>
      <tp>
        <v>42354</v>
        <stp/>
        <stp>StudyData</stp>
        <stp>ZSE</stp>
        <stp>Bar</stp>
        <stp/>
        <stp>Time</stp>
        <stp>D</stp>
        <stp>-21</stp>
        <stp/>
        <stp/>
        <stp/>
        <stp/>
        <stp>T</stp>
        <tr r="D24" s="15"/>
      </tp>
      <tp>
        <v>42369</v>
        <stp/>
        <stp>StudyData</stp>
        <stp>ZSE</stp>
        <stp>Bar</stp>
        <stp/>
        <stp>Time</stp>
        <stp>D</stp>
        <stp>-11</stp>
        <stp/>
        <stp/>
        <stp/>
        <stp/>
        <stp>T</stp>
        <tr r="D14" s="15"/>
      </tp>
      <tp>
        <v>67</v>
        <stp/>
        <stp>ContractData</stp>
        <stp>SOMI01Z6</stp>
        <stp>High</stp>
        <stp/>
        <stp>T</stp>
        <tr r="N34" s="1"/>
      </tp>
      <tp>
        <v>894</v>
        <stp/>
        <stp>StudyData</stp>
        <stp>ZSE</stp>
        <stp>Bar</stp>
        <stp/>
        <stp>High</stp>
        <stp>D</stp>
        <stp>-32</stp>
        <stp/>
        <stp/>
        <stp/>
        <stp/>
        <stp>T</stp>
        <tr r="F35" s="15"/>
      </tp>
      <tp>
        <v>879.25</v>
        <stp/>
        <stp>StudyData</stp>
        <stp>ZSE</stp>
        <stp>Bar</stp>
        <stp/>
        <stp>High</stp>
        <stp>D</stp>
        <stp>-22</stp>
        <stp/>
        <stp/>
        <stp/>
        <stp/>
        <stp>T</stp>
        <tr r="F25" s="15"/>
      </tp>
      <tp>
        <v>873.5</v>
        <stp/>
        <stp>StudyData</stp>
        <stp>ZSE</stp>
        <stp>Bar</stp>
        <stp/>
        <stp>High</stp>
        <stp>D</stp>
        <stp>-12</stp>
        <stp/>
        <stp/>
        <stp/>
        <stp/>
        <stp>T</stp>
        <tr r="F15" s="15"/>
      </tp>
      <tp>
        <v>861.5</v>
        <stp/>
        <stp>StudyData</stp>
        <stp>ZSE</stp>
        <stp>Bar</stp>
        <stp/>
        <stp>High</stp>
        <stp>D</stp>
        <stp>-42</stp>
        <stp/>
        <stp/>
        <stp/>
        <stp/>
        <stp>T</stp>
        <tr r="F45" s="15"/>
      </tp>
      <tp>
        <v>42324</v>
        <stp/>
        <stp>StudyData</stp>
        <stp>ZSE</stp>
        <stp>Bar</stp>
        <stp/>
        <stp>Time</stp>
        <stp>D</stp>
        <stp>-42</stp>
        <stp/>
        <stp/>
        <stp/>
        <stp/>
        <stp>T</stp>
        <tr r="D45" s="15"/>
      </tp>
      <tp>
        <v>42339</v>
        <stp/>
        <stp>StudyData</stp>
        <stp>ZSE</stp>
        <stp>Bar</stp>
        <stp/>
        <stp>Time</stp>
        <stp>D</stp>
        <stp>-32</stp>
        <stp/>
        <stp/>
        <stp/>
        <stp/>
        <stp>T</stp>
        <tr r="D35" s="15"/>
      </tp>
      <tp>
        <v>42353</v>
        <stp/>
        <stp>StudyData</stp>
        <stp>ZSE</stp>
        <stp>Bar</stp>
        <stp/>
        <stp>Time</stp>
        <stp>D</stp>
        <stp>-22</stp>
        <stp/>
        <stp/>
        <stp/>
        <stp/>
        <stp>T</stp>
        <tr r="D25" s="15"/>
      </tp>
      <tp>
        <v>42368</v>
        <stp/>
        <stp>StudyData</stp>
        <stp>ZSE</stp>
        <stp>Bar</stp>
        <stp/>
        <stp>Time</stp>
        <stp>D</stp>
        <stp>-12</stp>
        <stp/>
        <stp/>
        <stp/>
        <stp/>
        <stp>T</stp>
        <tr r="D15" s="15"/>
      </tp>
      <tp>
        <v>885.75</v>
        <stp/>
        <stp>StudyData</stp>
        <stp>ZSE</stp>
        <stp>Bar</stp>
        <stp/>
        <stp>High</stp>
        <stp>D</stp>
        <stp>-33</stp>
        <stp/>
        <stp/>
        <stp/>
        <stp/>
        <stp>T</stp>
        <tr r="F36" s="15"/>
      </tp>
      <tp>
        <v>879.75</v>
        <stp/>
        <stp>StudyData</stp>
        <stp>ZSE</stp>
        <stp>Bar</stp>
        <stp/>
        <stp>High</stp>
        <stp>D</stp>
        <stp>-23</stp>
        <stp/>
        <stp/>
        <stp/>
        <stp/>
        <stp>T</stp>
        <tr r="F26" s="15"/>
      </tp>
      <tp>
        <v>872</v>
        <stp/>
        <stp>StudyData</stp>
        <stp>ZSE</stp>
        <stp>Bar</stp>
        <stp/>
        <stp>High</stp>
        <stp>D</stp>
        <stp>-13</stp>
        <stp/>
        <stp/>
        <stp/>
        <stp/>
        <stp>T</stp>
        <tr r="F16" s="15"/>
      </tp>
      <tp>
        <v>863.25</v>
        <stp/>
        <stp>StudyData</stp>
        <stp>ZSE</stp>
        <stp>Bar</stp>
        <stp/>
        <stp>High</stp>
        <stp>D</stp>
        <stp>-43</stp>
        <stp/>
        <stp/>
        <stp/>
        <stp/>
        <stp>T</stp>
        <tr r="F46" s="15"/>
      </tp>
      <tp>
        <v>42321</v>
        <stp/>
        <stp>StudyData</stp>
        <stp>ZSE</stp>
        <stp>Bar</stp>
        <stp/>
        <stp>Time</stp>
        <stp>D</stp>
        <stp>-43</stp>
        <stp/>
        <stp/>
        <stp/>
        <stp/>
        <stp>T</stp>
        <tr r="D46" s="15"/>
      </tp>
      <tp>
        <v>42338</v>
        <stp/>
        <stp>StudyData</stp>
        <stp>ZSE</stp>
        <stp>Bar</stp>
        <stp/>
        <stp>Time</stp>
        <stp>D</stp>
        <stp>-33</stp>
        <stp/>
        <stp/>
        <stp/>
        <stp/>
        <stp>T</stp>
        <tr r="D36" s="15"/>
      </tp>
      <tp>
        <v>42352</v>
        <stp/>
        <stp>StudyData</stp>
        <stp>ZSE</stp>
        <stp>Bar</stp>
        <stp/>
        <stp>Time</stp>
        <stp>D</stp>
        <stp>-23</stp>
        <stp/>
        <stp/>
        <stp/>
        <stp/>
        <stp>T</stp>
        <tr r="D26" s="15"/>
      </tp>
      <tp>
        <v>42367</v>
        <stp/>
        <stp>StudyData</stp>
        <stp>ZSE</stp>
        <stp>Bar</stp>
        <stp/>
        <stp>Time</stp>
        <stp>D</stp>
        <stp>-13</stp>
        <stp/>
        <stp/>
        <stp/>
        <stp/>
        <stp>T</stp>
        <tr r="D16" s="15"/>
      </tp>
      <tp t="s">
        <v>SOM01V8</v>
        <stp/>
        <stp>ContractData</stp>
        <stp>SOM01?4</stp>
        <stp>Symbol</stp>
        <stp/>
        <stp>T</stp>
        <tr r="AG5" s="1"/>
      </tp>
      <tp t="s">
        <v>SOM00Q6</v>
        <stp/>
        <stp>ContractData</stp>
        <stp>SOM00?4</stp>
        <stp>Symbol</stp>
        <stp/>
        <stp>T</stp>
        <tr r="I5" s="1"/>
      </tp>
      <tp t="s">
        <v>ZMEN6</v>
        <stp/>
        <stp>ContractData</stp>
        <stp>ZME?3</stp>
        <stp>Symbol</stp>
        <stp/>
        <stp>T</stp>
        <tr r="H16" s="1"/>
        <tr r="D16" s="1"/>
      </tp>
      <tp t="s">
        <v>SOM00U6</v>
        <stp/>
        <stp>ContractData</stp>
        <stp>SOM00?5</stp>
        <stp>Symbol</stp>
        <stp/>
        <stp>T</stp>
        <tr r="I6" s="1"/>
      </tp>
      <tp t="s">
        <v>ZMEK6</v>
        <stp/>
        <stp>ContractData</stp>
        <stp>ZME?2</stp>
        <stp>Symbol</stp>
        <stp/>
        <stp>T</stp>
        <tr r="H15" s="1"/>
        <tr r="D15" s="1"/>
      </tp>
      <tp t="s">
        <v>SOM00F7</v>
        <stp/>
        <stp>ContractData</stp>
        <stp>SOM00?6</stp>
        <stp>Symbol</stp>
        <stp/>
        <stp>T</stp>
        <tr r="I7" s="1"/>
      </tp>
      <tp t="s">
        <v>ZMEH6</v>
        <stp/>
        <stp>ContractData</stp>
        <stp>ZME?1</stp>
        <stp>Symbol</stp>
        <stp/>
        <stp>T</stp>
        <tr r="H14" s="1"/>
        <tr r="D14" s="1"/>
      </tp>
      <tp t="s">
        <v>SOM00H7</v>
        <stp/>
        <stp>ContractData</stp>
        <stp>SOM00?7</stp>
        <stp>Symbol</stp>
        <stp/>
        <stp>T</stp>
        <tr r="I8" s="1"/>
      </tp>
      <tp>
        <v>863.75</v>
        <stp/>
        <stp>StudyData</stp>
        <stp>ZSE</stp>
        <stp>Bar</stp>
        <stp/>
        <stp>High</stp>
        <stp>D</stp>
        <stp>-38</stp>
        <stp/>
        <stp/>
        <stp/>
        <stp/>
        <stp>T</stp>
        <tr r="F41" s="15"/>
      </tp>
      <tp>
        <v>911.5</v>
        <stp/>
        <stp>StudyData</stp>
        <stp>ZSE</stp>
        <stp>Bar</stp>
        <stp/>
        <stp>High</stp>
        <stp>D</stp>
        <stp>-28</stp>
        <stp/>
        <stp/>
        <stp/>
        <stp/>
        <stp>T</stp>
        <tr r="F31" s="15"/>
      </tp>
      <tp>
        <v>897</v>
        <stp/>
        <stp>StudyData</stp>
        <stp>ZSE</stp>
        <stp>Bar</stp>
        <stp/>
        <stp>High</stp>
        <stp>D</stp>
        <stp>-18</stp>
        <stp/>
        <stp/>
        <stp/>
        <stp/>
        <stp>T</stp>
        <tr r="F21" s="15"/>
      </tp>
      <tp>
        <v>870.5</v>
        <stp/>
        <stp>StudyData</stp>
        <stp>ZSE</stp>
        <stp>Bar</stp>
        <stp/>
        <stp>High</stp>
        <stp>D</stp>
        <stp>-48</stp>
        <stp/>
        <stp/>
        <stp/>
        <stp/>
        <stp>T</stp>
        <tr r="F51" s="15"/>
      </tp>
      <tp>
        <v>42314</v>
        <stp/>
        <stp>StudyData</stp>
        <stp>ZSE</stp>
        <stp>Bar</stp>
        <stp/>
        <stp>Time</stp>
        <stp>D</stp>
        <stp>-48</stp>
        <stp/>
        <stp/>
        <stp/>
        <stp/>
        <stp>T</stp>
        <tr r="D51" s="15"/>
      </tp>
      <tp>
        <v>42328</v>
        <stp/>
        <stp>StudyData</stp>
        <stp>ZSE</stp>
        <stp>Bar</stp>
        <stp/>
        <stp>Time</stp>
        <stp>D</stp>
        <stp>-38</stp>
        <stp/>
        <stp/>
        <stp/>
        <stp/>
        <stp>T</stp>
        <tr r="D41" s="15"/>
      </tp>
      <tp>
        <v>42345</v>
        <stp/>
        <stp>StudyData</stp>
        <stp>ZSE</stp>
        <stp>Bar</stp>
        <stp/>
        <stp>Time</stp>
        <stp>D</stp>
        <stp>-28</stp>
        <stp/>
        <stp/>
        <stp/>
        <stp/>
        <stp>T</stp>
        <tr r="D31" s="15"/>
      </tp>
      <tp>
        <v>42359</v>
        <stp/>
        <stp>StudyData</stp>
        <stp>ZSE</stp>
        <stp>Bar</stp>
        <stp/>
        <stp>Time</stp>
        <stp>D</stp>
        <stp>-18</stp>
        <stp/>
        <stp/>
        <stp/>
        <stp/>
        <stp>T</stp>
        <tr r="D21" s="15"/>
      </tp>
      <tp t="s">
        <v>ZMEZ6</v>
        <stp/>
        <stp>ContractData</stp>
        <stp>ZME?7</stp>
        <stp>Symbol</stp>
        <stp/>
        <stp>T</stp>
        <tr r="H22" s="1"/>
        <tr r="H21" s="1"/>
        <tr r="D20" s="1"/>
      </tp>
      <tp t="s">
        <v>SOM02U6</v>
        <stp/>
        <stp>ContractData</stp>
        <stp>SOM02?1</stp>
        <stp>Symbol</stp>
        <stp/>
        <stp>T</stp>
        <tr r="O2" s="1"/>
      </tp>
      <tp t="s">
        <v>SOM01V6</v>
        <stp/>
        <stp>ContractData</stp>
        <stp>SOM01?1</stp>
        <stp>Symbol</stp>
        <stp/>
        <stp>T</stp>
        <tr r="AG2" s="1"/>
      </tp>
      <tp t="s">
        <v>SOM00H6</v>
        <stp/>
        <stp>ContractData</stp>
        <stp>SOM00?1</stp>
        <stp>Symbol</stp>
        <stp/>
        <stp>T</stp>
        <tr r="I2" s="1"/>
      </tp>
      <tp>
        <v>865</v>
        <stp/>
        <stp>StudyData</stp>
        <stp>ZSE</stp>
        <stp>Bar</stp>
        <stp/>
        <stp>High</stp>
        <stp>D</stp>
        <stp>-39</stp>
        <stp/>
        <stp/>
        <stp/>
        <stp/>
        <stp>T</stp>
        <tr r="F42" s="15"/>
      </tp>
      <tp>
        <v>908.5</v>
        <stp/>
        <stp>StudyData</stp>
        <stp>ZSE</stp>
        <stp>Bar</stp>
        <stp/>
        <stp>High</stp>
        <stp>D</stp>
        <stp>-29</stp>
        <stp/>
        <stp/>
        <stp/>
        <stp/>
        <stp>T</stp>
        <tr r="F32" s="15"/>
      </tp>
      <tp>
        <v>894.5</v>
        <stp/>
        <stp>StudyData</stp>
        <stp>ZSE</stp>
        <stp>Bar</stp>
        <stp/>
        <stp>High</stp>
        <stp>D</stp>
        <stp>-19</stp>
        <stp/>
        <stp/>
        <stp/>
        <stp/>
        <stp>T</stp>
        <tr r="F22" s="15"/>
      </tp>
      <tp>
        <v>887.5</v>
        <stp/>
        <stp>StudyData</stp>
        <stp>ZSE</stp>
        <stp>Bar</stp>
        <stp/>
        <stp>High</stp>
        <stp>D</stp>
        <stp>-49</stp>
        <stp/>
        <stp/>
        <stp/>
        <stp/>
        <stp>T</stp>
        <tr r="F52" s="15"/>
      </tp>
      <tp>
        <v>42313</v>
        <stp/>
        <stp>StudyData</stp>
        <stp>ZSE</stp>
        <stp>Bar</stp>
        <stp/>
        <stp>Time</stp>
        <stp>D</stp>
        <stp>-49</stp>
        <stp/>
        <stp/>
        <stp/>
        <stp/>
        <stp>T</stp>
        <tr r="D52" s="15"/>
      </tp>
      <tp>
        <v>42327</v>
        <stp/>
        <stp>StudyData</stp>
        <stp>ZSE</stp>
        <stp>Bar</stp>
        <stp/>
        <stp>Time</stp>
        <stp>D</stp>
        <stp>-39</stp>
        <stp/>
        <stp/>
        <stp/>
        <stp/>
        <stp>T</stp>
        <tr r="D42" s="15"/>
      </tp>
      <tp>
        <v>42342</v>
        <stp/>
        <stp>StudyData</stp>
        <stp>ZSE</stp>
        <stp>Bar</stp>
        <stp/>
        <stp>Time</stp>
        <stp>D</stp>
        <stp>-29</stp>
        <stp/>
        <stp/>
        <stp/>
        <stp/>
        <stp>T</stp>
        <tr r="D32" s="15"/>
      </tp>
      <tp>
        <v>42356</v>
        <stp/>
        <stp>StudyData</stp>
        <stp>ZSE</stp>
        <stp>Bar</stp>
        <stp/>
        <stp>Time</stp>
        <stp>D</stp>
        <stp>-19</stp>
        <stp/>
        <stp/>
        <stp/>
        <stp/>
        <stp>T</stp>
        <tr r="D22" s="15"/>
      </tp>
      <tp t="s">
        <v>SOMI01Z6</v>
        <stp/>
        <stp>ContractData</stp>
        <stp>SOMI01?1</stp>
        <stp>Symbol</stp>
        <stp/>
        <stp>T</stp>
        <tr r="Z2" s="1"/>
      </tp>
      <tp t="s">
        <v>ZMEV6</v>
        <stp/>
        <stp>ContractData</stp>
        <stp>ZME?6</stp>
        <stp>Symbol</stp>
        <stp/>
        <stp>T</stp>
        <tr r="H20" s="1"/>
        <tr r="D19" s="1"/>
      </tp>
      <tp t="s">
        <v>SOM02U7</v>
        <stp/>
        <stp>ContractData</stp>
        <stp>SOM02?2</stp>
        <stp>Symbol</stp>
        <stp/>
        <stp>T</stp>
        <tr r="O3" s="1"/>
      </tp>
      <tp t="s">
        <v>SOM01Z6</v>
        <stp/>
        <stp>ContractData</stp>
        <stp>SOM01?2</stp>
        <stp>Symbol</stp>
        <stp/>
        <stp>T</stp>
        <tr r="AG3" s="1"/>
      </tp>
      <tp t="s">
        <v>SOM00K6</v>
        <stp/>
        <stp>ContractData</stp>
        <stp>SOM00?2</stp>
        <stp>Symbol</stp>
        <stp/>
        <stp>T</stp>
        <tr r="I3" s="1"/>
      </tp>
      <tp t="s">
        <v>SOMI01Z7</v>
        <stp/>
        <stp>ContractData</stp>
        <stp>SOMI01?2</stp>
        <stp>Symbol</stp>
        <stp/>
        <stp>T</stp>
        <tr r="Z3" s="1"/>
      </tp>
      <tp t="s">
        <v>ZMEU6</v>
        <stp/>
        <stp>ContractData</stp>
        <stp>ZME?5</stp>
        <stp>Symbol</stp>
        <stp/>
        <stp>T</stp>
        <tr r="H19" s="1"/>
        <tr r="H18" s="1"/>
        <tr r="D18" s="1"/>
      </tp>
      <tp t="s">
        <v>SOM02U8</v>
        <stp/>
        <stp>ContractData</stp>
        <stp>SOM02?3</stp>
        <stp>Symbol</stp>
        <stp/>
        <stp>T</stp>
        <tr r="O4" s="1"/>
      </tp>
      <tp t="s">
        <v>SOM01V7</v>
        <stp/>
        <stp>ContractData</stp>
        <stp>SOM01?3</stp>
        <stp>Symbol</stp>
        <stp/>
        <stp>T</stp>
        <tr r="AG4" s="1"/>
      </tp>
      <tp t="s">
        <v>SOM00N6</v>
        <stp/>
        <stp>ContractData</stp>
        <stp>SOM00?3</stp>
        <stp>Symbol</stp>
        <stp/>
        <stp>T</stp>
        <tr r="I4" s="1"/>
      </tp>
      <tp t="s">
        <v>SOMI01Z8</v>
        <stp/>
        <stp>ContractData</stp>
        <stp>SOMI01?3</stp>
        <stp>Symbol</stp>
        <stp/>
        <stp>T</stp>
        <tr r="Z4" s="1"/>
      </tp>
      <tp t="s">
        <v>ZMEQ6</v>
        <stp/>
        <stp>ContractData</stp>
        <stp>ZME?4</stp>
        <stp>Symbol</stp>
        <stp/>
        <stp>T</stp>
        <tr r="H17" s="1"/>
        <tr r="D17" s="1"/>
      </tp>
      <tp t="s">
        <v>Soybean Crush (Meal,Oil EXP after Beans), Dec 16</v>
        <stp/>
        <stp>ContractData</stp>
        <stp>SOMI01Z6</stp>
        <stp>LongDescription</stp>
        <stp/>
        <stp>T</stp>
        <tr r="E9" s="1"/>
        <tr r="D9" s="1"/>
        <tr r="AA2" s="1"/>
        <tr r="AC2" s="1"/>
      </tp>
      <tp t="s">
        <v>Soybean Crush (Meal,Oil EXP after Beans), Dec 17</v>
        <stp/>
        <stp>ContractData</stp>
        <stp>SOMI01Z7</stp>
        <stp>LongDescription</stp>
        <stp/>
        <stp>T</stp>
        <tr r="AC3" s="1"/>
        <tr r="AA3" s="1"/>
      </tp>
      <tp t="s">
        <v>Soybean Crush (Meal,Oil EXP after Beans), Dec 18</v>
        <stp/>
        <stp>ContractData</stp>
        <stp>SOMI01Z8</stp>
        <stp>LongDescription</stp>
        <stp/>
        <stp>T</stp>
        <tr r="AA4" s="1"/>
        <tr r="AC4" s="1"/>
      </tp>
      <tp>
        <v>37</v>
        <stp/>
        <stp>DOMData</stp>
        <stp>ZSE</stp>
        <stp>Volume</stp>
        <stp>-1</stp>
        <stp>T</stp>
        <tr r="I39" s="3"/>
      </tp>
      <tp>
        <v>270.90000000000003</v>
        <stp/>
        <stp>ContractData</stp>
        <stp>ZME</stp>
        <stp>Bid</stp>
        <stp/>
        <stp>T</stp>
        <tr r="Q18" s="3"/>
      </tp>
      <tp>
        <v>30.060000000000002</v>
        <stp/>
        <stp>ContractData</stp>
        <stp>ZLE</stp>
        <stp>Bid</stp>
        <stp/>
        <stp>T</stp>
        <tr r="Q19" s="3"/>
      </tp>
      <tp>
        <v>882.75</v>
        <stp/>
        <stp>ContractData</stp>
        <stp>ZSE</stp>
        <stp>Bid</stp>
        <stp/>
        <stp>T</stp>
        <tr r="Q17" s="3"/>
      </tp>
      <tp>
        <v>883</v>
        <stp/>
        <stp>ContractData</stp>
        <stp>ZSE</stp>
        <stp>Ask</stp>
        <stp/>
        <stp>T</stp>
        <tr r="R17" s="3"/>
      </tp>
      <tp>
        <v>271</v>
        <stp/>
        <stp>ContractData</stp>
        <stp>ZME</stp>
        <stp>Ask</stp>
        <stp/>
        <stp>T</stp>
        <tr r="R18" s="3"/>
      </tp>
      <tp>
        <v>30.07</v>
        <stp/>
        <stp>ContractData</stp>
        <stp>ZLE</stp>
        <stp>Ask</stp>
        <stp/>
        <stp>T</stp>
        <tr r="R19" s="3"/>
      </tp>
      <tp>
        <v>270.10000000000002</v>
        <stp/>
        <stp>ContractData</stp>
        <stp>ZME</stp>
        <stp>Low</stp>
        <stp/>
        <stp>T</stp>
        <tr r="AH18" s="3"/>
      </tp>
      <tp>
        <v>29.59</v>
        <stp/>
        <stp>ContractData</stp>
        <stp>ZLE</stp>
        <stp>Low</stp>
        <stp/>
        <stp>T</stp>
        <tr r="AH19" s="3"/>
      </tp>
      <tp>
        <v>880.5</v>
        <stp/>
        <stp>ContractData</stp>
        <stp>ZSE</stp>
        <stp>Low</stp>
        <stp/>
        <stp>T</stp>
        <tr r="AH17" s="3"/>
        <tr r="AG44" s="3"/>
      </tp>
      <tp>
        <v>7</v>
        <stp/>
        <stp>DOMData</stp>
        <stp>ZME</stp>
        <stp>Volume</stp>
        <stp>-1</stp>
        <stp>T</stp>
        <tr r="L39" s="3"/>
      </tp>
      <tp>
        <v>6</v>
        <stp/>
        <stp>DOMData</stp>
        <stp>ZLE</stp>
        <stp>Volume</stp>
        <stp>-1</stp>
        <stp>T</stp>
        <tr r="Q39" s="3"/>
      </tp>
      <tp>
        <v>143</v>
        <stp/>
        <stp>DOMData</stp>
        <stp>ZSE</stp>
        <stp>Volume</stp>
        <stp>-3</stp>
        <stp>T</stp>
        <tr r="I41" s="3"/>
      </tp>
      <tp>
        <v>48</v>
        <stp/>
        <stp>DOMData</stp>
        <stp>ZME</stp>
        <stp>Volume</stp>
        <stp>-3</stp>
        <stp>T</stp>
        <tr r="L41" s="3"/>
      </tp>
      <tp>
        <v>36</v>
        <stp/>
        <stp>DOMData</stp>
        <stp>ZLE</stp>
        <stp>Volume</stp>
        <stp>-3</stp>
        <stp>T</stp>
        <tr r="Q41" s="3"/>
      </tp>
      <tp>
        <v>0</v>
        <stp/>
        <stp>ContractData</stp>
        <stp>SOMI01Z6</stp>
        <stp>NetLastTradeToday</stp>
        <stp/>
        <stp>T</stp>
        <tr r="L13" s="3"/>
      </tp>
      <tp>
        <v>103</v>
        <stp/>
        <stp>DOMData</stp>
        <stp>ZSE</stp>
        <stp>Volume</stp>
        <stp>-2</stp>
        <stp>T</stp>
        <tr r="I40" s="3"/>
      </tp>
      <tp>
        <v>24</v>
        <stp/>
        <stp>DOMData</stp>
        <stp>ZME</stp>
        <stp>Volume</stp>
        <stp>-2</stp>
        <stp>T</stp>
        <tr r="L40" s="3"/>
      </tp>
      <tp>
        <v>23</v>
        <stp/>
        <stp>DOMData</stp>
        <stp>ZLE</stp>
        <stp>Volume</stp>
        <stp>-2</stp>
        <stp>T</stp>
        <tr r="Q40" s="3"/>
      </tp>
      <tp>
        <v>880.5</v>
        <stp/>
        <stp>StudyData</stp>
        <stp>ZSE</stp>
        <stp>Bar</stp>
        <stp/>
        <stp>Low</stp>
        <stp>D</stp>
        <stp>0</stp>
        <stp/>
        <stp/>
        <stp/>
        <stp/>
        <stp>T</stp>
        <tr r="G3" s="15"/>
        <tr r="G3" s="15"/>
      </tp>
      <tp>
        <v>886</v>
        <stp/>
        <stp>StudyData</stp>
        <stp>ZSE</stp>
        <stp>Bar</stp>
        <stp/>
        <stp>Open</stp>
        <stp>D</stp>
        <stp>-49</stp>
        <stp/>
        <stp/>
        <stp/>
        <stp/>
        <stp>T</stp>
        <tr r="E52" s="15"/>
      </tp>
      <tp>
        <v>877.75</v>
        <stp/>
        <stp>StudyData</stp>
        <stp>ZSE</stp>
        <stp>Bar</stp>
        <stp/>
        <stp>Open</stp>
        <stp>D</stp>
        <stp>-19</stp>
        <stp/>
        <stp/>
        <stp/>
        <stp/>
        <stp>T</stp>
        <tr r="E22" s="15"/>
      </tp>
      <tp>
        <v>899.5</v>
        <stp/>
        <stp>StudyData</stp>
        <stp>ZSE</stp>
        <stp>Bar</stp>
        <stp/>
        <stp>Open</stp>
        <stp>D</stp>
        <stp>-29</stp>
        <stp/>
        <stp/>
        <stp/>
        <stp/>
        <stp>T</stp>
        <tr r="E32" s="15"/>
      </tp>
      <tp>
        <v>860.75</v>
        <stp/>
        <stp>StudyData</stp>
        <stp>ZSE</stp>
        <stp>Bar</stp>
        <stp/>
        <stp>Open</stp>
        <stp>D</stp>
        <stp>-39</stp>
        <stp/>
        <stp/>
        <stp/>
        <stp/>
        <stp>T</stp>
        <tr r="E42" s="15"/>
      </tp>
      <tp>
        <v>70</v>
        <stp/>
        <stp>DOMData</stp>
        <stp>ZSE</stp>
        <stp>Volume</stp>
        <stp>-5</stp>
        <stp>T</stp>
        <tr r="I43" s="3"/>
      </tp>
      <tp>
        <v>42388</v>
        <stp/>
        <stp>StudyData</stp>
        <stp>ZSE</stp>
        <stp>Bar</stp>
        <stp/>
        <stp>Time</stp>
        <stp>D</stp>
        <stp>0</stp>
        <stp/>
        <stp/>
        <stp/>
        <stp/>
        <stp>T</stp>
        <tr r="D3" s="15"/>
      </tp>
      <tp>
        <v>66</v>
        <stp/>
        <stp>DOMData</stp>
        <stp>ZME</stp>
        <stp>Volume</stp>
        <stp>-5</stp>
        <stp>T</stp>
        <tr r="L43" s="3"/>
      </tp>
      <tp>
        <v>11</v>
        <stp/>
        <stp>DOMData</stp>
        <stp>ZLE</stp>
        <stp>Volume</stp>
        <stp>-5</stp>
        <stp>T</stp>
        <tr r="Q43" s="3"/>
      </tp>
      <tp>
        <v>866.75</v>
        <stp/>
        <stp>StudyData</stp>
        <stp>ZSE</stp>
        <stp>Bar</stp>
        <stp/>
        <stp>Open</stp>
        <stp>D</stp>
        <stp>-48</stp>
        <stp/>
        <stp/>
        <stp/>
        <stp/>
        <stp>T</stp>
        <tr r="E51" s="15"/>
      </tp>
      <tp>
        <v>892.75</v>
        <stp/>
        <stp>StudyData</stp>
        <stp>ZSE</stp>
        <stp>Bar</stp>
        <stp/>
        <stp>Open</stp>
        <stp>D</stp>
        <stp>-18</stp>
        <stp/>
        <stp/>
        <stp/>
        <stp/>
        <stp>T</stp>
        <tr r="E21" s="15"/>
      </tp>
      <tp>
        <v>907.75</v>
        <stp/>
        <stp>StudyData</stp>
        <stp>ZSE</stp>
        <stp>Bar</stp>
        <stp/>
        <stp>Open</stp>
        <stp>D</stp>
        <stp>-28</stp>
        <stp/>
        <stp/>
        <stp/>
        <stp/>
        <stp>T</stp>
        <tr r="E31" s="15"/>
      </tp>
      <tp>
        <v>863</v>
        <stp/>
        <stp>StudyData</stp>
        <stp>ZSE</stp>
        <stp>Bar</stp>
        <stp/>
        <stp>Open</stp>
        <stp>D</stp>
        <stp>-38</stp>
        <stp/>
        <stp/>
        <stp/>
        <stp/>
        <stp>T</stp>
        <tr r="E41" s="15"/>
      </tp>
      <tp>
        <v>69</v>
        <stp/>
        <stp>DOMData</stp>
        <stp>ZSE</stp>
        <stp>Volume</stp>
        <stp>-4</stp>
        <stp>T</stp>
        <tr r="I42" s="3"/>
      </tp>
      <tp>
        <v>27</v>
        <stp/>
        <stp>DOMData</stp>
        <stp>ZME</stp>
        <stp>Volume</stp>
        <stp>-4</stp>
        <stp>T</stp>
        <tr r="L42" s="3"/>
      </tp>
      <tp>
        <v>12</v>
        <stp/>
        <stp>DOMData</stp>
        <stp>ZLE</stp>
        <stp>Volume</stp>
        <stp>-4</stp>
        <stp>T</stp>
        <tr r="Q42" s="3"/>
      </tp>
      <tp>
        <v>65.5</v>
        <stp/>
        <stp>DOMData</stp>
        <stp>SOMI01Z6</stp>
        <stp>Price</stp>
        <stp>4</stp>
        <stp>T</stp>
        <tr r="B7" s="11"/>
      </tp>
      <tp>
        <v>856.5</v>
        <stp/>
        <stp>StudyData</stp>
        <stp>ZSE</stp>
        <stp>Bar</stp>
        <stp/>
        <stp>Open</stp>
        <stp>D</stp>
        <stp>-45</stp>
        <stp/>
        <stp/>
        <stp/>
        <stp/>
        <stp>T</stp>
        <tr r="E48" s="15"/>
      </tp>
      <tp>
        <v>882</v>
        <stp/>
        <stp>StudyData</stp>
        <stp>ZSE</stp>
        <stp>Bar</stp>
        <stp/>
        <stp>Open</stp>
        <stp>D</stp>
        <stp>-15</stp>
        <stp/>
        <stp/>
        <stp/>
        <stp/>
        <stp>T</stp>
        <tr r="E18" s="15"/>
      </tp>
      <tp>
        <v>879.5</v>
        <stp/>
        <stp>StudyData</stp>
        <stp>ZSE</stp>
        <stp>Bar</stp>
        <stp/>
        <stp>Open</stp>
        <stp>D</stp>
        <stp>-25</stp>
        <stp/>
        <stp/>
        <stp/>
        <stp/>
        <stp>T</stp>
        <tr r="E28" s="15"/>
      </tp>
      <tp>
        <v>865.5</v>
        <stp/>
        <stp>StudyData</stp>
        <stp>ZSE</stp>
        <stp>Bar</stp>
        <stp/>
        <stp>Open</stp>
        <stp>D</stp>
        <stp>-35</stp>
        <stp/>
        <stp/>
        <stp/>
        <stp/>
        <stp>T</stp>
        <tr r="E38" s="15"/>
      </tp>
      <tp>
        <v>65.75</v>
        <stp/>
        <stp>DOMData</stp>
        <stp>SOMI01Z6</stp>
        <stp>Price</stp>
        <stp>5</stp>
        <stp>T</stp>
        <tr r="B6" s="11"/>
      </tp>
      <tp>
        <v>859.25</v>
        <stp/>
        <stp>StudyData</stp>
        <stp>ZSE</stp>
        <stp>Bar</stp>
        <stp/>
        <stp>Open</stp>
        <stp>D</stp>
        <stp>-44</stp>
        <stp/>
        <stp/>
        <stp/>
        <stp/>
        <stp>T</stp>
        <tr r="E47" s="15"/>
      </tp>
      <tp>
        <v>871</v>
        <stp/>
        <stp>StudyData</stp>
        <stp>ZSE</stp>
        <stp>Bar</stp>
        <stp/>
        <stp>Open</stp>
        <stp>D</stp>
        <stp>-14</stp>
        <stp/>
        <stp/>
        <stp/>
        <stp/>
        <stp>T</stp>
        <tr r="E17" s="15"/>
      </tp>
      <tp>
        <v>881</v>
        <stp/>
        <stp>StudyData</stp>
        <stp>ZSE</stp>
        <stp>Bar</stp>
        <stp/>
        <stp>Open</stp>
        <stp>D</stp>
        <stp>-24</stp>
        <stp/>
        <stp/>
        <stp/>
        <stp/>
        <stp>T</stp>
        <tr r="E27" s="15"/>
      </tp>
      <tp>
        <v>876.5</v>
        <stp/>
        <stp>StudyData</stp>
        <stp>ZSE</stp>
        <stp>Bar</stp>
        <stp/>
        <stp>Open</stp>
        <stp>D</stp>
        <stp>-34</stp>
        <stp/>
        <stp/>
        <stp/>
        <stp/>
        <stp>T</stp>
        <tr r="E37" s="15"/>
      </tp>
      <tp>
        <v>270.7</v>
        <stp/>
        <stp>ContractData</stp>
        <stp>ZME</stp>
        <stp>Open</stp>
        <stp/>
        <stp>T</stp>
        <tr r="AE18" s="3"/>
      </tp>
      <tp>
        <v>29.6</v>
        <stp/>
        <stp>ContractData</stp>
        <stp>ZLE</stp>
        <stp>Open</stp>
        <stp/>
        <stp>T</stp>
        <tr r="AE19" s="3"/>
      </tp>
      <tp>
        <v>888</v>
        <stp/>
        <stp>StudyData</stp>
        <stp>ZSE</stp>
        <stp>Bar</stp>
        <stp/>
        <stp>High</stp>
        <stp>D</stp>
        <stp>0</stp>
        <stp/>
        <stp/>
        <stp/>
        <stp/>
        <stp>T</stp>
        <tr r="F3" s="15"/>
        <tr r="F3" s="15"/>
      </tp>
      <tp>
        <v>881</v>
        <stp/>
        <stp>ContractData</stp>
        <stp>ZSE</stp>
        <stp>Open</stp>
        <stp/>
        <stp>T</stp>
        <tr r="AE17" s="3"/>
        <tr r="Z44" s="3"/>
      </tp>
      <tp>
        <v>49095</v>
        <stp/>
        <stp>ContractData</stp>
        <stp>ZME</stp>
        <stp>Y_CVol</stp>
        <stp/>
        <stp>T</stp>
        <tr r="Y18" s="3"/>
      </tp>
      <tp>
        <v>48444</v>
        <stp/>
        <stp>ContractData</stp>
        <stp>ZLE</stp>
        <stp>Y_CVol</stp>
        <stp/>
        <stp>T</stp>
        <tr r="Y19" s="3"/>
      </tp>
      <tp>
        <v>120442</v>
        <stp/>
        <stp>ContractData</stp>
        <stp>ZSE</stp>
        <stp>Y_CVol</stp>
        <stp/>
        <stp>T</stp>
        <tr r="Y17" s="3"/>
      </tp>
      <tp>
        <v>32826</v>
        <stp/>
        <stp>ContractData</stp>
        <stp>ZME</stp>
        <stp>T_CVol</stp>
        <stp/>
        <stp>T</stp>
        <tr r="V18" s="3"/>
      </tp>
      <tp>
        <v>39427</v>
        <stp/>
        <stp>ContractData</stp>
        <stp>ZLE</stp>
        <stp>T_CVol</stp>
        <stp/>
        <stp>T</stp>
        <tr r="V19" s="3"/>
      </tp>
      <tp>
        <v>87395</v>
        <stp/>
        <stp>ContractData</stp>
        <stp>ZSE</stp>
        <stp>T_CVol</stp>
        <stp/>
        <stp>T</stp>
        <tr r="V17" s="3"/>
      </tp>
      <tp t="s">
        <v/>
        <stp/>
        <stp>ContractData</stp>
        <stp>SOM02U6</stp>
        <stp>LastTradeToday</stp>
        <stp/>
        <stp>T</stp>
        <tr r="A32" s="1"/>
      </tp>
      <tp>
        <v>61.25</v>
        <stp/>
        <stp>ContractData</stp>
        <stp>SOM01V6</stp>
        <stp>LastTradeToday</stp>
        <stp/>
        <stp>T</stp>
        <tr r="A33" s="1"/>
      </tp>
      <tp t="s">
        <v/>
        <stp/>
        <stp>ContractData</stp>
        <stp>SOM01Z6</stp>
        <stp>LastTradeToday</stp>
        <stp/>
        <stp>T</stp>
        <tr r="A35" s="1"/>
      </tp>
      <tp>
        <v>43.75</v>
        <stp/>
        <stp>ContractData</stp>
        <stp>SOM00H6</stp>
        <stp>LastTradeToday</stp>
        <stp/>
        <stp>T</stp>
        <tr r="B17" s="4"/>
        <tr r="A27" s="1"/>
      </tp>
      <tp>
        <v>51.5</v>
        <stp/>
        <stp>ContractData</stp>
        <stp>SOM00K6</stp>
        <stp>LastTradeToday</stp>
        <stp/>
        <stp>T</stp>
        <tr r="A28" s="1"/>
      </tp>
      <tp>
        <v>54.75</v>
        <stp/>
        <stp>ContractData</stp>
        <stp>SOM00N6</stp>
        <stp>LastTradeToday</stp>
        <stp/>
        <stp>T</stp>
        <tr r="A29" s="1"/>
      </tp>
      <tp t="s">
        <v/>
        <stp/>
        <stp>ContractData</stp>
        <stp>SOM00Q6</stp>
        <stp>LastTradeToday</stp>
        <stp/>
        <stp>T</stp>
        <tr r="A30" s="1"/>
      </tp>
      <tp>
        <v>63</v>
        <stp/>
        <stp>ContractData</stp>
        <stp>SOM00U6</stp>
        <stp>LastTradeToday</stp>
        <stp/>
        <stp>T</stp>
        <tr r="A31" s="1"/>
      </tp>
      <tp>
        <v>869.75</v>
        <stp/>
        <stp>StudyData</stp>
        <stp>ZSE</stp>
        <stp>Bar</stp>
        <stp/>
        <stp>Open</stp>
        <stp>D</stp>
        <stp>-47</stp>
        <stp/>
        <stp/>
        <stp/>
        <stp/>
        <stp>T</stp>
        <tr r="E50" s="15"/>
      </tp>
      <tp>
        <v>891</v>
        <stp/>
        <stp>StudyData</stp>
        <stp>ZSE</stp>
        <stp>Bar</stp>
        <stp/>
        <stp>Open</stp>
        <stp>D</stp>
        <stp>-17</stp>
        <stp/>
        <stp/>
        <stp/>
        <stp/>
        <stp>T</stp>
        <tr r="E20" s="15"/>
      </tp>
      <tp>
        <v>888.5</v>
        <stp/>
        <stp>StudyData</stp>
        <stp>ZSE</stp>
        <stp>Bar</stp>
        <stp/>
        <stp>Open</stp>
        <stp>D</stp>
        <stp>-27</stp>
        <stp/>
        <stp/>
        <stp/>
        <stp/>
        <stp>T</stp>
        <tr r="E30" s="15"/>
      </tp>
      <tp>
        <v>858.25</v>
        <stp/>
        <stp>StudyData</stp>
        <stp>ZSE</stp>
        <stp>Bar</stp>
        <stp/>
        <stp>Open</stp>
        <stp>D</stp>
        <stp>-37</stp>
        <stp/>
        <stp/>
        <stp/>
        <stp/>
        <stp>T</stp>
        <tr r="E40" s="15"/>
      </tp>
      <tp>
        <v>64.5</v>
        <stp/>
        <stp>ContractData</stp>
        <stp>SOMI01Z6</stp>
        <stp>LastTradeToday</stp>
        <stp/>
        <stp>T</stp>
        <tr r="A34" s="1"/>
      </tp>
      <tp>
        <v>64</v>
        <stp/>
        <stp>ContractData</stp>
        <stp>SOM00F7</stp>
        <stp>LastTradeToday</stp>
        <stp/>
        <stp>T</stp>
        <tr r="A36" s="1"/>
      </tp>
      <tp>
        <v>67</v>
        <stp/>
        <stp>ContractData</stp>
        <stp>SOM00H7</stp>
        <stp>LastTradeToday</stp>
        <stp/>
        <stp>T</stp>
        <tr r="A37" s="1"/>
      </tp>
      <tp>
        <v>866.75</v>
        <stp/>
        <stp>StudyData</stp>
        <stp>ZSE</stp>
        <stp>Bar</stp>
        <stp/>
        <stp>Open</stp>
        <stp>D</stp>
        <stp>-46</stp>
        <stp/>
        <stp/>
        <stp/>
        <stp/>
        <stp>T</stp>
        <tr r="E49" s="15"/>
      </tp>
      <tp>
        <v>885.5</v>
        <stp/>
        <stp>StudyData</stp>
        <stp>ZSE</stp>
        <stp>Bar</stp>
        <stp/>
        <stp>Open</stp>
        <stp>D</stp>
        <stp>-16</stp>
        <stp/>
        <stp/>
        <stp/>
        <stp/>
        <stp>T</stp>
        <tr r="E19" s="15"/>
      </tp>
      <tp>
        <v>880</v>
        <stp/>
        <stp>StudyData</stp>
        <stp>ZSE</stp>
        <stp>Bar</stp>
        <stp/>
        <stp>Open</stp>
        <stp>D</stp>
        <stp>-26</stp>
        <stp/>
        <stp/>
        <stp/>
        <stp/>
        <stp>T</stp>
        <tr r="E29" s="15"/>
      </tp>
      <tp>
        <v>866</v>
        <stp/>
        <stp>StudyData</stp>
        <stp>ZSE</stp>
        <stp>Bar</stp>
        <stp/>
        <stp>Open</stp>
        <stp>D</stp>
        <stp>-36</stp>
        <stp/>
        <stp/>
        <stp/>
        <stp/>
        <stp>T</stp>
        <tr r="E39" s="15"/>
      </tp>
      <tp>
        <v>860.75</v>
        <stp/>
        <stp>StudyData</stp>
        <stp>ZSE</stp>
        <stp>Bar</stp>
        <stp/>
        <stp>Open</stp>
        <stp>D</stp>
        <stp>-41</stp>
        <stp/>
        <stp/>
        <stp/>
        <stp/>
        <stp>T</stp>
        <tr r="E44" s="15"/>
      </tp>
      <tp>
        <v>868.75</v>
        <stp/>
        <stp>StudyData</stp>
        <stp>ZSE</stp>
        <stp>Bar</stp>
        <stp/>
        <stp>Open</stp>
        <stp>D</stp>
        <stp>-11</stp>
        <stp/>
        <stp/>
        <stp/>
        <stp/>
        <stp>T</stp>
        <tr r="E14" s="15"/>
      </tp>
      <tp>
        <v>867.5</v>
        <stp/>
        <stp>StudyData</stp>
        <stp>ZSE</stp>
        <stp>Bar</stp>
        <stp/>
        <stp>Open</stp>
        <stp>D</stp>
        <stp>-21</stp>
        <stp/>
        <stp/>
        <stp/>
        <stp/>
        <stp>T</stp>
        <tr r="E24" s="15"/>
      </tp>
      <tp>
        <v>891</v>
        <stp/>
        <stp>StudyData</stp>
        <stp>ZSE</stp>
        <stp>Bar</stp>
        <stp/>
        <stp>Open</stp>
        <stp>D</stp>
        <stp>-31</stp>
        <stp/>
        <stp/>
        <stp/>
        <stp/>
        <stp>T</stp>
        <tr r="E34" s="15"/>
      </tp>
      <tp>
        <v>64.5</v>
        <stp/>
        <stp>DOMData</stp>
        <stp>SOMI01Z6</stp>
        <stp>Price</stp>
        <stp>1</stp>
        <stp>T</stp>
        <tr r="B10" s="11"/>
      </tp>
      <tp>
        <v>865</v>
        <stp/>
        <stp>StudyData</stp>
        <stp>ZSE</stp>
        <stp>Bar</stp>
        <stp/>
        <stp>Open</stp>
        <stp>D</stp>
        <stp>-40</stp>
        <stp/>
        <stp/>
        <stp/>
        <stp/>
        <stp>T</stp>
        <tr r="E43" s="15"/>
      </tp>
      <tp>
        <v>881</v>
        <stp/>
        <stp>StudyData</stp>
        <stp>ZSE</stp>
        <stp>Bar</stp>
        <stp/>
        <stp>Open</stp>
        <stp>D</stp>
        <stp>-50</stp>
        <stp/>
        <stp/>
        <stp/>
        <stp/>
        <stp>T</stp>
        <tr r="E53" s="15"/>
      </tp>
      <tp>
        <v>863</v>
        <stp/>
        <stp>StudyData</stp>
        <stp>ZSE</stp>
        <stp>Bar</stp>
        <stp/>
        <stp>Open</stp>
        <stp>D</stp>
        <stp>-10</stp>
        <stp/>
        <stp/>
        <stp/>
        <stp/>
        <stp>T</stp>
        <tr r="E13" s="15"/>
      </tp>
      <tp>
        <v>860.75</v>
        <stp/>
        <stp>StudyData</stp>
        <stp>ZSE</stp>
        <stp>Bar</stp>
        <stp/>
        <stp>Open</stp>
        <stp>D</stp>
        <stp>-20</stp>
        <stp/>
        <stp/>
        <stp/>
        <stp/>
        <stp>T</stp>
        <tr r="E23" s="15"/>
      </tp>
      <tp>
        <v>893.75</v>
        <stp/>
        <stp>StudyData</stp>
        <stp>ZSE</stp>
        <stp>Bar</stp>
        <stp/>
        <stp>Open</stp>
        <stp>D</stp>
        <stp>-30</stp>
        <stp/>
        <stp/>
        <stp/>
        <stp/>
        <stp>T</stp>
        <tr r="E33" s="15"/>
      </tp>
      <tp>
        <v>65</v>
        <stp/>
        <stp>DOMData</stp>
        <stp>SOMI01Z6</stp>
        <stp>Price</stp>
        <stp>2</stp>
        <stp>T</stp>
        <tr r="B9" s="11"/>
      </tp>
      <tp>
        <v>863.25</v>
        <stp/>
        <stp>StudyData</stp>
        <stp>ZSE</stp>
        <stp>Bar</stp>
        <stp/>
        <stp>Open</stp>
        <stp>D</stp>
        <stp>-43</stp>
        <stp/>
        <stp/>
        <stp/>
        <stp/>
        <stp>T</stp>
        <tr r="E46" s="15"/>
      </tp>
      <tp>
        <v>863</v>
        <stp/>
        <stp>StudyData</stp>
        <stp>ZSE</stp>
        <stp>Bar</stp>
        <stp/>
        <stp>Open</stp>
        <stp>D</stp>
        <stp>-13</stp>
        <stp/>
        <stp/>
        <stp/>
        <stp/>
        <stp>T</stp>
        <tr r="E16" s="15"/>
      </tp>
      <tp>
        <v>873.25</v>
        <stp/>
        <stp>StudyData</stp>
        <stp>ZSE</stp>
        <stp>Bar</stp>
        <stp/>
        <stp>Open</stp>
        <stp>D</stp>
        <stp>-23</stp>
        <stp/>
        <stp/>
        <stp/>
        <stp/>
        <stp>T</stp>
        <tr r="E26" s="15"/>
      </tp>
      <tp>
        <v>875.25</v>
        <stp/>
        <stp>StudyData</stp>
        <stp>ZSE</stp>
        <stp>Bar</stp>
        <stp/>
        <stp>Open</stp>
        <stp>D</stp>
        <stp>-33</stp>
        <stp/>
        <stp/>
        <stp/>
        <stp/>
        <stp>T</stp>
        <tr r="E36" s="15"/>
      </tp>
      <tp>
        <v>888</v>
        <stp/>
        <stp>ContractData</stp>
        <stp>ZSE</stp>
        <stp>High</stp>
        <stp/>
        <stp>T</stp>
        <tr r="AG17" s="3"/>
        <tr r="AC44" s="3"/>
      </tp>
      <tp>
        <v>30.2</v>
        <stp/>
        <stp>ContractData</stp>
        <stp>ZLE</stp>
        <stp>High</stp>
        <stp/>
        <stp>T</stp>
        <tr r="AG19" s="3"/>
      </tp>
      <tp>
        <v>273.40000000000003</v>
        <stp/>
        <stp>ContractData</stp>
        <stp>ZME</stp>
        <stp>High</stp>
        <stp/>
        <stp>T</stp>
        <tr r="AG18" s="3"/>
      </tp>
      <tp>
        <v>65.25</v>
        <stp/>
        <stp>DOMData</stp>
        <stp>SOMI01Z6</stp>
        <stp>Price</stp>
        <stp>3</stp>
        <stp>T</stp>
        <tr r="B8" s="11"/>
      </tp>
      <tp>
        <v>855.25</v>
        <stp/>
        <stp>StudyData</stp>
        <stp>ZSE</stp>
        <stp>Bar</stp>
        <stp/>
        <stp>Open</stp>
        <stp>D</stp>
        <stp>-42</stp>
        <stp/>
        <stp/>
        <stp/>
        <stp/>
        <stp>T</stp>
        <tr r="E45" s="15"/>
      </tp>
      <tp>
        <v>865.5</v>
        <stp/>
        <stp>StudyData</stp>
        <stp>ZSE</stp>
        <stp>Bar</stp>
        <stp/>
        <stp>Open</stp>
        <stp>D</stp>
        <stp>-12</stp>
        <stp/>
        <stp/>
        <stp/>
        <stp/>
        <stp>T</stp>
        <tr r="E15" s="15"/>
      </tp>
      <tp>
        <v>874.75</v>
        <stp/>
        <stp>StudyData</stp>
        <stp>ZSE</stp>
        <stp>Bar</stp>
        <stp/>
        <stp>Open</stp>
        <stp>D</stp>
        <stp>-22</stp>
        <stp/>
        <stp/>
        <stp/>
        <stp/>
        <stp>T</stp>
        <tr r="E25" s="15"/>
      </tp>
      <tp>
        <v>883</v>
        <stp/>
        <stp>StudyData</stp>
        <stp>ZSE</stp>
        <stp>Bar</stp>
        <stp/>
        <stp>Open</stp>
        <stp>D</stp>
        <stp>-32</stp>
        <stp/>
        <stp/>
        <stp/>
        <stp/>
        <stp>T</stp>
        <tr r="E35" s="15"/>
      </tp>
      <tp>
        <v>881</v>
        <stp/>
        <stp>StudyData</stp>
        <stp>ZSE</stp>
        <stp>Bar</stp>
        <stp/>
        <stp>Open</stp>
        <stp>D</stp>
        <stp>0</stp>
        <stp/>
        <stp/>
        <stp/>
        <stp/>
        <stp>T</stp>
        <tr r="E3" s="15"/>
        <tr r="E3" s="1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481073497526361E-2"/>
          <c:y val="0.10185185185185185"/>
          <c:w val="0.91687590202119873"/>
          <c:h val="0.79074876057159504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Chart!$D$3:$D$53</c:f>
              <c:numCache>
                <c:formatCode>m/d/yyyy\ h:mm</c:formatCode>
                <c:ptCount val="51"/>
                <c:pt idx="0">
                  <c:v>42388</c:v>
                </c:pt>
                <c:pt idx="1">
                  <c:v>42384</c:v>
                </c:pt>
                <c:pt idx="2">
                  <c:v>42383</c:v>
                </c:pt>
                <c:pt idx="3">
                  <c:v>42382</c:v>
                </c:pt>
                <c:pt idx="4">
                  <c:v>42381</c:v>
                </c:pt>
                <c:pt idx="5">
                  <c:v>42380</c:v>
                </c:pt>
                <c:pt idx="6">
                  <c:v>42377</c:v>
                </c:pt>
                <c:pt idx="7">
                  <c:v>42376</c:v>
                </c:pt>
                <c:pt idx="8">
                  <c:v>42375</c:v>
                </c:pt>
                <c:pt idx="9">
                  <c:v>42374</c:v>
                </c:pt>
                <c:pt idx="10">
                  <c:v>42373</c:v>
                </c:pt>
                <c:pt idx="11">
                  <c:v>42369</c:v>
                </c:pt>
                <c:pt idx="12">
                  <c:v>42368</c:v>
                </c:pt>
                <c:pt idx="13">
                  <c:v>42367</c:v>
                </c:pt>
                <c:pt idx="14">
                  <c:v>42366</c:v>
                </c:pt>
                <c:pt idx="15">
                  <c:v>42362</c:v>
                </c:pt>
                <c:pt idx="16">
                  <c:v>42361</c:v>
                </c:pt>
                <c:pt idx="17">
                  <c:v>42360</c:v>
                </c:pt>
                <c:pt idx="18">
                  <c:v>42359</c:v>
                </c:pt>
                <c:pt idx="19">
                  <c:v>42356</c:v>
                </c:pt>
                <c:pt idx="20">
                  <c:v>42355</c:v>
                </c:pt>
                <c:pt idx="21">
                  <c:v>42354</c:v>
                </c:pt>
                <c:pt idx="22">
                  <c:v>42353</c:v>
                </c:pt>
                <c:pt idx="23">
                  <c:v>42352</c:v>
                </c:pt>
                <c:pt idx="24">
                  <c:v>42349</c:v>
                </c:pt>
                <c:pt idx="25">
                  <c:v>42348</c:v>
                </c:pt>
                <c:pt idx="26">
                  <c:v>42347</c:v>
                </c:pt>
                <c:pt idx="27">
                  <c:v>42346</c:v>
                </c:pt>
                <c:pt idx="28">
                  <c:v>42345</c:v>
                </c:pt>
                <c:pt idx="29">
                  <c:v>42342</c:v>
                </c:pt>
                <c:pt idx="30">
                  <c:v>42341</c:v>
                </c:pt>
                <c:pt idx="31">
                  <c:v>42340</c:v>
                </c:pt>
                <c:pt idx="32">
                  <c:v>42339</c:v>
                </c:pt>
                <c:pt idx="33">
                  <c:v>42338</c:v>
                </c:pt>
                <c:pt idx="34">
                  <c:v>42335</c:v>
                </c:pt>
                <c:pt idx="35">
                  <c:v>42333</c:v>
                </c:pt>
                <c:pt idx="36">
                  <c:v>42332</c:v>
                </c:pt>
                <c:pt idx="37">
                  <c:v>42331</c:v>
                </c:pt>
                <c:pt idx="38">
                  <c:v>42328</c:v>
                </c:pt>
                <c:pt idx="39">
                  <c:v>42327</c:v>
                </c:pt>
                <c:pt idx="40">
                  <c:v>42326</c:v>
                </c:pt>
                <c:pt idx="41">
                  <c:v>42325</c:v>
                </c:pt>
                <c:pt idx="42">
                  <c:v>42324</c:v>
                </c:pt>
                <c:pt idx="43">
                  <c:v>42321</c:v>
                </c:pt>
                <c:pt idx="44">
                  <c:v>42320</c:v>
                </c:pt>
                <c:pt idx="45">
                  <c:v>42319</c:v>
                </c:pt>
                <c:pt idx="46">
                  <c:v>42318</c:v>
                </c:pt>
                <c:pt idx="47">
                  <c:v>42317</c:v>
                </c:pt>
                <c:pt idx="48">
                  <c:v>42314</c:v>
                </c:pt>
                <c:pt idx="49">
                  <c:v>42313</c:v>
                </c:pt>
                <c:pt idx="50">
                  <c:v>42312</c:v>
                </c:pt>
              </c:numCache>
            </c:numRef>
          </c:cat>
          <c:val>
            <c:numRef>
              <c:f>Chart!$E$3:$E$53</c:f>
              <c:numCache>
                <c:formatCode>General</c:formatCode>
                <c:ptCount val="51"/>
                <c:pt idx="0">
                  <c:v>881</c:v>
                </c:pt>
                <c:pt idx="1">
                  <c:v>882.25</c:v>
                </c:pt>
                <c:pt idx="2">
                  <c:v>879</c:v>
                </c:pt>
                <c:pt idx="3">
                  <c:v>875</c:v>
                </c:pt>
                <c:pt idx="4">
                  <c:v>861.25</c:v>
                </c:pt>
                <c:pt idx="5">
                  <c:v>865.5</c:v>
                </c:pt>
                <c:pt idx="6">
                  <c:v>865</c:v>
                </c:pt>
                <c:pt idx="7">
                  <c:v>864.5</c:v>
                </c:pt>
                <c:pt idx="8">
                  <c:v>856.5</c:v>
                </c:pt>
                <c:pt idx="9">
                  <c:v>858.25</c:v>
                </c:pt>
                <c:pt idx="10">
                  <c:v>863</c:v>
                </c:pt>
                <c:pt idx="11">
                  <c:v>868.75</c:v>
                </c:pt>
                <c:pt idx="12">
                  <c:v>865.5</c:v>
                </c:pt>
                <c:pt idx="13">
                  <c:v>863</c:v>
                </c:pt>
                <c:pt idx="14">
                  <c:v>871</c:v>
                </c:pt>
                <c:pt idx="15">
                  <c:v>882</c:v>
                </c:pt>
                <c:pt idx="16">
                  <c:v>885.5</c:v>
                </c:pt>
                <c:pt idx="17">
                  <c:v>891</c:v>
                </c:pt>
                <c:pt idx="18">
                  <c:v>892.75</c:v>
                </c:pt>
                <c:pt idx="19">
                  <c:v>877.75</c:v>
                </c:pt>
                <c:pt idx="20">
                  <c:v>860.75</c:v>
                </c:pt>
                <c:pt idx="21">
                  <c:v>867.5</c:v>
                </c:pt>
                <c:pt idx="22">
                  <c:v>874.75</c:v>
                </c:pt>
                <c:pt idx="23">
                  <c:v>873.25</c:v>
                </c:pt>
                <c:pt idx="24">
                  <c:v>881</c:v>
                </c:pt>
                <c:pt idx="25">
                  <c:v>879.5</c:v>
                </c:pt>
                <c:pt idx="26">
                  <c:v>880</c:v>
                </c:pt>
                <c:pt idx="27">
                  <c:v>888.5</c:v>
                </c:pt>
                <c:pt idx="28">
                  <c:v>907.75</c:v>
                </c:pt>
                <c:pt idx="29">
                  <c:v>899.5</c:v>
                </c:pt>
                <c:pt idx="30">
                  <c:v>893.75</c:v>
                </c:pt>
                <c:pt idx="31">
                  <c:v>891</c:v>
                </c:pt>
                <c:pt idx="32">
                  <c:v>883</c:v>
                </c:pt>
                <c:pt idx="33">
                  <c:v>875.25</c:v>
                </c:pt>
                <c:pt idx="34">
                  <c:v>876.5</c:v>
                </c:pt>
                <c:pt idx="35">
                  <c:v>865.5</c:v>
                </c:pt>
                <c:pt idx="36">
                  <c:v>866</c:v>
                </c:pt>
                <c:pt idx="37">
                  <c:v>858.25</c:v>
                </c:pt>
                <c:pt idx="38">
                  <c:v>863</c:v>
                </c:pt>
                <c:pt idx="39">
                  <c:v>860.75</c:v>
                </c:pt>
                <c:pt idx="40">
                  <c:v>865</c:v>
                </c:pt>
                <c:pt idx="41">
                  <c:v>860.75</c:v>
                </c:pt>
                <c:pt idx="42">
                  <c:v>855.25</c:v>
                </c:pt>
                <c:pt idx="43">
                  <c:v>863.25</c:v>
                </c:pt>
                <c:pt idx="44">
                  <c:v>859.25</c:v>
                </c:pt>
                <c:pt idx="45">
                  <c:v>856.5</c:v>
                </c:pt>
                <c:pt idx="46">
                  <c:v>866.75</c:v>
                </c:pt>
                <c:pt idx="47">
                  <c:v>869.75</c:v>
                </c:pt>
                <c:pt idx="48">
                  <c:v>866.75</c:v>
                </c:pt>
                <c:pt idx="49">
                  <c:v>886</c:v>
                </c:pt>
                <c:pt idx="50">
                  <c:v>881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Chart!$D$3:$D$53</c:f>
              <c:numCache>
                <c:formatCode>m/d/yyyy\ h:mm</c:formatCode>
                <c:ptCount val="51"/>
                <c:pt idx="0">
                  <c:v>42388</c:v>
                </c:pt>
                <c:pt idx="1">
                  <c:v>42384</c:v>
                </c:pt>
                <c:pt idx="2">
                  <c:v>42383</c:v>
                </c:pt>
                <c:pt idx="3">
                  <c:v>42382</c:v>
                </c:pt>
                <c:pt idx="4">
                  <c:v>42381</c:v>
                </c:pt>
                <c:pt idx="5">
                  <c:v>42380</c:v>
                </c:pt>
                <c:pt idx="6">
                  <c:v>42377</c:v>
                </c:pt>
                <c:pt idx="7">
                  <c:v>42376</c:v>
                </c:pt>
                <c:pt idx="8">
                  <c:v>42375</c:v>
                </c:pt>
                <c:pt idx="9">
                  <c:v>42374</c:v>
                </c:pt>
                <c:pt idx="10">
                  <c:v>42373</c:v>
                </c:pt>
                <c:pt idx="11">
                  <c:v>42369</c:v>
                </c:pt>
                <c:pt idx="12">
                  <c:v>42368</c:v>
                </c:pt>
                <c:pt idx="13">
                  <c:v>42367</c:v>
                </c:pt>
                <c:pt idx="14">
                  <c:v>42366</c:v>
                </c:pt>
                <c:pt idx="15">
                  <c:v>42362</c:v>
                </c:pt>
                <c:pt idx="16">
                  <c:v>42361</c:v>
                </c:pt>
                <c:pt idx="17">
                  <c:v>42360</c:v>
                </c:pt>
                <c:pt idx="18">
                  <c:v>42359</c:v>
                </c:pt>
                <c:pt idx="19">
                  <c:v>42356</c:v>
                </c:pt>
                <c:pt idx="20">
                  <c:v>42355</c:v>
                </c:pt>
                <c:pt idx="21">
                  <c:v>42354</c:v>
                </c:pt>
                <c:pt idx="22">
                  <c:v>42353</c:v>
                </c:pt>
                <c:pt idx="23">
                  <c:v>42352</c:v>
                </c:pt>
                <c:pt idx="24">
                  <c:v>42349</c:v>
                </c:pt>
                <c:pt idx="25">
                  <c:v>42348</c:v>
                </c:pt>
                <c:pt idx="26">
                  <c:v>42347</c:v>
                </c:pt>
                <c:pt idx="27">
                  <c:v>42346</c:v>
                </c:pt>
                <c:pt idx="28">
                  <c:v>42345</c:v>
                </c:pt>
                <c:pt idx="29">
                  <c:v>42342</c:v>
                </c:pt>
                <c:pt idx="30">
                  <c:v>42341</c:v>
                </c:pt>
                <c:pt idx="31">
                  <c:v>42340</c:v>
                </c:pt>
                <c:pt idx="32">
                  <c:v>42339</c:v>
                </c:pt>
                <c:pt idx="33">
                  <c:v>42338</c:v>
                </c:pt>
                <c:pt idx="34">
                  <c:v>42335</c:v>
                </c:pt>
                <c:pt idx="35">
                  <c:v>42333</c:v>
                </c:pt>
                <c:pt idx="36">
                  <c:v>42332</c:v>
                </c:pt>
                <c:pt idx="37">
                  <c:v>42331</c:v>
                </c:pt>
                <c:pt idx="38">
                  <c:v>42328</c:v>
                </c:pt>
                <c:pt idx="39">
                  <c:v>42327</c:v>
                </c:pt>
                <c:pt idx="40">
                  <c:v>42326</c:v>
                </c:pt>
                <c:pt idx="41">
                  <c:v>42325</c:v>
                </c:pt>
                <c:pt idx="42">
                  <c:v>42324</c:v>
                </c:pt>
                <c:pt idx="43">
                  <c:v>42321</c:v>
                </c:pt>
                <c:pt idx="44">
                  <c:v>42320</c:v>
                </c:pt>
                <c:pt idx="45">
                  <c:v>42319</c:v>
                </c:pt>
                <c:pt idx="46">
                  <c:v>42318</c:v>
                </c:pt>
                <c:pt idx="47">
                  <c:v>42317</c:v>
                </c:pt>
                <c:pt idx="48">
                  <c:v>42314</c:v>
                </c:pt>
                <c:pt idx="49">
                  <c:v>42313</c:v>
                </c:pt>
                <c:pt idx="50">
                  <c:v>42312</c:v>
                </c:pt>
              </c:numCache>
            </c:numRef>
          </c:cat>
          <c:val>
            <c:numRef>
              <c:f>Chart!$F$3:$F$53</c:f>
              <c:numCache>
                <c:formatCode>General</c:formatCode>
                <c:ptCount val="51"/>
                <c:pt idx="0">
                  <c:v>888</c:v>
                </c:pt>
                <c:pt idx="1">
                  <c:v>882.75</c:v>
                </c:pt>
                <c:pt idx="2">
                  <c:v>884.5</c:v>
                </c:pt>
                <c:pt idx="3">
                  <c:v>880.75</c:v>
                </c:pt>
                <c:pt idx="4">
                  <c:v>881.25</c:v>
                </c:pt>
                <c:pt idx="5">
                  <c:v>869.75</c:v>
                </c:pt>
                <c:pt idx="6">
                  <c:v>871</c:v>
                </c:pt>
                <c:pt idx="7">
                  <c:v>868.75</c:v>
                </c:pt>
                <c:pt idx="8">
                  <c:v>868</c:v>
                </c:pt>
                <c:pt idx="9">
                  <c:v>864.75</c:v>
                </c:pt>
                <c:pt idx="10">
                  <c:v>867</c:v>
                </c:pt>
                <c:pt idx="11">
                  <c:v>873</c:v>
                </c:pt>
                <c:pt idx="12">
                  <c:v>873.5</c:v>
                </c:pt>
                <c:pt idx="13">
                  <c:v>872</c:v>
                </c:pt>
                <c:pt idx="14">
                  <c:v>871.5</c:v>
                </c:pt>
                <c:pt idx="15">
                  <c:v>884.5</c:v>
                </c:pt>
                <c:pt idx="16">
                  <c:v>888.75</c:v>
                </c:pt>
                <c:pt idx="17">
                  <c:v>895.5</c:v>
                </c:pt>
                <c:pt idx="18">
                  <c:v>897</c:v>
                </c:pt>
                <c:pt idx="19">
                  <c:v>894.5</c:v>
                </c:pt>
                <c:pt idx="20">
                  <c:v>879</c:v>
                </c:pt>
                <c:pt idx="21">
                  <c:v>871.25</c:v>
                </c:pt>
                <c:pt idx="22">
                  <c:v>879.25</c:v>
                </c:pt>
                <c:pt idx="23">
                  <c:v>879.75</c:v>
                </c:pt>
                <c:pt idx="24">
                  <c:v>887.75</c:v>
                </c:pt>
                <c:pt idx="25">
                  <c:v>889.5</c:v>
                </c:pt>
                <c:pt idx="26">
                  <c:v>886.75</c:v>
                </c:pt>
                <c:pt idx="27">
                  <c:v>890.25</c:v>
                </c:pt>
                <c:pt idx="28">
                  <c:v>911.5</c:v>
                </c:pt>
                <c:pt idx="29">
                  <c:v>908.5</c:v>
                </c:pt>
                <c:pt idx="30">
                  <c:v>900.5</c:v>
                </c:pt>
                <c:pt idx="31">
                  <c:v>897.25</c:v>
                </c:pt>
                <c:pt idx="32">
                  <c:v>894</c:v>
                </c:pt>
                <c:pt idx="33">
                  <c:v>885.75</c:v>
                </c:pt>
                <c:pt idx="34">
                  <c:v>879.75</c:v>
                </c:pt>
                <c:pt idx="35">
                  <c:v>878.5</c:v>
                </c:pt>
                <c:pt idx="36">
                  <c:v>870.75</c:v>
                </c:pt>
                <c:pt idx="37">
                  <c:v>867</c:v>
                </c:pt>
                <c:pt idx="38">
                  <c:v>863.75</c:v>
                </c:pt>
                <c:pt idx="39">
                  <c:v>865</c:v>
                </c:pt>
                <c:pt idx="40">
                  <c:v>868.5</c:v>
                </c:pt>
                <c:pt idx="41">
                  <c:v>866</c:v>
                </c:pt>
                <c:pt idx="42">
                  <c:v>861.5</c:v>
                </c:pt>
                <c:pt idx="43">
                  <c:v>863.25</c:v>
                </c:pt>
                <c:pt idx="44">
                  <c:v>865.75</c:v>
                </c:pt>
                <c:pt idx="45">
                  <c:v>861.5</c:v>
                </c:pt>
                <c:pt idx="46">
                  <c:v>869.25</c:v>
                </c:pt>
                <c:pt idx="47">
                  <c:v>873.25</c:v>
                </c:pt>
                <c:pt idx="48">
                  <c:v>870.5</c:v>
                </c:pt>
                <c:pt idx="49">
                  <c:v>887.5</c:v>
                </c:pt>
                <c:pt idx="50">
                  <c:v>889.5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Chart!$D$3:$D$53</c:f>
              <c:numCache>
                <c:formatCode>m/d/yyyy\ h:mm</c:formatCode>
                <c:ptCount val="51"/>
                <c:pt idx="0">
                  <c:v>42388</c:v>
                </c:pt>
                <c:pt idx="1">
                  <c:v>42384</c:v>
                </c:pt>
                <c:pt idx="2">
                  <c:v>42383</c:v>
                </c:pt>
                <c:pt idx="3">
                  <c:v>42382</c:v>
                </c:pt>
                <c:pt idx="4">
                  <c:v>42381</c:v>
                </c:pt>
                <c:pt idx="5">
                  <c:v>42380</c:v>
                </c:pt>
                <c:pt idx="6">
                  <c:v>42377</c:v>
                </c:pt>
                <c:pt idx="7">
                  <c:v>42376</c:v>
                </c:pt>
                <c:pt idx="8">
                  <c:v>42375</c:v>
                </c:pt>
                <c:pt idx="9">
                  <c:v>42374</c:v>
                </c:pt>
                <c:pt idx="10">
                  <c:v>42373</c:v>
                </c:pt>
                <c:pt idx="11">
                  <c:v>42369</c:v>
                </c:pt>
                <c:pt idx="12">
                  <c:v>42368</c:v>
                </c:pt>
                <c:pt idx="13">
                  <c:v>42367</c:v>
                </c:pt>
                <c:pt idx="14">
                  <c:v>42366</c:v>
                </c:pt>
                <c:pt idx="15">
                  <c:v>42362</c:v>
                </c:pt>
                <c:pt idx="16">
                  <c:v>42361</c:v>
                </c:pt>
                <c:pt idx="17">
                  <c:v>42360</c:v>
                </c:pt>
                <c:pt idx="18">
                  <c:v>42359</c:v>
                </c:pt>
                <c:pt idx="19">
                  <c:v>42356</c:v>
                </c:pt>
                <c:pt idx="20">
                  <c:v>42355</c:v>
                </c:pt>
                <c:pt idx="21">
                  <c:v>42354</c:v>
                </c:pt>
                <c:pt idx="22">
                  <c:v>42353</c:v>
                </c:pt>
                <c:pt idx="23">
                  <c:v>42352</c:v>
                </c:pt>
                <c:pt idx="24">
                  <c:v>42349</c:v>
                </c:pt>
                <c:pt idx="25">
                  <c:v>42348</c:v>
                </c:pt>
                <c:pt idx="26">
                  <c:v>42347</c:v>
                </c:pt>
                <c:pt idx="27">
                  <c:v>42346</c:v>
                </c:pt>
                <c:pt idx="28">
                  <c:v>42345</c:v>
                </c:pt>
                <c:pt idx="29">
                  <c:v>42342</c:v>
                </c:pt>
                <c:pt idx="30">
                  <c:v>42341</c:v>
                </c:pt>
                <c:pt idx="31">
                  <c:v>42340</c:v>
                </c:pt>
                <c:pt idx="32">
                  <c:v>42339</c:v>
                </c:pt>
                <c:pt idx="33">
                  <c:v>42338</c:v>
                </c:pt>
                <c:pt idx="34">
                  <c:v>42335</c:v>
                </c:pt>
                <c:pt idx="35">
                  <c:v>42333</c:v>
                </c:pt>
                <c:pt idx="36">
                  <c:v>42332</c:v>
                </c:pt>
                <c:pt idx="37">
                  <c:v>42331</c:v>
                </c:pt>
                <c:pt idx="38">
                  <c:v>42328</c:v>
                </c:pt>
                <c:pt idx="39">
                  <c:v>42327</c:v>
                </c:pt>
                <c:pt idx="40">
                  <c:v>42326</c:v>
                </c:pt>
                <c:pt idx="41">
                  <c:v>42325</c:v>
                </c:pt>
                <c:pt idx="42">
                  <c:v>42324</c:v>
                </c:pt>
                <c:pt idx="43">
                  <c:v>42321</c:v>
                </c:pt>
                <c:pt idx="44">
                  <c:v>42320</c:v>
                </c:pt>
                <c:pt idx="45">
                  <c:v>42319</c:v>
                </c:pt>
                <c:pt idx="46">
                  <c:v>42318</c:v>
                </c:pt>
                <c:pt idx="47">
                  <c:v>42317</c:v>
                </c:pt>
                <c:pt idx="48">
                  <c:v>42314</c:v>
                </c:pt>
                <c:pt idx="49">
                  <c:v>42313</c:v>
                </c:pt>
                <c:pt idx="50">
                  <c:v>42312</c:v>
                </c:pt>
              </c:numCache>
            </c:numRef>
          </c:cat>
          <c:val>
            <c:numRef>
              <c:f>Chart!$G$3:$G$53</c:f>
              <c:numCache>
                <c:formatCode>General</c:formatCode>
                <c:ptCount val="51"/>
                <c:pt idx="0">
                  <c:v>880.5</c:v>
                </c:pt>
                <c:pt idx="1">
                  <c:v>871</c:v>
                </c:pt>
                <c:pt idx="2">
                  <c:v>874.75</c:v>
                </c:pt>
                <c:pt idx="3">
                  <c:v>871</c:v>
                </c:pt>
                <c:pt idx="4">
                  <c:v>857.25</c:v>
                </c:pt>
                <c:pt idx="5">
                  <c:v>859.5</c:v>
                </c:pt>
                <c:pt idx="6">
                  <c:v>863.5</c:v>
                </c:pt>
                <c:pt idx="7">
                  <c:v>858.25</c:v>
                </c:pt>
                <c:pt idx="8">
                  <c:v>852</c:v>
                </c:pt>
                <c:pt idx="9">
                  <c:v>855.5</c:v>
                </c:pt>
                <c:pt idx="10">
                  <c:v>853.25</c:v>
                </c:pt>
                <c:pt idx="11">
                  <c:v>863</c:v>
                </c:pt>
                <c:pt idx="12">
                  <c:v>864</c:v>
                </c:pt>
                <c:pt idx="13">
                  <c:v>861</c:v>
                </c:pt>
                <c:pt idx="14">
                  <c:v>860.5</c:v>
                </c:pt>
                <c:pt idx="15">
                  <c:v>872.75</c:v>
                </c:pt>
                <c:pt idx="16">
                  <c:v>880.25</c:v>
                </c:pt>
                <c:pt idx="17">
                  <c:v>885.25</c:v>
                </c:pt>
                <c:pt idx="18">
                  <c:v>887.5</c:v>
                </c:pt>
                <c:pt idx="19">
                  <c:v>873.5</c:v>
                </c:pt>
                <c:pt idx="20">
                  <c:v>854.25</c:v>
                </c:pt>
                <c:pt idx="21">
                  <c:v>856.75</c:v>
                </c:pt>
                <c:pt idx="22">
                  <c:v>867</c:v>
                </c:pt>
                <c:pt idx="23">
                  <c:v>870.75</c:v>
                </c:pt>
                <c:pt idx="24">
                  <c:v>873</c:v>
                </c:pt>
                <c:pt idx="25">
                  <c:v>875.75</c:v>
                </c:pt>
                <c:pt idx="26">
                  <c:v>872.5</c:v>
                </c:pt>
                <c:pt idx="27">
                  <c:v>876.25</c:v>
                </c:pt>
                <c:pt idx="28">
                  <c:v>884.75</c:v>
                </c:pt>
                <c:pt idx="29">
                  <c:v>895</c:v>
                </c:pt>
                <c:pt idx="30">
                  <c:v>887.5</c:v>
                </c:pt>
                <c:pt idx="31">
                  <c:v>887</c:v>
                </c:pt>
                <c:pt idx="32">
                  <c:v>881.75</c:v>
                </c:pt>
                <c:pt idx="33">
                  <c:v>872.25</c:v>
                </c:pt>
                <c:pt idx="34">
                  <c:v>873.5</c:v>
                </c:pt>
                <c:pt idx="35">
                  <c:v>863.25</c:v>
                </c:pt>
                <c:pt idx="36">
                  <c:v>863</c:v>
                </c:pt>
                <c:pt idx="37">
                  <c:v>847</c:v>
                </c:pt>
                <c:pt idx="38">
                  <c:v>855.25</c:v>
                </c:pt>
                <c:pt idx="39">
                  <c:v>855</c:v>
                </c:pt>
                <c:pt idx="40">
                  <c:v>855.75</c:v>
                </c:pt>
                <c:pt idx="41">
                  <c:v>859</c:v>
                </c:pt>
                <c:pt idx="42">
                  <c:v>852.75</c:v>
                </c:pt>
                <c:pt idx="43">
                  <c:v>855.5</c:v>
                </c:pt>
                <c:pt idx="44">
                  <c:v>854.25</c:v>
                </c:pt>
                <c:pt idx="45">
                  <c:v>853.5</c:v>
                </c:pt>
                <c:pt idx="46">
                  <c:v>850.5</c:v>
                </c:pt>
                <c:pt idx="47">
                  <c:v>867</c:v>
                </c:pt>
                <c:pt idx="48">
                  <c:v>860.25</c:v>
                </c:pt>
                <c:pt idx="49">
                  <c:v>865.25</c:v>
                </c:pt>
                <c:pt idx="50">
                  <c:v>881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Chart!$D$3:$D$53</c:f>
              <c:numCache>
                <c:formatCode>m/d/yyyy\ h:mm</c:formatCode>
                <c:ptCount val="51"/>
                <c:pt idx="0">
                  <c:v>42388</c:v>
                </c:pt>
                <c:pt idx="1">
                  <c:v>42384</c:v>
                </c:pt>
                <c:pt idx="2">
                  <c:v>42383</c:v>
                </c:pt>
                <c:pt idx="3">
                  <c:v>42382</c:v>
                </c:pt>
                <c:pt idx="4">
                  <c:v>42381</c:v>
                </c:pt>
                <c:pt idx="5">
                  <c:v>42380</c:v>
                </c:pt>
                <c:pt idx="6">
                  <c:v>42377</c:v>
                </c:pt>
                <c:pt idx="7">
                  <c:v>42376</c:v>
                </c:pt>
                <c:pt idx="8">
                  <c:v>42375</c:v>
                </c:pt>
                <c:pt idx="9">
                  <c:v>42374</c:v>
                </c:pt>
                <c:pt idx="10">
                  <c:v>42373</c:v>
                </c:pt>
                <c:pt idx="11">
                  <c:v>42369</c:v>
                </c:pt>
                <c:pt idx="12">
                  <c:v>42368</c:v>
                </c:pt>
                <c:pt idx="13">
                  <c:v>42367</c:v>
                </c:pt>
                <c:pt idx="14">
                  <c:v>42366</c:v>
                </c:pt>
                <c:pt idx="15">
                  <c:v>42362</c:v>
                </c:pt>
                <c:pt idx="16">
                  <c:v>42361</c:v>
                </c:pt>
                <c:pt idx="17">
                  <c:v>42360</c:v>
                </c:pt>
                <c:pt idx="18">
                  <c:v>42359</c:v>
                </c:pt>
                <c:pt idx="19">
                  <c:v>42356</c:v>
                </c:pt>
                <c:pt idx="20">
                  <c:v>42355</c:v>
                </c:pt>
                <c:pt idx="21">
                  <c:v>42354</c:v>
                </c:pt>
                <c:pt idx="22">
                  <c:v>42353</c:v>
                </c:pt>
                <c:pt idx="23">
                  <c:v>42352</c:v>
                </c:pt>
                <c:pt idx="24">
                  <c:v>42349</c:v>
                </c:pt>
                <c:pt idx="25">
                  <c:v>42348</c:v>
                </c:pt>
                <c:pt idx="26">
                  <c:v>42347</c:v>
                </c:pt>
                <c:pt idx="27">
                  <c:v>42346</c:v>
                </c:pt>
                <c:pt idx="28">
                  <c:v>42345</c:v>
                </c:pt>
                <c:pt idx="29">
                  <c:v>42342</c:v>
                </c:pt>
                <c:pt idx="30">
                  <c:v>42341</c:v>
                </c:pt>
                <c:pt idx="31">
                  <c:v>42340</c:v>
                </c:pt>
                <c:pt idx="32">
                  <c:v>42339</c:v>
                </c:pt>
                <c:pt idx="33">
                  <c:v>42338</c:v>
                </c:pt>
                <c:pt idx="34">
                  <c:v>42335</c:v>
                </c:pt>
                <c:pt idx="35">
                  <c:v>42333</c:v>
                </c:pt>
                <c:pt idx="36">
                  <c:v>42332</c:v>
                </c:pt>
                <c:pt idx="37">
                  <c:v>42331</c:v>
                </c:pt>
                <c:pt idx="38">
                  <c:v>42328</c:v>
                </c:pt>
                <c:pt idx="39">
                  <c:v>42327</c:v>
                </c:pt>
                <c:pt idx="40">
                  <c:v>42326</c:v>
                </c:pt>
                <c:pt idx="41">
                  <c:v>42325</c:v>
                </c:pt>
                <c:pt idx="42">
                  <c:v>42324</c:v>
                </c:pt>
                <c:pt idx="43">
                  <c:v>42321</c:v>
                </c:pt>
                <c:pt idx="44">
                  <c:v>42320</c:v>
                </c:pt>
                <c:pt idx="45">
                  <c:v>42319</c:v>
                </c:pt>
                <c:pt idx="46">
                  <c:v>42318</c:v>
                </c:pt>
                <c:pt idx="47">
                  <c:v>42317</c:v>
                </c:pt>
                <c:pt idx="48">
                  <c:v>42314</c:v>
                </c:pt>
                <c:pt idx="49">
                  <c:v>42313</c:v>
                </c:pt>
                <c:pt idx="50">
                  <c:v>42312</c:v>
                </c:pt>
              </c:numCache>
            </c:numRef>
          </c:cat>
          <c:val>
            <c:numRef>
              <c:f>Chart!$H$3:$H$53</c:f>
              <c:numCache>
                <c:formatCode>General</c:formatCode>
                <c:ptCount val="51"/>
                <c:pt idx="0">
                  <c:v>882.75</c:v>
                </c:pt>
                <c:pt idx="1">
                  <c:v>879</c:v>
                </c:pt>
                <c:pt idx="2">
                  <c:v>882.25</c:v>
                </c:pt>
                <c:pt idx="3">
                  <c:v>880</c:v>
                </c:pt>
                <c:pt idx="4">
                  <c:v>874.5</c:v>
                </c:pt>
                <c:pt idx="5">
                  <c:v>861.25</c:v>
                </c:pt>
                <c:pt idx="6">
                  <c:v>865.25</c:v>
                </c:pt>
                <c:pt idx="7">
                  <c:v>864.5</c:v>
                </c:pt>
                <c:pt idx="8">
                  <c:v>864.75</c:v>
                </c:pt>
                <c:pt idx="9">
                  <c:v>857.25</c:v>
                </c:pt>
                <c:pt idx="10">
                  <c:v>856</c:v>
                </c:pt>
                <c:pt idx="11">
                  <c:v>864.25</c:v>
                </c:pt>
                <c:pt idx="12">
                  <c:v>870.25</c:v>
                </c:pt>
                <c:pt idx="13">
                  <c:v>865.75</c:v>
                </c:pt>
                <c:pt idx="14">
                  <c:v>861.25</c:v>
                </c:pt>
                <c:pt idx="15">
                  <c:v>873</c:v>
                </c:pt>
                <c:pt idx="16">
                  <c:v>880.75</c:v>
                </c:pt>
                <c:pt idx="17">
                  <c:v>885.5</c:v>
                </c:pt>
                <c:pt idx="18">
                  <c:v>891.5</c:v>
                </c:pt>
                <c:pt idx="19">
                  <c:v>892.75</c:v>
                </c:pt>
                <c:pt idx="20">
                  <c:v>877.75</c:v>
                </c:pt>
                <c:pt idx="21">
                  <c:v>863.25</c:v>
                </c:pt>
                <c:pt idx="22">
                  <c:v>867.75</c:v>
                </c:pt>
                <c:pt idx="23">
                  <c:v>876</c:v>
                </c:pt>
                <c:pt idx="24">
                  <c:v>873.75</c:v>
                </c:pt>
                <c:pt idx="25">
                  <c:v>881.25</c:v>
                </c:pt>
                <c:pt idx="26">
                  <c:v>879.75</c:v>
                </c:pt>
                <c:pt idx="27">
                  <c:v>879.75</c:v>
                </c:pt>
                <c:pt idx="28">
                  <c:v>885.75</c:v>
                </c:pt>
                <c:pt idx="29">
                  <c:v>908</c:v>
                </c:pt>
                <c:pt idx="30">
                  <c:v>900.25</c:v>
                </c:pt>
                <c:pt idx="31">
                  <c:v>895</c:v>
                </c:pt>
                <c:pt idx="32">
                  <c:v>891.5</c:v>
                </c:pt>
                <c:pt idx="33">
                  <c:v>883.25</c:v>
                </c:pt>
                <c:pt idx="34">
                  <c:v>875.5</c:v>
                </c:pt>
                <c:pt idx="35">
                  <c:v>877.75</c:v>
                </c:pt>
                <c:pt idx="36">
                  <c:v>866.25</c:v>
                </c:pt>
                <c:pt idx="37">
                  <c:v>866.25</c:v>
                </c:pt>
                <c:pt idx="38">
                  <c:v>860.5</c:v>
                </c:pt>
                <c:pt idx="39">
                  <c:v>863</c:v>
                </c:pt>
                <c:pt idx="40">
                  <c:v>860.75</c:v>
                </c:pt>
                <c:pt idx="41">
                  <c:v>865</c:v>
                </c:pt>
                <c:pt idx="42">
                  <c:v>860.75</c:v>
                </c:pt>
                <c:pt idx="43">
                  <c:v>856.25</c:v>
                </c:pt>
                <c:pt idx="44">
                  <c:v>864</c:v>
                </c:pt>
                <c:pt idx="45">
                  <c:v>860.5</c:v>
                </c:pt>
                <c:pt idx="46">
                  <c:v>855.5</c:v>
                </c:pt>
                <c:pt idx="47">
                  <c:v>867.25</c:v>
                </c:pt>
                <c:pt idx="48">
                  <c:v>869.5</c:v>
                </c:pt>
                <c:pt idx="49">
                  <c:v>866.25</c:v>
                </c:pt>
                <c:pt idx="50">
                  <c:v>886.5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FFFF0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rgbClr val="FF0000"/>
                  </a:gs>
                  <a:gs pos="100000">
                    <a:srgbClr val="FF0000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19134128"/>
        <c:axId val="219134688"/>
      </c:stockChart>
      <c:catAx>
        <c:axId val="219134128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34688"/>
        <c:crosses val="autoZero"/>
        <c:auto val="0"/>
        <c:lblAlgn val="ctr"/>
        <c:lblOffset val="100"/>
        <c:tickLblSkip val="10"/>
        <c:noMultiLvlLbl val="0"/>
      </c:catAx>
      <c:valAx>
        <c:axId val="219134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3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32</xdr:row>
      <xdr:rowOff>19050</xdr:rowOff>
    </xdr:from>
    <xdr:to>
      <xdr:col>34</xdr:col>
      <xdr:colOff>19050</xdr:colOff>
      <xdr:row>43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104775</xdr:colOff>
      <xdr:row>32</xdr:row>
      <xdr:rowOff>57150</xdr:rowOff>
    </xdr:from>
    <xdr:to>
      <xdr:col>18</xdr:col>
      <xdr:colOff>780965</xdr:colOff>
      <xdr:row>33</xdr:row>
      <xdr:rowOff>83790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0275" y="68103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142875</xdr:rowOff>
    </xdr:from>
    <xdr:to>
      <xdr:col>2</xdr:col>
      <xdr:colOff>361865</xdr:colOff>
      <xdr:row>2</xdr:row>
      <xdr:rowOff>150465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2190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32</xdr:col>
      <xdr:colOff>581025</xdr:colOff>
      <xdr:row>1</xdr:row>
      <xdr:rowOff>133350</xdr:rowOff>
    </xdr:from>
    <xdr:to>
      <xdr:col>33</xdr:col>
      <xdr:colOff>447590</xdr:colOff>
      <xdr:row>2</xdr:row>
      <xdr:rowOff>140940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2975" y="209550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43</xdr:row>
      <xdr:rowOff>47626</xdr:rowOff>
    </xdr:from>
    <xdr:to>
      <xdr:col>1</xdr:col>
      <xdr:colOff>573819</xdr:colOff>
      <xdr:row>43</xdr:row>
      <xdr:rowOff>226197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9525001"/>
          <a:ext cx="507143" cy="17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7"/>
  <sheetViews>
    <sheetView showRowColHeaders="0" tabSelected="1" zoomScaleNormal="100" workbookViewId="0">
      <selection activeCell="I44" sqref="I44"/>
    </sheetView>
  </sheetViews>
  <sheetFormatPr defaultRowHeight="16.5" x14ac:dyDescent="0.3"/>
  <cols>
    <col min="1" max="1" width="1.625" style="1" customWidth="1"/>
    <col min="2" max="3" width="10.625" style="1" customWidth="1"/>
    <col min="4" max="4" width="3.625" style="1" customWidth="1"/>
    <col min="5" max="6" width="10.625" style="1" customWidth="1"/>
    <col min="7" max="7" width="3.625" style="1" customWidth="1"/>
    <col min="8" max="9" width="10.625" style="1" customWidth="1"/>
    <col min="10" max="10" width="3.625" style="1" customWidth="1"/>
    <col min="11" max="12" width="10.625" style="1" customWidth="1"/>
    <col min="13" max="13" width="2.625" style="1" customWidth="1"/>
    <col min="14" max="14" width="1.625" style="1" customWidth="1"/>
    <col min="15" max="15" width="0.875" style="1" customWidth="1"/>
    <col min="16" max="17" width="10.625" style="1" customWidth="1"/>
    <col min="18" max="18" width="3.625" style="1" customWidth="1"/>
    <col min="19" max="20" width="10.625" style="1" customWidth="1"/>
    <col min="21" max="21" width="0.875" style="1" customWidth="1"/>
    <col min="22" max="22" width="3.625" style="1" customWidth="1"/>
    <col min="23" max="23" width="8.625" style="1" customWidth="1"/>
    <col min="24" max="24" width="2.625" style="1" customWidth="1"/>
    <col min="25" max="25" width="10.625" style="1" customWidth="1"/>
    <col min="26" max="26" width="3.625" style="1" customWidth="1"/>
    <col min="27" max="27" width="8.625" style="1" customWidth="1"/>
    <col min="28" max="28" width="2.625" style="1" customWidth="1"/>
    <col min="29" max="29" width="4.625" style="1" customWidth="1"/>
    <col min="30" max="30" width="0.875" style="1" customWidth="1"/>
    <col min="31" max="31" width="5.625" style="1" customWidth="1"/>
    <col min="32" max="32" width="3.625" style="1" customWidth="1"/>
    <col min="33" max="40" width="10.625" style="1" customWidth="1"/>
    <col min="41" max="16384" width="9" style="1"/>
  </cols>
  <sheetData>
    <row r="1" spans="2:45" ht="6" customHeight="1" x14ac:dyDescent="0.3"/>
    <row r="2" spans="2:45" ht="20.100000000000001" customHeight="1" x14ac:dyDescent="0.3">
      <c r="B2" s="2" t="s">
        <v>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5"/>
      <c r="AL2" s="6"/>
      <c r="AM2" s="6"/>
      <c r="AN2" s="6"/>
      <c r="AO2" s="6"/>
      <c r="AP2" s="6"/>
      <c r="AQ2" s="6"/>
      <c r="AR2" s="6"/>
      <c r="AS2" s="6"/>
    </row>
    <row r="3" spans="2:45" ht="20.100000000000001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5"/>
      <c r="AL3" s="6"/>
      <c r="AM3" s="6"/>
      <c r="AN3" s="6"/>
      <c r="AO3" s="6"/>
      <c r="AP3" s="6"/>
      <c r="AQ3" s="6"/>
      <c r="AR3" s="6"/>
      <c r="AS3" s="6"/>
    </row>
    <row r="4" spans="2:45" ht="8.1" customHeight="1" x14ac:dyDescent="0.3">
      <c r="AL4" s="6"/>
      <c r="AM4" s="6"/>
      <c r="AN4" s="6"/>
      <c r="AO4" s="6"/>
      <c r="AP4" s="6"/>
      <c r="AQ4" s="6"/>
      <c r="AR4" s="6"/>
      <c r="AS4" s="6"/>
    </row>
    <row r="5" spans="2:45" ht="18.75" x14ac:dyDescent="0.3">
      <c r="B5" s="10" t="s">
        <v>4</v>
      </c>
      <c r="C5" s="11" t="s">
        <v>21</v>
      </c>
      <c r="D5" s="10">
        <v>16</v>
      </c>
      <c r="E5" s="12" t="s">
        <v>5</v>
      </c>
      <c r="F5" s="13"/>
      <c r="G5" s="13"/>
      <c r="H5" s="13"/>
      <c r="I5" s="14"/>
      <c r="J5" s="12" t="s">
        <v>6</v>
      </c>
      <c r="K5" s="14"/>
      <c r="L5" s="15" t="s">
        <v>7</v>
      </c>
      <c r="M5" s="15"/>
      <c r="N5" s="15"/>
      <c r="O5" s="15"/>
      <c r="P5" s="10" t="s">
        <v>9</v>
      </c>
      <c r="Q5" s="10" t="s">
        <v>12</v>
      </c>
      <c r="R5" s="12" t="s">
        <v>10</v>
      </c>
      <c r="S5" s="14"/>
      <c r="T5" s="10" t="s">
        <v>11</v>
      </c>
      <c r="U5" s="16"/>
      <c r="V5" s="13" t="s">
        <v>8</v>
      </c>
      <c r="W5" s="14"/>
      <c r="X5" s="12" t="s">
        <v>16</v>
      </c>
      <c r="Y5" s="14"/>
      <c r="Z5" s="15" t="s">
        <v>17</v>
      </c>
      <c r="AA5" s="15"/>
      <c r="AB5" s="15"/>
      <c r="AC5" s="15"/>
      <c r="AD5" s="16"/>
      <c r="AE5" s="13" t="s">
        <v>13</v>
      </c>
      <c r="AF5" s="14"/>
      <c r="AG5" s="10" t="s">
        <v>14</v>
      </c>
      <c r="AH5" s="10" t="s">
        <v>15</v>
      </c>
      <c r="AK5" s="6"/>
      <c r="AL5" s="6"/>
      <c r="AM5" s="6"/>
      <c r="AN5" s="6"/>
      <c r="AO5" s="6"/>
      <c r="AP5" s="6"/>
      <c r="AQ5" s="6"/>
      <c r="AR5" s="6"/>
    </row>
    <row r="6" spans="2:45" s="6" customFormat="1" ht="18" customHeight="1" x14ac:dyDescent="0.25">
      <c r="B6" s="17" t="str">
        <f ca="1">Data!C2</f>
        <v>SOM00H6</v>
      </c>
      <c r="C6" s="18"/>
      <c r="D6" s="18" t="str">
        <f ca="1">RIGHT(RIGHT(Data!E2,LEN(Data!E2)-14),6)&amp;" "&amp;LEFT(RIGHT(Data!E2,LEN(Data!E2)-14),LEN((RIGHT(Data!E2,LEN(Data!E2)-14)))-8)</f>
        <v>Mar 16 (Same-month)</v>
      </c>
      <c r="E6" s="18"/>
      <c r="F6" s="18"/>
      <c r="G6" s="18"/>
      <c r="H6" s="18"/>
      <c r="I6" s="18"/>
      <c r="J6" s="19" t="str">
        <f ca="1">Data!F27</f>
        <v>43' 03</v>
      </c>
      <c r="K6" s="19"/>
      <c r="L6" s="159">
        <f ca="1">RTD("cqg.rtd", ,"ContractData",B6, "NetLastTradeToday",, "T")</f>
        <v>1</v>
      </c>
      <c r="M6" s="111"/>
      <c r="N6" s="112"/>
      <c r="O6" s="20"/>
      <c r="P6" s="21">
        <f ca="1">RTD("cqg.rtd", ,"ContractData", B6, "MT_LastBidVolume",, "T")</f>
        <v>6</v>
      </c>
      <c r="Q6" s="22" t="str">
        <f ca="1">B27</f>
        <v>43' 03</v>
      </c>
      <c r="R6" s="19" t="str">
        <f ca="1">B26</f>
        <v>44' 00</v>
      </c>
      <c r="S6" s="19"/>
      <c r="T6" s="21">
        <f ca="1">RTD("cqg.rtd", ,"ContractData", B6, "MT_LastAskVolume",, "T")</f>
        <v>15</v>
      </c>
      <c r="U6" s="20"/>
      <c r="V6" s="23">
        <f ca="1">RTD("cqg.rtd", ,"ContractData",B6, "T_CVol",, "T")</f>
        <v>141</v>
      </c>
      <c r="W6" s="23"/>
      <c r="X6" s="21"/>
      <c r="Y6" s="21">
        <f ca="1">RTD("cqg.rtd", ,"ContractData",B6, "Y_CVol",, "T")</f>
        <v>409</v>
      </c>
      <c r="Z6" s="23">
        <f t="shared" ref="Z6:Z16" ca="1" si="0">V6-Y6</f>
        <v>-268</v>
      </c>
      <c r="AA6" s="23"/>
      <c r="AB6" s="23">
        <f ca="1">Z6</f>
        <v>-268</v>
      </c>
      <c r="AC6" s="23"/>
      <c r="AD6" s="20"/>
      <c r="AE6" s="113" t="str">
        <f ca="1">Data!M27</f>
        <v>40' 02</v>
      </c>
      <c r="AF6" s="113"/>
      <c r="AG6" s="114" t="str">
        <f ca="1">Data!S27</f>
        <v>45' 00</v>
      </c>
      <c r="AH6" s="115" t="str">
        <f ca="1">Data!Y27</f>
        <v>40' 00</v>
      </c>
      <c r="AI6" s="27"/>
      <c r="AJ6" s="27"/>
    </row>
    <row r="7" spans="2:45" s="6" customFormat="1" ht="18" customHeight="1" x14ac:dyDescent="0.25">
      <c r="B7" s="17" t="str">
        <f ca="1">Data!C3</f>
        <v>SOM00K6</v>
      </c>
      <c r="C7" s="18"/>
      <c r="D7" s="18" t="str">
        <f ca="1">RIGHT(RIGHT(Data!E3,LEN(Data!E3)-14),6)&amp;" "&amp;LEFT(RIGHT(Data!E3,LEN(Data!E3)-14),LEN((RIGHT(Data!E3,LEN(Data!E3)-14)))-8)</f>
        <v>May 16 (Same-month)</v>
      </c>
      <c r="E7" s="18"/>
      <c r="F7" s="18"/>
      <c r="G7" s="18"/>
      <c r="H7" s="18"/>
      <c r="I7" s="18"/>
      <c r="J7" s="19" t="str">
        <f ca="1">Data!F28</f>
        <v>51' 02</v>
      </c>
      <c r="K7" s="19"/>
      <c r="L7" s="159">
        <f ca="1">RTD("cqg.rtd", ,"ContractData",B7, "NetLastTradeToday",, "T")</f>
        <v>-0.25</v>
      </c>
      <c r="M7" s="111"/>
      <c r="N7" s="112"/>
      <c r="O7" s="20"/>
      <c r="P7" s="21">
        <f ca="1">RTD("cqg.rtd", ,"ContractData", B7, "MT_LastBidVolume",, "T")</f>
        <v>2</v>
      </c>
      <c r="Q7" s="22" t="str">
        <f ca="1">E27</f>
        <v>51' 03</v>
      </c>
      <c r="R7" s="19" t="str">
        <f ca="1">E26</f>
        <v>52' 00</v>
      </c>
      <c r="S7" s="19"/>
      <c r="T7" s="21">
        <f ca="1">RTD("cqg.rtd", ,"ContractData", B7, "MT_LastAskVolume",, "T")</f>
        <v>1</v>
      </c>
      <c r="U7" s="20"/>
      <c r="V7" s="23">
        <f ca="1">RTD("cqg.rtd", ,"ContractData",B7, "T_CVol",, "T")</f>
        <v>18</v>
      </c>
      <c r="W7" s="23"/>
      <c r="X7" s="21"/>
      <c r="Y7" s="21">
        <f ca="1">RTD("cqg.rtd", ,"ContractData",B7, "Y_CVol",, "T")</f>
        <v>119</v>
      </c>
      <c r="Z7" s="23">
        <f t="shared" ca="1" si="0"/>
        <v>-101</v>
      </c>
      <c r="AA7" s="23"/>
      <c r="AB7" s="23">
        <f t="shared" ref="AB7:AB16" ca="1" si="1">Z7</f>
        <v>-101</v>
      </c>
      <c r="AC7" s="23"/>
      <c r="AD7" s="20"/>
      <c r="AE7" s="113" t="str">
        <f ca="1">Data!M28</f>
        <v>50' 00</v>
      </c>
      <c r="AF7" s="113"/>
      <c r="AG7" s="114" t="str">
        <f ca="1">Data!S28</f>
        <v>53' 00</v>
      </c>
      <c r="AH7" s="115" t="str">
        <f ca="1">Data!Y28</f>
        <v>50' 00</v>
      </c>
      <c r="AI7" s="27"/>
      <c r="AJ7" s="27"/>
    </row>
    <row r="8" spans="2:45" s="6" customFormat="1" ht="18" customHeight="1" x14ac:dyDescent="0.25">
      <c r="B8" s="17" t="str">
        <f ca="1">Data!C4</f>
        <v>SOM00N6</v>
      </c>
      <c r="C8" s="18"/>
      <c r="D8" s="18" t="str">
        <f ca="1">RIGHT(RIGHT(Data!E4,LEN(Data!E4)-14),6)&amp;" "&amp;LEFT(RIGHT(Data!E4,LEN(Data!E4)-14),LEN((RIGHT(Data!E4,LEN(Data!E4)-14)))-8)</f>
        <v>Jul 16 (Same-month)</v>
      </c>
      <c r="E8" s="18"/>
      <c r="F8" s="18"/>
      <c r="G8" s="18"/>
      <c r="H8" s="18"/>
      <c r="I8" s="18"/>
      <c r="J8" s="19" t="str">
        <f ca="1">Data!F29</f>
        <v>54' 03</v>
      </c>
      <c r="K8" s="19"/>
      <c r="L8" s="159">
        <f ca="1">RTD("cqg.rtd", ,"ContractData",B8, "NetLastTradeToday",, "T")</f>
        <v>-1.25</v>
      </c>
      <c r="M8" s="111"/>
      <c r="N8" s="112"/>
      <c r="O8" s="20"/>
      <c r="P8" s="21">
        <f ca="1">RTD("cqg.rtd", ,"ContractData", B8, "MT_LastBidVolume",, "T")</f>
        <v>2</v>
      </c>
      <c r="Q8" s="22" t="str">
        <f ca="1">H27</f>
        <v>55' 02</v>
      </c>
      <c r="R8" s="19" t="str">
        <f ca="1">H26</f>
        <v>56' 00</v>
      </c>
      <c r="S8" s="19"/>
      <c r="T8" s="21">
        <f ca="1">RTD("cqg.rtd", ,"ContractData", B8, "MT_LastAskVolume",, "T")</f>
        <v>1</v>
      </c>
      <c r="U8" s="20"/>
      <c r="V8" s="23">
        <f ca="1">RTD("cqg.rtd", ,"ContractData",B8, "T_CVol",, "T")</f>
        <v>17</v>
      </c>
      <c r="W8" s="23"/>
      <c r="X8" s="21"/>
      <c r="Y8" s="21">
        <f ca="1">RTD("cqg.rtd", ,"ContractData",B8, "Y_CVol",, "T")</f>
        <v>141</v>
      </c>
      <c r="Z8" s="23">
        <f t="shared" ca="1" si="0"/>
        <v>-124</v>
      </c>
      <c r="AA8" s="23"/>
      <c r="AB8" s="23">
        <f t="shared" ca="1" si="1"/>
        <v>-124</v>
      </c>
      <c r="AC8" s="23"/>
      <c r="AD8" s="20"/>
      <c r="AE8" s="113" t="str">
        <f ca="1">Data!M29</f>
        <v>56' 03</v>
      </c>
      <c r="AF8" s="113"/>
      <c r="AG8" s="114" t="str">
        <f ca="1">Data!S29</f>
        <v>56' 03</v>
      </c>
      <c r="AH8" s="115" t="str">
        <f ca="1">Data!Y29</f>
        <v>54' 02</v>
      </c>
    </row>
    <row r="9" spans="2:45" s="6" customFormat="1" ht="18" customHeight="1" x14ac:dyDescent="0.25">
      <c r="B9" s="17" t="str">
        <f ca="1">Data!C5</f>
        <v>SOM00Q6</v>
      </c>
      <c r="C9" s="18"/>
      <c r="D9" s="18" t="str">
        <f ca="1">RIGHT(RIGHT(Data!E5,LEN(Data!E5)-14),6)&amp;" "&amp;LEFT(RIGHT(Data!E5,LEN(Data!E5)-14),LEN((RIGHT(Data!E5,LEN(Data!E5)-14)))-8)</f>
        <v>Aug 16 (Same-month)</v>
      </c>
      <c r="E9" s="18"/>
      <c r="F9" s="18"/>
      <c r="G9" s="18"/>
      <c r="H9" s="18"/>
      <c r="I9" s="18"/>
      <c r="J9" s="19" t="str">
        <f ca="1">Data!F30</f>
        <v/>
      </c>
      <c r="K9" s="19"/>
      <c r="L9" s="159" t="str">
        <f ca="1">RTD("cqg.rtd", ,"ContractData",B9, "NetLastTradeToday",, "T")</f>
        <v/>
      </c>
      <c r="M9" s="111"/>
      <c r="N9" s="112"/>
      <c r="O9" s="20"/>
      <c r="P9" s="21">
        <f ca="1">RTD("cqg.rtd", ,"ContractData", B9, "MT_LastBidVolume",, "T")</f>
        <v>2</v>
      </c>
      <c r="Q9" s="22" t="str">
        <f ca="1">K27</f>
        <v>57' 01</v>
      </c>
      <c r="R9" s="19" t="str">
        <f ca="1">K26</f>
        <v>59' 00</v>
      </c>
      <c r="S9" s="19"/>
      <c r="T9" s="21">
        <f ca="1">RTD("cqg.rtd", ,"ContractData", B9, "MT_LastAskVolume",, "T")</f>
        <v>5</v>
      </c>
      <c r="U9" s="20"/>
      <c r="V9" s="23">
        <f ca="1">RTD("cqg.rtd", ,"ContractData",B9, "T_CVol",, "T")</f>
        <v>0</v>
      </c>
      <c r="W9" s="23"/>
      <c r="X9" s="21"/>
      <c r="Y9" s="21">
        <f ca="1">RTD("cqg.rtd", ,"ContractData",B9, "Y_CVol",, "T")</f>
        <v>26</v>
      </c>
      <c r="Z9" s="23">
        <f t="shared" ca="1" si="0"/>
        <v>-26</v>
      </c>
      <c r="AA9" s="23"/>
      <c r="AB9" s="23">
        <f t="shared" ca="1" si="1"/>
        <v>-26</v>
      </c>
      <c r="AC9" s="23"/>
      <c r="AD9" s="20"/>
      <c r="AE9" s="113" t="str">
        <f ca="1">Data!M30</f>
        <v/>
      </c>
      <c r="AF9" s="113"/>
      <c r="AG9" s="114" t="str">
        <f ca="1">Data!S30</f>
        <v/>
      </c>
      <c r="AH9" s="115" t="str">
        <f ca="1">Data!Y30</f>
        <v/>
      </c>
    </row>
    <row r="10" spans="2:45" s="6" customFormat="1" ht="18" customHeight="1" x14ac:dyDescent="0.25">
      <c r="B10" s="17" t="str">
        <f ca="1">Data!C6</f>
        <v>SOM00U6</v>
      </c>
      <c r="C10" s="18"/>
      <c r="D10" s="18" t="str">
        <f ca="1">RIGHT(RIGHT(Data!E6,LEN(Data!E6)-14),6)&amp;" "&amp;LEFT(RIGHT(Data!E6,LEN(Data!E6)-14),LEN((RIGHT(Data!E6,LEN(Data!E6)-14)))-8)</f>
        <v>Sep 16 (Same-month)</v>
      </c>
      <c r="E10" s="18"/>
      <c r="F10" s="18"/>
      <c r="G10" s="18"/>
      <c r="H10" s="18"/>
      <c r="I10" s="18"/>
      <c r="J10" s="19" t="str">
        <f ca="1">Data!F31</f>
        <v>63' 00</v>
      </c>
      <c r="K10" s="19"/>
      <c r="L10" s="159">
        <f ca="1">RTD("cqg.rtd", ,"ContractData",B10, "NetLastTradeToday",, "T")</f>
        <v>0.25</v>
      </c>
      <c r="M10" s="111"/>
      <c r="N10" s="112"/>
      <c r="O10" s="20"/>
      <c r="P10" s="21">
        <f ca="1">RTD("cqg.rtd", ,"ContractData", B10, "MT_LastBidVolume",, "T")</f>
        <v>1</v>
      </c>
      <c r="Q10" s="22" t="str">
        <f ca="1">O27</f>
        <v>61' 02</v>
      </c>
      <c r="R10" s="19" t="str">
        <f ca="1">O26</f>
        <v>64' 00</v>
      </c>
      <c r="S10" s="19"/>
      <c r="T10" s="21">
        <f ca="1">RTD("cqg.rtd", ,"ContractData", B10, "MT_LastAskVolume",, "T")</f>
        <v>6</v>
      </c>
      <c r="U10" s="20"/>
      <c r="V10" s="23">
        <f ca="1">RTD("cqg.rtd", ,"ContractData",B10, "T_CVol",, "T")</f>
        <v>3</v>
      </c>
      <c r="W10" s="23"/>
      <c r="X10" s="21"/>
      <c r="Y10" s="21">
        <f ca="1">RTD("cqg.rtd", ,"ContractData",B10, "Y_CVol",, "T")</f>
        <v>5</v>
      </c>
      <c r="Z10" s="23">
        <f t="shared" ca="1" si="0"/>
        <v>-2</v>
      </c>
      <c r="AA10" s="23"/>
      <c r="AB10" s="23">
        <f t="shared" ca="1" si="1"/>
        <v>-2</v>
      </c>
      <c r="AC10" s="23"/>
      <c r="AD10" s="20"/>
      <c r="AE10" s="113" t="str">
        <f ca="1">Data!M31</f>
        <v>63' 00</v>
      </c>
      <c r="AF10" s="113"/>
      <c r="AG10" s="114" t="str">
        <f ca="1">Data!S31</f>
        <v>63' 00</v>
      </c>
      <c r="AH10" s="115" t="str">
        <f ca="1">Data!Y31</f>
        <v>63' 00</v>
      </c>
    </row>
    <row r="11" spans="2:45" s="6" customFormat="1" ht="18" customHeight="1" x14ac:dyDescent="0.25">
      <c r="B11" s="17" t="str">
        <f ca="1">Data!C7</f>
        <v>SOM02U6</v>
      </c>
      <c r="C11" s="18"/>
      <c r="D11" s="18" t="str">
        <f ca="1">RIGHT(RIGHT(Data!E7,LEN(Data!E7)-14),6)&amp;" "&amp;LEFT(RIGHT(Data!E7,LEN(Data!E7)-14),LEN((RIGHT(Data!E7,LEN(Data!E7)-14)))-8)</f>
        <v>Sep 16 (Meal,Oil EXP ahead Beans)</v>
      </c>
      <c r="E11" s="18"/>
      <c r="F11" s="18"/>
      <c r="G11" s="18"/>
      <c r="H11" s="18"/>
      <c r="I11" s="18"/>
      <c r="J11" s="19" t="str">
        <f ca="1">Data!F32</f>
        <v/>
      </c>
      <c r="K11" s="19"/>
      <c r="L11" s="159" t="str">
        <f ca="1">RTD("cqg.rtd", ,"ContractData",B11, "NetLastTradeToday",, "T")</f>
        <v/>
      </c>
      <c r="M11" s="111"/>
      <c r="N11" s="112"/>
      <c r="O11" s="20"/>
      <c r="P11" s="21">
        <f ca="1">RTD("cqg.rtd", ,"ContractData", B11, "MT_LastBidVolume",, "T")</f>
        <v>1</v>
      </c>
      <c r="Q11" s="22" t="str">
        <f ca="1">S27</f>
        <v>60' 00</v>
      </c>
      <c r="R11" s="19" t="str">
        <f ca="1">S26</f>
        <v>63' 03</v>
      </c>
      <c r="S11" s="19"/>
      <c r="T11" s="21">
        <f ca="1">RTD("cqg.rtd", ,"ContractData", B11, "MT_LastAskVolume",, "T")</f>
        <v>1</v>
      </c>
      <c r="U11" s="20"/>
      <c r="V11" s="23">
        <f ca="1">RTD("cqg.rtd", ,"ContractData",B11, "T_CVol",, "T")</f>
        <v>0</v>
      </c>
      <c r="W11" s="23"/>
      <c r="X11" s="21"/>
      <c r="Y11" s="21">
        <f ca="1">RTD("cqg.rtd", ,"ContractData",B11, "Y_CVol",, "T")</f>
        <v>0</v>
      </c>
      <c r="Z11" s="23">
        <f t="shared" ca="1" si="0"/>
        <v>0</v>
      </c>
      <c r="AA11" s="23"/>
      <c r="AB11" s="23">
        <f t="shared" ca="1" si="1"/>
        <v>0</v>
      </c>
      <c r="AC11" s="23"/>
      <c r="AD11" s="20"/>
      <c r="AE11" s="113" t="str">
        <f ca="1">Data!M32</f>
        <v/>
      </c>
      <c r="AF11" s="113"/>
      <c r="AG11" s="114" t="str">
        <f ca="1">Data!S32</f>
        <v/>
      </c>
      <c r="AH11" s="115" t="str">
        <f ca="1">Data!Y32</f>
        <v/>
      </c>
    </row>
    <row r="12" spans="2:45" s="6" customFormat="1" ht="18" customHeight="1" x14ac:dyDescent="0.25">
      <c r="B12" s="17" t="str">
        <f ca="1">Data!C8</f>
        <v>SOM01V6</v>
      </c>
      <c r="C12" s="18"/>
      <c r="D12" s="18" t="str">
        <f ca="1">RIGHT(RIGHT(Data!E8,LEN(Data!E8)-14),6)&amp;" "&amp;LEFT(RIGHT(Data!E8,LEN(Data!E8)-14),LEN((RIGHT(Data!E8,LEN(Data!E8)-14)))-8)</f>
        <v>Oct 16 (Meal,Oil EXP ahead Beans)</v>
      </c>
      <c r="E12" s="18"/>
      <c r="F12" s="18"/>
      <c r="G12" s="18"/>
      <c r="H12" s="18"/>
      <c r="I12" s="18"/>
      <c r="J12" s="19" t="str">
        <f ca="1">Data!F33</f>
        <v>61' 01</v>
      </c>
      <c r="K12" s="19"/>
      <c r="L12" s="159">
        <f ca="1">RTD("cqg.rtd", ,"ContractData",B12, "NetLastTradeToday",, "T")</f>
        <v>0</v>
      </c>
      <c r="M12" s="111"/>
      <c r="N12" s="112"/>
      <c r="O12" s="20"/>
      <c r="P12" s="21">
        <f ca="1">RTD("cqg.rtd", ,"ContractData", B12, "MT_LastBidVolume",, "T")</f>
        <v>2</v>
      </c>
      <c r="Q12" s="22" t="str">
        <f ca="1">W27</f>
        <v>60' 03</v>
      </c>
      <c r="R12" s="19" t="str">
        <f ca="1">W26</f>
        <v>61' 03</v>
      </c>
      <c r="S12" s="19"/>
      <c r="T12" s="21">
        <f ca="1">RTD("cqg.rtd", ,"ContractData", B12, "MT_LastAskVolume",, "T")</f>
        <v>2</v>
      </c>
      <c r="U12" s="20"/>
      <c r="V12" s="23">
        <f ca="1">RTD("cqg.rtd", ,"ContractData",B12, "T_CVol",, "T")</f>
        <v>1</v>
      </c>
      <c r="W12" s="23"/>
      <c r="X12" s="21"/>
      <c r="Y12" s="21">
        <f ca="1">RTD("cqg.rtd", ,"ContractData",B12, "Y_CVol",, "T")</f>
        <v>1</v>
      </c>
      <c r="Z12" s="23">
        <f t="shared" ca="1" si="0"/>
        <v>0</v>
      </c>
      <c r="AA12" s="23"/>
      <c r="AB12" s="23">
        <f t="shared" ca="1" si="1"/>
        <v>0</v>
      </c>
      <c r="AC12" s="23"/>
      <c r="AD12" s="20"/>
      <c r="AE12" s="113" t="str">
        <f ca="1">Data!M33</f>
        <v>61' 01</v>
      </c>
      <c r="AF12" s="113"/>
      <c r="AG12" s="114" t="str">
        <f ca="1">Data!S33</f>
        <v>61' 01</v>
      </c>
      <c r="AH12" s="115" t="str">
        <f ca="1">Data!Y33</f>
        <v>61' 01</v>
      </c>
    </row>
    <row r="13" spans="2:45" s="6" customFormat="1" ht="18" customHeight="1" x14ac:dyDescent="0.25">
      <c r="B13" s="17" t="str">
        <f ca="1">Data!C9</f>
        <v>SOMI01Z6</v>
      </c>
      <c r="C13" s="18"/>
      <c r="D13" s="18" t="str">
        <f ca="1">RIGHT(RIGHT(Data!E9,LEN(Data!E9)-14),6)&amp;" "&amp;LEFT(RIGHT(Data!E9,LEN(Data!E9)-14),LEN((RIGHT(Data!E9,LEN(Data!E9)-14)))-8)</f>
        <v>Dec 16 (Meal,Oil EXP after Beans)</v>
      </c>
      <c r="E13" s="18"/>
      <c r="F13" s="18"/>
      <c r="G13" s="18"/>
      <c r="H13" s="18"/>
      <c r="I13" s="18"/>
      <c r="J13" s="19" t="str">
        <f ca="1">Data!F34</f>
        <v>64' 02</v>
      </c>
      <c r="K13" s="19"/>
      <c r="L13" s="159">
        <f ca="1">RTD("cqg.rtd", ,"ContractData",B13, "NetLastTradeToday",, "T")</f>
        <v>0</v>
      </c>
      <c r="M13" s="111"/>
      <c r="N13" s="112"/>
      <c r="O13" s="20"/>
      <c r="P13" s="21">
        <f ca="1">RTD("cqg.rtd", ,"ContractData", B13, "MT_LastBidVolume",, "T")</f>
        <v>2</v>
      </c>
      <c r="Q13" s="22" t="str">
        <f ca="1">AA27</f>
        <v>64' 01</v>
      </c>
      <c r="R13" s="19" t="str">
        <f ca="1">AA26</f>
        <v>64' 02</v>
      </c>
      <c r="S13" s="19"/>
      <c r="T13" s="21">
        <f ca="1">RTD("cqg.rtd", ,"ContractData", B13, "MT_LastAskVolume",, "T")</f>
        <v>2</v>
      </c>
      <c r="U13" s="20"/>
      <c r="V13" s="23">
        <f ca="1">RTD("cqg.rtd", ,"ContractData",B13, "T_CVol",, "T")</f>
        <v>51</v>
      </c>
      <c r="W13" s="23"/>
      <c r="X13" s="21"/>
      <c r="Y13" s="21">
        <f ca="1">RTD("cqg.rtd", ,"ContractData",B13, "Y_CVol",, "T")</f>
        <v>62</v>
      </c>
      <c r="Z13" s="23">
        <f t="shared" ca="1" si="0"/>
        <v>-11</v>
      </c>
      <c r="AA13" s="23"/>
      <c r="AB13" s="23">
        <f t="shared" ca="1" si="1"/>
        <v>-11</v>
      </c>
      <c r="AC13" s="23"/>
      <c r="AD13" s="20"/>
      <c r="AE13" s="113" t="str">
        <f ca="1">Data!M34</f>
        <v>65' 02</v>
      </c>
      <c r="AF13" s="113"/>
      <c r="AG13" s="114" t="str">
        <f ca="1">Data!S34</f>
        <v>67' 00</v>
      </c>
      <c r="AH13" s="115" t="str">
        <f ca="1">Data!Y34</f>
        <v>64' 01</v>
      </c>
    </row>
    <row r="14" spans="2:45" s="6" customFormat="1" ht="18" customHeight="1" x14ac:dyDescent="0.25">
      <c r="B14" s="17" t="str">
        <f ca="1">Data!C10</f>
        <v>SOM01Z6</v>
      </c>
      <c r="C14" s="18"/>
      <c r="D14" s="18" t="str">
        <f ca="1">RIGHT(RIGHT(Data!E10,LEN(Data!E10)-14),6)&amp;" "&amp;LEFT(RIGHT(Data!E10,LEN(Data!E10)-14),LEN((RIGHT(Data!E10,LEN(Data!E10)-14)))-8)</f>
        <v>Dec 16 (Meal,Oil EXP ahead Beans)</v>
      </c>
      <c r="E14" s="18"/>
      <c r="F14" s="18"/>
      <c r="G14" s="18"/>
      <c r="H14" s="18"/>
      <c r="I14" s="18"/>
      <c r="J14" s="19" t="str">
        <f ca="1">Data!F35</f>
        <v/>
      </c>
      <c r="K14" s="19"/>
      <c r="L14" s="159" t="str">
        <f ca="1">RTD("cqg.rtd", ,"ContractData",B14, "NetLastTradeToday",, "T")</f>
        <v/>
      </c>
      <c r="M14" s="111"/>
      <c r="N14" s="112"/>
      <c r="O14" s="20"/>
      <c r="P14" s="21">
        <f ca="1">RTD("cqg.rtd", ,"ContractData", B14, "MT_LastBidVolume",, "T")</f>
        <v>1</v>
      </c>
      <c r="Q14" s="22" t="str">
        <f ca="1">AG27</f>
        <v>56' 02</v>
      </c>
      <c r="R14" s="19" t="str">
        <f ca="1">AG26</f>
        <v>79' 03</v>
      </c>
      <c r="S14" s="19"/>
      <c r="T14" s="21">
        <f ca="1">RTD("cqg.rtd", ,"ContractData", B14, "MT_LastAskVolume",, "T")</f>
        <v>1</v>
      </c>
      <c r="U14" s="20"/>
      <c r="V14" s="23">
        <f ca="1">RTD("cqg.rtd", ,"ContractData",B14, "T_CVol",, "T")</f>
        <v>0</v>
      </c>
      <c r="W14" s="23"/>
      <c r="X14" s="21"/>
      <c r="Y14" s="21">
        <f ca="1">RTD("cqg.rtd", ,"ContractData",B14, "Y_CVol",, "T")</f>
        <v>0</v>
      </c>
      <c r="Z14" s="23">
        <f t="shared" ca="1" si="0"/>
        <v>0</v>
      </c>
      <c r="AA14" s="23"/>
      <c r="AB14" s="23">
        <f t="shared" ca="1" si="1"/>
        <v>0</v>
      </c>
      <c r="AC14" s="23"/>
      <c r="AD14" s="20"/>
      <c r="AE14" s="113" t="str">
        <f ca="1">Data!M35</f>
        <v/>
      </c>
      <c r="AF14" s="113"/>
      <c r="AG14" s="114" t="str">
        <f ca="1">Data!S35</f>
        <v/>
      </c>
      <c r="AH14" s="115" t="str">
        <f ca="1">Data!Y35</f>
        <v/>
      </c>
    </row>
    <row r="15" spans="2:45" s="6" customFormat="1" ht="18" customHeight="1" x14ac:dyDescent="0.25">
      <c r="B15" s="17" t="str">
        <f ca="1">Data!C11</f>
        <v>SOM00F7</v>
      </c>
      <c r="C15" s="18"/>
      <c r="D15" s="18" t="str">
        <f ca="1">RIGHT(RIGHT(Data!E11,LEN(Data!E11)-14),6)&amp;" "&amp;LEFT(RIGHT(Data!E11,LEN(Data!E11)-14),LEN((RIGHT(Data!E11,LEN(Data!E11)-14)))-8)</f>
        <v>Jan 17 (Same-month)</v>
      </c>
      <c r="E15" s="18"/>
      <c r="F15" s="18"/>
      <c r="G15" s="18"/>
      <c r="H15" s="18"/>
      <c r="I15" s="18"/>
      <c r="J15" s="19" t="str">
        <f ca="1">Data!F36</f>
        <v>64' 00</v>
      </c>
      <c r="K15" s="19"/>
      <c r="L15" s="159">
        <f ca="1">RTD("cqg.rtd", ,"ContractData",B15, "NetLastTradeToday",, "T")</f>
        <v>0</v>
      </c>
      <c r="M15" s="111"/>
      <c r="N15" s="112"/>
      <c r="O15" s="20"/>
      <c r="P15" s="21">
        <f ca="1">RTD("cqg.rtd", ,"ContractData", B15, "MT_LastBidVolume",, "T")</f>
        <v>1</v>
      </c>
      <c r="Q15" s="22" t="str">
        <f ca="1">B39</f>
        <v>64' 00</v>
      </c>
      <c r="R15" s="19" t="str">
        <f ca="1">B38</f>
        <v>65' 00</v>
      </c>
      <c r="S15" s="19"/>
      <c r="T15" s="21">
        <f ca="1">RTD("cqg.rtd", ,"ContractData", B15, "MT_LastAskVolume",, "T")</f>
        <v>1</v>
      </c>
      <c r="U15" s="20"/>
      <c r="V15" s="23">
        <f ca="1">RTD("cqg.rtd", ,"ContractData",B15, "T_CVol",, "T")</f>
        <v>1</v>
      </c>
      <c r="W15" s="23"/>
      <c r="X15" s="21"/>
      <c r="Y15" s="21">
        <f ca="1">RTD("cqg.rtd", ,"ContractData",B15, "Y_CVol",, "T")</f>
        <v>1</v>
      </c>
      <c r="Z15" s="23">
        <f t="shared" ca="1" si="0"/>
        <v>0</v>
      </c>
      <c r="AA15" s="23"/>
      <c r="AB15" s="23">
        <f t="shared" ca="1" si="1"/>
        <v>0</v>
      </c>
      <c r="AC15" s="23"/>
      <c r="AD15" s="20"/>
      <c r="AE15" s="113" t="str">
        <f ca="1">Data!M36</f>
        <v>64' 00</v>
      </c>
      <c r="AF15" s="113"/>
      <c r="AG15" s="114" t="str">
        <f ca="1">Data!S36</f>
        <v>64' 00</v>
      </c>
      <c r="AH15" s="115" t="str">
        <f ca="1">Data!Y36</f>
        <v>64' 00</v>
      </c>
    </row>
    <row r="16" spans="2:45" s="6" customFormat="1" ht="18" customHeight="1" x14ac:dyDescent="0.25">
      <c r="B16" s="17" t="str">
        <f ca="1">Data!C12</f>
        <v>SOM00H7</v>
      </c>
      <c r="C16" s="18"/>
      <c r="D16" s="18" t="str">
        <f ca="1">RIGHT(RIGHT(Data!E12,LEN(Data!E12)-14),6)&amp;" "&amp;LEFT(RIGHT(Data!E12,LEN(Data!E12)-14),LEN((RIGHT(Data!E12,LEN(Data!E12)-14)))-8)</f>
        <v>Mar 17 (Same-month)</v>
      </c>
      <c r="E16" s="18"/>
      <c r="F16" s="18"/>
      <c r="G16" s="18"/>
      <c r="H16" s="18"/>
      <c r="I16" s="18"/>
      <c r="J16" s="19" t="str">
        <f ca="1">Data!F37</f>
        <v>67' 00</v>
      </c>
      <c r="K16" s="19"/>
      <c r="L16" s="159">
        <f ca="1">RTD("cqg.rtd", ,"ContractData",B16, "NetLastTradeToday",, "T")</f>
        <v>-0.75</v>
      </c>
      <c r="M16" s="111"/>
      <c r="N16" s="112"/>
      <c r="O16" s="20"/>
      <c r="P16" s="21">
        <f ca="1">RTD("cqg.rtd", ,"ContractData", B16, "MT_LastBidVolume",, "T")</f>
        <v>1</v>
      </c>
      <c r="Q16" s="22" t="str">
        <f ca="1">E39</f>
        <v>67' 00</v>
      </c>
      <c r="R16" s="19" t="str">
        <f ca="1">E38</f>
        <v>69' 00</v>
      </c>
      <c r="S16" s="19"/>
      <c r="T16" s="21">
        <f ca="1">RTD("cqg.rtd", ,"ContractData", B16, "MT_LastAskVolume",, "T")</f>
        <v>1</v>
      </c>
      <c r="U16" s="20"/>
      <c r="V16" s="23">
        <f ca="1">RTD("cqg.rtd", ,"ContractData",B16, "T_CVol",, "T")</f>
        <v>1</v>
      </c>
      <c r="W16" s="23"/>
      <c r="X16" s="21"/>
      <c r="Y16" s="21">
        <f ca="1">RTD("cqg.rtd", ,"ContractData",B16, "Y_CVol",, "T")</f>
        <v>1</v>
      </c>
      <c r="Z16" s="23">
        <f t="shared" ca="1" si="0"/>
        <v>0</v>
      </c>
      <c r="AA16" s="23"/>
      <c r="AB16" s="23">
        <f t="shared" ca="1" si="1"/>
        <v>0</v>
      </c>
      <c r="AC16" s="23"/>
      <c r="AD16" s="20"/>
      <c r="AE16" s="113" t="str">
        <f ca="1">Data!M37</f>
        <v>67' 00</v>
      </c>
      <c r="AF16" s="113"/>
      <c r="AG16" s="114" t="str">
        <f ca="1">Data!S37</f>
        <v>67' 00</v>
      </c>
      <c r="AH16" s="115" t="str">
        <f ca="1">Data!Y37</f>
        <v>67' 00</v>
      </c>
    </row>
    <row r="17" spans="2:34" s="6" customFormat="1" ht="18" customHeight="1" x14ac:dyDescent="0.25">
      <c r="B17" s="28" t="str">
        <f>I44</f>
        <v>ZSE</v>
      </c>
      <c r="C17" s="18"/>
      <c r="D17" s="18" t="str">
        <f>RTD("cqg.rtd", ,"ContractData",B17, "LongDescription",, "T")</f>
        <v>Soybeans (Globex), Mar 16</v>
      </c>
      <c r="E17" s="18"/>
      <c r="F17" s="18"/>
      <c r="G17" s="18"/>
      <c r="H17" s="18"/>
      <c r="I17" s="18"/>
      <c r="J17" s="19">
        <f>RTD("cqg.rtd", ,"ContractData",B17, "LastTradeToday",, "T")</f>
        <v>882.75</v>
      </c>
      <c r="K17" s="19"/>
      <c r="L17" s="160">
        <f>RTD("cqg.rtd", ,"ContractData",B17, "NetLastTradeToday",, "T")</f>
        <v>3.75</v>
      </c>
      <c r="M17" s="155"/>
      <c r="N17" s="156"/>
      <c r="O17" s="20"/>
      <c r="P17" s="21">
        <f>RTD("cqg.rtd", ,"ContractData", B17, "MT_LastBidVolume",, "T")</f>
        <v>37</v>
      </c>
      <c r="Q17" s="22">
        <f>RTD("cqg.rtd", ,"ContractData", B17, "Bid",, "T")</f>
        <v>882.75</v>
      </c>
      <c r="R17" s="19">
        <f>RTD("cqg.rtd", ,"ContractData", B17, "Ask",, "T")</f>
        <v>883</v>
      </c>
      <c r="S17" s="19"/>
      <c r="T17" s="21">
        <f>RTD("cqg.rtd", ,"ContractData", B17, "MT_LastAskVolume",, "T")</f>
        <v>57</v>
      </c>
      <c r="U17" s="20"/>
      <c r="V17" s="23">
        <f>RTD("cqg.rtd", ,"ContractData",B17, "T_CVol",, "T")</f>
        <v>87395</v>
      </c>
      <c r="W17" s="23"/>
      <c r="X17" s="21"/>
      <c r="Y17" s="21">
        <f>RTD("cqg.rtd", ,"ContractData",B17, "Y_CVol",, "T")</f>
        <v>120442</v>
      </c>
      <c r="Z17" s="23">
        <f t="shared" ref="Z17:Z19" si="2">V17-Y17</f>
        <v>-33047</v>
      </c>
      <c r="AA17" s="23"/>
      <c r="AB17" s="23"/>
      <c r="AC17" s="23"/>
      <c r="AD17" s="20"/>
      <c r="AE17" s="24">
        <f>RTD("cqg.rtd", ,"ContractData",B17, "Open",, "T")</f>
        <v>881</v>
      </c>
      <c r="AF17" s="24"/>
      <c r="AG17" s="25">
        <f>RTD("cqg.rtd", ,"ContractData",B17, "High",, "T")</f>
        <v>888</v>
      </c>
      <c r="AH17" s="26">
        <f>RTD("cqg.rtd", ,"ContractData",B17, "Low",, "T")</f>
        <v>880.5</v>
      </c>
    </row>
    <row r="18" spans="2:34" s="6" customFormat="1" ht="18" customHeight="1" x14ac:dyDescent="0.25">
      <c r="B18" s="17" t="str">
        <f>L44</f>
        <v>ZME</v>
      </c>
      <c r="C18" s="18"/>
      <c r="D18" s="18" t="str">
        <f>RTD("cqg.rtd", ,"ContractData",B18, "LongDescription",, "T")</f>
        <v>Soybean Meal (Globex), Mar 16</v>
      </c>
      <c r="E18" s="18"/>
      <c r="F18" s="18"/>
      <c r="G18" s="18"/>
      <c r="H18" s="18"/>
      <c r="I18" s="18"/>
      <c r="J18" s="19">
        <f>RTD("cqg.rtd", ,"ContractData",B18, "LastTradeToday",, "T")</f>
        <v>270.90000000000003</v>
      </c>
      <c r="K18" s="19"/>
      <c r="L18" s="160">
        <f>RTD("cqg.rtd", ,"ContractData",B18, "NetLastTradeToday",, "T")</f>
        <v>0.2</v>
      </c>
      <c r="M18" s="155"/>
      <c r="N18" s="156"/>
      <c r="O18" s="20"/>
      <c r="P18" s="21">
        <f>RTD("cqg.rtd", ,"ContractData", B18, "MT_LastBidVolume",, "T")</f>
        <v>7</v>
      </c>
      <c r="Q18" s="22">
        <f>RTD("cqg.rtd", ,"ContractData", B18, "Bid",, "T")</f>
        <v>270.90000000000003</v>
      </c>
      <c r="R18" s="19">
        <f>RTD("cqg.rtd", ,"ContractData", B18, "Ask",, "T")</f>
        <v>271</v>
      </c>
      <c r="S18" s="19"/>
      <c r="T18" s="21">
        <f>RTD("cqg.rtd", ,"ContractData", B18, "MT_LastAskVolume",, "T")</f>
        <v>13</v>
      </c>
      <c r="U18" s="20"/>
      <c r="V18" s="23">
        <f>RTD("cqg.rtd", ,"ContractData",B18, "T_CVol",, "T")</f>
        <v>32826</v>
      </c>
      <c r="W18" s="23"/>
      <c r="X18" s="21"/>
      <c r="Y18" s="21">
        <f>RTD("cqg.rtd", ,"ContractData",B18, "Y_CVol",, "T")</f>
        <v>49095</v>
      </c>
      <c r="Z18" s="23">
        <f t="shared" si="2"/>
        <v>-16269</v>
      </c>
      <c r="AA18" s="23"/>
      <c r="AB18" s="23"/>
      <c r="AC18" s="23"/>
      <c r="AD18" s="20"/>
      <c r="AE18" s="24">
        <f>RTD("cqg.rtd", ,"ContractData",B18, "Open",, "T")</f>
        <v>270.7</v>
      </c>
      <c r="AF18" s="24"/>
      <c r="AG18" s="25">
        <f>RTD("cqg.rtd", ,"ContractData",B18, "High",, "T")</f>
        <v>273.40000000000003</v>
      </c>
      <c r="AH18" s="26">
        <f>RTD("cqg.rtd", ,"ContractData",B18, "Low",, "T")</f>
        <v>270.10000000000002</v>
      </c>
    </row>
    <row r="19" spans="2:34" s="6" customFormat="1" ht="18" customHeight="1" x14ac:dyDescent="0.25">
      <c r="B19" s="29" t="str">
        <f>Q44</f>
        <v>ZLE</v>
      </c>
      <c r="C19" s="30"/>
      <c r="D19" s="30" t="str">
        <f>RTD("cqg.rtd", ,"ContractData",B19, "LongDescription",, "T")</f>
        <v>Soybean Oil (Globex), Mar 16</v>
      </c>
      <c r="E19" s="30"/>
      <c r="F19" s="30"/>
      <c r="G19" s="30"/>
      <c r="H19" s="30"/>
      <c r="I19" s="30"/>
      <c r="J19" s="31">
        <f>RTD("cqg.rtd", ,"ContractData",B19, "LastTradeToday",, "T")</f>
        <v>30.060000000000002</v>
      </c>
      <c r="K19" s="31"/>
      <c r="L19" s="161">
        <f>RTD("cqg.rtd", ,"ContractData",B19, "NetLastTradeToday",, "T")</f>
        <v>0.41000000000000003</v>
      </c>
      <c r="M19" s="157"/>
      <c r="N19" s="158"/>
      <c r="O19" s="32"/>
      <c r="P19" s="33">
        <f>RTD("cqg.rtd", ,"ContractData", B19, "MT_LastBidVolume",, "T")</f>
        <v>6</v>
      </c>
      <c r="Q19" s="34">
        <f>RTD("cqg.rtd", ,"ContractData", B19, "Bid",, "T")</f>
        <v>30.060000000000002</v>
      </c>
      <c r="R19" s="31">
        <f>RTD("cqg.rtd", ,"ContractData", B19, "Ask",, "T")</f>
        <v>30.07</v>
      </c>
      <c r="S19" s="31"/>
      <c r="T19" s="33">
        <f>RTD("cqg.rtd", ,"ContractData", B19, "MT_LastAskVolume",, "T")</f>
        <v>2</v>
      </c>
      <c r="U19" s="32"/>
      <c r="V19" s="35">
        <f>RTD("cqg.rtd", ,"ContractData",B19, "T_CVol",, "T")</f>
        <v>39427</v>
      </c>
      <c r="W19" s="35"/>
      <c r="X19" s="33"/>
      <c r="Y19" s="33">
        <f>RTD("cqg.rtd", ,"ContractData",B19, "Y_CVol",, "T")</f>
        <v>48444</v>
      </c>
      <c r="Z19" s="35">
        <f t="shared" si="2"/>
        <v>-9017</v>
      </c>
      <c r="AA19" s="35"/>
      <c r="AB19" s="35"/>
      <c r="AC19" s="35"/>
      <c r="AD19" s="32"/>
      <c r="AE19" s="36">
        <f>RTD("cqg.rtd", ,"ContractData",B19, "Open",, "T")</f>
        <v>29.6</v>
      </c>
      <c r="AF19" s="36"/>
      <c r="AG19" s="37">
        <f>RTD("cqg.rtd", ,"ContractData",B19, "High",, "T")</f>
        <v>30.2</v>
      </c>
      <c r="AH19" s="38">
        <f>RTD("cqg.rtd", ,"ContractData",B19, "Low",, "T")</f>
        <v>29.59</v>
      </c>
    </row>
    <row r="20" spans="2:34" s="6" customFormat="1" ht="14.1" customHeight="1" x14ac:dyDescent="0.25"/>
    <row r="21" spans="2:34" s="6" customFormat="1" ht="18" customHeight="1" x14ac:dyDescent="0.25">
      <c r="B21" s="39" t="str">
        <f ca="1">B6</f>
        <v>SOM00H6</v>
      </c>
      <c r="C21" s="40"/>
      <c r="E21" s="39" t="str">
        <f ca="1">B7</f>
        <v>SOM00K6</v>
      </c>
      <c r="F21" s="41"/>
      <c r="H21" s="42" t="str">
        <f ca="1">B8</f>
        <v>SOM00N6</v>
      </c>
      <c r="I21" s="43"/>
      <c r="K21" s="39" t="str">
        <f ca="1">B9</f>
        <v>SOM00Q6</v>
      </c>
      <c r="L21" s="40"/>
      <c r="M21" s="44"/>
      <c r="N21" s="45"/>
      <c r="O21" s="39" t="str">
        <f ca="1">B10</f>
        <v>SOM00U6</v>
      </c>
      <c r="P21" s="46"/>
      <c r="Q21" s="40"/>
      <c r="R21" s="44"/>
      <c r="S21" s="39" t="str">
        <f ca="1">B11</f>
        <v>SOM02U6</v>
      </c>
      <c r="T21" s="40"/>
      <c r="U21" s="44"/>
      <c r="V21" s="44"/>
      <c r="W21" s="39" t="str">
        <f ca="1">B12</f>
        <v>SOM01V6</v>
      </c>
      <c r="X21" s="46"/>
      <c r="Y21" s="40"/>
      <c r="Z21" s="44"/>
      <c r="AA21" s="42" t="str">
        <f ca="1">B13</f>
        <v>SOMI01Z6</v>
      </c>
      <c r="AB21" s="47"/>
      <c r="AC21" s="47"/>
      <c r="AD21" s="47"/>
      <c r="AE21" s="43"/>
      <c r="AF21" s="44"/>
      <c r="AG21" s="42" t="str">
        <f ca="1">B14</f>
        <v>SOM01Z6</v>
      </c>
      <c r="AH21" s="43"/>
    </row>
    <row r="22" spans="2:34" s="6" customFormat="1" ht="18" customHeight="1" x14ac:dyDescent="0.25">
      <c r="B22" s="48" t="str">
        <f ca="1">IFERROR(First!G6,"")</f>
        <v>45' 00</v>
      </c>
      <c r="C22" s="49">
        <f ca="1">First!H6</f>
        <v>4</v>
      </c>
      <c r="E22" s="48" t="str">
        <f ca="1">IFERROR(Second!G6,"")</f>
        <v>53' 01</v>
      </c>
      <c r="F22" s="49">
        <f ca="1">Second!H6</f>
        <v>1</v>
      </c>
      <c r="H22" s="50" t="str">
        <f ca="1">IFERROR(Third!G6,"")</f>
        <v>57' 01</v>
      </c>
      <c r="I22" s="49">
        <f ca="1">Third!H6</f>
        <v>1</v>
      </c>
      <c r="K22" s="48" t="str">
        <f ca="1">IFERROR(Fourth!G6,"")</f>
        <v>64' 02</v>
      </c>
      <c r="L22" s="49">
        <f ca="1">Fourth!H6</f>
        <v>3</v>
      </c>
      <c r="M22" s="51"/>
      <c r="N22" s="45"/>
      <c r="O22" s="52" t="str">
        <f ca="1">IFERROR(Fifth!G6,"")</f>
        <v>80' 00</v>
      </c>
      <c r="P22" s="53"/>
      <c r="Q22" s="49">
        <f ca="1">Fifth!H6</f>
        <v>10</v>
      </c>
      <c r="R22" s="51"/>
      <c r="S22" s="54" t="str">
        <f ca="1">IFERROR(Sixth!G6,"")</f>
        <v/>
      </c>
      <c r="T22" s="55" t="str">
        <f ca="1">Sixth!H6</f>
        <v/>
      </c>
      <c r="U22" s="51"/>
      <c r="V22" s="51"/>
      <c r="W22" s="52" t="str">
        <f ca="1">IFERROR(Seventh!G6,"")</f>
        <v>64' 02</v>
      </c>
      <c r="X22" s="53"/>
      <c r="Y22" s="55">
        <f ca="1">Seventh!H6</f>
        <v>1</v>
      </c>
      <c r="AA22" s="52" t="str">
        <f ca="1">IFERROR(Eighth!G6,"")</f>
        <v>65' 03</v>
      </c>
      <c r="AB22" s="53"/>
      <c r="AC22" s="56">
        <f ca="1">Eighth!H6</f>
        <v>3</v>
      </c>
      <c r="AD22" s="57"/>
      <c r="AE22" s="58"/>
      <c r="AG22" s="54" t="str">
        <f ca="1">IFERROR(Ninth!G6,"")</f>
        <v/>
      </c>
      <c r="AH22" s="55" t="str">
        <f ca="1">Ninth!H6</f>
        <v/>
      </c>
    </row>
    <row r="23" spans="2:34" s="6" customFormat="1" ht="18" customHeight="1" x14ac:dyDescent="0.25">
      <c r="B23" s="48" t="str">
        <f ca="1">IFERROR(First!G7,"")</f>
        <v>44' 03</v>
      </c>
      <c r="C23" s="49">
        <f ca="1">First!H7</f>
        <v>7</v>
      </c>
      <c r="E23" s="48" t="str">
        <f ca="1">IFERROR(Second!G7,"")</f>
        <v>52' 03</v>
      </c>
      <c r="F23" s="49">
        <f ca="1">Second!H7</f>
        <v>6</v>
      </c>
      <c r="H23" s="50" t="str">
        <f ca="1">IFERROR(Third!G7,"")</f>
        <v>56' 03</v>
      </c>
      <c r="I23" s="49">
        <f ca="1">Third!H7</f>
        <v>6</v>
      </c>
      <c r="K23" s="48" t="str">
        <f ca="1">IFERROR(Fourth!G7,"")</f>
        <v>63' 00</v>
      </c>
      <c r="L23" s="49">
        <f ca="1">Fourth!H7</f>
        <v>3</v>
      </c>
      <c r="M23" s="51"/>
      <c r="N23" s="45"/>
      <c r="O23" s="52" t="str">
        <f ca="1">IFERROR(Fifth!G7,"")</f>
        <v>74' 02</v>
      </c>
      <c r="P23" s="53"/>
      <c r="Q23" s="49">
        <f ca="1">Fifth!H7</f>
        <v>1</v>
      </c>
      <c r="R23" s="51"/>
      <c r="S23" s="54" t="str">
        <f ca="1">IFERROR(Sixth!G7,"")</f>
        <v/>
      </c>
      <c r="T23" s="55" t="str">
        <f ca="1">Sixth!H7</f>
        <v/>
      </c>
      <c r="U23" s="51"/>
      <c r="V23" s="51"/>
      <c r="W23" s="52" t="str">
        <f ca="1">IFERROR(Seventh!G7,"")</f>
        <v>64' 00</v>
      </c>
      <c r="X23" s="53"/>
      <c r="Y23" s="55">
        <f ca="1">Seventh!H7</f>
        <v>3</v>
      </c>
      <c r="AA23" s="52" t="str">
        <f ca="1">IFERROR(Eighth!G7,"")</f>
        <v>65' 02</v>
      </c>
      <c r="AB23" s="53"/>
      <c r="AC23" s="56">
        <f ca="1">Eighth!H7</f>
        <v>3</v>
      </c>
      <c r="AD23" s="57"/>
      <c r="AE23" s="58"/>
      <c r="AG23" s="54" t="str">
        <f ca="1">IFERROR(Ninth!G7,"")</f>
        <v/>
      </c>
      <c r="AH23" s="55" t="str">
        <f ca="1">Ninth!H7</f>
        <v/>
      </c>
    </row>
    <row r="24" spans="2:34" s="6" customFormat="1" ht="18" customHeight="1" x14ac:dyDescent="0.25">
      <c r="B24" s="48" t="str">
        <f ca="1">IFERROR(First!G8,"")</f>
        <v>44' 02</v>
      </c>
      <c r="C24" s="49">
        <f ca="1">First!H8</f>
        <v>14</v>
      </c>
      <c r="E24" s="48" t="str">
        <f ca="1">IFERROR(Second!G8,"")</f>
        <v>52' 02</v>
      </c>
      <c r="F24" s="49">
        <f ca="1">Second!H8</f>
        <v>12</v>
      </c>
      <c r="H24" s="50" t="str">
        <f ca="1">IFERROR(Third!G8,"")</f>
        <v>56' 02</v>
      </c>
      <c r="I24" s="49">
        <f ca="1">Third!H8</f>
        <v>10</v>
      </c>
      <c r="K24" s="48" t="str">
        <f ca="1">IFERROR(Fourth!G8,"")</f>
        <v>62' 01</v>
      </c>
      <c r="L24" s="49">
        <f ca="1">Fourth!H8</f>
        <v>1</v>
      </c>
      <c r="M24" s="51"/>
      <c r="N24" s="45"/>
      <c r="O24" s="52" t="str">
        <f ca="1">IFERROR(Fifth!G8,"")</f>
        <v>65' 00</v>
      </c>
      <c r="P24" s="53"/>
      <c r="Q24" s="49">
        <f ca="1">Fifth!H8</f>
        <v>1</v>
      </c>
      <c r="R24" s="51"/>
      <c r="S24" s="54" t="str">
        <f ca="1">IFERROR(Sixth!G8,"")</f>
        <v/>
      </c>
      <c r="T24" s="55" t="str">
        <f ca="1">Sixth!H8</f>
        <v/>
      </c>
      <c r="U24" s="51"/>
      <c r="V24" s="51"/>
      <c r="W24" s="52" t="str">
        <f ca="1">IFERROR(Seventh!G8,"")</f>
        <v>63' 02</v>
      </c>
      <c r="X24" s="53"/>
      <c r="Y24" s="55">
        <f ca="1">Seventh!H8</f>
        <v>1</v>
      </c>
      <c r="AA24" s="52" t="str">
        <f ca="1">IFERROR(Eighth!G8,"")</f>
        <v>65' 01</v>
      </c>
      <c r="AB24" s="53"/>
      <c r="AC24" s="56">
        <f ca="1">Eighth!H8</f>
        <v>5</v>
      </c>
      <c r="AD24" s="57"/>
      <c r="AE24" s="58"/>
      <c r="AG24" s="54" t="str">
        <f ca="1">IFERROR(Ninth!G8,"")</f>
        <v/>
      </c>
      <c r="AH24" s="55" t="str">
        <f ca="1">Ninth!H8</f>
        <v/>
      </c>
    </row>
    <row r="25" spans="2:34" s="6" customFormat="1" ht="18" customHeight="1" x14ac:dyDescent="0.25">
      <c r="B25" s="48" t="str">
        <f ca="1">IFERROR(First!G9,"")</f>
        <v>44' 01</v>
      </c>
      <c r="C25" s="49">
        <f ca="1">First!H9</f>
        <v>7</v>
      </c>
      <c r="E25" s="48" t="str">
        <f ca="1">IFERROR(Second!G9,"")</f>
        <v>52' 01</v>
      </c>
      <c r="F25" s="49">
        <f ca="1">Second!H9</f>
        <v>10</v>
      </c>
      <c r="H25" s="50" t="str">
        <f ca="1">IFERROR(Third!G9,"")</f>
        <v>56' 01</v>
      </c>
      <c r="I25" s="49">
        <f ca="1">Third!H9</f>
        <v>6</v>
      </c>
      <c r="K25" s="48" t="str">
        <f ca="1">IFERROR(Fourth!G9,"")</f>
        <v>60' 00</v>
      </c>
      <c r="L25" s="49">
        <f ca="1">Fourth!H9</f>
        <v>4</v>
      </c>
      <c r="M25" s="51"/>
      <c r="N25" s="45"/>
      <c r="O25" s="52" t="str">
        <f ca="1">IFERROR(Fifth!G9,"")</f>
        <v>64' 02</v>
      </c>
      <c r="P25" s="53"/>
      <c r="Q25" s="49">
        <f ca="1">Fifth!H9</f>
        <v>3</v>
      </c>
      <c r="R25" s="51"/>
      <c r="S25" s="54" t="str">
        <f ca="1">IFERROR(Sixth!G9,"")</f>
        <v>68' 01</v>
      </c>
      <c r="T25" s="55">
        <f ca="1">Sixth!H9</f>
        <v>1</v>
      </c>
      <c r="U25" s="51"/>
      <c r="V25" s="51"/>
      <c r="W25" s="52" t="str">
        <f ca="1">IFERROR(Seventh!G9,"")</f>
        <v>63' 00</v>
      </c>
      <c r="X25" s="53"/>
      <c r="Y25" s="55">
        <f ca="1">Seventh!H9</f>
        <v>1</v>
      </c>
      <c r="AA25" s="52" t="str">
        <f ca="1">IFERROR(Eighth!G9,"")</f>
        <v>65' 00</v>
      </c>
      <c r="AB25" s="53"/>
      <c r="AC25" s="56">
        <f ca="1">Eighth!H9</f>
        <v>6</v>
      </c>
      <c r="AD25" s="57"/>
      <c r="AE25" s="58"/>
      <c r="AG25" s="54" t="str">
        <f ca="1">IFERROR(Ninth!G9,"")</f>
        <v>95' 00</v>
      </c>
      <c r="AH25" s="55">
        <f ca="1">Ninth!H9</f>
        <v>1</v>
      </c>
    </row>
    <row r="26" spans="2:34" s="6" customFormat="1" ht="18" customHeight="1" x14ac:dyDescent="0.25">
      <c r="B26" s="59" t="str">
        <f ca="1">IFERROR(First!G10,"")</f>
        <v>44' 00</v>
      </c>
      <c r="C26" s="60">
        <f ca="1">First!H10</f>
        <v>15</v>
      </c>
      <c r="E26" s="59" t="str">
        <f ca="1">IFERROR(Second!G10,"")</f>
        <v>52' 00</v>
      </c>
      <c r="F26" s="60">
        <f ca="1">Second!H10</f>
        <v>1</v>
      </c>
      <c r="H26" s="61" t="str">
        <f ca="1">IFERROR(Third!G10,"")</f>
        <v>56' 00</v>
      </c>
      <c r="I26" s="60">
        <f ca="1">Third!H10</f>
        <v>1</v>
      </c>
      <c r="K26" s="61" t="str">
        <f ca="1">IFERROR(Fourth!G10,"")</f>
        <v>59' 00</v>
      </c>
      <c r="L26" s="60">
        <f ca="1">Fourth!H10</f>
        <v>5</v>
      </c>
      <c r="M26" s="62"/>
      <c r="N26" s="45"/>
      <c r="O26" s="63" t="str">
        <f ca="1">IFERROR(Fifth!G10,"")</f>
        <v>64' 00</v>
      </c>
      <c r="P26" s="64"/>
      <c r="Q26" s="60">
        <f ca="1">Fifth!H10</f>
        <v>6</v>
      </c>
      <c r="R26" s="62"/>
      <c r="S26" s="65" t="str">
        <f ca="1">IFERROR(Sixth!G10,"")</f>
        <v>63' 03</v>
      </c>
      <c r="T26" s="66">
        <f ca="1">Sixth!H10</f>
        <v>1</v>
      </c>
      <c r="U26" s="62"/>
      <c r="V26" s="62"/>
      <c r="W26" s="67" t="str">
        <f ca="1">IFERROR(Seventh!G10,"")</f>
        <v>61' 03</v>
      </c>
      <c r="X26" s="68"/>
      <c r="Y26" s="66">
        <f ca="1">Seventh!H10</f>
        <v>2</v>
      </c>
      <c r="AA26" s="67" t="str">
        <f ca="1">IFERROR(Eighth!G10,"")</f>
        <v>64' 02</v>
      </c>
      <c r="AB26" s="68"/>
      <c r="AC26" s="69">
        <f ca="1">Eighth!H10</f>
        <v>2</v>
      </c>
      <c r="AD26" s="70"/>
      <c r="AE26" s="71"/>
      <c r="AG26" s="72" t="str">
        <f ca="1">IFERROR(Ninth!G10,"")</f>
        <v>79' 03</v>
      </c>
      <c r="AH26" s="73">
        <f ca="1">Ninth!H10</f>
        <v>1</v>
      </c>
    </row>
    <row r="27" spans="2:34" s="6" customFormat="1" ht="18" customHeight="1" x14ac:dyDescent="0.25">
      <c r="B27" s="74" t="str">
        <f ca="1">IFERROR(First!G11,"")</f>
        <v>43' 03</v>
      </c>
      <c r="C27" s="75">
        <f ca="1">First!H11</f>
        <v>6</v>
      </c>
      <c r="E27" s="74" t="str">
        <f ca="1">IFERROR(Second!G11,"")</f>
        <v>51' 03</v>
      </c>
      <c r="F27" s="75">
        <f ca="1">Second!H11</f>
        <v>2</v>
      </c>
      <c r="H27" s="74" t="str">
        <f ca="1">IFERROR(Third!G11,"")</f>
        <v>55' 02</v>
      </c>
      <c r="I27" s="75">
        <f ca="1">Third!H11</f>
        <v>2</v>
      </c>
      <c r="K27" s="74" t="str">
        <f ca="1">IFERROR(Fourth!G11,"")</f>
        <v>57' 01</v>
      </c>
      <c r="L27" s="75">
        <f ca="1">Fourth!H11</f>
        <v>2</v>
      </c>
      <c r="M27" s="76"/>
      <c r="N27" s="45"/>
      <c r="O27" s="77" t="str">
        <f ca="1">IFERROR(Fifth!G11,"")</f>
        <v>61' 02</v>
      </c>
      <c r="P27" s="78"/>
      <c r="Q27" s="75">
        <f ca="1">Fifth!H11</f>
        <v>1</v>
      </c>
      <c r="R27" s="76"/>
      <c r="S27" s="79" t="str">
        <f ca="1">IFERROR(Sixth!G11,"")</f>
        <v>60' 00</v>
      </c>
      <c r="T27" s="80">
        <f ca="1">Sixth!H11</f>
        <v>1</v>
      </c>
      <c r="U27" s="76"/>
      <c r="V27" s="76"/>
      <c r="W27" s="77" t="str">
        <f ca="1">IFERROR(Seventh!G11,"")</f>
        <v>60' 03</v>
      </c>
      <c r="X27" s="78"/>
      <c r="Y27" s="80">
        <f ca="1">Seventh!H11</f>
        <v>2</v>
      </c>
      <c r="AA27" s="77" t="str">
        <f ca="1">IFERROR(Eighth!G11,"")</f>
        <v>64' 01</v>
      </c>
      <c r="AB27" s="78"/>
      <c r="AC27" s="81">
        <f ca="1">Eighth!H11</f>
        <v>2</v>
      </c>
      <c r="AD27" s="82"/>
      <c r="AE27" s="83"/>
      <c r="AG27" s="79" t="str">
        <f ca="1">IFERROR(Ninth!G11,"")</f>
        <v>56' 02</v>
      </c>
      <c r="AH27" s="80">
        <f ca="1">Ninth!H11</f>
        <v>1</v>
      </c>
    </row>
    <row r="28" spans="2:34" s="6" customFormat="1" ht="18" customHeight="1" x14ac:dyDescent="0.25">
      <c r="B28" s="84" t="str">
        <f ca="1">IFERROR(First!G12,"")</f>
        <v>43' 02</v>
      </c>
      <c r="C28" s="85">
        <f ca="1">First!H12</f>
        <v>9</v>
      </c>
      <c r="E28" s="84" t="str">
        <f ca="1">IFERROR(Second!G12,"")</f>
        <v>51' 02</v>
      </c>
      <c r="F28" s="85">
        <f ca="1">Second!H12</f>
        <v>8</v>
      </c>
      <c r="H28" s="86" t="str">
        <f ca="1">IFERROR(Third!G12,"")</f>
        <v>55' 01</v>
      </c>
      <c r="I28" s="85">
        <f ca="1">Third!H12</f>
        <v>8</v>
      </c>
      <c r="K28" s="86" t="str">
        <f ca="1">IFERROR(Fourth!G12,"")</f>
        <v>56' 02</v>
      </c>
      <c r="L28" s="85">
        <f ca="1">Fourth!H12</f>
        <v>1</v>
      </c>
      <c r="M28" s="87"/>
      <c r="N28" s="45"/>
      <c r="O28" s="88" t="str">
        <f ca="1">IFERROR(Fifth!G12,"")</f>
        <v>61' 00</v>
      </c>
      <c r="P28" s="89"/>
      <c r="Q28" s="85">
        <f ca="1">Fifth!H12</f>
        <v>2</v>
      </c>
      <c r="R28" s="87"/>
      <c r="S28" s="90" t="str">
        <f ca="1">IFERROR(Sixth!G12,"")</f>
        <v>57' 00</v>
      </c>
      <c r="T28" s="91">
        <f ca="1">Sixth!H12</f>
        <v>1</v>
      </c>
      <c r="U28" s="87"/>
      <c r="V28" s="87"/>
      <c r="W28" s="88" t="str">
        <f ca="1">IFERROR(Seventh!G12,"")</f>
        <v>60' 00</v>
      </c>
      <c r="X28" s="89"/>
      <c r="Y28" s="91">
        <f ca="1">Seventh!H12</f>
        <v>1</v>
      </c>
      <c r="AA28" s="88" t="str">
        <f ca="1">IFERROR(Eighth!G12,"")</f>
        <v>64' 00</v>
      </c>
      <c r="AB28" s="89"/>
      <c r="AC28" s="92">
        <f ca="1">Eighth!H12</f>
        <v>6</v>
      </c>
      <c r="AD28" s="93"/>
      <c r="AE28" s="94"/>
      <c r="AG28" s="90" t="str">
        <f ca="1">IFERROR(Ninth!G12,"")</f>
        <v/>
      </c>
      <c r="AH28" s="91" t="str">
        <f ca="1">Ninth!H12</f>
        <v/>
      </c>
    </row>
    <row r="29" spans="2:34" s="6" customFormat="1" ht="18" customHeight="1" x14ac:dyDescent="0.25">
      <c r="B29" s="84" t="str">
        <f ca="1">IFERROR(First!G13,"")</f>
        <v>43' 01</v>
      </c>
      <c r="C29" s="85">
        <f ca="1">First!H13</f>
        <v>21</v>
      </c>
      <c r="E29" s="84" t="str">
        <f ca="1">IFERROR(Second!G13,"")</f>
        <v>51' 01</v>
      </c>
      <c r="F29" s="85">
        <f ca="1">Second!H13</f>
        <v>13</v>
      </c>
      <c r="H29" s="86" t="str">
        <f ca="1">IFERROR(Third!G13,"")</f>
        <v>55' 00</v>
      </c>
      <c r="I29" s="85">
        <f ca="1">Third!H13</f>
        <v>7</v>
      </c>
      <c r="K29" s="86" t="str">
        <f ca="1">IFERROR(Fourth!G13,"")</f>
        <v>54' 03</v>
      </c>
      <c r="L29" s="85">
        <f ca="1">Fourth!H13</f>
        <v>1</v>
      </c>
      <c r="M29" s="87"/>
      <c r="N29" s="45"/>
      <c r="O29" s="88" t="str">
        <f ca="1">IFERROR(Fifth!G13,"")</f>
        <v>59' 00</v>
      </c>
      <c r="P29" s="89"/>
      <c r="Q29" s="85">
        <f ca="1">Fifth!H13</f>
        <v>1</v>
      </c>
      <c r="R29" s="87"/>
      <c r="S29" s="90" t="str">
        <f ca="1">IFERROR(Sixth!G13,"")</f>
        <v/>
      </c>
      <c r="T29" s="91" t="str">
        <f ca="1">Sixth!H13</f>
        <v/>
      </c>
      <c r="U29" s="87"/>
      <c r="V29" s="87"/>
      <c r="W29" s="88" t="str">
        <f ca="1">IFERROR(Seventh!G13,"")</f>
        <v>59' 00</v>
      </c>
      <c r="X29" s="89"/>
      <c r="Y29" s="91">
        <f ca="1">Seventh!H13</f>
        <v>1</v>
      </c>
      <c r="AA29" s="88" t="str">
        <f ca="1">IFERROR(Eighth!G13,"")</f>
        <v>63' 03</v>
      </c>
      <c r="AB29" s="89"/>
      <c r="AC29" s="92">
        <f ca="1">Eighth!H13</f>
        <v>2</v>
      </c>
      <c r="AD29" s="93"/>
      <c r="AE29" s="94"/>
      <c r="AG29" s="90" t="str">
        <f ca="1">IFERROR(Ninth!G13,"")</f>
        <v/>
      </c>
      <c r="AH29" s="91" t="str">
        <f ca="1">Ninth!H13</f>
        <v/>
      </c>
    </row>
    <row r="30" spans="2:34" s="6" customFormat="1" ht="18" customHeight="1" x14ac:dyDescent="0.25">
      <c r="B30" s="84" t="str">
        <f ca="1">IFERROR(First!G14,"")</f>
        <v>43' 00</v>
      </c>
      <c r="C30" s="85">
        <f ca="1">First!H14</f>
        <v>5</v>
      </c>
      <c r="E30" s="84" t="str">
        <f ca="1">IFERROR(Second!G14,"")</f>
        <v>51' 00</v>
      </c>
      <c r="F30" s="85">
        <f ca="1">Second!H14</f>
        <v>4</v>
      </c>
      <c r="H30" s="86" t="str">
        <f ca="1">IFERROR(Third!G14,"")</f>
        <v>54' 03</v>
      </c>
      <c r="I30" s="85">
        <f ca="1">Third!H14</f>
        <v>5</v>
      </c>
      <c r="K30" s="86" t="str">
        <f ca="1">IFERROR(Fourth!G14,"")</f>
        <v/>
      </c>
      <c r="L30" s="85" t="str">
        <f ca="1">Fourth!H14</f>
        <v/>
      </c>
      <c r="M30" s="87"/>
      <c r="N30" s="45"/>
      <c r="O30" s="88" t="str">
        <f ca="1">IFERROR(Fifth!G14,"")</f>
        <v>57' 03</v>
      </c>
      <c r="P30" s="89"/>
      <c r="Q30" s="85">
        <f ca="1">Fifth!H14</f>
        <v>1</v>
      </c>
      <c r="R30" s="87"/>
      <c r="S30" s="90" t="str">
        <f ca="1">IFERROR(Sixth!G14,"")</f>
        <v/>
      </c>
      <c r="T30" s="91" t="str">
        <f ca="1">Sixth!H14</f>
        <v/>
      </c>
      <c r="U30" s="87"/>
      <c r="V30" s="87"/>
      <c r="W30" s="88" t="str">
        <f ca="1">IFERROR(Seventh!G14,"")</f>
        <v>50' 03</v>
      </c>
      <c r="X30" s="89"/>
      <c r="Y30" s="91">
        <f ca="1">Seventh!H14</f>
        <v>1</v>
      </c>
      <c r="AA30" s="88" t="str">
        <f ca="1">IFERROR(Eighth!G14,"")</f>
        <v>63' 02</v>
      </c>
      <c r="AB30" s="89"/>
      <c r="AC30" s="92">
        <f ca="1">Eighth!H14</f>
        <v>3</v>
      </c>
      <c r="AD30" s="93"/>
      <c r="AE30" s="94"/>
      <c r="AG30" s="90" t="str">
        <f ca="1">IFERROR(Ninth!G14,"")</f>
        <v/>
      </c>
      <c r="AH30" s="91" t="str">
        <f ca="1">Ninth!H14</f>
        <v/>
      </c>
    </row>
    <row r="31" spans="2:34" s="6" customFormat="1" ht="18" customHeight="1" x14ac:dyDescent="0.25">
      <c r="B31" s="84" t="str">
        <f ca="1">IFERROR(First!G15,"")</f>
        <v>42' 03</v>
      </c>
      <c r="C31" s="85">
        <f ca="1">First!H15</f>
        <v>1</v>
      </c>
      <c r="E31" s="84" t="str">
        <f ca="1">IFERROR(Second!G15,"")</f>
        <v>50' 03</v>
      </c>
      <c r="F31" s="85">
        <f ca="1">Second!H15</f>
        <v>3</v>
      </c>
      <c r="H31" s="86" t="str">
        <f ca="1">IFERROR(Third!G15,"")</f>
        <v>54' 02</v>
      </c>
      <c r="I31" s="85">
        <f ca="1">Third!H15</f>
        <v>2</v>
      </c>
      <c r="K31" s="86" t="str">
        <f ca="1">IFERROR(Fourth!G15,"")</f>
        <v/>
      </c>
      <c r="L31" s="85" t="str">
        <f ca="1">Fourth!H15</f>
        <v/>
      </c>
      <c r="M31" s="87"/>
      <c r="N31" s="45"/>
      <c r="O31" s="88" t="str">
        <f ca="1">IFERROR(Fifth!G15,"")</f>
        <v/>
      </c>
      <c r="P31" s="89"/>
      <c r="Q31" s="85" t="str">
        <f ca="1">Fifth!H15</f>
        <v/>
      </c>
      <c r="R31" s="87"/>
      <c r="S31" s="90" t="str">
        <f ca="1">IFERROR(Sixth!G15,"")</f>
        <v/>
      </c>
      <c r="T31" s="91" t="str">
        <f ca="1">Sixth!H15</f>
        <v/>
      </c>
      <c r="U31" s="87"/>
      <c r="V31" s="87"/>
      <c r="W31" s="88" t="str">
        <f ca="1">IFERROR(Seventh!G15,"")</f>
        <v/>
      </c>
      <c r="X31" s="89"/>
      <c r="Y31" s="91" t="str">
        <f ca="1">Seventh!H15</f>
        <v/>
      </c>
      <c r="AA31" s="88" t="str">
        <f ca="1">IFERROR(Eighth!G15,"")</f>
        <v>63' 01</v>
      </c>
      <c r="AB31" s="89"/>
      <c r="AC31" s="92">
        <f ca="1">Eighth!H15</f>
        <v>1</v>
      </c>
      <c r="AD31" s="93"/>
      <c r="AE31" s="94"/>
      <c r="AG31" s="90" t="str">
        <f ca="1">IFERROR(Ninth!G15,"")</f>
        <v/>
      </c>
      <c r="AH31" s="91" t="str">
        <f ca="1">Ninth!H15</f>
        <v/>
      </c>
    </row>
    <row r="32" spans="2:34" s="6" customFormat="1" ht="14.1" customHeight="1" x14ac:dyDescent="0.25"/>
    <row r="33" spans="2:34" s="6" customFormat="1" ht="18" customHeight="1" x14ac:dyDescent="0.25">
      <c r="B33" s="39" t="str">
        <f ca="1">B15</f>
        <v>SOM00F7</v>
      </c>
      <c r="C33" s="40"/>
      <c r="E33" s="39" t="str">
        <f ca="1">B16</f>
        <v>SOM00H7</v>
      </c>
      <c r="F33" s="41"/>
      <c r="H33" s="42" t="s">
        <v>18</v>
      </c>
      <c r="I33" s="43"/>
      <c r="K33" s="39" t="s">
        <v>19</v>
      </c>
      <c r="L33" s="40"/>
      <c r="M33" s="44"/>
      <c r="N33" s="45"/>
      <c r="O33" s="39" t="s">
        <v>20</v>
      </c>
      <c r="P33" s="46"/>
      <c r="Q33" s="40"/>
      <c r="R33" s="95"/>
      <c r="S33" s="96" t="str">
        <f>RTD("cqg.rtd", ,"ContractData",T44, "LongDescription",, "T")</f>
        <v>Soybeans (Globex), Mar 16</v>
      </c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</row>
    <row r="34" spans="2:34" s="6" customFormat="1" ht="18" customHeight="1" x14ac:dyDescent="0.25">
      <c r="B34" s="48" t="str">
        <f ca="1">IFERROR(Tenth!G6,"")</f>
        <v>85' 03</v>
      </c>
      <c r="C34" s="49">
        <f ca="1">Tenth!H6</f>
        <v>1</v>
      </c>
      <c r="E34" s="48" t="str">
        <f ca="1">IFERROR(Eleventh!G6,"")</f>
        <v/>
      </c>
      <c r="F34" s="49" t="str">
        <f ca="1">Eleventh!H6</f>
        <v/>
      </c>
      <c r="H34" s="129">
        <f>IFERROR(RTD("cqg.rtd",,"DOMData",$I$44,"Price","5","T"),"")</f>
        <v>884</v>
      </c>
      <c r="I34" s="49">
        <f>IFERROR(RTD("cqg.rtd",,"DOMData",$I$44,"Volume","5","T"),"")</f>
        <v>238</v>
      </c>
      <c r="K34" s="133">
        <f>IFERROR(RTD("cqg.rtd",,"DOMData",$L$44,"Price","5","T"),"")</f>
        <v>271.39999999999998</v>
      </c>
      <c r="L34" s="49">
        <f>IFERROR(RTD("cqg.rtd",,"DOMData",$L$44,"Volume","5","T"),"")</f>
        <v>30</v>
      </c>
      <c r="M34" s="51"/>
      <c r="N34" s="45"/>
      <c r="O34" s="134">
        <f>IFERROR(RTD("cqg.rtd",,"DOMData",$Q$44,"Price","5","T"),"")</f>
        <v>30.11</v>
      </c>
      <c r="P34" s="135"/>
      <c r="Q34" s="49">
        <f>IFERROR(RTD("cqg.rtd",,"DOMData",$Q$44,"Volume","5","T"),"")</f>
        <v>15</v>
      </c>
      <c r="R34" s="95"/>
      <c r="S34" s="99"/>
      <c r="T34" s="100"/>
      <c r="U34" s="51"/>
      <c r="V34" s="51"/>
      <c r="W34" s="101"/>
      <c r="X34" s="101"/>
      <c r="Y34" s="100"/>
      <c r="Z34" s="95"/>
      <c r="AA34" s="101"/>
      <c r="AB34" s="101"/>
      <c r="AC34" s="101"/>
      <c r="AD34" s="101"/>
      <c r="AE34" s="101"/>
      <c r="AF34" s="95"/>
      <c r="AG34" s="95"/>
      <c r="AH34" s="102"/>
    </row>
    <row r="35" spans="2:34" s="6" customFormat="1" ht="18" customHeight="1" x14ac:dyDescent="0.25">
      <c r="B35" s="48" t="str">
        <f ca="1">IFERROR(Tenth!G7,"")</f>
        <v>85' 02</v>
      </c>
      <c r="C35" s="49">
        <f ca="1">Tenth!H7</f>
        <v>2</v>
      </c>
      <c r="E35" s="48" t="str">
        <f ca="1">IFERROR(Eleventh!G7,"")</f>
        <v>90' 00</v>
      </c>
      <c r="F35" s="49">
        <f ca="1">Eleventh!H7</f>
        <v>1</v>
      </c>
      <c r="H35" s="129">
        <f>IFERROR(RTD("cqg.rtd",,"DOMData",$I$44,"Price","4","T"),"")</f>
        <v>883.75</v>
      </c>
      <c r="I35" s="49">
        <f>IFERROR(RTD("cqg.rtd",,"DOMData",$I$44,"Volume","4","T"),"")</f>
        <v>82</v>
      </c>
      <c r="K35" s="133">
        <f>IFERROR(RTD("cqg.rtd",,"DOMData",$L$44,"Price","4","T"),"")</f>
        <v>271.3</v>
      </c>
      <c r="L35" s="49">
        <f>IFERROR(RTD("cqg.rtd",,"DOMData",$L$44,"Volume","4","T"),"")</f>
        <v>16</v>
      </c>
      <c r="M35" s="51"/>
      <c r="N35" s="45"/>
      <c r="O35" s="134">
        <f>IFERROR(RTD("cqg.rtd",,"DOMData",$Q$44,"Price","4","T"),"")</f>
        <v>30.1</v>
      </c>
      <c r="P35" s="135"/>
      <c r="Q35" s="49">
        <f>IFERROR(RTD("cqg.rtd",,"DOMData",$Q$44,"Volume","4","T"),"")</f>
        <v>16</v>
      </c>
      <c r="R35" s="95"/>
      <c r="S35" s="99"/>
      <c r="T35" s="100"/>
      <c r="U35" s="51"/>
      <c r="V35" s="51"/>
      <c r="W35" s="101"/>
      <c r="X35" s="101"/>
      <c r="Y35" s="100"/>
      <c r="Z35" s="95"/>
      <c r="AA35" s="101"/>
      <c r="AB35" s="101"/>
      <c r="AC35" s="101"/>
      <c r="AD35" s="101"/>
      <c r="AE35" s="101"/>
      <c r="AF35" s="95"/>
      <c r="AG35" s="95"/>
      <c r="AH35" s="102"/>
    </row>
    <row r="36" spans="2:34" s="6" customFormat="1" ht="18" customHeight="1" x14ac:dyDescent="0.25">
      <c r="B36" s="48" t="str">
        <f ca="1">IFERROR(Tenth!G8,"")</f>
        <v>69' 02</v>
      </c>
      <c r="C36" s="49">
        <f ca="1">Tenth!H8</f>
        <v>3</v>
      </c>
      <c r="E36" s="48" t="str">
        <f ca="1">IFERROR(Eleventh!G8,"")</f>
        <v>73' 00</v>
      </c>
      <c r="F36" s="49">
        <f ca="1">Eleventh!H8</f>
        <v>2</v>
      </c>
      <c r="H36" s="129">
        <f>IFERROR(RTD("cqg.rtd",,"DOMData",$I$44,"Price","4","T"),"")</f>
        <v>883.75</v>
      </c>
      <c r="I36" s="49">
        <f>IFERROR(RTD("cqg.rtd",,"DOMData",$I$44,"Volume","3","T"),"")</f>
        <v>65</v>
      </c>
      <c r="K36" s="133">
        <f>IFERROR(RTD("cqg.rtd",,"DOMData",$L$44,"Price","3","T"),"")</f>
        <v>271.2</v>
      </c>
      <c r="L36" s="49">
        <f>IFERROR(RTD("cqg.rtd",,"DOMData",$L$44,"Volume","3","T"),"")</f>
        <v>18</v>
      </c>
      <c r="M36" s="51"/>
      <c r="N36" s="45"/>
      <c r="O36" s="134">
        <f>IFERROR(RTD("cqg.rtd",,"DOMData",$Q$44,"Price","3","T"),"")</f>
        <v>30.09</v>
      </c>
      <c r="P36" s="135"/>
      <c r="Q36" s="49">
        <f>IFERROR(RTD("cqg.rtd",,"DOMData",$Q$44,"Volume","3","T"),"")</f>
        <v>42</v>
      </c>
      <c r="R36" s="95"/>
      <c r="S36" s="99"/>
      <c r="T36" s="100"/>
      <c r="U36" s="51"/>
      <c r="V36" s="51"/>
      <c r="W36" s="101"/>
      <c r="X36" s="101"/>
      <c r="Y36" s="100"/>
      <c r="Z36" s="95"/>
      <c r="AA36" s="101"/>
      <c r="AB36" s="101"/>
      <c r="AC36" s="101"/>
      <c r="AD36" s="101"/>
      <c r="AE36" s="101"/>
      <c r="AF36" s="95"/>
      <c r="AG36" s="95"/>
      <c r="AH36" s="102"/>
    </row>
    <row r="37" spans="2:34" s="6" customFormat="1" ht="18" customHeight="1" x14ac:dyDescent="0.25">
      <c r="B37" s="48" t="str">
        <f ca="1">IFERROR(Tenth!G9,"")</f>
        <v>69' 00</v>
      </c>
      <c r="C37" s="49">
        <f ca="1">Tenth!H9</f>
        <v>2</v>
      </c>
      <c r="E37" s="48" t="str">
        <f ca="1">IFERROR(Eleventh!G9,"")</f>
        <v>72' 00</v>
      </c>
      <c r="F37" s="49">
        <f ca="1">Eleventh!H9</f>
        <v>2</v>
      </c>
      <c r="H37" s="129">
        <f>IFERROR(RTD("cqg.rtd",,"DOMData",$I$44,"Price","2","T"),"")</f>
        <v>883.25</v>
      </c>
      <c r="I37" s="49">
        <f>IFERROR(RTD("cqg.rtd",,"DOMData",$I$44,"Volume","2","T"),"")</f>
        <v>102</v>
      </c>
      <c r="K37" s="133">
        <f>IFERROR(RTD("cqg.rtd",,"DOMData",$L$44,"Price","2","T"),"")</f>
        <v>271.10000000000002</v>
      </c>
      <c r="L37" s="49">
        <f>IFERROR(RTD("cqg.rtd",,"DOMData",$L$44,"Volume","2","T"),"")</f>
        <v>81</v>
      </c>
      <c r="M37" s="51"/>
      <c r="N37" s="45"/>
      <c r="O37" s="134">
        <f>IFERROR(RTD("cqg.rtd",,"DOMData",$Q$44,"Price","2","T"),"")</f>
        <v>30.08</v>
      </c>
      <c r="P37" s="135"/>
      <c r="Q37" s="49">
        <f>IFERROR(RTD("cqg.rtd",,"DOMData",$Q$44,"Volume","2","T"),"")</f>
        <v>27</v>
      </c>
      <c r="R37" s="95"/>
      <c r="S37" s="99"/>
      <c r="T37" s="100"/>
      <c r="U37" s="51"/>
      <c r="V37" s="51"/>
      <c r="W37" s="101"/>
      <c r="X37" s="101"/>
      <c r="Y37" s="100"/>
      <c r="Z37" s="95"/>
      <c r="AA37" s="101"/>
      <c r="AB37" s="101"/>
      <c r="AC37" s="101"/>
      <c r="AD37" s="101"/>
      <c r="AE37" s="101"/>
      <c r="AF37" s="95"/>
      <c r="AG37" s="95"/>
      <c r="AH37" s="102"/>
    </row>
    <row r="38" spans="2:34" s="6" customFormat="1" ht="18" customHeight="1" x14ac:dyDescent="0.25">
      <c r="B38" s="59" t="str">
        <f ca="1">IFERROR(Tenth!G10,"")</f>
        <v>65' 00</v>
      </c>
      <c r="C38" s="60">
        <f ca="1">Tenth!H10</f>
        <v>1</v>
      </c>
      <c r="E38" s="59" t="str">
        <f ca="1">IFERROR(Eleventh!G10,"")</f>
        <v>69' 00</v>
      </c>
      <c r="F38" s="60">
        <f ca="1">Eleventh!H10</f>
        <v>1</v>
      </c>
      <c r="H38" s="130">
        <f>IFERROR(RTD("cqg.rtd",,"DOMData",$I$44,"Price","1","T"),"")</f>
        <v>883</v>
      </c>
      <c r="I38" s="60">
        <f>IFERROR(RTD("cqg.rtd",,"DOMData",$I$44,"Volume","1","T"),"")</f>
        <v>57</v>
      </c>
      <c r="K38" s="130">
        <f>IFERROR(RTD("cqg.rtd",,"DOMData",$L$44,"Price","1","T"),"")</f>
        <v>271</v>
      </c>
      <c r="L38" s="60">
        <f>IFERROR(RTD("cqg.rtd",,"DOMData",$L$44,"Volume","1","T"),"")</f>
        <v>13</v>
      </c>
      <c r="M38" s="62"/>
      <c r="N38" s="45"/>
      <c r="O38" s="136">
        <f>IFERROR(RTD("cqg.rtd",,"DOMData",$Q$44,"Price","1","T"),"")</f>
        <v>30.07</v>
      </c>
      <c r="P38" s="137"/>
      <c r="Q38" s="103">
        <f>IFERROR(RTD("cqg.rtd",,"DOMData",$Q$44,"Volume","1","T"),"")</f>
        <v>2</v>
      </c>
      <c r="R38" s="95"/>
      <c r="S38" s="104"/>
      <c r="T38" s="105"/>
      <c r="U38" s="62"/>
      <c r="V38" s="62"/>
      <c r="W38" s="106"/>
      <c r="X38" s="106"/>
      <c r="Y38" s="105"/>
      <c r="Z38" s="95"/>
      <c r="AA38" s="106"/>
      <c r="AB38" s="106"/>
      <c r="AC38" s="106"/>
      <c r="AD38" s="106"/>
      <c r="AE38" s="106"/>
      <c r="AF38" s="95"/>
      <c r="AG38" s="95"/>
      <c r="AH38" s="102"/>
    </row>
    <row r="39" spans="2:34" s="6" customFormat="1" ht="18" customHeight="1" x14ac:dyDescent="0.25">
      <c r="B39" s="74" t="str">
        <f ca="1">IFERROR(Tenth!G11,"")</f>
        <v>64' 00</v>
      </c>
      <c r="C39" s="75">
        <f ca="1">Tenth!H11</f>
        <v>1</v>
      </c>
      <c r="E39" s="74" t="str">
        <f ca="1">IFERROR(Eleventh!G11,"")</f>
        <v>67' 00</v>
      </c>
      <c r="F39" s="75">
        <f ca="1">Eleventh!H11</f>
        <v>1</v>
      </c>
      <c r="H39" s="131">
        <f>IFERROR(RTD("cqg.rtd",,"DOMData",$I$44,"Price","-1","T"),"")</f>
        <v>882.75</v>
      </c>
      <c r="I39" s="75">
        <f>IFERROR(RTD("cqg.rtd",,"DOMData",$I$44,"Volume","-1","T"),"")</f>
        <v>37</v>
      </c>
      <c r="K39" s="131">
        <f>IFERROR(RTD("cqg.rtd",,"DOMData",$L$44,"Price","-1","T"),"")</f>
        <v>270.89999999999998</v>
      </c>
      <c r="L39" s="75">
        <f>IFERROR(RTD("cqg.rtd",,"DOMData",$L$44,"Volume","-1","T"),"")</f>
        <v>7</v>
      </c>
      <c r="M39" s="76"/>
      <c r="N39" s="45"/>
      <c r="O39" s="138">
        <f>IFERROR(RTD("cqg.rtd",,"DOMData",$Q$44,"Price","-1","T"),"")</f>
        <v>30.06</v>
      </c>
      <c r="P39" s="139"/>
      <c r="Q39" s="75">
        <f>IFERROR(RTD("cqg.rtd",,"DOMData",$Q$44,"Volume","-1","T"),"")</f>
        <v>6</v>
      </c>
      <c r="R39" s="95"/>
      <c r="S39" s="104"/>
      <c r="T39" s="105"/>
      <c r="U39" s="76"/>
      <c r="V39" s="76"/>
      <c r="W39" s="106"/>
      <c r="X39" s="106"/>
      <c r="Y39" s="105"/>
      <c r="Z39" s="95"/>
      <c r="AA39" s="106"/>
      <c r="AB39" s="106"/>
      <c r="AC39" s="106"/>
      <c r="AD39" s="106"/>
      <c r="AE39" s="106"/>
      <c r="AF39" s="95"/>
      <c r="AG39" s="95"/>
      <c r="AH39" s="102"/>
    </row>
    <row r="40" spans="2:34" s="6" customFormat="1" ht="18" customHeight="1" x14ac:dyDescent="0.25">
      <c r="B40" s="84" t="str">
        <f ca="1">IFERROR(Tenth!G12,"")</f>
        <v>63' 01</v>
      </c>
      <c r="C40" s="85">
        <f ca="1">Tenth!H12</f>
        <v>1</v>
      </c>
      <c r="E40" s="84" t="str">
        <f ca="1">IFERROR(Eleventh!G12,"")</f>
        <v>66' 02</v>
      </c>
      <c r="F40" s="85">
        <f ca="1">Eleventh!H12</f>
        <v>1</v>
      </c>
      <c r="H40" s="132">
        <f>IFERROR(RTD("cqg.rtd",,"DOMData",$I$44,"Price","-2","T"),"")</f>
        <v>882.5</v>
      </c>
      <c r="I40" s="85">
        <f>IFERROR(RTD("cqg.rtd",,"DOMData",$I$44,"Volume","-2","T"),"")</f>
        <v>103</v>
      </c>
      <c r="K40" s="132">
        <f>IFERROR(RTD("cqg.rtd",,"DOMData",$L$44,"Price","-2","T"),"")</f>
        <v>270.8</v>
      </c>
      <c r="L40" s="85">
        <f>IFERROR(RTD("cqg.rtd",,"DOMData",$L$44,"Volume","-2","T"),"")</f>
        <v>24</v>
      </c>
      <c r="M40" s="87"/>
      <c r="N40" s="45"/>
      <c r="O40" s="140">
        <f>IFERROR(RTD("cqg.rtd",,"DOMData",$Q$44,"Price","-2","T"),"")</f>
        <v>30.05</v>
      </c>
      <c r="P40" s="141"/>
      <c r="Q40" s="85">
        <f>IFERROR(RTD("cqg.rtd",,"DOMData",$Q$44,"Volume","-2","T"),"")</f>
        <v>23</v>
      </c>
      <c r="R40" s="95"/>
      <c r="S40" s="99"/>
      <c r="T40" s="100"/>
      <c r="U40" s="87"/>
      <c r="V40" s="87"/>
      <c r="W40" s="101"/>
      <c r="X40" s="101"/>
      <c r="Y40" s="100"/>
      <c r="Z40" s="95"/>
      <c r="AA40" s="101"/>
      <c r="AB40" s="101"/>
      <c r="AC40" s="101"/>
      <c r="AD40" s="101"/>
      <c r="AE40" s="101"/>
      <c r="AF40" s="95"/>
      <c r="AG40" s="95"/>
      <c r="AH40" s="102"/>
    </row>
    <row r="41" spans="2:34" s="6" customFormat="1" ht="18" customHeight="1" x14ac:dyDescent="0.25">
      <c r="B41" s="84" t="str">
        <f ca="1">IFERROR(Tenth!G13,"")</f>
        <v>63' 00</v>
      </c>
      <c r="C41" s="85">
        <f ca="1">Tenth!H13</f>
        <v>1</v>
      </c>
      <c r="E41" s="84" t="str">
        <f ca="1">IFERROR(Eleventh!G13,"")</f>
        <v>65' 00</v>
      </c>
      <c r="F41" s="85">
        <f ca="1">Eleventh!H13</f>
        <v>1</v>
      </c>
      <c r="H41" s="132">
        <f>IFERROR(RTD("cqg.rtd",,"DOMData",$I$44,"Price","-3","T"),"")</f>
        <v>882.25</v>
      </c>
      <c r="I41" s="85">
        <f>IFERROR(RTD("cqg.rtd",,"DOMData",$I$44,"Volume","-3","T"),"")</f>
        <v>143</v>
      </c>
      <c r="K41" s="132">
        <f>IFERROR(RTD("cqg.rtd",,"DOMData",$L$44,"Price","-3","T"),"")</f>
        <v>270.7</v>
      </c>
      <c r="L41" s="85">
        <f>IFERROR(RTD("cqg.rtd",,"DOMData",$L$44,"Volume","-3","T"),"")</f>
        <v>48</v>
      </c>
      <c r="M41" s="87"/>
      <c r="N41" s="45"/>
      <c r="O41" s="140">
        <f>IFERROR(RTD("cqg.rtd",,"DOMData",$Q$44,"Price","-3","T"),"")</f>
        <v>30.04</v>
      </c>
      <c r="P41" s="141"/>
      <c r="Q41" s="85">
        <f>IFERROR(RTD("cqg.rtd",,"DOMData",$Q$44,"Volume","-3","T"),"")</f>
        <v>36</v>
      </c>
      <c r="R41" s="95"/>
      <c r="S41" s="99"/>
      <c r="T41" s="100"/>
      <c r="U41" s="87"/>
      <c r="V41" s="87"/>
      <c r="W41" s="101"/>
      <c r="X41" s="101"/>
      <c r="Y41" s="100"/>
      <c r="Z41" s="95"/>
      <c r="AA41" s="101"/>
      <c r="AB41" s="101"/>
      <c r="AC41" s="101"/>
      <c r="AD41" s="101"/>
      <c r="AE41" s="101"/>
      <c r="AF41" s="95"/>
      <c r="AG41" s="95"/>
      <c r="AH41" s="102"/>
    </row>
    <row r="42" spans="2:34" s="6" customFormat="1" ht="18" customHeight="1" x14ac:dyDescent="0.25">
      <c r="B42" s="84" t="str">
        <f ca="1">IFERROR(Tenth!G14,"")</f>
        <v>61' 01</v>
      </c>
      <c r="C42" s="85">
        <f ca="1">Tenth!H14</f>
        <v>1</v>
      </c>
      <c r="E42" s="84" t="str">
        <f ca="1">IFERROR(Eleventh!G14,"")</f>
        <v>63' 00</v>
      </c>
      <c r="F42" s="85">
        <f ca="1">Eleventh!H14</f>
        <v>1</v>
      </c>
      <c r="H42" s="132">
        <f>IFERROR(RTD("cqg.rtd",,"DOMData",$I$44,"Price","-4","T"),"")</f>
        <v>882</v>
      </c>
      <c r="I42" s="85">
        <f>IFERROR(RTD("cqg.rtd",,"DOMData",$I$44,"Volume","-4","T"),"")</f>
        <v>69</v>
      </c>
      <c r="K42" s="132">
        <f>IFERROR(RTD("cqg.rtd",,"DOMData",$L$44,"Price","-4","T"),"")</f>
        <v>270.60000000000002</v>
      </c>
      <c r="L42" s="85">
        <f>IFERROR(RTD("cqg.rtd",,"DOMData",$L$44,"Volume","-4","T"),"")</f>
        <v>27</v>
      </c>
      <c r="M42" s="87"/>
      <c r="N42" s="45"/>
      <c r="O42" s="140">
        <f>IFERROR(RTD("cqg.rtd",,"DOMData",$Q$44,"Price","-4","T"),"")</f>
        <v>30.03</v>
      </c>
      <c r="P42" s="141"/>
      <c r="Q42" s="85">
        <f>IFERROR(RTD("cqg.rtd",,"DOMData",$Q$44,"Volume","-4","T"),"")</f>
        <v>12</v>
      </c>
      <c r="R42" s="95"/>
      <c r="S42" s="99"/>
      <c r="T42" s="100"/>
      <c r="U42" s="87"/>
      <c r="V42" s="87"/>
      <c r="W42" s="101"/>
      <c r="X42" s="101"/>
      <c r="Y42" s="100"/>
      <c r="Z42" s="95"/>
      <c r="AA42" s="101"/>
      <c r="AB42" s="101"/>
      <c r="AC42" s="101"/>
      <c r="AD42" s="101"/>
      <c r="AE42" s="101"/>
      <c r="AF42" s="95"/>
      <c r="AG42" s="95"/>
      <c r="AH42" s="102"/>
    </row>
    <row r="43" spans="2:34" s="6" customFormat="1" ht="18" customHeight="1" x14ac:dyDescent="0.25">
      <c r="B43" s="84" t="str">
        <f ca="1">IFERROR(Tenth!G15,"")</f>
        <v>60' 00</v>
      </c>
      <c r="C43" s="85">
        <f ca="1">Tenth!H15</f>
        <v>2</v>
      </c>
      <c r="E43" s="84" t="str">
        <f ca="1">IFERROR(Eleventh!G15,"")</f>
        <v>60' 00</v>
      </c>
      <c r="F43" s="85">
        <f ca="1">Eleventh!H15</f>
        <v>5</v>
      </c>
      <c r="H43" s="132">
        <f>IFERROR(RTD("cqg.rtd",,"DOMData",$I$44,"Price","-5","T"),"")</f>
        <v>881.75</v>
      </c>
      <c r="I43" s="85">
        <f>IFERROR(RTD("cqg.rtd",,"DOMData",$I$44,"Volume","-5","T"),"")</f>
        <v>70</v>
      </c>
      <c r="K43" s="132">
        <f>IFERROR(RTD("cqg.rtd",,"DOMData",$L$44,"Price","-5","T"),"")</f>
        <v>270.5</v>
      </c>
      <c r="L43" s="85">
        <f>IFERROR(RTD("cqg.rtd",,"DOMData",$L$44,"Volume","-5","T"),"")</f>
        <v>66</v>
      </c>
      <c r="M43" s="87"/>
      <c r="N43" s="45"/>
      <c r="O43" s="140">
        <f>IFERROR(RTD("cqg.rtd",,"DOMData",$Q$44,"Price","-5","T"),"")</f>
        <v>30.02</v>
      </c>
      <c r="P43" s="141"/>
      <c r="Q43" s="85">
        <f>IFERROR(RTD("cqg.rtd",,"DOMData",$Q$44,"Volume","-5","T"),"")</f>
        <v>11</v>
      </c>
      <c r="R43" s="95"/>
      <c r="S43" s="99"/>
      <c r="T43" s="100"/>
      <c r="U43" s="87"/>
      <c r="V43" s="87"/>
      <c r="W43" s="101"/>
      <c r="X43" s="101"/>
      <c r="Y43" s="100"/>
      <c r="Z43" s="95"/>
      <c r="AA43" s="101"/>
      <c r="AB43" s="101"/>
      <c r="AC43" s="101"/>
      <c r="AD43" s="101"/>
      <c r="AE43" s="101"/>
      <c r="AF43" s="95"/>
      <c r="AG43" s="95"/>
      <c r="AH43" s="102"/>
    </row>
    <row r="44" spans="2:34" s="6" customFormat="1" ht="21.95" customHeight="1" x14ac:dyDescent="0.25">
      <c r="B44" s="107" t="s">
        <v>26</v>
      </c>
      <c r="C44" s="108"/>
      <c r="D44" s="108"/>
      <c r="E44" s="109" t="s">
        <v>27</v>
      </c>
      <c r="F44" s="123">
        <f>RTD("cqg.rtd", ,"SystemInfo", "Linetime")</f>
        <v>42388.501215277778</v>
      </c>
      <c r="G44" s="123"/>
      <c r="H44" s="124" t="s">
        <v>22</v>
      </c>
      <c r="I44" s="125" t="s">
        <v>18</v>
      </c>
      <c r="J44" s="126"/>
      <c r="K44" s="124" t="s">
        <v>22</v>
      </c>
      <c r="L44" s="127" t="s">
        <v>19</v>
      </c>
      <c r="M44" s="118"/>
      <c r="N44" s="118"/>
      <c r="O44" s="128" t="s">
        <v>22</v>
      </c>
      <c r="P44" s="128"/>
      <c r="Q44" s="127" t="s">
        <v>20</v>
      </c>
      <c r="R44" s="110"/>
      <c r="S44" s="116" t="s">
        <v>22</v>
      </c>
      <c r="T44" s="117" t="s">
        <v>18</v>
      </c>
      <c r="U44" s="118"/>
      <c r="V44" s="119" t="s">
        <v>24</v>
      </c>
      <c r="W44" s="119"/>
      <c r="X44" s="120" t="s">
        <v>23</v>
      </c>
      <c r="Y44" s="120"/>
      <c r="Z44" s="119" t="str">
        <f>"Open: "&amp;TEXT(RTD("cqg.rtd", ,"ContractData",T44, "Open",, "T"),"#.00")</f>
        <v>Open: 881.00</v>
      </c>
      <c r="AA44" s="119"/>
      <c r="AB44" s="119"/>
      <c r="AC44" s="119" t="str">
        <f>"High: "&amp;TEXT(RTD("cqg.rtd", ,"ContractData",T44, "High",, "T"),"#.00")</f>
        <v>High: 888.00</v>
      </c>
      <c r="AD44" s="119"/>
      <c r="AE44" s="119"/>
      <c r="AF44" s="119"/>
      <c r="AG44" s="121" t="str">
        <f>"Low: "&amp;TEXT(RTD("cqg.rtd", ,"ContractData",T44, "Low",, "T"),"#.00")</f>
        <v>Low: 880.50</v>
      </c>
      <c r="AH44" s="122"/>
    </row>
    <row r="45" spans="2:34" s="6" customFormat="1" ht="21.95" customHeight="1" x14ac:dyDescent="0.25"/>
    <row r="46" spans="2:34" s="6" customFormat="1" ht="21.95" customHeight="1" x14ac:dyDescent="0.25"/>
    <row r="47" spans="2:34" s="6" customFormat="1" ht="21.95" customHeight="1" x14ac:dyDescent="0.25"/>
    <row r="48" spans="2:34" s="6" customFormat="1" ht="21.95" customHeight="1" x14ac:dyDescent="0.25"/>
    <row r="49" s="6" customFormat="1" ht="21.95" customHeight="1" x14ac:dyDescent="0.25"/>
    <row r="50" s="6" customFormat="1" ht="21.95" customHeight="1" x14ac:dyDescent="0.25"/>
    <row r="51" s="6" customFormat="1" ht="21.95" customHeight="1" x14ac:dyDescent="0.25"/>
    <row r="52" s="6" customFormat="1" ht="21.95" customHeight="1" x14ac:dyDescent="0.25"/>
    <row r="53" s="6" customFormat="1" ht="21.95" customHeight="1" x14ac:dyDescent="0.25"/>
    <row r="54" s="6" customFormat="1" ht="21.95" customHeight="1" x14ac:dyDescent="0.25"/>
    <row r="55" s="6" customFormat="1" ht="21.95" customHeight="1" x14ac:dyDescent="0.25"/>
    <row r="56" s="6" customFormat="1" ht="21.95" customHeight="1" x14ac:dyDescent="0.25"/>
    <row r="57" s="6" customFormat="1" ht="21.95" customHeight="1" x14ac:dyDescent="0.25"/>
    <row r="58" s="6" customFormat="1" ht="21.95" customHeight="1" x14ac:dyDescent="0.25"/>
    <row r="59" s="6" customFormat="1" ht="21.95" customHeight="1" x14ac:dyDescent="0.25"/>
    <row r="60" s="6" customFormat="1" ht="21.95" customHeight="1" x14ac:dyDescent="0.25"/>
    <row r="61" s="6" customFormat="1" ht="21.95" customHeight="1" x14ac:dyDescent="0.25"/>
    <row r="62" s="6" customFormat="1" ht="21.95" customHeight="1" x14ac:dyDescent="0.25"/>
    <row r="63" s="6" customFormat="1" ht="21.95" customHeight="1" x14ac:dyDescent="0.25"/>
    <row r="64" s="6" customFormat="1" ht="21.95" customHeight="1" x14ac:dyDescent="0.25"/>
    <row r="65" s="6" customFormat="1" ht="21.95" customHeight="1" x14ac:dyDescent="0.25"/>
    <row r="66" s="6" customFormat="1" ht="21.95" customHeight="1" x14ac:dyDescent="0.25"/>
    <row r="67" s="6" customFormat="1" ht="21.95" customHeight="1" x14ac:dyDescent="0.25"/>
  </sheetData>
  <sheetProtection algorithmName="SHA-512" hashValue="EEOdvlH4cujlmUarCH3muyrl4LT+KTglyJJ5WzmBF6V34Ko2xTgt88FSO9easOT4DPcuc6b7vWghiabne/b/Gw==" saltValue="N+Z37AuGPa7rQ1LDpEBapA==" spinCount="100000" sheet="1" objects="1" scenarios="1" selectLockedCells="1"/>
  <mergeCells count="224">
    <mergeCell ref="O44:P44"/>
    <mergeCell ref="F44:G44"/>
    <mergeCell ref="V44:W44"/>
    <mergeCell ref="Z44:AB44"/>
    <mergeCell ref="AC44:AF44"/>
    <mergeCell ref="X44:Y44"/>
    <mergeCell ref="AG44:AH44"/>
    <mergeCell ref="B44:D44"/>
    <mergeCell ref="Z17:AA17"/>
    <mergeCell ref="Z18:AA18"/>
    <mergeCell ref="Z19:AA19"/>
    <mergeCell ref="AB17:AC17"/>
    <mergeCell ref="AB18:AC18"/>
    <mergeCell ref="AB19:AC19"/>
    <mergeCell ref="AE17:AF17"/>
    <mergeCell ref="AE18:AF18"/>
    <mergeCell ref="AE19:AF19"/>
    <mergeCell ref="Z5:AC5"/>
    <mergeCell ref="B6:C6"/>
    <mergeCell ref="B7:C7"/>
    <mergeCell ref="R6:S6"/>
    <mergeCell ref="Z6:AA6"/>
    <mergeCell ref="AB6:AC6"/>
    <mergeCell ref="E5:I5"/>
    <mergeCell ref="S33:AH33"/>
    <mergeCell ref="D8:I8"/>
    <mergeCell ref="L5:O5"/>
    <mergeCell ref="J6:K6"/>
    <mergeCell ref="J7:K7"/>
    <mergeCell ref="J8:K8"/>
    <mergeCell ref="J9:K9"/>
    <mergeCell ref="J10:K10"/>
    <mergeCell ref="D16:I16"/>
    <mergeCell ref="D15:I15"/>
    <mergeCell ref="D14:I14"/>
    <mergeCell ref="D13:I13"/>
    <mergeCell ref="D12:I12"/>
    <mergeCell ref="D7:I7"/>
    <mergeCell ref="D6:I6"/>
    <mergeCell ref="B21:C21"/>
    <mergeCell ref="B16:C16"/>
    <mergeCell ref="B15:C15"/>
    <mergeCell ref="B14:C14"/>
    <mergeCell ref="B13:C13"/>
    <mergeCell ref="B12:C12"/>
    <mergeCell ref="O21:Q21"/>
    <mergeCell ref="O26:P26"/>
    <mergeCell ref="O25:P25"/>
    <mergeCell ref="H21:I21"/>
    <mergeCell ref="O23:P23"/>
    <mergeCell ref="E21:F21"/>
    <mergeCell ref="O24:P24"/>
    <mergeCell ref="O22:P22"/>
    <mergeCell ref="B17:C17"/>
    <mergeCell ref="B18:C18"/>
    <mergeCell ref="B19:C19"/>
    <mergeCell ref="D17:I17"/>
    <mergeCell ref="D18:I18"/>
    <mergeCell ref="D19:I19"/>
    <mergeCell ref="B2:AH3"/>
    <mergeCell ref="J11:K11"/>
    <mergeCell ref="J12:K12"/>
    <mergeCell ref="J13:K13"/>
    <mergeCell ref="J14:K14"/>
    <mergeCell ref="J15:K15"/>
    <mergeCell ref="B11:C11"/>
    <mergeCell ref="B10:C10"/>
    <mergeCell ref="B9:C9"/>
    <mergeCell ref="B8:C8"/>
    <mergeCell ref="D11:I11"/>
    <mergeCell ref="D10:I10"/>
    <mergeCell ref="D9:I9"/>
    <mergeCell ref="O31:P31"/>
    <mergeCell ref="O30:P30"/>
    <mergeCell ref="O29:P29"/>
    <mergeCell ref="O28:P28"/>
    <mergeCell ref="O27:P27"/>
    <mergeCell ref="J16:K16"/>
    <mergeCell ref="J5:K5"/>
    <mergeCell ref="K21:L21"/>
    <mergeCell ref="R5:S5"/>
    <mergeCell ref="S21:T21"/>
    <mergeCell ref="J17:K17"/>
    <mergeCell ref="J18:K18"/>
    <mergeCell ref="J19:K19"/>
    <mergeCell ref="R17:S17"/>
    <mergeCell ref="R18:S18"/>
    <mergeCell ref="R19:S19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W21:Y21"/>
    <mergeCell ref="R11:S11"/>
    <mergeCell ref="R10:S10"/>
    <mergeCell ref="R9:S9"/>
    <mergeCell ref="R8:S8"/>
    <mergeCell ref="R7:S7"/>
    <mergeCell ref="R16:S16"/>
    <mergeCell ref="R15:S15"/>
    <mergeCell ref="R14:S14"/>
    <mergeCell ref="R13:S13"/>
    <mergeCell ref="R12:S12"/>
    <mergeCell ref="V17:W17"/>
    <mergeCell ref="V18:W18"/>
    <mergeCell ref="V19:W19"/>
    <mergeCell ref="Z11:AA11"/>
    <mergeCell ref="Z10:AA10"/>
    <mergeCell ref="Z9:AA9"/>
    <mergeCell ref="Z8:AA8"/>
    <mergeCell ref="Z7:AA7"/>
    <mergeCell ref="Z16:AA16"/>
    <mergeCell ref="Z15:AA15"/>
    <mergeCell ref="Z14:AA14"/>
    <mergeCell ref="Z13:AA13"/>
    <mergeCell ref="Z12:AA12"/>
    <mergeCell ref="W25:X25"/>
    <mergeCell ref="W24:X24"/>
    <mergeCell ref="W23:X23"/>
    <mergeCell ref="W22:X22"/>
    <mergeCell ref="W30:X30"/>
    <mergeCell ref="AA31:AB31"/>
    <mergeCell ref="AA30:AB30"/>
    <mergeCell ref="AA29:AB29"/>
    <mergeCell ref="AA28:AB28"/>
    <mergeCell ref="AA27:AB27"/>
    <mergeCell ref="AE6:AF6"/>
    <mergeCell ref="AE7:AF7"/>
    <mergeCell ref="AE8:AF8"/>
    <mergeCell ref="AE9:AF9"/>
    <mergeCell ref="AE10:AF10"/>
    <mergeCell ref="AA21:AE21"/>
    <mergeCell ref="AC31:AE31"/>
    <mergeCell ref="AC30:AE30"/>
    <mergeCell ref="AC29:AE29"/>
    <mergeCell ref="AC28:AE28"/>
    <mergeCell ref="AC27:AE27"/>
    <mergeCell ref="AC26:AE26"/>
    <mergeCell ref="AC25:AE25"/>
    <mergeCell ref="AC24:AE24"/>
    <mergeCell ref="AC23:AE23"/>
    <mergeCell ref="AC22:AE22"/>
    <mergeCell ref="AB11:AC11"/>
    <mergeCell ref="AB10:AC10"/>
    <mergeCell ref="AB9:AC9"/>
    <mergeCell ref="AB8:AC8"/>
    <mergeCell ref="AB7:AC7"/>
    <mergeCell ref="AB16:AC16"/>
    <mergeCell ref="AB15:AC15"/>
    <mergeCell ref="AB14:AC14"/>
    <mergeCell ref="B33:C33"/>
    <mergeCell ref="E33:F33"/>
    <mergeCell ref="H33:I33"/>
    <mergeCell ref="K33:L33"/>
    <mergeCell ref="O33:Q33"/>
    <mergeCell ref="AG21:AH21"/>
    <mergeCell ref="AE16:AF16"/>
    <mergeCell ref="AE11:AF11"/>
    <mergeCell ref="AE12:AF12"/>
    <mergeCell ref="AE13:AF13"/>
    <mergeCell ref="AE14:AF14"/>
    <mergeCell ref="AE15:AF15"/>
    <mergeCell ref="AB13:AC13"/>
    <mergeCell ref="AB12:AC12"/>
    <mergeCell ref="AA26:AB26"/>
    <mergeCell ref="AA25:AB25"/>
    <mergeCell ref="AA24:AB24"/>
    <mergeCell ref="AA23:AB23"/>
    <mergeCell ref="AA22:AB22"/>
    <mergeCell ref="W31:X31"/>
    <mergeCell ref="W29:X29"/>
    <mergeCell ref="W28:X28"/>
    <mergeCell ref="W27:X27"/>
    <mergeCell ref="W26:X26"/>
    <mergeCell ref="W35:X35"/>
    <mergeCell ref="AA35:AB35"/>
    <mergeCell ref="AC35:AE35"/>
    <mergeCell ref="W36:X36"/>
    <mergeCell ref="AA36:AB36"/>
    <mergeCell ref="AC36:AE36"/>
    <mergeCell ref="W43:X43"/>
    <mergeCell ref="AA43:AB43"/>
    <mergeCell ref="AC43:AE43"/>
    <mergeCell ref="O39:P39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AE5:AF5"/>
    <mergeCell ref="V5:W5"/>
    <mergeCell ref="X5:Y5"/>
    <mergeCell ref="W41:X41"/>
    <mergeCell ref="AA41:AB41"/>
    <mergeCell ref="AC41:AE41"/>
    <mergeCell ref="W42:X42"/>
    <mergeCell ref="AA42:AB42"/>
    <mergeCell ref="AC42:AE42"/>
    <mergeCell ref="W39:X39"/>
    <mergeCell ref="AA39:AB39"/>
    <mergeCell ref="AC39:AE39"/>
    <mergeCell ref="W40:X40"/>
    <mergeCell ref="AA40:AB40"/>
    <mergeCell ref="AC40:AE40"/>
    <mergeCell ref="W37:X37"/>
    <mergeCell ref="AA37:AB37"/>
    <mergeCell ref="AC37:AE37"/>
    <mergeCell ref="W38:X38"/>
    <mergeCell ref="AA38:AB38"/>
    <mergeCell ref="AC38:AE38"/>
    <mergeCell ref="W34:X34"/>
    <mergeCell ref="AA34:AB34"/>
    <mergeCell ref="AC34:AE34"/>
  </mergeCells>
  <conditionalFormatting sqref="O6:O19 U6:U19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{F4916C8D-A580-40AC-A5EB-C354ED78AD3E}</x14:id>
        </ext>
      </extLst>
    </cfRule>
  </conditionalFormatting>
  <conditionalFormatting sqref="AD6:AD19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{BE1420F0-DE00-4CA5-9571-F81AB30F7ABE}</x14:id>
        </ext>
      </extLst>
    </cfRule>
  </conditionalFormatting>
  <conditionalFormatting sqref="V6:V16">
    <cfRule type="colorScale" priority="4">
      <colorScale>
        <cfvo type="min"/>
        <cfvo type="max"/>
        <color rgb="FF00000F"/>
        <color rgb="FF00B050"/>
      </colorScale>
    </cfRule>
  </conditionalFormatting>
  <conditionalFormatting sqref="AB6:AC1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{AE8D1D99-384A-40EF-AE4D-43DB0EAC2D49}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916C8D-A580-40AC-A5EB-C354ED78AD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O6:O19 U6:U19</xm:sqref>
        </x14:conditionalFormatting>
        <x14:conditionalFormatting xmlns:xm="http://schemas.microsoft.com/office/excel/2006/main">
          <x14:cfRule type="dataBar" id="{BE1420F0-DE00-4CA5-9571-F81AB30F7A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AD6:AD19</xm:sqref>
        </x14:conditionalFormatting>
        <x14:conditionalFormatting xmlns:xm="http://schemas.microsoft.com/office/excel/2006/main">
          <x14:cfRule type="dataBar" id="{AE8D1D99-384A-40EF-AE4D-43DB0EAC2D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AB6:AC16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Display!B13</f>
        <v>SOMI01Z6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65.75</v>
      </c>
      <c r="C6" s="152">
        <f t="shared" ref="C6:C9" ca="1" si="0">TRUNC(B6)</f>
        <v>65</v>
      </c>
      <c r="D6" s="151">
        <f t="shared" ref="D6:D9" ca="1" si="1">B6-C6</f>
        <v>0.75</v>
      </c>
      <c r="E6" s="150">
        <f ca="1">D6*4</f>
        <v>3</v>
      </c>
      <c r="F6" s="150">
        <f t="shared" ref="F6:F9" ca="1" si="2">IF(E6&lt;10,IF(E6&lt;1,0,0),"")</f>
        <v>0</v>
      </c>
      <c r="G6" s="150" t="str">
        <f ca="1">C6&amp;"' "&amp;F6&amp;E6</f>
        <v>65' 03</v>
      </c>
      <c r="H6" s="150">
        <f ca="1">RTD("cqg.rtd",,"DOMData",$B$3,"Volume","5","T")</f>
        <v>3</v>
      </c>
    </row>
    <row r="7" spans="2:8" ht="17.25" x14ac:dyDescent="0.3">
      <c r="B7" s="152">
        <f ca="1">RTD("cqg.rtd",,"DOMData",$B$3,"Price","4","T")</f>
        <v>65.5</v>
      </c>
      <c r="C7" s="152">
        <f t="shared" ca="1" si="0"/>
        <v>65</v>
      </c>
      <c r="D7" s="151">
        <f t="shared" ca="1" si="1"/>
        <v>0.5</v>
      </c>
      <c r="E7" s="150">
        <f t="shared" ref="E7:E15" ca="1" si="3">D7*4</f>
        <v>2</v>
      </c>
      <c r="F7" s="150">
        <f t="shared" ca="1" si="2"/>
        <v>0</v>
      </c>
      <c r="G7" s="150" t="str">
        <f t="shared" ref="G7:G9" ca="1" si="4">C7&amp;"' "&amp;F7&amp;E7</f>
        <v>65' 02</v>
      </c>
      <c r="H7" s="150">
        <f ca="1">RTD("cqg.rtd",,"DOMData",$B$3,"Volume","4","T")</f>
        <v>3</v>
      </c>
    </row>
    <row r="8" spans="2:8" ht="17.25" x14ac:dyDescent="0.3">
      <c r="B8" s="152">
        <f ca="1">RTD("cqg.rtd",,"DOMData",$B$3,"Price","3","T")</f>
        <v>65.25</v>
      </c>
      <c r="C8" s="152">
        <f t="shared" ca="1" si="0"/>
        <v>65</v>
      </c>
      <c r="D8" s="151">
        <f t="shared" ca="1" si="1"/>
        <v>0.25</v>
      </c>
      <c r="E8" s="150">
        <f t="shared" ca="1" si="3"/>
        <v>1</v>
      </c>
      <c r="F8" s="150">
        <f t="shared" ca="1" si="2"/>
        <v>0</v>
      </c>
      <c r="G8" s="150" t="str">
        <f t="shared" ca="1" si="4"/>
        <v>65' 01</v>
      </c>
      <c r="H8" s="150">
        <f ca="1">RTD("cqg.rtd",,"DOMData",$B$3,"Volume","3","T")</f>
        <v>5</v>
      </c>
    </row>
    <row r="9" spans="2:8" ht="17.25" x14ac:dyDescent="0.3">
      <c r="B9" s="152">
        <f ca="1">RTD("cqg.rtd",,"DOMData",$B$3,"Price","2","T")</f>
        <v>65</v>
      </c>
      <c r="C9" s="152">
        <f t="shared" ca="1" si="0"/>
        <v>65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65' 00</v>
      </c>
      <c r="H9" s="150">
        <f ca="1">RTD("cqg.rtd",,"DOMData",$B$3,"Volume","2","T")</f>
        <v>6</v>
      </c>
    </row>
    <row r="10" spans="2:8" ht="17.25" x14ac:dyDescent="0.3">
      <c r="B10" s="152">
        <f ca="1">RTD("cqg.rtd",,"DOMData",$B$3,"Price","1","T")</f>
        <v>64.5</v>
      </c>
      <c r="C10" s="152">
        <f ca="1">TRUNC(B10)</f>
        <v>64</v>
      </c>
      <c r="D10" s="151">
        <f ca="1">B10-C10</f>
        <v>0.5</v>
      </c>
      <c r="E10" s="150">
        <f t="shared" ca="1" si="3"/>
        <v>2</v>
      </c>
      <c r="F10" s="150">
        <f ca="1">IF(E10&lt;10,IF(E10&lt;1,0,0),"")</f>
        <v>0</v>
      </c>
      <c r="G10" s="150" t="str">
        <f ca="1">C10&amp;"' "&amp;F10&amp;E10</f>
        <v>64' 02</v>
      </c>
      <c r="H10" s="150">
        <f ca="1">RTD("cqg.rtd",,"DOMData",$B$3,"Volume","1","T")</f>
        <v>2</v>
      </c>
    </row>
    <row r="11" spans="2:8" ht="17.25" x14ac:dyDescent="0.3">
      <c r="B11" s="152">
        <f ca="1">RTD("cqg.rtd",,"DOMData",$B$3,"Price","-1","T")</f>
        <v>64.25</v>
      </c>
      <c r="C11" s="152">
        <f t="shared" ref="C11:C15" ca="1" si="5">TRUNC(B11)</f>
        <v>64</v>
      </c>
      <c r="D11" s="150">
        <f t="shared" ref="D11:D15" ca="1" si="6">B11-C11</f>
        <v>0.25</v>
      </c>
      <c r="E11" s="150">
        <f t="shared" ca="1" si="3"/>
        <v>1</v>
      </c>
      <c r="F11" s="150">
        <f t="shared" ref="F11:F15" ca="1" si="7">IF(E11&lt;10,IF(E11&lt;1,0,0),"")</f>
        <v>0</v>
      </c>
      <c r="G11" s="150" t="str">
        <f ca="1">C11&amp;"' "&amp;F11&amp;E11</f>
        <v>64' 01</v>
      </c>
      <c r="H11" s="153">
        <f ca="1">RTD("cqg.rtd",,"DOMData",$B$3,"Volume","-1","T")</f>
        <v>2</v>
      </c>
    </row>
    <row r="12" spans="2:8" ht="17.25" x14ac:dyDescent="0.3">
      <c r="B12" s="152">
        <f ca="1">RTD("cqg.rtd",,"DOMData",$B$3,"Price","-2","T")</f>
        <v>64</v>
      </c>
      <c r="C12" s="152">
        <f t="shared" ca="1" si="5"/>
        <v>64</v>
      </c>
      <c r="D12" s="150">
        <f t="shared" ca="1" si="6"/>
        <v>0</v>
      </c>
      <c r="E12" s="150">
        <f t="shared" ca="1" si="3"/>
        <v>0</v>
      </c>
      <c r="F12" s="150">
        <f t="shared" ca="1" si="7"/>
        <v>0</v>
      </c>
      <c r="G12" s="150" t="str">
        <f t="shared" ref="G12:G15" ca="1" si="8">C12&amp;"' "&amp;F12&amp;E12</f>
        <v>64' 00</v>
      </c>
      <c r="H12" s="153">
        <f ca="1">RTD("cqg.rtd",,"DOMData",$B$3,"Volume","-2","T")</f>
        <v>6</v>
      </c>
    </row>
    <row r="13" spans="2:8" ht="17.25" x14ac:dyDescent="0.3">
      <c r="B13" s="152">
        <f ca="1">RTD("cqg.rtd",,"DOMData",$B$3,"Price","-3","T")</f>
        <v>63.75</v>
      </c>
      <c r="C13" s="152">
        <f t="shared" ca="1" si="5"/>
        <v>63</v>
      </c>
      <c r="D13" s="150">
        <f t="shared" ca="1" si="6"/>
        <v>0.75</v>
      </c>
      <c r="E13" s="150">
        <f t="shared" ca="1" si="3"/>
        <v>3</v>
      </c>
      <c r="F13" s="150">
        <f t="shared" ca="1" si="7"/>
        <v>0</v>
      </c>
      <c r="G13" s="150" t="str">
        <f t="shared" ca="1" si="8"/>
        <v>63' 03</v>
      </c>
      <c r="H13" s="153">
        <f ca="1">RTD("cqg.rtd",,"DOMData",$B$3,"Volume","-3","T")</f>
        <v>2</v>
      </c>
    </row>
    <row r="14" spans="2:8" ht="17.25" x14ac:dyDescent="0.3">
      <c r="B14" s="152">
        <f ca="1">RTD("cqg.rtd",,"DOMData",$B$3,"Price","-4","T")</f>
        <v>63.5</v>
      </c>
      <c r="C14" s="152">
        <f t="shared" ca="1" si="5"/>
        <v>63</v>
      </c>
      <c r="D14" s="150">
        <f t="shared" ca="1" si="6"/>
        <v>0.5</v>
      </c>
      <c r="E14" s="150">
        <f t="shared" ca="1" si="3"/>
        <v>2</v>
      </c>
      <c r="F14" s="150">
        <f t="shared" ca="1" si="7"/>
        <v>0</v>
      </c>
      <c r="G14" s="150" t="str">
        <f t="shared" ca="1" si="8"/>
        <v>63' 02</v>
      </c>
      <c r="H14" s="153">
        <f ca="1">RTD("cqg.rtd",,"DOMData",$B$3,"Volume","-4","T")</f>
        <v>3</v>
      </c>
    </row>
    <row r="15" spans="2:8" ht="17.25" x14ac:dyDescent="0.3">
      <c r="B15" s="152">
        <f ca="1">RTD("cqg.rtd",,"DOMData",$B$3,"Price","-5","T")</f>
        <v>63.25</v>
      </c>
      <c r="C15" s="152">
        <f t="shared" ca="1" si="5"/>
        <v>63</v>
      </c>
      <c r="D15" s="150">
        <f t="shared" ca="1" si="6"/>
        <v>0.25</v>
      </c>
      <c r="E15" s="150">
        <f t="shared" ca="1" si="3"/>
        <v>1</v>
      </c>
      <c r="F15" s="150">
        <f t="shared" ca="1" si="7"/>
        <v>0</v>
      </c>
      <c r="G15" s="150" t="str">
        <f t="shared" ca="1" si="8"/>
        <v>63' 01</v>
      </c>
      <c r="H15" s="153">
        <f ca="1">RTD("cqg.rtd",,"DOMData",$B$3,"Volume","-5","T")</f>
        <v>1</v>
      </c>
    </row>
  </sheetData>
  <sheetProtection algorithmName="SHA-512" hashValue="7lwXQdYLlSQ7JXl0I/kQEYN7W5SoTBvtcn/DI+muNX50nqUUktmptHcsg6G+LY7r/OZbp3ePnl9im7Bnit1cXQ==" saltValue="ub3OPlFKixtZsGN2f0RRI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Display!B14</f>
        <v>SOM01Z6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 t="str">
        <f ca="1">RTD("cqg.rtd",,"DOMData",$B$3,"Price","5","T")</f>
        <v/>
      </c>
      <c r="C6" s="152" t="e">
        <f t="shared" ref="C6:C9" ca="1" si="0">TRUNC(B6)</f>
        <v>#VALUE!</v>
      </c>
      <c r="D6" s="151" t="e">
        <f t="shared" ref="D6:D9" ca="1" si="1">B6-C6</f>
        <v>#VALUE!</v>
      </c>
      <c r="E6" s="150" t="e">
        <f ca="1">D6*4</f>
        <v>#VALUE!</v>
      </c>
      <c r="F6" s="150" t="e">
        <f t="shared" ref="F6:F9" ca="1" si="2">IF(E6&lt;10,IF(E6&lt;1,0,0),"")</f>
        <v>#VALUE!</v>
      </c>
      <c r="G6" s="150" t="e">
        <f ca="1">C6&amp;"' "&amp;F6&amp;E6</f>
        <v>#VALUE!</v>
      </c>
      <c r="H6" s="150" t="str">
        <f ca="1">RTD("cqg.rtd",,"DOMData",$B$3,"Volume","5","T")</f>
        <v/>
      </c>
    </row>
    <row r="7" spans="2:8" ht="17.25" x14ac:dyDescent="0.3">
      <c r="B7" s="152" t="str">
        <f ca="1">RTD("cqg.rtd",,"DOMData",$B$3,"Price","4","T")</f>
        <v/>
      </c>
      <c r="C7" s="152" t="e">
        <f t="shared" ca="1" si="0"/>
        <v>#VALUE!</v>
      </c>
      <c r="D7" s="151" t="e">
        <f t="shared" ca="1" si="1"/>
        <v>#VALUE!</v>
      </c>
      <c r="E7" s="150" t="e">
        <f t="shared" ref="E7:E15" ca="1" si="3">D7*4</f>
        <v>#VALUE!</v>
      </c>
      <c r="F7" s="150" t="e">
        <f t="shared" ca="1" si="2"/>
        <v>#VALUE!</v>
      </c>
      <c r="G7" s="150" t="e">
        <f t="shared" ref="G7:G9" ca="1" si="4">C7&amp;"' "&amp;F7&amp;E7</f>
        <v>#VALUE!</v>
      </c>
      <c r="H7" s="150" t="str">
        <f ca="1">RTD("cqg.rtd",,"DOMData",$B$3,"Volume","4","T")</f>
        <v/>
      </c>
    </row>
    <row r="8" spans="2:8" ht="17.25" x14ac:dyDescent="0.3">
      <c r="B8" s="152" t="str">
        <f ca="1">RTD("cqg.rtd",,"DOMData",$B$3,"Price","3","T")</f>
        <v/>
      </c>
      <c r="C8" s="152" t="e">
        <f t="shared" ca="1" si="0"/>
        <v>#VALUE!</v>
      </c>
      <c r="D8" s="151" t="e">
        <f t="shared" ca="1" si="1"/>
        <v>#VALUE!</v>
      </c>
      <c r="E8" s="150" t="e">
        <f t="shared" ca="1" si="3"/>
        <v>#VALUE!</v>
      </c>
      <c r="F8" s="150" t="e">
        <f t="shared" ca="1" si="2"/>
        <v>#VALUE!</v>
      </c>
      <c r="G8" s="150" t="e">
        <f t="shared" ca="1" si="4"/>
        <v>#VALUE!</v>
      </c>
      <c r="H8" s="150" t="str">
        <f ca="1">RTD("cqg.rtd",,"DOMData",$B$3,"Volume","3","T")</f>
        <v/>
      </c>
    </row>
    <row r="9" spans="2:8" ht="17.25" x14ac:dyDescent="0.3">
      <c r="B9" s="152">
        <f ca="1">RTD("cqg.rtd",,"DOMData",$B$3,"Price","2","T")</f>
        <v>95</v>
      </c>
      <c r="C9" s="152">
        <f t="shared" ca="1" si="0"/>
        <v>95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95' 00</v>
      </c>
      <c r="H9" s="150">
        <f ca="1">RTD("cqg.rtd",,"DOMData",$B$3,"Volume","2","T")</f>
        <v>1</v>
      </c>
    </row>
    <row r="10" spans="2:8" ht="17.25" x14ac:dyDescent="0.3">
      <c r="B10" s="152">
        <f ca="1">RTD("cqg.rtd",,"DOMData",$B$3,"Price","1","T")</f>
        <v>79.75</v>
      </c>
      <c r="C10" s="152">
        <f ca="1">TRUNC(B10)</f>
        <v>79</v>
      </c>
      <c r="D10" s="151">
        <f ca="1">B10-C10</f>
        <v>0.75</v>
      </c>
      <c r="E10" s="150">
        <f t="shared" ca="1" si="3"/>
        <v>3</v>
      </c>
      <c r="F10" s="150">
        <f ca="1">IF(E10&lt;10,IF(E10&lt;1,0,0),"")</f>
        <v>0</v>
      </c>
      <c r="G10" s="150" t="str">
        <f ca="1">C10&amp;"' "&amp;F10&amp;E10</f>
        <v>79' 03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56.5</v>
      </c>
      <c r="C11" s="152">
        <f t="shared" ref="C11:C15" ca="1" si="5">TRUNC(B11)</f>
        <v>56</v>
      </c>
      <c r="D11" s="150">
        <f t="shared" ref="D11:D15" ca="1" si="6">B11-C11</f>
        <v>0.5</v>
      </c>
      <c r="E11" s="150">
        <f t="shared" ca="1" si="3"/>
        <v>2</v>
      </c>
      <c r="F11" s="150">
        <f t="shared" ref="F11:F15" ca="1" si="7">IF(E11&lt;10,IF(E11&lt;1,0,0),"")</f>
        <v>0</v>
      </c>
      <c r="G11" s="150" t="str">
        <f ca="1">C11&amp;"' "&amp;F11&amp;E11</f>
        <v>56' 02</v>
      </c>
      <c r="H11" s="153">
        <f ca="1">RTD("cqg.rtd",,"DOMData",$B$3,"Volume","-1","T")</f>
        <v>1</v>
      </c>
    </row>
    <row r="12" spans="2:8" ht="17.25" x14ac:dyDescent="0.3">
      <c r="B12" s="152" t="str">
        <f ca="1">RTD("cqg.rtd",,"DOMData",$B$3,"Price","-2","T")</f>
        <v/>
      </c>
      <c r="C12" s="152" t="e">
        <f t="shared" ca="1" si="5"/>
        <v>#VALUE!</v>
      </c>
      <c r="D12" s="150" t="e">
        <f t="shared" ca="1" si="6"/>
        <v>#VALUE!</v>
      </c>
      <c r="E12" s="150" t="e">
        <f t="shared" ca="1" si="3"/>
        <v>#VALUE!</v>
      </c>
      <c r="F12" s="150" t="e">
        <f t="shared" ca="1" si="7"/>
        <v>#VALUE!</v>
      </c>
      <c r="G12" s="150" t="e">
        <f t="shared" ref="G12:G15" ca="1" si="8">C12&amp;"' "&amp;F12&amp;E12</f>
        <v>#VALUE!</v>
      </c>
      <c r="H12" s="153" t="str">
        <f ca="1">RTD("cqg.rtd",,"DOMData",$B$3,"Volume","-2","T")</f>
        <v/>
      </c>
    </row>
    <row r="13" spans="2:8" ht="17.25" x14ac:dyDescent="0.3">
      <c r="B13" s="152" t="str">
        <f ca="1">RTD("cqg.rtd",,"DOMData",$B$3,"Price","-3","T")</f>
        <v/>
      </c>
      <c r="C13" s="152" t="e">
        <f t="shared" ca="1" si="5"/>
        <v>#VALUE!</v>
      </c>
      <c r="D13" s="150" t="e">
        <f t="shared" ca="1" si="6"/>
        <v>#VALUE!</v>
      </c>
      <c r="E13" s="150" t="e">
        <f t="shared" ca="1" si="3"/>
        <v>#VALUE!</v>
      </c>
      <c r="F13" s="150" t="e">
        <f t="shared" ca="1" si="7"/>
        <v>#VALUE!</v>
      </c>
      <c r="G13" s="150" t="e">
        <f t="shared" ca="1" si="8"/>
        <v>#VALUE!</v>
      </c>
      <c r="H13" s="153" t="str">
        <f ca="1">RTD("cqg.rtd",,"DOMData",$B$3,"Volume","-3","T")</f>
        <v/>
      </c>
    </row>
    <row r="14" spans="2:8" ht="17.25" x14ac:dyDescent="0.3">
      <c r="B14" s="152" t="str">
        <f ca="1">RTD("cqg.rtd",,"DOMData",$B$3,"Price","-4","T")</f>
        <v/>
      </c>
      <c r="C14" s="152" t="e">
        <f t="shared" ca="1" si="5"/>
        <v>#VALUE!</v>
      </c>
      <c r="D14" s="150" t="e">
        <f t="shared" ca="1" si="6"/>
        <v>#VALUE!</v>
      </c>
      <c r="E14" s="150" t="e">
        <f t="shared" ca="1" si="3"/>
        <v>#VALUE!</v>
      </c>
      <c r="F14" s="150" t="e">
        <f t="shared" ca="1" si="7"/>
        <v>#VALUE!</v>
      </c>
      <c r="G14" s="150" t="e">
        <f t="shared" ca="1" si="8"/>
        <v>#VALUE!</v>
      </c>
      <c r="H14" s="153" t="str">
        <f ca="1">RTD("cqg.rtd",,"DOMData",$B$3,"Volume","-4","T")</f>
        <v/>
      </c>
    </row>
    <row r="15" spans="2:8" ht="17.25" x14ac:dyDescent="0.3">
      <c r="B15" s="152" t="str">
        <f ca="1">RTD("cqg.rtd",,"DOMData",$B$3,"Price","-5","T")</f>
        <v/>
      </c>
      <c r="C15" s="152" t="e">
        <f t="shared" ca="1" si="5"/>
        <v>#VALUE!</v>
      </c>
      <c r="D15" s="150" t="e">
        <f t="shared" ca="1" si="6"/>
        <v>#VALUE!</v>
      </c>
      <c r="E15" s="150" t="e">
        <f t="shared" ca="1" si="3"/>
        <v>#VALUE!</v>
      </c>
      <c r="F15" s="150" t="e">
        <f t="shared" ca="1" si="7"/>
        <v>#VALUE!</v>
      </c>
      <c r="G15" s="150" t="e">
        <f t="shared" ca="1" si="8"/>
        <v>#VALUE!</v>
      </c>
      <c r="H15" s="153" t="str">
        <f ca="1">RTD("cqg.rtd",,"DOMData",$B$3,"Volume","-5","T")</f>
        <v/>
      </c>
    </row>
  </sheetData>
  <sheetProtection algorithmName="SHA-512" hashValue="/CGN5ytopBlJFFPSAMrTpTNIY1ZAYafwPqWYuSc1bisVIJHoWMUbsfllQwPj96q2N9Ra3DrWgYI1q5Ut51oIRg==" saltValue="4f7oe5DdO4BtQdAYCkUCiQ==" spinCount="100000" sheet="1" objects="1" scenarios="1" selectLockedCells="1" selectUn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Display!B15</f>
        <v>SOM00F7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85.75</v>
      </c>
      <c r="C6" s="152">
        <f t="shared" ref="C6:C9" ca="1" si="0">TRUNC(B6)</f>
        <v>85</v>
      </c>
      <c r="D6" s="151">
        <f t="shared" ref="D6:D9" ca="1" si="1">B6-C6</f>
        <v>0.75</v>
      </c>
      <c r="E6" s="150">
        <f ca="1">D6*4</f>
        <v>3</v>
      </c>
      <c r="F6" s="150">
        <f t="shared" ref="F6:F9" ca="1" si="2">IF(E6&lt;10,IF(E6&lt;1,0,0),"")</f>
        <v>0</v>
      </c>
      <c r="G6" s="150" t="str">
        <f ca="1">C6&amp;"' "&amp;F6&amp;E6</f>
        <v>85' 03</v>
      </c>
      <c r="H6" s="150">
        <f ca="1">RTD("cqg.rtd",,"DOMData",$B$3,"Volume","5","T")</f>
        <v>1</v>
      </c>
    </row>
    <row r="7" spans="2:8" ht="17.25" x14ac:dyDescent="0.3">
      <c r="B7" s="152">
        <f ca="1">RTD("cqg.rtd",,"DOMData",$B$3,"Price","4","T")</f>
        <v>85.5</v>
      </c>
      <c r="C7" s="152">
        <f t="shared" ca="1" si="0"/>
        <v>85</v>
      </c>
      <c r="D7" s="151">
        <f t="shared" ca="1" si="1"/>
        <v>0.5</v>
      </c>
      <c r="E7" s="150">
        <f t="shared" ref="E7:E15" ca="1" si="3">D7*4</f>
        <v>2</v>
      </c>
      <c r="F7" s="150">
        <f t="shared" ca="1" si="2"/>
        <v>0</v>
      </c>
      <c r="G7" s="150" t="str">
        <f t="shared" ref="G7:G9" ca="1" si="4">C7&amp;"' "&amp;F7&amp;E7</f>
        <v>85' 02</v>
      </c>
      <c r="H7" s="150">
        <f ca="1">RTD("cqg.rtd",,"DOMData",$B$3,"Volume","4","T")</f>
        <v>2</v>
      </c>
    </row>
    <row r="8" spans="2:8" ht="17.25" x14ac:dyDescent="0.3">
      <c r="B8" s="152">
        <f ca="1">RTD("cqg.rtd",,"DOMData",$B$3,"Price","3","T")</f>
        <v>69.5</v>
      </c>
      <c r="C8" s="152">
        <f t="shared" ca="1" si="0"/>
        <v>69</v>
      </c>
      <c r="D8" s="151">
        <f t="shared" ca="1" si="1"/>
        <v>0.5</v>
      </c>
      <c r="E8" s="150">
        <f t="shared" ca="1" si="3"/>
        <v>2</v>
      </c>
      <c r="F8" s="150">
        <f t="shared" ca="1" si="2"/>
        <v>0</v>
      </c>
      <c r="G8" s="150" t="str">
        <f t="shared" ca="1" si="4"/>
        <v>69' 02</v>
      </c>
      <c r="H8" s="150">
        <f ca="1">RTD("cqg.rtd",,"DOMData",$B$3,"Volume","3","T")</f>
        <v>3</v>
      </c>
    </row>
    <row r="9" spans="2:8" ht="17.25" x14ac:dyDescent="0.3">
      <c r="B9" s="152">
        <f ca="1">RTD("cqg.rtd",,"DOMData",$B$3,"Price","2","T")</f>
        <v>69</v>
      </c>
      <c r="C9" s="152">
        <f t="shared" ca="1" si="0"/>
        <v>69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69' 00</v>
      </c>
      <c r="H9" s="150">
        <f ca="1">RTD("cqg.rtd",,"DOMData",$B$3,"Volume","2","T")</f>
        <v>2</v>
      </c>
    </row>
    <row r="10" spans="2:8" ht="17.25" x14ac:dyDescent="0.3">
      <c r="B10" s="152">
        <f ca="1">RTD("cqg.rtd",,"DOMData",$B$3,"Price","1","T")</f>
        <v>65</v>
      </c>
      <c r="C10" s="152">
        <f ca="1">TRUNC(B10)</f>
        <v>65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65' 00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64</v>
      </c>
      <c r="C11" s="152">
        <f t="shared" ref="C11:C15" ca="1" si="5">TRUNC(B11)</f>
        <v>64</v>
      </c>
      <c r="D11" s="150">
        <f t="shared" ref="D11:D15" ca="1" si="6">B11-C11</f>
        <v>0</v>
      </c>
      <c r="E11" s="150">
        <f t="shared" ca="1" si="3"/>
        <v>0</v>
      </c>
      <c r="F11" s="150">
        <f t="shared" ref="F11:F15" ca="1" si="7">IF(E11&lt;10,IF(E11&lt;1,0,0),"")</f>
        <v>0</v>
      </c>
      <c r="G11" s="150" t="str">
        <f ca="1">C11&amp;"' "&amp;F11&amp;E11</f>
        <v>64' 00</v>
      </c>
      <c r="H11" s="153">
        <f ca="1">RTD("cqg.rtd",,"DOMData",$B$3,"Volume","-1","T")</f>
        <v>1</v>
      </c>
    </row>
    <row r="12" spans="2:8" ht="17.25" x14ac:dyDescent="0.3">
      <c r="B12" s="152">
        <f ca="1">RTD("cqg.rtd",,"DOMData",$B$3,"Price","-2","T")</f>
        <v>63.25</v>
      </c>
      <c r="C12" s="152">
        <f t="shared" ca="1" si="5"/>
        <v>63</v>
      </c>
      <c r="D12" s="150">
        <f t="shared" ca="1" si="6"/>
        <v>0.25</v>
      </c>
      <c r="E12" s="150">
        <f t="shared" ca="1" si="3"/>
        <v>1</v>
      </c>
      <c r="F12" s="150">
        <f t="shared" ca="1" si="7"/>
        <v>0</v>
      </c>
      <c r="G12" s="150" t="str">
        <f t="shared" ref="G12:G15" ca="1" si="8">C12&amp;"' "&amp;F12&amp;E12</f>
        <v>63' 01</v>
      </c>
      <c r="H12" s="153">
        <f ca="1">RTD("cqg.rtd",,"DOMData",$B$3,"Volume","-2","T")</f>
        <v>1</v>
      </c>
    </row>
    <row r="13" spans="2:8" ht="17.25" x14ac:dyDescent="0.3">
      <c r="B13" s="152">
        <f ca="1">RTD("cqg.rtd",,"DOMData",$B$3,"Price","-3","T")</f>
        <v>63</v>
      </c>
      <c r="C13" s="152">
        <f t="shared" ca="1" si="5"/>
        <v>63</v>
      </c>
      <c r="D13" s="150">
        <f t="shared" ca="1" si="6"/>
        <v>0</v>
      </c>
      <c r="E13" s="150">
        <f t="shared" ca="1" si="3"/>
        <v>0</v>
      </c>
      <c r="F13" s="150">
        <f t="shared" ca="1" si="7"/>
        <v>0</v>
      </c>
      <c r="G13" s="150" t="str">
        <f t="shared" ca="1" si="8"/>
        <v>63' 00</v>
      </c>
      <c r="H13" s="153">
        <f ca="1">RTD("cqg.rtd",,"DOMData",$B$3,"Volume","-3","T")</f>
        <v>1</v>
      </c>
    </row>
    <row r="14" spans="2:8" ht="17.25" x14ac:dyDescent="0.3">
      <c r="B14" s="152">
        <f ca="1">RTD("cqg.rtd",,"DOMData",$B$3,"Price","-4","T")</f>
        <v>61.25</v>
      </c>
      <c r="C14" s="152">
        <f t="shared" ca="1" si="5"/>
        <v>61</v>
      </c>
      <c r="D14" s="150">
        <f t="shared" ca="1" si="6"/>
        <v>0.25</v>
      </c>
      <c r="E14" s="150">
        <f t="shared" ca="1" si="3"/>
        <v>1</v>
      </c>
      <c r="F14" s="150">
        <f t="shared" ca="1" si="7"/>
        <v>0</v>
      </c>
      <c r="G14" s="150" t="str">
        <f t="shared" ca="1" si="8"/>
        <v>61' 01</v>
      </c>
      <c r="H14" s="153">
        <f ca="1">RTD("cqg.rtd",,"DOMData",$B$3,"Volume","-4","T")</f>
        <v>1</v>
      </c>
    </row>
    <row r="15" spans="2:8" ht="17.25" x14ac:dyDescent="0.3">
      <c r="B15" s="152">
        <f ca="1">RTD("cqg.rtd",,"DOMData",$B$3,"Price","-5","T")</f>
        <v>60</v>
      </c>
      <c r="C15" s="152">
        <f t="shared" ca="1" si="5"/>
        <v>60</v>
      </c>
      <c r="D15" s="150">
        <f t="shared" ca="1" si="6"/>
        <v>0</v>
      </c>
      <c r="E15" s="150">
        <f t="shared" ca="1" si="3"/>
        <v>0</v>
      </c>
      <c r="F15" s="150">
        <f t="shared" ca="1" si="7"/>
        <v>0</v>
      </c>
      <c r="G15" s="150" t="str">
        <f t="shared" ca="1" si="8"/>
        <v>60' 00</v>
      </c>
      <c r="H15" s="153">
        <f ca="1">RTD("cqg.rtd",,"DOMData",$B$3,"Volume","-5","T")</f>
        <v>2</v>
      </c>
    </row>
  </sheetData>
  <sheetProtection algorithmName="SHA-512" hashValue="RzcJbnJ/bGErQQpEfu3IerJrzyBQztomIrj4y+YNPorcNZu3bnoGuCrChLutK+GhEK3l9cObWYMYm/hLRylU+w==" saltValue="ya+6kXKqClFT7cjTmRsZ/w==" spinCount="100000" sheet="1" objects="1" scenarios="1"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Display!B16</f>
        <v>SOM00H7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 t="str">
        <f ca="1">RTD("cqg.rtd",,"DOMData",$B$3,"Price","5","T")</f>
        <v/>
      </c>
      <c r="C6" s="152" t="e">
        <f t="shared" ref="C6:C9" ca="1" si="0">TRUNC(B6)</f>
        <v>#VALUE!</v>
      </c>
      <c r="D6" s="151" t="e">
        <f t="shared" ref="D6:D9" ca="1" si="1">B6-C6</f>
        <v>#VALUE!</v>
      </c>
      <c r="E6" s="150" t="e">
        <f ca="1">D6*4</f>
        <v>#VALUE!</v>
      </c>
      <c r="F6" s="150" t="e">
        <f t="shared" ref="F6:F9" ca="1" si="2">IF(E6&lt;10,IF(E6&lt;1,0,0),"")</f>
        <v>#VALUE!</v>
      </c>
      <c r="G6" s="150" t="e">
        <f ca="1">C6&amp;"' "&amp;F6&amp;E6</f>
        <v>#VALUE!</v>
      </c>
      <c r="H6" s="150" t="str">
        <f ca="1">RTD("cqg.rtd",,"DOMData",$B$3,"Volume","5","T")</f>
        <v/>
      </c>
    </row>
    <row r="7" spans="2:8" ht="17.25" x14ac:dyDescent="0.3">
      <c r="B7" s="152">
        <f ca="1">RTD("cqg.rtd",,"DOMData",$B$3,"Price","4","T")</f>
        <v>90</v>
      </c>
      <c r="C7" s="152">
        <f t="shared" ca="1" si="0"/>
        <v>90</v>
      </c>
      <c r="D7" s="151">
        <f t="shared" ca="1" si="1"/>
        <v>0</v>
      </c>
      <c r="E7" s="150">
        <f t="shared" ref="E7:E15" ca="1" si="3">D7*4</f>
        <v>0</v>
      </c>
      <c r="F7" s="150">
        <f t="shared" ca="1" si="2"/>
        <v>0</v>
      </c>
      <c r="G7" s="150" t="str">
        <f t="shared" ref="G7:G9" ca="1" si="4">C7&amp;"' "&amp;F7&amp;E7</f>
        <v>90' 00</v>
      </c>
      <c r="H7" s="150">
        <f ca="1">RTD("cqg.rtd",,"DOMData",$B$3,"Volume","4","T")</f>
        <v>1</v>
      </c>
    </row>
    <row r="8" spans="2:8" ht="17.25" x14ac:dyDescent="0.3">
      <c r="B8" s="152">
        <f ca="1">RTD("cqg.rtd",,"DOMData",$B$3,"Price","3","T")</f>
        <v>73</v>
      </c>
      <c r="C8" s="152">
        <f t="shared" ca="1" si="0"/>
        <v>73</v>
      </c>
      <c r="D8" s="151">
        <f t="shared" ca="1" si="1"/>
        <v>0</v>
      </c>
      <c r="E8" s="150">
        <f t="shared" ca="1" si="3"/>
        <v>0</v>
      </c>
      <c r="F8" s="150">
        <f t="shared" ca="1" si="2"/>
        <v>0</v>
      </c>
      <c r="G8" s="150" t="str">
        <f t="shared" ca="1" si="4"/>
        <v>73' 00</v>
      </c>
      <c r="H8" s="150">
        <f ca="1">RTD("cqg.rtd",,"DOMData",$B$3,"Volume","3","T")</f>
        <v>2</v>
      </c>
    </row>
    <row r="9" spans="2:8" ht="17.25" x14ac:dyDescent="0.3">
      <c r="B9" s="152">
        <f ca="1">RTD("cqg.rtd",,"DOMData",$B$3,"Price","2","T")</f>
        <v>72</v>
      </c>
      <c r="C9" s="152">
        <f t="shared" ca="1" si="0"/>
        <v>72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72' 00</v>
      </c>
      <c r="H9" s="150">
        <f ca="1">RTD("cqg.rtd",,"DOMData",$B$3,"Volume","2","T")</f>
        <v>2</v>
      </c>
    </row>
    <row r="10" spans="2:8" ht="17.25" x14ac:dyDescent="0.3">
      <c r="B10" s="152">
        <f ca="1">RTD("cqg.rtd",,"DOMData",$B$3,"Price","1","T")</f>
        <v>69</v>
      </c>
      <c r="C10" s="152">
        <f ca="1">TRUNC(B10)</f>
        <v>69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69' 00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67</v>
      </c>
      <c r="C11" s="152">
        <f t="shared" ref="C11:C15" ca="1" si="5">TRUNC(B11)</f>
        <v>67</v>
      </c>
      <c r="D11" s="150">
        <f t="shared" ref="D11:D15" ca="1" si="6">B11-C11</f>
        <v>0</v>
      </c>
      <c r="E11" s="150">
        <f t="shared" ca="1" si="3"/>
        <v>0</v>
      </c>
      <c r="F11" s="150">
        <f t="shared" ref="F11:F15" ca="1" si="7">IF(E11&lt;10,IF(E11&lt;1,0,0),"")</f>
        <v>0</v>
      </c>
      <c r="G11" s="150" t="str">
        <f ca="1">C11&amp;"' "&amp;F11&amp;E11</f>
        <v>67' 00</v>
      </c>
      <c r="H11" s="153">
        <f ca="1">RTD("cqg.rtd",,"DOMData",$B$3,"Volume","-1","T")</f>
        <v>1</v>
      </c>
    </row>
    <row r="12" spans="2:8" ht="17.25" x14ac:dyDescent="0.3">
      <c r="B12" s="152">
        <f ca="1">RTD("cqg.rtd",,"DOMData",$B$3,"Price","-2","T")</f>
        <v>66.5</v>
      </c>
      <c r="C12" s="152">
        <f t="shared" ca="1" si="5"/>
        <v>66</v>
      </c>
      <c r="D12" s="150">
        <f t="shared" ca="1" si="6"/>
        <v>0.5</v>
      </c>
      <c r="E12" s="150">
        <f t="shared" ca="1" si="3"/>
        <v>2</v>
      </c>
      <c r="F12" s="150">
        <f t="shared" ca="1" si="7"/>
        <v>0</v>
      </c>
      <c r="G12" s="150" t="str">
        <f t="shared" ref="G12:G15" ca="1" si="8">C12&amp;"' "&amp;F12&amp;E12</f>
        <v>66' 02</v>
      </c>
      <c r="H12" s="153">
        <f ca="1">RTD("cqg.rtd",,"DOMData",$B$3,"Volume","-2","T")</f>
        <v>1</v>
      </c>
    </row>
    <row r="13" spans="2:8" ht="17.25" x14ac:dyDescent="0.3">
      <c r="B13" s="152">
        <f ca="1">RTD("cqg.rtd",,"DOMData",$B$3,"Price","-3","T")</f>
        <v>65</v>
      </c>
      <c r="C13" s="152">
        <f t="shared" ca="1" si="5"/>
        <v>65</v>
      </c>
      <c r="D13" s="150">
        <f t="shared" ca="1" si="6"/>
        <v>0</v>
      </c>
      <c r="E13" s="150">
        <f t="shared" ca="1" si="3"/>
        <v>0</v>
      </c>
      <c r="F13" s="150">
        <f t="shared" ca="1" si="7"/>
        <v>0</v>
      </c>
      <c r="G13" s="150" t="str">
        <f t="shared" ca="1" si="8"/>
        <v>65' 00</v>
      </c>
      <c r="H13" s="153">
        <f ca="1">RTD("cqg.rtd",,"DOMData",$B$3,"Volume","-3","T")</f>
        <v>1</v>
      </c>
    </row>
    <row r="14" spans="2:8" ht="17.25" x14ac:dyDescent="0.3">
      <c r="B14" s="152">
        <f ca="1">RTD("cqg.rtd",,"DOMData",$B$3,"Price","-4","T")</f>
        <v>63</v>
      </c>
      <c r="C14" s="152">
        <f t="shared" ca="1" si="5"/>
        <v>63</v>
      </c>
      <c r="D14" s="150">
        <f t="shared" ca="1" si="6"/>
        <v>0</v>
      </c>
      <c r="E14" s="150">
        <f t="shared" ca="1" si="3"/>
        <v>0</v>
      </c>
      <c r="F14" s="150">
        <f t="shared" ca="1" si="7"/>
        <v>0</v>
      </c>
      <c r="G14" s="150" t="str">
        <f t="shared" ca="1" si="8"/>
        <v>63' 00</v>
      </c>
      <c r="H14" s="153">
        <f ca="1">RTD("cqg.rtd",,"DOMData",$B$3,"Volume","-4","T")</f>
        <v>1</v>
      </c>
    </row>
    <row r="15" spans="2:8" ht="17.25" x14ac:dyDescent="0.3">
      <c r="B15" s="152">
        <f ca="1">RTD("cqg.rtd",,"DOMData",$B$3,"Price","-5","T")</f>
        <v>60</v>
      </c>
      <c r="C15" s="152">
        <f t="shared" ca="1" si="5"/>
        <v>60</v>
      </c>
      <c r="D15" s="150">
        <f t="shared" ca="1" si="6"/>
        <v>0</v>
      </c>
      <c r="E15" s="150">
        <f t="shared" ca="1" si="3"/>
        <v>0</v>
      </c>
      <c r="F15" s="150">
        <f t="shared" ca="1" si="7"/>
        <v>0</v>
      </c>
      <c r="G15" s="150" t="str">
        <f t="shared" ca="1" si="8"/>
        <v>60' 00</v>
      </c>
      <c r="H15" s="153">
        <f ca="1">RTD("cqg.rtd",,"DOMData",$B$3,"Volume","-5","T")</f>
        <v>5</v>
      </c>
    </row>
  </sheetData>
  <sheetProtection algorithmName="SHA-512" hashValue="SyLfQSjq4qI5clwytn4Ge+lW3uxAlpt27o9432qpny8Lw12oxG+Bs4+KABjv0TxvcFeKogRBiMTB/CyXAuu+0A==" saltValue="/h4w6zKzpMk0pT4yNlTzng==" spinCount="100000" sheet="1" objects="1" scenarios="1"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showRowColHeaders="0" workbookViewId="0">
      <selection sqref="A1:XFD1048576"/>
    </sheetView>
  </sheetViews>
  <sheetFormatPr defaultRowHeight="16.5" x14ac:dyDescent="0.3"/>
  <cols>
    <col min="1" max="3" width="9" style="142"/>
    <col min="4" max="4" width="19.25" style="142" customWidth="1"/>
    <col min="5" max="16384" width="9" style="142"/>
  </cols>
  <sheetData>
    <row r="2" spans="2:8" x14ac:dyDescent="0.3">
      <c r="B2" s="142" t="str">
        <f>Display!T44</f>
        <v>ZSE</v>
      </c>
      <c r="C2" s="142" t="str">
        <f>Display!X44</f>
        <v>D</v>
      </c>
    </row>
    <row r="3" spans="2:8" x14ac:dyDescent="0.3">
      <c r="C3" s="142">
        <v>0</v>
      </c>
      <c r="D3" s="154">
        <f xml:space="preserve"> RTD("cqg.rtd",,"StudyData", $B$2,  "Bar",, "Time",$C$2,C3,,,,,"T")</f>
        <v>42388</v>
      </c>
      <c r="E3" s="142">
        <f xml:space="preserve"> IF(RTD("cqg.rtd",,"StudyData", $B$2,  "Bar",, "Open",$C$2,C3,,,,,"T")="",NA(), RTD("cqg.rtd",,"StudyData", $B$2,  "Bar",, "Open",$C$2,C3,,,,,"T"))</f>
        <v>881</v>
      </c>
      <c r="F3" s="142">
        <f xml:space="preserve"> IF(RTD("cqg.rtd",,"StudyData", $B$2,  "Bar",, "High",$C$2,C3,,,,,"T")="",NA(), RTD("cqg.rtd",,"StudyData", $B$2,  "Bar",, "High",$C$2,C3,,,,,"T"))</f>
        <v>888</v>
      </c>
      <c r="G3" s="142">
        <f>IF( RTD("cqg.rtd",,"StudyData", $B$2,  "Bar",, "Low",$C$2,C3,,,,,"T")="",NA(), RTD("cqg.rtd",,"StudyData", $B$2,  "Bar",, "Low",$C$2,C3,,,,,"T"))</f>
        <v>880.5</v>
      </c>
      <c r="H3" s="142">
        <f>IF( RTD("cqg.rtd",,"StudyData", $B$2,  "Bar",, "Close",$C$2,C3,,,,,"T")="",NA(), RTD("cqg.rtd",,"StudyData", $B$2,  "Bar",, "Close",$C$2,C3,,,,,"T"))</f>
        <v>882.75</v>
      </c>
    </row>
    <row r="4" spans="2:8" x14ac:dyDescent="0.3">
      <c r="C4" s="142">
        <f>C3-1</f>
        <v>-1</v>
      </c>
      <c r="D4" s="154">
        <f xml:space="preserve"> RTD("cqg.rtd",,"StudyData", $B$2,  "Bar",, "Time",$C$2,C4,,,,,"T")</f>
        <v>42384</v>
      </c>
      <c r="E4" s="142">
        <f xml:space="preserve"> RTD("cqg.rtd",,"StudyData", $B$2,  "Bar",, "Open",$C$2,C4,,,,,"T")</f>
        <v>882.25</v>
      </c>
      <c r="F4" s="142">
        <f xml:space="preserve"> RTD("cqg.rtd",,"StudyData", $B$2,  "Bar",, "High",$C$2,C4,,,,,"T")</f>
        <v>882.75</v>
      </c>
      <c r="G4" s="142">
        <f xml:space="preserve"> RTD("cqg.rtd",,"StudyData", $B$2,  "Bar",, "Low",$C$2,C4,,,,,"T")</f>
        <v>871</v>
      </c>
      <c r="H4" s="142">
        <f xml:space="preserve"> RTD("cqg.rtd",,"StudyData", $B$2,  "Bar",, "Close",$C$2,C4,,,,,"T")</f>
        <v>879</v>
      </c>
    </row>
    <row r="5" spans="2:8" x14ac:dyDescent="0.3">
      <c r="C5" s="142">
        <f t="shared" ref="C5:C53" si="0">C4-1</f>
        <v>-2</v>
      </c>
      <c r="D5" s="154">
        <f xml:space="preserve"> RTD("cqg.rtd",,"StudyData", $B$2,  "Bar",, "Time",$C$2,C5,,,,,"T")</f>
        <v>42383</v>
      </c>
      <c r="E5" s="142">
        <f xml:space="preserve"> RTD("cqg.rtd",,"StudyData", $B$2,  "Bar",, "Open",$C$2,C5,,,,,"T")</f>
        <v>879</v>
      </c>
      <c r="F5" s="142">
        <f xml:space="preserve"> RTD("cqg.rtd",,"StudyData", $B$2,  "Bar",, "High",$C$2,C5,,,,,"T")</f>
        <v>884.5</v>
      </c>
      <c r="G5" s="142">
        <f xml:space="preserve"> RTD("cqg.rtd",,"StudyData", $B$2,  "Bar",, "Low",$C$2,C5,,,,,"T")</f>
        <v>874.75</v>
      </c>
      <c r="H5" s="142">
        <f xml:space="preserve"> RTD("cqg.rtd",,"StudyData", $B$2,  "Bar",, "Close",$C$2,C5,,,,,"T")</f>
        <v>882.25</v>
      </c>
    </row>
    <row r="6" spans="2:8" x14ac:dyDescent="0.3">
      <c r="C6" s="142">
        <f t="shared" si="0"/>
        <v>-3</v>
      </c>
      <c r="D6" s="154">
        <f xml:space="preserve"> RTD("cqg.rtd",,"StudyData", $B$2,  "Bar",, "Time",$C$2,C6,,,,,"T")</f>
        <v>42382</v>
      </c>
      <c r="E6" s="142">
        <f xml:space="preserve"> RTD("cqg.rtd",,"StudyData", $B$2,  "Bar",, "Open",$C$2,C6,,,,,"T")</f>
        <v>875</v>
      </c>
      <c r="F6" s="142">
        <f xml:space="preserve"> RTD("cqg.rtd",,"StudyData", $B$2,  "Bar",, "High",$C$2,C6,,,,,"T")</f>
        <v>880.75</v>
      </c>
      <c r="G6" s="142">
        <f xml:space="preserve"> RTD("cqg.rtd",,"StudyData", $B$2,  "Bar",, "Low",$C$2,C6,,,,,"T")</f>
        <v>871</v>
      </c>
      <c r="H6" s="142">
        <f xml:space="preserve"> RTD("cqg.rtd",,"StudyData", $B$2,  "Bar",, "Close",$C$2,C6,,,,,"T")</f>
        <v>880</v>
      </c>
    </row>
    <row r="7" spans="2:8" x14ac:dyDescent="0.3">
      <c r="C7" s="142">
        <f t="shared" si="0"/>
        <v>-4</v>
      </c>
      <c r="D7" s="154">
        <f xml:space="preserve"> RTD("cqg.rtd",,"StudyData", $B$2,  "Bar",, "Time",$C$2,C7,,,,,"T")</f>
        <v>42381</v>
      </c>
      <c r="E7" s="142">
        <f xml:space="preserve"> RTD("cqg.rtd",,"StudyData", $B$2,  "Bar",, "Open",$C$2,C7,,,,,"T")</f>
        <v>861.25</v>
      </c>
      <c r="F7" s="142">
        <f xml:space="preserve"> RTD("cqg.rtd",,"StudyData", $B$2,  "Bar",, "High",$C$2,C7,,,,,"T")</f>
        <v>881.25</v>
      </c>
      <c r="G7" s="142">
        <f xml:space="preserve"> RTD("cqg.rtd",,"StudyData", $B$2,  "Bar",, "Low",$C$2,C7,,,,,"T")</f>
        <v>857.25</v>
      </c>
      <c r="H7" s="142">
        <f xml:space="preserve"> RTD("cqg.rtd",,"StudyData", $B$2,  "Bar",, "Close",$C$2,C7,,,,,"T")</f>
        <v>874.5</v>
      </c>
    </row>
    <row r="8" spans="2:8" x14ac:dyDescent="0.3">
      <c r="C8" s="142">
        <f t="shared" si="0"/>
        <v>-5</v>
      </c>
      <c r="D8" s="154">
        <f xml:space="preserve"> RTD("cqg.rtd",,"StudyData", $B$2,  "Bar",, "Time",$C$2,C8,,,,,"T")</f>
        <v>42380</v>
      </c>
      <c r="E8" s="142">
        <f xml:space="preserve"> RTD("cqg.rtd",,"StudyData", $B$2,  "Bar",, "Open",$C$2,C8,,,,,"T")</f>
        <v>865.5</v>
      </c>
      <c r="F8" s="142">
        <f xml:space="preserve"> RTD("cqg.rtd",,"StudyData", $B$2,  "Bar",, "High",$C$2,C8,,,,,"T")</f>
        <v>869.75</v>
      </c>
      <c r="G8" s="142">
        <f xml:space="preserve"> RTD("cqg.rtd",,"StudyData", $B$2,  "Bar",, "Low",$C$2,C8,,,,,"T")</f>
        <v>859.5</v>
      </c>
      <c r="H8" s="142">
        <f xml:space="preserve"> RTD("cqg.rtd",,"StudyData", $B$2,  "Bar",, "Close",$C$2,C8,,,,,"T")</f>
        <v>861.25</v>
      </c>
    </row>
    <row r="9" spans="2:8" x14ac:dyDescent="0.3">
      <c r="C9" s="142">
        <f t="shared" si="0"/>
        <v>-6</v>
      </c>
      <c r="D9" s="154">
        <f xml:space="preserve"> RTD("cqg.rtd",,"StudyData", $B$2,  "Bar",, "Time",$C$2,C9,,,,,"T")</f>
        <v>42377</v>
      </c>
      <c r="E9" s="142">
        <f xml:space="preserve"> RTD("cqg.rtd",,"StudyData", $B$2,  "Bar",, "Open",$C$2,C9,,,,,"T")</f>
        <v>865</v>
      </c>
      <c r="F9" s="142">
        <f xml:space="preserve"> RTD("cqg.rtd",,"StudyData", $B$2,  "Bar",, "High",$C$2,C9,,,,,"T")</f>
        <v>871</v>
      </c>
      <c r="G9" s="142">
        <f xml:space="preserve"> RTD("cqg.rtd",,"StudyData", $B$2,  "Bar",, "Low",$C$2,C9,,,,,"T")</f>
        <v>863.5</v>
      </c>
      <c r="H9" s="142">
        <f xml:space="preserve"> RTD("cqg.rtd",,"StudyData", $B$2,  "Bar",, "Close",$C$2,C9,,,,,"T")</f>
        <v>865.25</v>
      </c>
    </row>
    <row r="10" spans="2:8" x14ac:dyDescent="0.3">
      <c r="C10" s="142">
        <f t="shared" si="0"/>
        <v>-7</v>
      </c>
      <c r="D10" s="154">
        <f xml:space="preserve"> RTD("cqg.rtd",,"StudyData", $B$2,  "Bar",, "Time",$C$2,C10,,,,,"T")</f>
        <v>42376</v>
      </c>
      <c r="E10" s="142">
        <f xml:space="preserve"> RTD("cqg.rtd",,"StudyData", $B$2,  "Bar",, "Open",$C$2,C10,,,,,"T")</f>
        <v>864.5</v>
      </c>
      <c r="F10" s="142">
        <f xml:space="preserve"> RTD("cqg.rtd",,"StudyData", $B$2,  "Bar",, "High",$C$2,C10,,,,,"T")</f>
        <v>868.75</v>
      </c>
      <c r="G10" s="142">
        <f xml:space="preserve"> RTD("cqg.rtd",,"StudyData", $B$2,  "Bar",, "Low",$C$2,C10,,,,,"T")</f>
        <v>858.25</v>
      </c>
      <c r="H10" s="142">
        <f xml:space="preserve"> RTD("cqg.rtd",,"StudyData", $B$2,  "Bar",, "Close",$C$2,C10,,,,,"T")</f>
        <v>864.5</v>
      </c>
    </row>
    <row r="11" spans="2:8" x14ac:dyDescent="0.3">
      <c r="C11" s="142">
        <f t="shared" si="0"/>
        <v>-8</v>
      </c>
      <c r="D11" s="154">
        <f xml:space="preserve"> RTD("cqg.rtd",,"StudyData", $B$2,  "Bar",, "Time",$C$2,C11,,,,,"T")</f>
        <v>42375</v>
      </c>
      <c r="E11" s="142">
        <f xml:space="preserve"> RTD("cqg.rtd",,"StudyData", $B$2,  "Bar",, "Open",$C$2,C11,,,,,"T")</f>
        <v>856.5</v>
      </c>
      <c r="F11" s="142">
        <f xml:space="preserve"> RTD("cqg.rtd",,"StudyData", $B$2,  "Bar",, "High",$C$2,C11,,,,,"T")</f>
        <v>868</v>
      </c>
      <c r="G11" s="142">
        <f xml:space="preserve"> RTD("cqg.rtd",,"StudyData", $B$2,  "Bar",, "Low",$C$2,C11,,,,,"T")</f>
        <v>852</v>
      </c>
      <c r="H11" s="142">
        <f xml:space="preserve"> RTD("cqg.rtd",,"StudyData", $B$2,  "Bar",, "Close",$C$2,C11,,,,,"T")</f>
        <v>864.75</v>
      </c>
    </row>
    <row r="12" spans="2:8" x14ac:dyDescent="0.3">
      <c r="C12" s="142">
        <f t="shared" si="0"/>
        <v>-9</v>
      </c>
      <c r="D12" s="154">
        <f xml:space="preserve"> RTD("cqg.rtd",,"StudyData", $B$2,  "Bar",, "Time",$C$2,C12,,,,,"T")</f>
        <v>42374</v>
      </c>
      <c r="E12" s="142">
        <f xml:space="preserve"> RTD("cqg.rtd",,"StudyData", $B$2,  "Bar",, "Open",$C$2,C12,,,,,"T")</f>
        <v>858.25</v>
      </c>
      <c r="F12" s="142">
        <f xml:space="preserve"> RTD("cqg.rtd",,"StudyData", $B$2,  "Bar",, "High",$C$2,C12,,,,,"T")</f>
        <v>864.75</v>
      </c>
      <c r="G12" s="142">
        <f xml:space="preserve"> RTD("cqg.rtd",,"StudyData", $B$2,  "Bar",, "Low",$C$2,C12,,,,,"T")</f>
        <v>855.5</v>
      </c>
      <c r="H12" s="142">
        <f xml:space="preserve"> RTD("cqg.rtd",,"StudyData", $B$2,  "Bar",, "Close",$C$2,C12,,,,,"T")</f>
        <v>857.25</v>
      </c>
    </row>
    <row r="13" spans="2:8" x14ac:dyDescent="0.3">
      <c r="C13" s="142">
        <f t="shared" si="0"/>
        <v>-10</v>
      </c>
      <c r="D13" s="154">
        <f xml:space="preserve"> RTD("cqg.rtd",,"StudyData", $B$2,  "Bar",, "Time",$C$2,C13,,,,,"T")</f>
        <v>42373</v>
      </c>
      <c r="E13" s="142">
        <f xml:space="preserve"> RTD("cqg.rtd",,"StudyData", $B$2,  "Bar",, "Open",$C$2,C13,,,,,"T")</f>
        <v>863</v>
      </c>
      <c r="F13" s="142">
        <f xml:space="preserve"> RTD("cqg.rtd",,"StudyData", $B$2,  "Bar",, "High",$C$2,C13,,,,,"T")</f>
        <v>867</v>
      </c>
      <c r="G13" s="142">
        <f xml:space="preserve"> RTD("cqg.rtd",,"StudyData", $B$2,  "Bar",, "Low",$C$2,C13,,,,,"T")</f>
        <v>853.25</v>
      </c>
      <c r="H13" s="142">
        <f xml:space="preserve"> RTD("cqg.rtd",,"StudyData", $B$2,  "Bar",, "Close",$C$2,C13,,,,,"T")</f>
        <v>856</v>
      </c>
    </row>
    <row r="14" spans="2:8" x14ac:dyDescent="0.3">
      <c r="C14" s="142">
        <f t="shared" si="0"/>
        <v>-11</v>
      </c>
      <c r="D14" s="154">
        <f xml:space="preserve"> RTD("cqg.rtd",,"StudyData", $B$2,  "Bar",, "Time",$C$2,C14,,,,,"T")</f>
        <v>42369</v>
      </c>
      <c r="E14" s="142">
        <f xml:space="preserve"> RTD("cqg.rtd",,"StudyData", $B$2,  "Bar",, "Open",$C$2,C14,,,,,"T")</f>
        <v>868.75</v>
      </c>
      <c r="F14" s="142">
        <f xml:space="preserve"> RTD("cqg.rtd",,"StudyData", $B$2,  "Bar",, "High",$C$2,C14,,,,,"T")</f>
        <v>873</v>
      </c>
      <c r="G14" s="142">
        <f xml:space="preserve"> RTD("cqg.rtd",,"StudyData", $B$2,  "Bar",, "Low",$C$2,C14,,,,,"T")</f>
        <v>863</v>
      </c>
      <c r="H14" s="142">
        <f xml:space="preserve"> RTD("cqg.rtd",,"StudyData", $B$2,  "Bar",, "Close",$C$2,C14,,,,,"T")</f>
        <v>864.25</v>
      </c>
    </row>
    <row r="15" spans="2:8" x14ac:dyDescent="0.3">
      <c r="C15" s="142">
        <f t="shared" si="0"/>
        <v>-12</v>
      </c>
      <c r="D15" s="154">
        <f xml:space="preserve"> RTD("cqg.rtd",,"StudyData", $B$2,  "Bar",, "Time",$C$2,C15,,,,,"T")</f>
        <v>42368</v>
      </c>
      <c r="E15" s="142">
        <f xml:space="preserve"> RTD("cqg.rtd",,"StudyData", $B$2,  "Bar",, "Open",$C$2,C15,,,,,"T")</f>
        <v>865.5</v>
      </c>
      <c r="F15" s="142">
        <f xml:space="preserve"> RTD("cqg.rtd",,"StudyData", $B$2,  "Bar",, "High",$C$2,C15,,,,,"T")</f>
        <v>873.5</v>
      </c>
      <c r="G15" s="142">
        <f xml:space="preserve"> RTD("cqg.rtd",,"StudyData", $B$2,  "Bar",, "Low",$C$2,C15,,,,,"T")</f>
        <v>864</v>
      </c>
      <c r="H15" s="142">
        <f xml:space="preserve"> RTD("cqg.rtd",,"StudyData", $B$2,  "Bar",, "Close",$C$2,C15,,,,,"T")</f>
        <v>870.25</v>
      </c>
    </row>
    <row r="16" spans="2:8" x14ac:dyDescent="0.3">
      <c r="C16" s="142">
        <f t="shared" si="0"/>
        <v>-13</v>
      </c>
      <c r="D16" s="154">
        <f xml:space="preserve"> RTD("cqg.rtd",,"StudyData", $B$2,  "Bar",, "Time",$C$2,C16,,,,,"T")</f>
        <v>42367</v>
      </c>
      <c r="E16" s="142">
        <f xml:space="preserve"> RTD("cqg.rtd",,"StudyData", $B$2,  "Bar",, "Open",$C$2,C16,,,,,"T")</f>
        <v>863</v>
      </c>
      <c r="F16" s="142">
        <f xml:space="preserve"> RTD("cqg.rtd",,"StudyData", $B$2,  "Bar",, "High",$C$2,C16,,,,,"T")</f>
        <v>872</v>
      </c>
      <c r="G16" s="142">
        <f xml:space="preserve"> RTD("cqg.rtd",,"StudyData", $B$2,  "Bar",, "Low",$C$2,C16,,,,,"T")</f>
        <v>861</v>
      </c>
      <c r="H16" s="142">
        <f xml:space="preserve"> RTD("cqg.rtd",,"StudyData", $B$2,  "Bar",, "Close",$C$2,C16,,,,,"T")</f>
        <v>865.75</v>
      </c>
    </row>
    <row r="17" spans="3:8" x14ac:dyDescent="0.3">
      <c r="C17" s="142">
        <f t="shared" si="0"/>
        <v>-14</v>
      </c>
      <c r="D17" s="154">
        <f xml:space="preserve"> RTD("cqg.rtd",,"StudyData", $B$2,  "Bar",, "Time",$C$2,C17,,,,,"T")</f>
        <v>42366</v>
      </c>
      <c r="E17" s="142">
        <f xml:space="preserve"> RTD("cqg.rtd",,"StudyData", $B$2,  "Bar",, "Open",$C$2,C17,,,,,"T")</f>
        <v>871</v>
      </c>
      <c r="F17" s="142">
        <f xml:space="preserve"> RTD("cqg.rtd",,"StudyData", $B$2,  "Bar",, "High",$C$2,C17,,,,,"T")</f>
        <v>871.5</v>
      </c>
      <c r="G17" s="142">
        <f xml:space="preserve"> RTD("cqg.rtd",,"StudyData", $B$2,  "Bar",, "Low",$C$2,C17,,,,,"T")</f>
        <v>860.5</v>
      </c>
      <c r="H17" s="142">
        <f xml:space="preserve"> RTD("cqg.rtd",,"StudyData", $B$2,  "Bar",, "Close",$C$2,C17,,,,,"T")</f>
        <v>861.25</v>
      </c>
    </row>
    <row r="18" spans="3:8" x14ac:dyDescent="0.3">
      <c r="C18" s="142">
        <f t="shared" si="0"/>
        <v>-15</v>
      </c>
      <c r="D18" s="154">
        <f xml:space="preserve"> RTD("cqg.rtd",,"StudyData", $B$2,  "Bar",, "Time",$C$2,C18,,,,,"T")</f>
        <v>42362</v>
      </c>
      <c r="E18" s="142">
        <f xml:space="preserve"> RTD("cqg.rtd",,"StudyData", $B$2,  "Bar",, "Open",$C$2,C18,,,,,"T")</f>
        <v>882</v>
      </c>
      <c r="F18" s="142">
        <f xml:space="preserve"> RTD("cqg.rtd",,"StudyData", $B$2,  "Bar",, "High",$C$2,C18,,,,,"T")</f>
        <v>884.5</v>
      </c>
      <c r="G18" s="142">
        <f xml:space="preserve"> RTD("cqg.rtd",,"StudyData", $B$2,  "Bar",, "Low",$C$2,C18,,,,,"T")</f>
        <v>872.75</v>
      </c>
      <c r="H18" s="142">
        <f xml:space="preserve"> RTD("cqg.rtd",,"StudyData", $B$2,  "Bar",, "Close",$C$2,C18,,,,,"T")</f>
        <v>873</v>
      </c>
    </row>
    <row r="19" spans="3:8" x14ac:dyDescent="0.3">
      <c r="C19" s="142">
        <f t="shared" si="0"/>
        <v>-16</v>
      </c>
      <c r="D19" s="154">
        <f xml:space="preserve"> RTD("cqg.rtd",,"StudyData", $B$2,  "Bar",, "Time",$C$2,C19,,,,,"T")</f>
        <v>42361</v>
      </c>
      <c r="E19" s="142">
        <f xml:space="preserve"> RTD("cqg.rtd",,"StudyData", $B$2,  "Bar",, "Open",$C$2,C19,,,,,"T")</f>
        <v>885.5</v>
      </c>
      <c r="F19" s="142">
        <f xml:space="preserve"> RTD("cqg.rtd",,"StudyData", $B$2,  "Bar",, "High",$C$2,C19,,,,,"T")</f>
        <v>888.75</v>
      </c>
      <c r="G19" s="142">
        <f xml:space="preserve"> RTD("cqg.rtd",,"StudyData", $B$2,  "Bar",, "Low",$C$2,C19,,,,,"T")</f>
        <v>880.25</v>
      </c>
      <c r="H19" s="142">
        <f xml:space="preserve"> RTD("cqg.rtd",,"StudyData", $B$2,  "Bar",, "Close",$C$2,C19,,,,,"T")</f>
        <v>880.75</v>
      </c>
    </row>
    <row r="20" spans="3:8" x14ac:dyDescent="0.3">
      <c r="C20" s="142">
        <f t="shared" si="0"/>
        <v>-17</v>
      </c>
      <c r="D20" s="154">
        <f xml:space="preserve"> RTD("cqg.rtd",,"StudyData", $B$2,  "Bar",, "Time",$C$2,C20,,,,,"T")</f>
        <v>42360</v>
      </c>
      <c r="E20" s="142">
        <f xml:space="preserve"> RTD("cqg.rtd",,"StudyData", $B$2,  "Bar",, "Open",$C$2,C20,,,,,"T")</f>
        <v>891</v>
      </c>
      <c r="F20" s="142">
        <f xml:space="preserve"> RTD("cqg.rtd",,"StudyData", $B$2,  "Bar",, "High",$C$2,C20,,,,,"T")</f>
        <v>895.5</v>
      </c>
      <c r="G20" s="142">
        <f xml:space="preserve"> RTD("cqg.rtd",,"StudyData", $B$2,  "Bar",, "Low",$C$2,C20,,,,,"T")</f>
        <v>885.25</v>
      </c>
      <c r="H20" s="142">
        <f xml:space="preserve"> RTD("cqg.rtd",,"StudyData", $B$2,  "Bar",, "Close",$C$2,C20,,,,,"T")</f>
        <v>885.5</v>
      </c>
    </row>
    <row r="21" spans="3:8" x14ac:dyDescent="0.3">
      <c r="C21" s="142">
        <f t="shared" si="0"/>
        <v>-18</v>
      </c>
      <c r="D21" s="154">
        <f xml:space="preserve"> RTD("cqg.rtd",,"StudyData", $B$2,  "Bar",, "Time",$C$2,C21,,,,,"T")</f>
        <v>42359</v>
      </c>
      <c r="E21" s="142">
        <f xml:space="preserve"> RTD("cqg.rtd",,"StudyData", $B$2,  "Bar",, "Open",$C$2,C21,,,,,"T")</f>
        <v>892.75</v>
      </c>
      <c r="F21" s="142">
        <f xml:space="preserve"> RTD("cqg.rtd",,"StudyData", $B$2,  "Bar",, "High",$C$2,C21,,,,,"T")</f>
        <v>897</v>
      </c>
      <c r="G21" s="142">
        <f xml:space="preserve"> RTD("cqg.rtd",,"StudyData", $B$2,  "Bar",, "Low",$C$2,C21,,,,,"T")</f>
        <v>887.5</v>
      </c>
      <c r="H21" s="142">
        <f xml:space="preserve"> RTD("cqg.rtd",,"StudyData", $B$2,  "Bar",, "Close",$C$2,C21,,,,,"T")</f>
        <v>891.5</v>
      </c>
    </row>
    <row r="22" spans="3:8" x14ac:dyDescent="0.3">
      <c r="C22" s="142">
        <f t="shared" si="0"/>
        <v>-19</v>
      </c>
      <c r="D22" s="154">
        <f xml:space="preserve"> RTD("cqg.rtd",,"StudyData", $B$2,  "Bar",, "Time",$C$2,C22,,,,,"T")</f>
        <v>42356</v>
      </c>
      <c r="E22" s="142">
        <f xml:space="preserve"> RTD("cqg.rtd",,"StudyData", $B$2,  "Bar",, "Open",$C$2,C22,,,,,"T")</f>
        <v>877.75</v>
      </c>
      <c r="F22" s="142">
        <f xml:space="preserve"> RTD("cqg.rtd",,"StudyData", $B$2,  "Bar",, "High",$C$2,C22,,,,,"T")</f>
        <v>894.5</v>
      </c>
      <c r="G22" s="142">
        <f xml:space="preserve"> RTD("cqg.rtd",,"StudyData", $B$2,  "Bar",, "Low",$C$2,C22,,,,,"T")</f>
        <v>873.5</v>
      </c>
      <c r="H22" s="142">
        <f xml:space="preserve"> RTD("cqg.rtd",,"StudyData", $B$2,  "Bar",, "Close",$C$2,C22,,,,,"T")</f>
        <v>892.75</v>
      </c>
    </row>
    <row r="23" spans="3:8" x14ac:dyDescent="0.3">
      <c r="C23" s="142">
        <f t="shared" si="0"/>
        <v>-20</v>
      </c>
      <c r="D23" s="154">
        <f xml:space="preserve"> RTD("cqg.rtd",,"StudyData", $B$2,  "Bar",, "Time",$C$2,C23,,,,,"T")</f>
        <v>42355</v>
      </c>
      <c r="E23" s="142">
        <f xml:space="preserve"> RTD("cqg.rtd",,"StudyData", $B$2,  "Bar",, "Open",$C$2,C23,,,,,"T")</f>
        <v>860.75</v>
      </c>
      <c r="F23" s="142">
        <f xml:space="preserve"> RTD("cqg.rtd",,"StudyData", $B$2,  "Bar",, "High",$C$2,C23,,,,,"T")</f>
        <v>879</v>
      </c>
      <c r="G23" s="142">
        <f xml:space="preserve"> RTD("cqg.rtd",,"StudyData", $B$2,  "Bar",, "Low",$C$2,C23,,,,,"T")</f>
        <v>854.25</v>
      </c>
      <c r="H23" s="142">
        <f xml:space="preserve"> RTD("cqg.rtd",,"StudyData", $B$2,  "Bar",, "Close",$C$2,C23,,,,,"T")</f>
        <v>877.75</v>
      </c>
    </row>
    <row r="24" spans="3:8" x14ac:dyDescent="0.3">
      <c r="C24" s="142">
        <f t="shared" si="0"/>
        <v>-21</v>
      </c>
      <c r="D24" s="154">
        <f xml:space="preserve"> RTD("cqg.rtd",,"StudyData", $B$2,  "Bar",, "Time",$C$2,C24,,,,,"T")</f>
        <v>42354</v>
      </c>
      <c r="E24" s="142">
        <f xml:space="preserve"> RTD("cqg.rtd",,"StudyData", $B$2,  "Bar",, "Open",$C$2,C24,,,,,"T")</f>
        <v>867.5</v>
      </c>
      <c r="F24" s="142">
        <f xml:space="preserve"> RTD("cqg.rtd",,"StudyData", $B$2,  "Bar",, "High",$C$2,C24,,,,,"T")</f>
        <v>871.25</v>
      </c>
      <c r="G24" s="142">
        <f xml:space="preserve"> RTD("cqg.rtd",,"StudyData", $B$2,  "Bar",, "Low",$C$2,C24,,,,,"T")</f>
        <v>856.75</v>
      </c>
      <c r="H24" s="142">
        <f xml:space="preserve"> RTD("cqg.rtd",,"StudyData", $B$2,  "Bar",, "Close",$C$2,C24,,,,,"T")</f>
        <v>863.25</v>
      </c>
    </row>
    <row r="25" spans="3:8" x14ac:dyDescent="0.3">
      <c r="C25" s="142">
        <f t="shared" si="0"/>
        <v>-22</v>
      </c>
      <c r="D25" s="154">
        <f xml:space="preserve"> RTD("cqg.rtd",,"StudyData", $B$2,  "Bar",, "Time",$C$2,C25,,,,,"T")</f>
        <v>42353</v>
      </c>
      <c r="E25" s="142">
        <f xml:space="preserve"> RTD("cqg.rtd",,"StudyData", $B$2,  "Bar",, "Open",$C$2,C25,,,,,"T")</f>
        <v>874.75</v>
      </c>
      <c r="F25" s="142">
        <f xml:space="preserve"> RTD("cqg.rtd",,"StudyData", $B$2,  "Bar",, "High",$C$2,C25,,,,,"T")</f>
        <v>879.25</v>
      </c>
      <c r="G25" s="142">
        <f xml:space="preserve"> RTD("cqg.rtd",,"StudyData", $B$2,  "Bar",, "Low",$C$2,C25,,,,,"T")</f>
        <v>867</v>
      </c>
      <c r="H25" s="142">
        <f xml:space="preserve"> RTD("cqg.rtd",,"StudyData", $B$2,  "Bar",, "Close",$C$2,C25,,,,,"T")</f>
        <v>867.75</v>
      </c>
    </row>
    <row r="26" spans="3:8" x14ac:dyDescent="0.3">
      <c r="C26" s="142">
        <f t="shared" si="0"/>
        <v>-23</v>
      </c>
      <c r="D26" s="154">
        <f xml:space="preserve"> RTD("cqg.rtd",,"StudyData", $B$2,  "Bar",, "Time",$C$2,C26,,,,,"T")</f>
        <v>42352</v>
      </c>
      <c r="E26" s="142">
        <f xml:space="preserve"> RTD("cqg.rtd",,"StudyData", $B$2,  "Bar",, "Open",$C$2,C26,,,,,"T")</f>
        <v>873.25</v>
      </c>
      <c r="F26" s="142">
        <f xml:space="preserve"> RTD("cqg.rtd",,"StudyData", $B$2,  "Bar",, "High",$C$2,C26,,,,,"T")</f>
        <v>879.75</v>
      </c>
      <c r="G26" s="142">
        <f xml:space="preserve"> RTD("cqg.rtd",,"StudyData", $B$2,  "Bar",, "Low",$C$2,C26,,,,,"T")</f>
        <v>870.75</v>
      </c>
      <c r="H26" s="142">
        <f xml:space="preserve"> RTD("cqg.rtd",,"StudyData", $B$2,  "Bar",, "Close",$C$2,C26,,,,,"T")</f>
        <v>876</v>
      </c>
    </row>
    <row r="27" spans="3:8" x14ac:dyDescent="0.3">
      <c r="C27" s="142">
        <f t="shared" si="0"/>
        <v>-24</v>
      </c>
      <c r="D27" s="154">
        <f xml:space="preserve"> RTD("cqg.rtd",,"StudyData", $B$2,  "Bar",, "Time",$C$2,C27,,,,,"T")</f>
        <v>42349</v>
      </c>
      <c r="E27" s="142">
        <f xml:space="preserve"> RTD("cqg.rtd",,"StudyData", $B$2,  "Bar",, "Open",$C$2,C27,,,,,"T")</f>
        <v>881</v>
      </c>
      <c r="F27" s="142">
        <f xml:space="preserve"> RTD("cqg.rtd",,"StudyData", $B$2,  "Bar",, "High",$C$2,C27,,,,,"T")</f>
        <v>887.75</v>
      </c>
      <c r="G27" s="142">
        <f xml:space="preserve"> RTD("cqg.rtd",,"StudyData", $B$2,  "Bar",, "Low",$C$2,C27,,,,,"T")</f>
        <v>873</v>
      </c>
      <c r="H27" s="142">
        <f xml:space="preserve"> RTD("cqg.rtd",,"StudyData", $B$2,  "Bar",, "Close",$C$2,C27,,,,,"T")</f>
        <v>873.75</v>
      </c>
    </row>
    <row r="28" spans="3:8" x14ac:dyDescent="0.3">
      <c r="C28" s="142">
        <f t="shared" si="0"/>
        <v>-25</v>
      </c>
      <c r="D28" s="154">
        <f xml:space="preserve"> RTD("cqg.rtd",,"StudyData", $B$2,  "Bar",, "Time",$C$2,C28,,,,,"T")</f>
        <v>42348</v>
      </c>
      <c r="E28" s="142">
        <f xml:space="preserve"> RTD("cqg.rtd",,"StudyData", $B$2,  "Bar",, "Open",$C$2,C28,,,,,"T")</f>
        <v>879.5</v>
      </c>
      <c r="F28" s="142">
        <f xml:space="preserve"> RTD("cqg.rtd",,"StudyData", $B$2,  "Bar",, "High",$C$2,C28,,,,,"T")</f>
        <v>889.5</v>
      </c>
      <c r="G28" s="142">
        <f xml:space="preserve"> RTD("cqg.rtd",,"StudyData", $B$2,  "Bar",, "Low",$C$2,C28,,,,,"T")</f>
        <v>875.75</v>
      </c>
      <c r="H28" s="142">
        <f xml:space="preserve"> RTD("cqg.rtd",,"StudyData", $B$2,  "Bar",, "Close",$C$2,C28,,,,,"T")</f>
        <v>881.25</v>
      </c>
    </row>
    <row r="29" spans="3:8" x14ac:dyDescent="0.3">
      <c r="C29" s="142">
        <f t="shared" si="0"/>
        <v>-26</v>
      </c>
      <c r="D29" s="154">
        <f xml:space="preserve"> RTD("cqg.rtd",,"StudyData", $B$2,  "Bar",, "Time",$C$2,C29,,,,,"T")</f>
        <v>42347</v>
      </c>
      <c r="E29" s="142">
        <f xml:space="preserve"> RTD("cqg.rtd",,"StudyData", $B$2,  "Bar",, "Open",$C$2,C29,,,,,"T")</f>
        <v>880</v>
      </c>
      <c r="F29" s="142">
        <f xml:space="preserve"> RTD("cqg.rtd",,"StudyData", $B$2,  "Bar",, "High",$C$2,C29,,,,,"T")</f>
        <v>886.75</v>
      </c>
      <c r="G29" s="142">
        <f xml:space="preserve"> RTD("cqg.rtd",,"StudyData", $B$2,  "Bar",, "Low",$C$2,C29,,,,,"T")</f>
        <v>872.5</v>
      </c>
      <c r="H29" s="142">
        <f xml:space="preserve"> RTD("cqg.rtd",,"StudyData", $B$2,  "Bar",, "Close",$C$2,C29,,,,,"T")</f>
        <v>879.75</v>
      </c>
    </row>
    <row r="30" spans="3:8" x14ac:dyDescent="0.3">
      <c r="C30" s="142">
        <f t="shared" si="0"/>
        <v>-27</v>
      </c>
      <c r="D30" s="154">
        <f xml:space="preserve"> RTD("cqg.rtd",,"StudyData", $B$2,  "Bar",, "Time",$C$2,C30,,,,,"T")</f>
        <v>42346</v>
      </c>
      <c r="E30" s="142">
        <f xml:space="preserve"> RTD("cqg.rtd",,"StudyData", $B$2,  "Bar",, "Open",$C$2,C30,,,,,"T")</f>
        <v>888.5</v>
      </c>
      <c r="F30" s="142">
        <f xml:space="preserve"> RTD("cqg.rtd",,"StudyData", $B$2,  "Bar",, "High",$C$2,C30,,,,,"T")</f>
        <v>890.25</v>
      </c>
      <c r="G30" s="142">
        <f xml:space="preserve"> RTD("cqg.rtd",,"StudyData", $B$2,  "Bar",, "Low",$C$2,C30,,,,,"T")</f>
        <v>876.25</v>
      </c>
      <c r="H30" s="142">
        <f xml:space="preserve"> RTD("cqg.rtd",,"StudyData", $B$2,  "Bar",, "Close",$C$2,C30,,,,,"T")</f>
        <v>879.75</v>
      </c>
    </row>
    <row r="31" spans="3:8" x14ac:dyDescent="0.3">
      <c r="C31" s="142">
        <f t="shared" si="0"/>
        <v>-28</v>
      </c>
      <c r="D31" s="154">
        <f xml:space="preserve"> RTD("cqg.rtd",,"StudyData", $B$2,  "Bar",, "Time",$C$2,C31,,,,,"T")</f>
        <v>42345</v>
      </c>
      <c r="E31" s="142">
        <f xml:space="preserve"> RTD("cqg.rtd",,"StudyData", $B$2,  "Bar",, "Open",$C$2,C31,,,,,"T")</f>
        <v>907.75</v>
      </c>
      <c r="F31" s="142">
        <f xml:space="preserve"> RTD("cqg.rtd",,"StudyData", $B$2,  "Bar",, "High",$C$2,C31,,,,,"T")</f>
        <v>911.5</v>
      </c>
      <c r="G31" s="142">
        <f xml:space="preserve"> RTD("cqg.rtd",,"StudyData", $B$2,  "Bar",, "Low",$C$2,C31,,,,,"T")</f>
        <v>884.75</v>
      </c>
      <c r="H31" s="142">
        <f xml:space="preserve"> RTD("cqg.rtd",,"StudyData", $B$2,  "Bar",, "Close",$C$2,C31,,,,,"T")</f>
        <v>885.75</v>
      </c>
    </row>
    <row r="32" spans="3:8" x14ac:dyDescent="0.3">
      <c r="C32" s="142">
        <f t="shared" si="0"/>
        <v>-29</v>
      </c>
      <c r="D32" s="154">
        <f xml:space="preserve"> RTD("cqg.rtd",,"StudyData", $B$2,  "Bar",, "Time",$C$2,C32,,,,,"T")</f>
        <v>42342</v>
      </c>
      <c r="E32" s="142">
        <f xml:space="preserve"> RTD("cqg.rtd",,"StudyData", $B$2,  "Bar",, "Open",$C$2,C32,,,,,"T")</f>
        <v>899.5</v>
      </c>
      <c r="F32" s="142">
        <f xml:space="preserve"> RTD("cqg.rtd",,"StudyData", $B$2,  "Bar",, "High",$C$2,C32,,,,,"T")</f>
        <v>908.5</v>
      </c>
      <c r="G32" s="142">
        <f xml:space="preserve"> RTD("cqg.rtd",,"StudyData", $B$2,  "Bar",, "Low",$C$2,C32,,,,,"T")</f>
        <v>895</v>
      </c>
      <c r="H32" s="142">
        <f xml:space="preserve"> RTD("cqg.rtd",,"StudyData", $B$2,  "Bar",, "Close",$C$2,C32,,,,,"T")</f>
        <v>908</v>
      </c>
    </row>
    <row r="33" spans="3:8" x14ac:dyDescent="0.3">
      <c r="C33" s="142">
        <f t="shared" si="0"/>
        <v>-30</v>
      </c>
      <c r="D33" s="154">
        <f xml:space="preserve"> RTD("cqg.rtd",,"StudyData", $B$2,  "Bar",, "Time",$C$2,C33,,,,,"T")</f>
        <v>42341</v>
      </c>
      <c r="E33" s="142">
        <f xml:space="preserve"> RTD("cqg.rtd",,"StudyData", $B$2,  "Bar",, "Open",$C$2,C33,,,,,"T")</f>
        <v>893.75</v>
      </c>
      <c r="F33" s="142">
        <f xml:space="preserve"> RTD("cqg.rtd",,"StudyData", $B$2,  "Bar",, "High",$C$2,C33,,,,,"T")</f>
        <v>900.5</v>
      </c>
      <c r="G33" s="142">
        <f xml:space="preserve"> RTD("cqg.rtd",,"StudyData", $B$2,  "Bar",, "Low",$C$2,C33,,,,,"T")</f>
        <v>887.5</v>
      </c>
      <c r="H33" s="142">
        <f xml:space="preserve"> RTD("cqg.rtd",,"StudyData", $B$2,  "Bar",, "Close",$C$2,C33,,,,,"T")</f>
        <v>900.25</v>
      </c>
    </row>
    <row r="34" spans="3:8" x14ac:dyDescent="0.3">
      <c r="C34" s="142">
        <f t="shared" si="0"/>
        <v>-31</v>
      </c>
      <c r="D34" s="154">
        <f xml:space="preserve"> RTD("cqg.rtd",,"StudyData", $B$2,  "Bar",, "Time",$C$2,C34,,,,,"T")</f>
        <v>42340</v>
      </c>
      <c r="E34" s="142">
        <f xml:space="preserve"> RTD("cqg.rtd",,"StudyData", $B$2,  "Bar",, "Open",$C$2,C34,,,,,"T")</f>
        <v>891</v>
      </c>
      <c r="F34" s="142">
        <f xml:space="preserve"> RTD("cqg.rtd",,"StudyData", $B$2,  "Bar",, "High",$C$2,C34,,,,,"T")</f>
        <v>897.25</v>
      </c>
      <c r="G34" s="142">
        <f xml:space="preserve"> RTD("cqg.rtd",,"StudyData", $B$2,  "Bar",, "Low",$C$2,C34,,,,,"T")</f>
        <v>887</v>
      </c>
      <c r="H34" s="142">
        <f xml:space="preserve"> RTD("cqg.rtd",,"StudyData", $B$2,  "Bar",, "Close",$C$2,C34,,,,,"T")</f>
        <v>895</v>
      </c>
    </row>
    <row r="35" spans="3:8" x14ac:dyDescent="0.3">
      <c r="C35" s="142">
        <f t="shared" si="0"/>
        <v>-32</v>
      </c>
      <c r="D35" s="154">
        <f xml:space="preserve"> RTD("cqg.rtd",,"StudyData", $B$2,  "Bar",, "Time",$C$2,C35,,,,,"T")</f>
        <v>42339</v>
      </c>
      <c r="E35" s="142">
        <f xml:space="preserve"> RTD("cqg.rtd",,"StudyData", $B$2,  "Bar",, "Open",$C$2,C35,,,,,"T")</f>
        <v>883</v>
      </c>
      <c r="F35" s="142">
        <f xml:space="preserve"> RTD("cqg.rtd",,"StudyData", $B$2,  "Bar",, "High",$C$2,C35,,,,,"T")</f>
        <v>894</v>
      </c>
      <c r="G35" s="142">
        <f xml:space="preserve"> RTD("cqg.rtd",,"StudyData", $B$2,  "Bar",, "Low",$C$2,C35,,,,,"T")</f>
        <v>881.75</v>
      </c>
      <c r="H35" s="142">
        <f xml:space="preserve"> RTD("cqg.rtd",,"StudyData", $B$2,  "Bar",, "Close",$C$2,C35,,,,,"T")</f>
        <v>891.5</v>
      </c>
    </row>
    <row r="36" spans="3:8" x14ac:dyDescent="0.3">
      <c r="C36" s="142">
        <f t="shared" si="0"/>
        <v>-33</v>
      </c>
      <c r="D36" s="154">
        <f xml:space="preserve"> RTD("cqg.rtd",,"StudyData", $B$2,  "Bar",, "Time",$C$2,C36,,,,,"T")</f>
        <v>42338</v>
      </c>
      <c r="E36" s="142">
        <f xml:space="preserve"> RTD("cqg.rtd",,"StudyData", $B$2,  "Bar",, "Open",$C$2,C36,,,,,"T")</f>
        <v>875.25</v>
      </c>
      <c r="F36" s="142">
        <f xml:space="preserve"> RTD("cqg.rtd",,"StudyData", $B$2,  "Bar",, "High",$C$2,C36,,,,,"T")</f>
        <v>885.75</v>
      </c>
      <c r="G36" s="142">
        <f xml:space="preserve"> RTD("cqg.rtd",,"StudyData", $B$2,  "Bar",, "Low",$C$2,C36,,,,,"T")</f>
        <v>872.25</v>
      </c>
      <c r="H36" s="142">
        <f xml:space="preserve"> RTD("cqg.rtd",,"StudyData", $B$2,  "Bar",, "Close",$C$2,C36,,,,,"T")</f>
        <v>883.25</v>
      </c>
    </row>
    <row r="37" spans="3:8" x14ac:dyDescent="0.3">
      <c r="C37" s="142">
        <f t="shared" si="0"/>
        <v>-34</v>
      </c>
      <c r="D37" s="154">
        <f xml:space="preserve"> RTD("cqg.rtd",,"StudyData", $B$2,  "Bar",, "Time",$C$2,C37,,,,,"T")</f>
        <v>42335</v>
      </c>
      <c r="E37" s="142">
        <f xml:space="preserve"> RTD("cqg.rtd",,"StudyData", $B$2,  "Bar",, "Open",$C$2,C37,,,,,"T")</f>
        <v>876.5</v>
      </c>
      <c r="F37" s="142">
        <f xml:space="preserve"> RTD("cqg.rtd",,"StudyData", $B$2,  "Bar",, "High",$C$2,C37,,,,,"T")</f>
        <v>879.75</v>
      </c>
      <c r="G37" s="142">
        <f xml:space="preserve"> RTD("cqg.rtd",,"StudyData", $B$2,  "Bar",, "Low",$C$2,C37,,,,,"T")</f>
        <v>873.5</v>
      </c>
      <c r="H37" s="142">
        <f xml:space="preserve"> RTD("cqg.rtd",,"StudyData", $B$2,  "Bar",, "Close",$C$2,C37,,,,,"T")</f>
        <v>875.5</v>
      </c>
    </row>
    <row r="38" spans="3:8" x14ac:dyDescent="0.3">
      <c r="C38" s="142">
        <f t="shared" si="0"/>
        <v>-35</v>
      </c>
      <c r="D38" s="154">
        <f xml:space="preserve"> RTD("cqg.rtd",,"StudyData", $B$2,  "Bar",, "Time",$C$2,C38,,,,,"T")</f>
        <v>42333</v>
      </c>
      <c r="E38" s="142">
        <f xml:space="preserve"> RTD("cqg.rtd",,"StudyData", $B$2,  "Bar",, "Open",$C$2,C38,,,,,"T")</f>
        <v>865.5</v>
      </c>
      <c r="F38" s="142">
        <f xml:space="preserve"> RTD("cqg.rtd",,"StudyData", $B$2,  "Bar",, "High",$C$2,C38,,,,,"T")</f>
        <v>878.5</v>
      </c>
      <c r="G38" s="142">
        <f xml:space="preserve"> RTD("cqg.rtd",,"StudyData", $B$2,  "Bar",, "Low",$C$2,C38,,,,,"T")</f>
        <v>863.25</v>
      </c>
      <c r="H38" s="142">
        <f xml:space="preserve"> RTD("cqg.rtd",,"StudyData", $B$2,  "Bar",, "Close",$C$2,C38,,,,,"T")</f>
        <v>877.75</v>
      </c>
    </row>
    <row r="39" spans="3:8" x14ac:dyDescent="0.3">
      <c r="C39" s="142">
        <f t="shared" si="0"/>
        <v>-36</v>
      </c>
      <c r="D39" s="154">
        <f xml:space="preserve"> RTD("cqg.rtd",,"StudyData", $B$2,  "Bar",, "Time",$C$2,C39,,,,,"T")</f>
        <v>42332</v>
      </c>
      <c r="E39" s="142">
        <f xml:space="preserve"> RTD("cqg.rtd",,"StudyData", $B$2,  "Bar",, "Open",$C$2,C39,,,,,"T")</f>
        <v>866</v>
      </c>
      <c r="F39" s="142">
        <f xml:space="preserve"> RTD("cqg.rtd",,"StudyData", $B$2,  "Bar",, "High",$C$2,C39,,,,,"T")</f>
        <v>870.75</v>
      </c>
      <c r="G39" s="142">
        <f xml:space="preserve"> RTD("cqg.rtd",,"StudyData", $B$2,  "Bar",, "Low",$C$2,C39,,,,,"T")</f>
        <v>863</v>
      </c>
      <c r="H39" s="142">
        <f xml:space="preserve"> RTD("cqg.rtd",,"StudyData", $B$2,  "Bar",, "Close",$C$2,C39,,,,,"T")</f>
        <v>866.25</v>
      </c>
    </row>
    <row r="40" spans="3:8" x14ac:dyDescent="0.3">
      <c r="C40" s="142">
        <f t="shared" si="0"/>
        <v>-37</v>
      </c>
      <c r="D40" s="154">
        <f xml:space="preserve"> RTD("cqg.rtd",,"StudyData", $B$2,  "Bar",, "Time",$C$2,C40,,,,,"T")</f>
        <v>42331</v>
      </c>
      <c r="E40" s="142">
        <f xml:space="preserve"> RTD("cqg.rtd",,"StudyData", $B$2,  "Bar",, "Open",$C$2,C40,,,,,"T")</f>
        <v>858.25</v>
      </c>
      <c r="F40" s="142">
        <f xml:space="preserve"> RTD("cqg.rtd",,"StudyData", $B$2,  "Bar",, "High",$C$2,C40,,,,,"T")</f>
        <v>867</v>
      </c>
      <c r="G40" s="142">
        <f xml:space="preserve"> RTD("cqg.rtd",,"StudyData", $B$2,  "Bar",, "Low",$C$2,C40,,,,,"T")</f>
        <v>847</v>
      </c>
      <c r="H40" s="142">
        <f xml:space="preserve"> RTD("cqg.rtd",,"StudyData", $B$2,  "Bar",, "Close",$C$2,C40,,,,,"T")</f>
        <v>866.25</v>
      </c>
    </row>
    <row r="41" spans="3:8" x14ac:dyDescent="0.3">
      <c r="C41" s="142">
        <f t="shared" si="0"/>
        <v>-38</v>
      </c>
      <c r="D41" s="154">
        <f xml:space="preserve"> RTD("cqg.rtd",,"StudyData", $B$2,  "Bar",, "Time",$C$2,C41,,,,,"T")</f>
        <v>42328</v>
      </c>
      <c r="E41" s="142">
        <f xml:space="preserve"> RTD("cqg.rtd",,"StudyData", $B$2,  "Bar",, "Open",$C$2,C41,,,,,"T")</f>
        <v>863</v>
      </c>
      <c r="F41" s="142">
        <f xml:space="preserve"> RTD("cqg.rtd",,"StudyData", $B$2,  "Bar",, "High",$C$2,C41,,,,,"T")</f>
        <v>863.75</v>
      </c>
      <c r="G41" s="142">
        <f xml:space="preserve"> RTD("cqg.rtd",,"StudyData", $B$2,  "Bar",, "Low",$C$2,C41,,,,,"T")</f>
        <v>855.25</v>
      </c>
      <c r="H41" s="142">
        <f xml:space="preserve"> RTD("cqg.rtd",,"StudyData", $B$2,  "Bar",, "Close",$C$2,C41,,,,,"T")</f>
        <v>860.5</v>
      </c>
    </row>
    <row r="42" spans="3:8" x14ac:dyDescent="0.3">
      <c r="C42" s="142">
        <f t="shared" si="0"/>
        <v>-39</v>
      </c>
      <c r="D42" s="154">
        <f xml:space="preserve"> RTD("cqg.rtd",,"StudyData", $B$2,  "Bar",, "Time",$C$2,C42,,,,,"T")</f>
        <v>42327</v>
      </c>
      <c r="E42" s="142">
        <f xml:space="preserve"> RTD("cqg.rtd",,"StudyData", $B$2,  "Bar",, "Open",$C$2,C42,,,,,"T")</f>
        <v>860.75</v>
      </c>
      <c r="F42" s="142">
        <f xml:space="preserve"> RTD("cqg.rtd",,"StudyData", $B$2,  "Bar",, "High",$C$2,C42,,,,,"T")</f>
        <v>865</v>
      </c>
      <c r="G42" s="142">
        <f xml:space="preserve"> RTD("cqg.rtd",,"StudyData", $B$2,  "Bar",, "Low",$C$2,C42,,,,,"T")</f>
        <v>855</v>
      </c>
      <c r="H42" s="142">
        <f xml:space="preserve"> RTD("cqg.rtd",,"StudyData", $B$2,  "Bar",, "Close",$C$2,C42,,,,,"T")</f>
        <v>863</v>
      </c>
    </row>
    <row r="43" spans="3:8" x14ac:dyDescent="0.3">
      <c r="C43" s="142">
        <f t="shared" si="0"/>
        <v>-40</v>
      </c>
      <c r="D43" s="154">
        <f xml:space="preserve"> RTD("cqg.rtd",,"StudyData", $B$2,  "Bar",, "Time",$C$2,C43,,,,,"T")</f>
        <v>42326</v>
      </c>
      <c r="E43" s="142">
        <f xml:space="preserve"> RTD("cqg.rtd",,"StudyData", $B$2,  "Bar",, "Open",$C$2,C43,,,,,"T")</f>
        <v>865</v>
      </c>
      <c r="F43" s="142">
        <f xml:space="preserve"> RTD("cqg.rtd",,"StudyData", $B$2,  "Bar",, "High",$C$2,C43,,,,,"T")</f>
        <v>868.5</v>
      </c>
      <c r="G43" s="142">
        <f xml:space="preserve"> RTD("cqg.rtd",,"StudyData", $B$2,  "Bar",, "Low",$C$2,C43,,,,,"T")</f>
        <v>855.75</v>
      </c>
      <c r="H43" s="142">
        <f xml:space="preserve"> RTD("cqg.rtd",,"StudyData", $B$2,  "Bar",, "Close",$C$2,C43,,,,,"T")</f>
        <v>860.75</v>
      </c>
    </row>
    <row r="44" spans="3:8" x14ac:dyDescent="0.3">
      <c r="C44" s="142">
        <f t="shared" si="0"/>
        <v>-41</v>
      </c>
      <c r="D44" s="154">
        <f xml:space="preserve"> RTD("cqg.rtd",,"StudyData", $B$2,  "Bar",, "Time",$C$2,C44,,,,,"T")</f>
        <v>42325</v>
      </c>
      <c r="E44" s="142">
        <f xml:space="preserve"> RTD("cqg.rtd",,"StudyData", $B$2,  "Bar",, "Open",$C$2,C44,,,,,"T")</f>
        <v>860.75</v>
      </c>
      <c r="F44" s="142">
        <f xml:space="preserve"> RTD("cqg.rtd",,"StudyData", $B$2,  "Bar",, "High",$C$2,C44,,,,,"T")</f>
        <v>866</v>
      </c>
      <c r="G44" s="142">
        <f xml:space="preserve"> RTD("cqg.rtd",,"StudyData", $B$2,  "Bar",, "Low",$C$2,C44,,,,,"T")</f>
        <v>859</v>
      </c>
      <c r="H44" s="142">
        <f xml:space="preserve"> RTD("cqg.rtd",,"StudyData", $B$2,  "Bar",, "Close",$C$2,C44,,,,,"T")</f>
        <v>865</v>
      </c>
    </row>
    <row r="45" spans="3:8" x14ac:dyDescent="0.3">
      <c r="C45" s="142">
        <f t="shared" si="0"/>
        <v>-42</v>
      </c>
      <c r="D45" s="154">
        <f xml:space="preserve"> RTD("cqg.rtd",,"StudyData", $B$2,  "Bar",, "Time",$C$2,C45,,,,,"T")</f>
        <v>42324</v>
      </c>
      <c r="E45" s="142">
        <f xml:space="preserve"> RTD("cqg.rtd",,"StudyData", $B$2,  "Bar",, "Open",$C$2,C45,,,,,"T")</f>
        <v>855.25</v>
      </c>
      <c r="F45" s="142">
        <f xml:space="preserve"> RTD("cqg.rtd",,"StudyData", $B$2,  "Bar",, "High",$C$2,C45,,,,,"T")</f>
        <v>861.5</v>
      </c>
      <c r="G45" s="142">
        <f xml:space="preserve"> RTD("cqg.rtd",,"StudyData", $B$2,  "Bar",, "Low",$C$2,C45,,,,,"T")</f>
        <v>852.75</v>
      </c>
      <c r="H45" s="142">
        <f xml:space="preserve"> RTD("cqg.rtd",,"StudyData", $B$2,  "Bar",, "Close",$C$2,C45,,,,,"T")</f>
        <v>860.75</v>
      </c>
    </row>
    <row r="46" spans="3:8" x14ac:dyDescent="0.3">
      <c r="C46" s="142">
        <f t="shared" si="0"/>
        <v>-43</v>
      </c>
      <c r="D46" s="154">
        <f xml:space="preserve"> RTD("cqg.rtd",,"StudyData", $B$2,  "Bar",, "Time",$C$2,C46,,,,,"T")</f>
        <v>42321</v>
      </c>
      <c r="E46" s="142">
        <f xml:space="preserve"> RTD("cqg.rtd",,"StudyData", $B$2,  "Bar",, "Open",$C$2,C46,,,,,"T")</f>
        <v>863.25</v>
      </c>
      <c r="F46" s="142">
        <f xml:space="preserve"> RTD("cqg.rtd",,"StudyData", $B$2,  "Bar",, "High",$C$2,C46,,,,,"T")</f>
        <v>863.25</v>
      </c>
      <c r="G46" s="142">
        <f xml:space="preserve"> RTD("cqg.rtd",,"StudyData", $B$2,  "Bar",, "Low",$C$2,C46,,,,,"T")</f>
        <v>855.5</v>
      </c>
      <c r="H46" s="142">
        <f xml:space="preserve"> RTD("cqg.rtd",,"StudyData", $B$2,  "Bar",, "Close",$C$2,C46,,,,,"T")</f>
        <v>856.25</v>
      </c>
    </row>
    <row r="47" spans="3:8" x14ac:dyDescent="0.3">
      <c r="C47" s="142">
        <f t="shared" si="0"/>
        <v>-44</v>
      </c>
      <c r="D47" s="154">
        <f xml:space="preserve"> RTD("cqg.rtd",,"StudyData", $B$2,  "Bar",, "Time",$C$2,C47,,,,,"T")</f>
        <v>42320</v>
      </c>
      <c r="E47" s="142">
        <f xml:space="preserve"> RTD("cqg.rtd",,"StudyData", $B$2,  "Bar",, "Open",$C$2,C47,,,,,"T")</f>
        <v>859.25</v>
      </c>
      <c r="F47" s="142">
        <f xml:space="preserve"> RTD("cqg.rtd",,"StudyData", $B$2,  "Bar",, "High",$C$2,C47,,,,,"T")</f>
        <v>865.75</v>
      </c>
      <c r="G47" s="142">
        <f xml:space="preserve"> RTD("cqg.rtd",,"StudyData", $B$2,  "Bar",, "Low",$C$2,C47,,,,,"T")</f>
        <v>854.25</v>
      </c>
      <c r="H47" s="142">
        <f xml:space="preserve"> RTD("cqg.rtd",,"StudyData", $B$2,  "Bar",, "Close",$C$2,C47,,,,,"T")</f>
        <v>864</v>
      </c>
    </row>
    <row r="48" spans="3:8" x14ac:dyDescent="0.3">
      <c r="C48" s="142">
        <f t="shared" si="0"/>
        <v>-45</v>
      </c>
      <c r="D48" s="154">
        <f xml:space="preserve"> RTD("cqg.rtd",,"StudyData", $B$2,  "Bar",, "Time",$C$2,C48,,,,,"T")</f>
        <v>42319</v>
      </c>
      <c r="E48" s="142">
        <f xml:space="preserve"> RTD("cqg.rtd",,"StudyData", $B$2,  "Bar",, "Open",$C$2,C48,,,,,"T")</f>
        <v>856.5</v>
      </c>
      <c r="F48" s="142">
        <f xml:space="preserve"> RTD("cqg.rtd",,"StudyData", $B$2,  "Bar",, "High",$C$2,C48,,,,,"T")</f>
        <v>861.5</v>
      </c>
      <c r="G48" s="142">
        <f xml:space="preserve"> RTD("cqg.rtd",,"StudyData", $B$2,  "Bar",, "Low",$C$2,C48,,,,,"T")</f>
        <v>853.5</v>
      </c>
      <c r="H48" s="142">
        <f xml:space="preserve"> RTD("cqg.rtd",,"StudyData", $B$2,  "Bar",, "Close",$C$2,C48,,,,,"T")</f>
        <v>860.5</v>
      </c>
    </row>
    <row r="49" spans="3:8" x14ac:dyDescent="0.3">
      <c r="C49" s="142">
        <f t="shared" si="0"/>
        <v>-46</v>
      </c>
      <c r="D49" s="154">
        <f xml:space="preserve"> RTD("cqg.rtd",,"StudyData", $B$2,  "Bar",, "Time",$C$2,C49,,,,,"T")</f>
        <v>42318</v>
      </c>
      <c r="E49" s="142">
        <f xml:space="preserve"> RTD("cqg.rtd",,"StudyData", $B$2,  "Bar",, "Open",$C$2,C49,,,,,"T")</f>
        <v>866.75</v>
      </c>
      <c r="F49" s="142">
        <f xml:space="preserve"> RTD("cqg.rtd",,"StudyData", $B$2,  "Bar",, "High",$C$2,C49,,,,,"T")</f>
        <v>869.25</v>
      </c>
      <c r="G49" s="142">
        <f xml:space="preserve"> RTD("cqg.rtd",,"StudyData", $B$2,  "Bar",, "Low",$C$2,C49,,,,,"T")</f>
        <v>850.5</v>
      </c>
      <c r="H49" s="142">
        <f xml:space="preserve"> RTD("cqg.rtd",,"StudyData", $B$2,  "Bar",, "Close",$C$2,C49,,,,,"T")</f>
        <v>855.5</v>
      </c>
    </row>
    <row r="50" spans="3:8" x14ac:dyDescent="0.3">
      <c r="C50" s="142">
        <f t="shared" si="0"/>
        <v>-47</v>
      </c>
      <c r="D50" s="154">
        <f xml:space="preserve"> RTD("cqg.rtd",,"StudyData", $B$2,  "Bar",, "Time",$C$2,C50,,,,,"T")</f>
        <v>42317</v>
      </c>
      <c r="E50" s="142">
        <f xml:space="preserve"> RTD("cqg.rtd",,"StudyData", $B$2,  "Bar",, "Open",$C$2,C50,,,,,"T")</f>
        <v>869.75</v>
      </c>
      <c r="F50" s="142">
        <f xml:space="preserve"> RTD("cqg.rtd",,"StudyData", $B$2,  "Bar",, "High",$C$2,C50,,,,,"T")</f>
        <v>873.25</v>
      </c>
      <c r="G50" s="142">
        <f xml:space="preserve"> RTD("cqg.rtd",,"StudyData", $B$2,  "Bar",, "Low",$C$2,C50,,,,,"T")</f>
        <v>867</v>
      </c>
      <c r="H50" s="142">
        <f xml:space="preserve"> RTD("cqg.rtd",,"StudyData", $B$2,  "Bar",, "Close",$C$2,C50,,,,,"T")</f>
        <v>867.25</v>
      </c>
    </row>
    <row r="51" spans="3:8" x14ac:dyDescent="0.3">
      <c r="C51" s="142">
        <f t="shared" si="0"/>
        <v>-48</v>
      </c>
      <c r="D51" s="154">
        <f xml:space="preserve"> RTD("cqg.rtd",,"StudyData", $B$2,  "Bar",, "Time",$C$2,C51,,,,,"T")</f>
        <v>42314</v>
      </c>
      <c r="E51" s="142">
        <f xml:space="preserve"> RTD("cqg.rtd",,"StudyData", $B$2,  "Bar",, "Open",$C$2,C51,,,,,"T")</f>
        <v>866.75</v>
      </c>
      <c r="F51" s="142">
        <f xml:space="preserve"> RTD("cqg.rtd",,"StudyData", $B$2,  "Bar",, "High",$C$2,C51,,,,,"T")</f>
        <v>870.5</v>
      </c>
      <c r="G51" s="142">
        <f xml:space="preserve"> RTD("cqg.rtd",,"StudyData", $B$2,  "Bar",, "Low",$C$2,C51,,,,,"T")</f>
        <v>860.25</v>
      </c>
      <c r="H51" s="142">
        <f xml:space="preserve"> RTD("cqg.rtd",,"StudyData", $B$2,  "Bar",, "Close",$C$2,C51,,,,,"T")</f>
        <v>869.5</v>
      </c>
    </row>
    <row r="52" spans="3:8" x14ac:dyDescent="0.3">
      <c r="C52" s="142">
        <f t="shared" si="0"/>
        <v>-49</v>
      </c>
      <c r="D52" s="154">
        <f xml:space="preserve"> RTD("cqg.rtd",,"StudyData", $B$2,  "Bar",, "Time",$C$2,C52,,,,,"T")</f>
        <v>42313</v>
      </c>
      <c r="E52" s="142">
        <f xml:space="preserve"> RTD("cqg.rtd",,"StudyData", $B$2,  "Bar",, "Open",$C$2,C52,,,,,"T")</f>
        <v>886</v>
      </c>
      <c r="F52" s="142">
        <f xml:space="preserve"> RTD("cqg.rtd",,"StudyData", $B$2,  "Bar",, "High",$C$2,C52,,,,,"T")</f>
        <v>887.5</v>
      </c>
      <c r="G52" s="142">
        <f xml:space="preserve"> RTD("cqg.rtd",,"StudyData", $B$2,  "Bar",, "Low",$C$2,C52,,,,,"T")</f>
        <v>865.25</v>
      </c>
      <c r="H52" s="142">
        <f xml:space="preserve"> RTD("cqg.rtd",,"StudyData", $B$2,  "Bar",, "Close",$C$2,C52,,,,,"T")</f>
        <v>866.25</v>
      </c>
    </row>
    <row r="53" spans="3:8" x14ac:dyDescent="0.3">
      <c r="C53" s="142">
        <f t="shared" si="0"/>
        <v>-50</v>
      </c>
      <c r="D53" s="154">
        <f xml:space="preserve"> RTD("cqg.rtd",,"StudyData", $B$2,  "Bar",, "Time",$C$2,C53,,,,,"T")</f>
        <v>42312</v>
      </c>
      <c r="E53" s="142">
        <f xml:space="preserve"> RTD("cqg.rtd",,"StudyData", $B$2,  "Bar",, "Open",$C$2,C53,,,,,"T")</f>
        <v>881</v>
      </c>
      <c r="F53" s="142">
        <f xml:space="preserve"> RTD("cqg.rtd",,"StudyData", $B$2,  "Bar",, "High",$C$2,C53,,,,,"T")</f>
        <v>889.5</v>
      </c>
      <c r="G53" s="142">
        <f xml:space="preserve"> RTD("cqg.rtd",,"StudyData", $B$2,  "Bar",, "Low",$C$2,C53,,,,,"T")</f>
        <v>881</v>
      </c>
      <c r="H53" s="142">
        <f xml:space="preserve"> RTD("cqg.rtd",,"StudyData", $B$2,  "Bar",, "Close",$C$2,C53,,,,,"T")</f>
        <v>886.5</v>
      </c>
    </row>
  </sheetData>
  <sheetProtection algorithmName="SHA-512" hashValue="GgHYUOihbp1BgrLKpYWXy0tAlvwO6v6uWNau4RQ1idGRHc/7x9gw3Ov56M4M0lUFqxViyxuPEryilPrHWRNLqg==" saltValue="UsXI55TScBwg/aCypa3ji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showRowColHeaders="0" workbookViewId="0">
      <selection sqref="A1:XFD1048576"/>
    </sheetView>
  </sheetViews>
  <sheetFormatPr defaultRowHeight="16.5" x14ac:dyDescent="0.3"/>
  <cols>
    <col min="1" max="1" width="12.25" style="142" customWidth="1"/>
    <col min="2" max="2" width="9" style="142"/>
    <col min="3" max="3" width="15.5" style="142" customWidth="1"/>
    <col min="4" max="4" width="12" style="142" customWidth="1"/>
    <col min="5" max="5" width="48.125" style="142" customWidth="1"/>
    <col min="6" max="6" width="9" style="142" customWidth="1"/>
    <col min="7" max="7" width="9" style="142"/>
    <col min="8" max="8" width="12" style="142" customWidth="1"/>
    <col min="9" max="10" width="9" style="142"/>
    <col min="11" max="11" width="10.875" style="142" customWidth="1"/>
    <col min="12" max="12" width="37.375" style="142" customWidth="1"/>
    <col min="13" max="25" width="9" style="142"/>
    <col min="26" max="26" width="11.5" style="142" customWidth="1"/>
    <col min="27" max="27" width="9" style="142"/>
    <col min="28" max="28" width="13.75" style="142" customWidth="1"/>
    <col min="29" max="29" width="46.25" style="142" customWidth="1"/>
    <col min="30" max="32" width="9" style="142"/>
    <col min="33" max="33" width="12.25" style="142" customWidth="1"/>
    <col min="34" max="34" width="9" style="142"/>
    <col min="35" max="35" width="12.625" style="142" customWidth="1"/>
    <col min="36" max="36" width="50.5" style="142" customWidth="1"/>
    <col min="37" max="16384" width="9" style="142"/>
  </cols>
  <sheetData>
    <row r="1" spans="1:36" x14ac:dyDescent="0.3">
      <c r="B1" s="143" t="s">
        <v>0</v>
      </c>
      <c r="C1" s="144">
        <f>Display!D5</f>
        <v>16</v>
      </c>
      <c r="D1" s="144">
        <f>C1+1</f>
        <v>17</v>
      </c>
      <c r="E1" s="145" t="s">
        <v>1</v>
      </c>
    </row>
    <row r="2" spans="1:36" x14ac:dyDescent="0.3">
      <c r="C2" s="146" t="str">
        <f t="shared" ref="C2:C8" ca="1" si="0">IF(LEFT(C1,4)="SOMI",VLOOKUP("Dec "&amp;$C$1,$AH$2:$AI$5,2,FALSE),IF(LEFT(C1,6)="SOM00U",VLOOKUP("Sep "&amp;$C$1,$P$2:$Q$5,2,FALSE),IF(OR(I14="Jan "&amp;$C$1,I14="Mar "&amp;$C$1,I14="May "&amp;$C$1,I14="Jul "&amp;$C$1,I14="Aug "&amp;$C$1,I14="Sep "&amp;$C$1),VLOOKUP(I14,$J$2:$K$10,2,FALSE),IF(I14="Oct "&amp;$C$1,VLOOKUP("Oct "&amp;$C$1,$AH$2:$AI$5,2,FALSE),IF(I14="Dec "&amp;$C$1,VLOOKUP("Dec "&amp;$C$1,$AA$2:$AB$4,2,FALSE),IF(OR(I14="Jan "&amp;$D$1,I14="Mar "&amp;$D$1,I14="May "&amp;$D$1,I14="Jul "&amp;$D$1,I14="Aug "&amp;$D$1),VLOOKUP(I14,$J$2:$K$10,2,FALSE)))))))</f>
        <v>SOM00H6</v>
      </c>
      <c r="D2" s="142" t="str">
        <f ca="1">RIGHT(RTD("cqg.rtd", ,"ContractData",C2, "LongDescription",, "T"),6)</f>
        <v>Mar 16</v>
      </c>
      <c r="E2" s="142" t="str">
        <f ca="1">RTD("cqg.rtd", ,"ContractData",C2, "LongDescription",, "T")</f>
        <v>Soybean Crush (Same-month), Mar 16</v>
      </c>
      <c r="G2" s="142">
        <v>1</v>
      </c>
      <c r="H2" s="142" t="str">
        <f>"SOM00?"&amp;G2</f>
        <v>SOM00?1</v>
      </c>
      <c r="I2" s="142" t="str">
        <f>RTD("cqg.rtd", ,"ContractData",H2, "Symbol",, "T")</f>
        <v>SOM00H6</v>
      </c>
      <c r="J2" s="142" t="str">
        <f>RIGHT(RTD("cqg.rtd", ,"ContractData",I2, "LongDescription",, "T"),6)</f>
        <v>Mar 16</v>
      </c>
      <c r="K2" s="142" t="str">
        <f>I2</f>
        <v>SOM00H6</v>
      </c>
      <c r="L2" s="142" t="str">
        <f>RTD("cqg.rtd", ,"ContractData",I2, "LongDescription",, "T")</f>
        <v>Soybean Crush (Same-month), Mar 16</v>
      </c>
      <c r="M2" s="142">
        <v>1</v>
      </c>
      <c r="N2" s="142" t="str">
        <f>"SOM02?"&amp;M2</f>
        <v>SOM02?1</v>
      </c>
      <c r="O2" s="142" t="str">
        <f>RTD("cqg.rtd", ,"ContractData",N2, "Symbol",, "T")</f>
        <v>SOM02U6</v>
      </c>
      <c r="P2" s="142" t="str">
        <f>RIGHT(RTD("cqg.rtd", ,"ContractData",O2, "LongDescription",, "T"),6)</f>
        <v>Sep 16</v>
      </c>
      <c r="Q2" s="142" t="str">
        <f>O2</f>
        <v>SOM02U6</v>
      </c>
      <c r="R2" s="142" t="str">
        <f>RTD("cqg.rtd", ,"ContractData",O2, "LongDescription",, "T")</f>
        <v>Soybean Crush2(Meal,Oil EXP ahead Beans), Sep 16</v>
      </c>
      <c r="X2" s="142">
        <v>1</v>
      </c>
      <c r="Y2" s="142" t="str">
        <f>"SOMI01?"&amp;X2</f>
        <v>SOMI01?1</v>
      </c>
      <c r="Z2" s="142" t="str">
        <f>RTD("cqg.rtd", ,"ContractData",Y2, "Symbol",, "T")</f>
        <v>SOMI01Z6</v>
      </c>
      <c r="AA2" s="142" t="str">
        <f>RIGHT(RTD("cqg.rtd", ,"ContractData",Z2, "LongDescription",, "T"),6)</f>
        <v>Dec 16</v>
      </c>
      <c r="AB2" s="142" t="str">
        <f>Z2</f>
        <v>SOMI01Z6</v>
      </c>
      <c r="AC2" s="142" t="str">
        <f>RTD("cqg.rtd", ,"ContractData",Z2, "LongDescription",, "T")</f>
        <v>Soybean Crush (Meal,Oil EXP after Beans), Dec 16</v>
      </c>
      <c r="AE2" s="142">
        <v>1</v>
      </c>
      <c r="AF2" s="142" t="str">
        <f>"SOM01?"&amp;AE2</f>
        <v>SOM01?1</v>
      </c>
      <c r="AG2" s="142" t="str">
        <f>RTD("cqg.rtd", ,"ContractData",AF2, "Symbol",, "T")</f>
        <v>SOM01V6</v>
      </c>
      <c r="AH2" s="142" t="str">
        <f>RIGHT(RTD("cqg.rtd", ,"ContractData",AG2, "LongDescription",, "T"),6)</f>
        <v>Oct 16</v>
      </c>
      <c r="AI2" s="142" t="str">
        <f>AG2</f>
        <v>SOM01V6</v>
      </c>
      <c r="AJ2" s="142" t="str">
        <f>RTD("cqg.rtd", ,"ContractData",AG2, "LongDescription",, "T")</f>
        <v>Soybean Crush (Meal,Oil EXP ahead Beans), Oct 16</v>
      </c>
    </row>
    <row r="3" spans="1:36" x14ac:dyDescent="0.3">
      <c r="C3" s="146" t="str">
        <f t="shared" ca="1" si="0"/>
        <v>SOM00K6</v>
      </c>
      <c r="D3" s="142" t="str">
        <f ca="1">RIGHT(RTD("cqg.rtd", ,"ContractData",C3, "LongDescription",, "T"),6)</f>
        <v>May 16</v>
      </c>
      <c r="E3" s="142" t="str">
        <f ca="1">RTD("cqg.rtd", ,"ContractData",C3, "LongDescription",, "T")</f>
        <v>Soybean Crush (Same-month), May 16</v>
      </c>
      <c r="G3" s="142">
        <f>G2+1</f>
        <v>2</v>
      </c>
      <c r="H3" s="142" t="str">
        <f t="shared" ref="H3:H10" si="1">"SOM00?"&amp;G3</f>
        <v>SOM00?2</v>
      </c>
      <c r="I3" s="142" t="str">
        <f>RTD("cqg.rtd", ,"ContractData",H3, "Symbol",, "T")</f>
        <v>SOM00K6</v>
      </c>
      <c r="J3" s="142" t="str">
        <f>RIGHT(RTD("cqg.rtd", ,"ContractData",I3, "LongDescription",, "T"),6)</f>
        <v>May 16</v>
      </c>
      <c r="K3" s="142" t="str">
        <f t="shared" ref="K3:K10" si="2">I3</f>
        <v>SOM00K6</v>
      </c>
      <c r="L3" s="142" t="str">
        <f>RTD("cqg.rtd", ,"ContractData",I3, "LongDescription",, "T")</f>
        <v>Soybean Crush (Same-month), May 16</v>
      </c>
      <c r="M3" s="142">
        <f>M2+1</f>
        <v>2</v>
      </c>
      <c r="N3" s="142" t="str">
        <f t="shared" ref="N3:N4" si="3">"SOM02?"&amp;M3</f>
        <v>SOM02?2</v>
      </c>
      <c r="O3" s="142" t="str">
        <f>RTD("cqg.rtd", ,"ContractData",N3, "Symbol",, "T")</f>
        <v>SOM02U7</v>
      </c>
      <c r="P3" s="142" t="str">
        <f>RIGHT(RTD("cqg.rtd", ,"ContractData",O3, "LongDescription",, "T"),6)</f>
        <v>Sep 17</v>
      </c>
      <c r="Q3" s="142" t="str">
        <f t="shared" ref="Q3:Q4" si="4">O3</f>
        <v>SOM02U7</v>
      </c>
      <c r="R3" s="142" t="str">
        <f>RTD("cqg.rtd", ,"ContractData",O3, "LongDescription",, "T")</f>
        <v>Soybean Crush2(Meal,Oil EXP ahead Beans), Sep 17</v>
      </c>
      <c r="X3" s="142">
        <f>X2+1</f>
        <v>2</v>
      </c>
      <c r="Y3" s="142" t="str">
        <f t="shared" ref="Y3:Y4" si="5">"SOMI01?"&amp;X3</f>
        <v>SOMI01?2</v>
      </c>
      <c r="Z3" s="142" t="str">
        <f>RTD("cqg.rtd", ,"ContractData",Y3, "Symbol",, "T")</f>
        <v>SOMI01Z7</v>
      </c>
      <c r="AA3" s="142" t="str">
        <f>RIGHT(RTD("cqg.rtd", ,"ContractData",Z3, "LongDescription",, "T"),6)</f>
        <v>Dec 17</v>
      </c>
      <c r="AB3" s="142" t="str">
        <f t="shared" ref="AB3:AB4" si="6">Z3</f>
        <v>SOMI01Z7</v>
      </c>
      <c r="AC3" s="142" t="str">
        <f>RTD("cqg.rtd", ,"ContractData",Z3, "LongDescription",, "T")</f>
        <v>Soybean Crush (Meal,Oil EXP after Beans), Dec 17</v>
      </c>
      <c r="AE3" s="142">
        <f>AE2+1</f>
        <v>2</v>
      </c>
      <c r="AF3" s="142" t="str">
        <f t="shared" ref="AF3:AF5" si="7">"SOM01?"&amp;AE3</f>
        <v>SOM01?2</v>
      </c>
      <c r="AG3" s="142" t="str">
        <f>RTD("cqg.rtd", ,"ContractData",AF3, "Symbol",, "T")</f>
        <v>SOM01Z6</v>
      </c>
      <c r="AH3" s="142" t="str">
        <f>RIGHT(RTD("cqg.rtd", ,"ContractData",AG3, "LongDescription",, "T"),6)</f>
        <v>Dec 16</v>
      </c>
      <c r="AI3" s="142" t="str">
        <f t="shared" ref="AI3:AI5" si="8">AG3</f>
        <v>SOM01Z6</v>
      </c>
      <c r="AJ3" s="142" t="str">
        <f>RTD("cqg.rtd", ,"ContractData",AG3, "LongDescription",, "T")</f>
        <v>Soybean Crush (Meal,Oil EXP ahead Beans), Dec 16</v>
      </c>
    </row>
    <row r="4" spans="1:36" x14ac:dyDescent="0.3">
      <c r="C4" s="146" t="str">
        <f t="shared" ca="1" si="0"/>
        <v>SOM00N6</v>
      </c>
      <c r="D4" s="142" t="str">
        <f ca="1">RIGHT(RTD("cqg.rtd", ,"ContractData",C4, "LongDescription",, "T"),6)</f>
        <v>Jul 16</v>
      </c>
      <c r="E4" s="142" t="str">
        <f ca="1">RTD("cqg.rtd", ,"ContractData",C4, "LongDescription",, "T")</f>
        <v>Soybean Crush (Same-month), Jul 16</v>
      </c>
      <c r="G4" s="142">
        <f t="shared" ref="G4:G10" si="9">G3+1</f>
        <v>3</v>
      </c>
      <c r="H4" s="142" t="str">
        <f t="shared" si="1"/>
        <v>SOM00?3</v>
      </c>
      <c r="I4" s="142" t="str">
        <f>RTD("cqg.rtd", ,"ContractData",H4, "Symbol",, "T")</f>
        <v>SOM00N6</v>
      </c>
      <c r="J4" s="142" t="str">
        <f>RIGHT(RTD("cqg.rtd", ,"ContractData",I4, "LongDescription",, "T"),6)</f>
        <v>Jul 16</v>
      </c>
      <c r="K4" s="142" t="str">
        <f t="shared" si="2"/>
        <v>SOM00N6</v>
      </c>
      <c r="L4" s="142" t="str">
        <f>RTD("cqg.rtd", ,"ContractData",I4, "LongDescription",, "T")</f>
        <v>Soybean Crush (Same-month), Jul 16</v>
      </c>
      <c r="M4" s="142">
        <f t="shared" ref="M4" si="10">M3+1</f>
        <v>3</v>
      </c>
      <c r="N4" s="142" t="str">
        <f t="shared" si="3"/>
        <v>SOM02?3</v>
      </c>
      <c r="O4" s="142" t="str">
        <f>RTD("cqg.rtd", ,"ContractData",N4, "Symbol",, "T")</f>
        <v>SOM02U8</v>
      </c>
      <c r="P4" s="142" t="str">
        <f>RIGHT(RTD("cqg.rtd", ,"ContractData",O4, "LongDescription",, "T"),6)</f>
        <v>Sep 18</v>
      </c>
      <c r="Q4" s="142" t="str">
        <f t="shared" si="4"/>
        <v>SOM02U8</v>
      </c>
      <c r="R4" s="142" t="str">
        <f>RTD("cqg.rtd", ,"ContractData",O4, "LongDescription",, "T")</f>
        <v>Soybean Crush2(Meal,Oil EXP ahead Beans), Sep 18</v>
      </c>
      <c r="X4" s="142">
        <f t="shared" ref="X4" si="11">X3+1</f>
        <v>3</v>
      </c>
      <c r="Y4" s="142" t="str">
        <f t="shared" si="5"/>
        <v>SOMI01?3</v>
      </c>
      <c r="Z4" s="142" t="str">
        <f>RTD("cqg.rtd", ,"ContractData",Y4, "Symbol",, "T")</f>
        <v>SOMI01Z8</v>
      </c>
      <c r="AA4" s="142" t="str">
        <f>RIGHT(RTD("cqg.rtd", ,"ContractData",Z4, "LongDescription",, "T"),6)</f>
        <v>Dec 18</v>
      </c>
      <c r="AB4" s="142" t="str">
        <f t="shared" si="6"/>
        <v>SOMI01Z8</v>
      </c>
      <c r="AC4" s="142" t="str">
        <f>RTD("cqg.rtd", ,"ContractData",Z4, "LongDescription",, "T")</f>
        <v>Soybean Crush (Meal,Oil EXP after Beans), Dec 18</v>
      </c>
      <c r="AE4" s="142">
        <f t="shared" ref="AE4:AE5" si="12">AE3+1</f>
        <v>3</v>
      </c>
      <c r="AF4" s="142" t="str">
        <f t="shared" si="7"/>
        <v>SOM01?3</v>
      </c>
      <c r="AG4" s="142" t="str">
        <f>RTD("cqg.rtd", ,"ContractData",AF4, "Symbol",, "T")</f>
        <v>SOM01V7</v>
      </c>
      <c r="AH4" s="142" t="str">
        <f>RIGHT(RTD("cqg.rtd", ,"ContractData",AG4, "LongDescription",, "T"),6)</f>
        <v>Oct 17</v>
      </c>
      <c r="AI4" s="142" t="str">
        <f t="shared" si="8"/>
        <v>SOM01V7</v>
      </c>
      <c r="AJ4" s="142" t="str">
        <f>RTD("cqg.rtd", ,"ContractData",AG4, "LongDescription",, "T")</f>
        <v>Soybean Crush (Meal,Oil EXP ahead Beans), Oct 17</v>
      </c>
    </row>
    <row r="5" spans="1:36" x14ac:dyDescent="0.3">
      <c r="C5" s="146" t="str">
        <f t="shared" ca="1" si="0"/>
        <v>SOM00Q6</v>
      </c>
      <c r="D5" s="142" t="str">
        <f ca="1">RIGHT(RTD("cqg.rtd", ,"ContractData",C5, "LongDescription",, "T"),6)</f>
        <v>Aug 16</v>
      </c>
      <c r="E5" s="142" t="str">
        <f ca="1">RTD("cqg.rtd", ,"ContractData",C5, "LongDescription",, "T")</f>
        <v>Soybean Crush (Same-month), Aug 16</v>
      </c>
      <c r="G5" s="142">
        <f t="shared" si="9"/>
        <v>4</v>
      </c>
      <c r="H5" s="142" t="str">
        <f t="shared" si="1"/>
        <v>SOM00?4</v>
      </c>
      <c r="I5" s="142" t="str">
        <f>RTD("cqg.rtd", ,"ContractData",H5, "Symbol",, "T")</f>
        <v>SOM00Q6</v>
      </c>
      <c r="J5" s="142" t="str">
        <f>RIGHT(RTD("cqg.rtd", ,"ContractData",I5, "LongDescription",, "T"),6)</f>
        <v>Aug 16</v>
      </c>
      <c r="K5" s="142" t="str">
        <f t="shared" si="2"/>
        <v>SOM00Q6</v>
      </c>
      <c r="L5" s="142" t="str">
        <f>RTD("cqg.rtd", ,"ContractData",I5, "LongDescription",, "T")</f>
        <v>Soybean Crush (Same-month), Aug 16</v>
      </c>
      <c r="AE5" s="142">
        <f t="shared" si="12"/>
        <v>4</v>
      </c>
      <c r="AF5" s="142" t="str">
        <f t="shared" si="7"/>
        <v>SOM01?4</v>
      </c>
      <c r="AG5" s="142" t="str">
        <f>RTD("cqg.rtd", ,"ContractData",AF5, "Symbol",, "T")</f>
        <v>SOM01V8</v>
      </c>
      <c r="AH5" s="142" t="str">
        <f>RIGHT(RTD("cqg.rtd", ,"ContractData",AG5, "LongDescription",, "T"),6)</f>
        <v>Oct 18</v>
      </c>
      <c r="AI5" s="142" t="str">
        <f t="shared" si="8"/>
        <v>SOM01V8</v>
      </c>
      <c r="AJ5" s="142" t="str">
        <f>RTD("cqg.rtd", ,"ContractData",AG5, "LongDescription",, "T")</f>
        <v>Soybean Crush (Meal,Oil EXP ahead Beans), Oct 18</v>
      </c>
    </row>
    <row r="6" spans="1:36" x14ac:dyDescent="0.3">
      <c r="C6" s="146" t="str">
        <f t="shared" ca="1" si="0"/>
        <v>SOM00U6</v>
      </c>
      <c r="D6" s="142" t="str">
        <f ca="1">RIGHT(RTD("cqg.rtd", ,"ContractData",C6, "LongDescription",, "T"),6)</f>
        <v>Sep 16</v>
      </c>
      <c r="E6" s="142" t="str">
        <f ca="1">RTD("cqg.rtd", ,"ContractData",C6, "LongDescription",, "T")</f>
        <v>Soybean Crush (Same-month), Sep 16</v>
      </c>
      <c r="G6" s="142">
        <f t="shared" si="9"/>
        <v>5</v>
      </c>
      <c r="H6" s="142" t="str">
        <f t="shared" si="1"/>
        <v>SOM00?5</v>
      </c>
      <c r="I6" s="142" t="str">
        <f>RTD("cqg.rtd", ,"ContractData",H6, "Symbol",, "T")</f>
        <v>SOM00U6</v>
      </c>
      <c r="J6" s="142" t="str">
        <f>RIGHT(RTD("cqg.rtd", ,"ContractData",I6, "LongDescription",, "T"),6)</f>
        <v>Sep 16</v>
      </c>
      <c r="K6" s="142" t="str">
        <f t="shared" si="2"/>
        <v>SOM00U6</v>
      </c>
      <c r="L6" s="142" t="str">
        <f>RTD("cqg.rtd", ,"ContractData",I6, "LongDescription",, "T")</f>
        <v>Soybean Crush (Same-month), Sep 16</v>
      </c>
    </row>
    <row r="7" spans="1:36" x14ac:dyDescent="0.3">
      <c r="C7" s="146" t="str">
        <f t="shared" ca="1" si="0"/>
        <v>SOM02U6</v>
      </c>
      <c r="D7" s="142" t="str">
        <f ca="1">RIGHT(RTD("cqg.rtd", ,"ContractData",C7, "LongDescription",, "T"),6)</f>
        <v>Sep 16</v>
      </c>
      <c r="E7" s="142" t="str">
        <f ca="1">RTD("cqg.rtd", ,"ContractData",C7, "LongDescription",, "T")</f>
        <v>Soybean Crush2(Meal,Oil EXP ahead Beans), Sep 16</v>
      </c>
      <c r="G7" s="142">
        <f t="shared" si="9"/>
        <v>6</v>
      </c>
      <c r="H7" s="142" t="str">
        <f t="shared" si="1"/>
        <v>SOM00?6</v>
      </c>
      <c r="I7" s="142" t="str">
        <f>RTD("cqg.rtd", ,"ContractData",H7, "Symbol",, "T")</f>
        <v>SOM00F7</v>
      </c>
      <c r="J7" s="142" t="str">
        <f>RIGHT(RTD("cqg.rtd", ,"ContractData",I7, "LongDescription",, "T"),6)</f>
        <v>Jan 17</v>
      </c>
      <c r="K7" s="142" t="str">
        <f t="shared" si="2"/>
        <v>SOM00F7</v>
      </c>
      <c r="L7" s="142" t="str">
        <f>RTD("cqg.rtd", ,"ContractData",I7, "LongDescription",, "T")</f>
        <v>Soybean Crush (Same-month), Jan 17</v>
      </c>
    </row>
    <row r="8" spans="1:36" x14ac:dyDescent="0.3">
      <c r="C8" s="146" t="str">
        <f t="shared" ca="1" si="0"/>
        <v>SOM01V6</v>
      </c>
      <c r="D8" s="142" t="str">
        <f ca="1">RIGHT(RTD("cqg.rtd", ,"ContractData",C8, "LongDescription",, "T"),6)</f>
        <v>Oct 16</v>
      </c>
      <c r="E8" s="142" t="str">
        <f ca="1">RTD("cqg.rtd", ,"ContractData",C8, "LongDescription",, "T")</f>
        <v>Soybean Crush (Meal,Oil EXP ahead Beans), Oct 16</v>
      </c>
      <c r="G8" s="142">
        <f t="shared" si="9"/>
        <v>7</v>
      </c>
      <c r="H8" s="142" t="str">
        <f t="shared" si="1"/>
        <v>SOM00?7</v>
      </c>
      <c r="I8" s="142" t="str">
        <f>RTD("cqg.rtd", ,"ContractData",H8, "Symbol",, "T")</f>
        <v>SOM00H7</v>
      </c>
      <c r="J8" s="142" t="str">
        <f>RIGHT(RTD("cqg.rtd", ,"ContractData",I8, "LongDescription",, "T"),6)</f>
        <v>Mar 17</v>
      </c>
      <c r="K8" s="142" t="str">
        <f t="shared" si="2"/>
        <v>SOM00H7</v>
      </c>
      <c r="L8" s="142" t="str">
        <f>RTD("cqg.rtd", ,"ContractData",I8, "LongDescription",, "T")</f>
        <v>Soybean Crush (Same-month), Mar 17</v>
      </c>
    </row>
    <row r="9" spans="1:36" x14ac:dyDescent="0.3">
      <c r="C9" s="146" t="str">
        <f t="shared" ref="C9:C12" ca="1" si="13">IF(LEFT(C8,4)="SOMI",VLOOKUP("Dec "&amp;$C$1,$AH$2:$AI$5,2,FALSE),IF(LEFT(C8,6)="SOM00U",VLOOKUP("Sep "&amp;$C$1,$P$2:$Q$5,2,FALSE),IF(OR(I21="Jan "&amp;$C$1,I21="Mar "&amp;$C$1,I21="May "&amp;$C$1,I21="Jul "&amp;$C$1,I21="Aug "&amp;$C$1,I21="Sep "&amp;$C$1),VLOOKUP(I21,$J$2:$K$10,2,FALSE),IF(I21="Oct "&amp;$C$1,VLOOKUP("Oct "&amp;$C$1,$AH$2:$AI$5,2,FALSE),IF(I21="Dec "&amp;$C$1,VLOOKUP("Dec "&amp;$C$1,$AA$2:$AB$4,2,FALSE),IF(OR(I21="Jan "&amp;$D$1,I21="Mar "&amp;$D$1,I21="May "&amp;$D$1,I21="Jul "&amp;$D$1,I21="Aug "&amp;$D$1),VLOOKUP(I21,$J$2:$K$10,2,FALSE)))))))</f>
        <v>SOMI01Z6</v>
      </c>
      <c r="D9" s="142" t="str">
        <f ca="1">RIGHT(RTD("cqg.rtd", ,"ContractData",C9, "LongDescription",, "T"),6)</f>
        <v>Dec 16</v>
      </c>
      <c r="E9" s="142" t="str">
        <f ca="1">RTD("cqg.rtd", ,"ContractData",C9, "LongDescription",, "T")</f>
        <v>Soybean Crush (Meal,Oil EXP after Beans), Dec 16</v>
      </c>
      <c r="G9" s="142">
        <f t="shared" si="9"/>
        <v>8</v>
      </c>
      <c r="H9" s="142" t="str">
        <f t="shared" si="1"/>
        <v>SOM00?8</v>
      </c>
      <c r="I9" s="142" t="str">
        <f>RTD("cqg.rtd", ,"ContractData",H9, "Symbol",, "T")</f>
        <v>SOM00K7</v>
      </c>
      <c r="J9" s="142" t="str">
        <f>RIGHT(RTD("cqg.rtd", ,"ContractData",I9, "LongDescription",, "T"),6)</f>
        <v>May 17</v>
      </c>
      <c r="K9" s="142" t="str">
        <f t="shared" si="2"/>
        <v>SOM00K7</v>
      </c>
      <c r="L9" s="142" t="str">
        <f>RTD("cqg.rtd", ,"ContractData",I9, "LongDescription",, "T")</f>
        <v>Soybean Crush (Same-month), May 17</v>
      </c>
    </row>
    <row r="10" spans="1:36" x14ac:dyDescent="0.3">
      <c r="C10" s="146" t="str">
        <f t="shared" ca="1" si="13"/>
        <v>SOM01Z6</v>
      </c>
      <c r="D10" s="142" t="str">
        <f ca="1">RIGHT(RTD("cqg.rtd", ,"ContractData",C10, "LongDescription",, "T"),6)</f>
        <v>Dec 16</v>
      </c>
      <c r="E10" s="142" t="str">
        <f ca="1">RTD("cqg.rtd", ,"ContractData",C10, "LongDescription",, "T")</f>
        <v>Soybean Crush (Meal,Oil EXP ahead Beans), Dec 16</v>
      </c>
      <c r="G10" s="142">
        <f t="shared" si="9"/>
        <v>9</v>
      </c>
      <c r="H10" s="142" t="str">
        <f t="shared" si="1"/>
        <v>SOM00?9</v>
      </c>
      <c r="I10" s="142" t="str">
        <f>RTD("cqg.rtd", ,"ContractData",H10, "Symbol",, "T")</f>
        <v>SOM00N7</v>
      </c>
      <c r="J10" s="142" t="str">
        <f>RIGHT(RTD("cqg.rtd", ,"ContractData",I10, "LongDescription",, "T"),6)</f>
        <v>Jul 17</v>
      </c>
      <c r="K10" s="142" t="str">
        <f t="shared" si="2"/>
        <v>SOM00N7</v>
      </c>
      <c r="L10" s="142" t="str">
        <f>RTD("cqg.rtd", ,"ContractData",I10, "LongDescription",, "T")</f>
        <v>Soybean Crush (Same-month), Jul 17</v>
      </c>
    </row>
    <row r="11" spans="1:36" x14ac:dyDescent="0.3">
      <c r="C11" s="146" t="str">
        <f t="shared" ca="1" si="13"/>
        <v>SOM00F7</v>
      </c>
      <c r="D11" s="142" t="str">
        <f ca="1">RIGHT(RTD("cqg.rtd", ,"ContractData",C11, "LongDescription",, "T"),6)</f>
        <v>Jan 17</v>
      </c>
      <c r="E11" s="142" t="str">
        <f ca="1">RTD("cqg.rtd", ,"ContractData",C11, "LongDescription",, "T")</f>
        <v>Soybean Crush (Same-month), Jan 17</v>
      </c>
    </row>
    <row r="12" spans="1:36" x14ac:dyDescent="0.3">
      <c r="A12" s="142" t="str">
        <f>"ZME?"&amp;B14</f>
        <v>ZME?1</v>
      </c>
      <c r="C12" s="146" t="str">
        <f t="shared" ca="1" si="13"/>
        <v>SOM00H7</v>
      </c>
      <c r="D12" s="142" t="str">
        <f ca="1">RIGHT(RTD("cqg.rtd", ,"ContractData",C12, "LongDescription",, "T"),6)</f>
        <v>Mar 17</v>
      </c>
      <c r="E12" s="142" t="str">
        <f ca="1">RTD("cqg.rtd", ,"ContractData",C12, "LongDescription",, "T")</f>
        <v>Soybean Crush (Same-month), Mar 17</v>
      </c>
    </row>
    <row r="13" spans="1:36" x14ac:dyDescent="0.3">
      <c r="A13" s="147">
        <f ca="1">TODAY()</f>
        <v>42388</v>
      </c>
      <c r="C13" s="148" t="s">
        <v>2</v>
      </c>
      <c r="G13" s="148" t="s">
        <v>3</v>
      </c>
    </row>
    <row r="14" spans="1:36" x14ac:dyDescent="0.3">
      <c r="A14" s="147">
        <f>IF(TEXT(RTD("cqg.rtd", ,"ContractData",$A12, "ExpirationDate",, "T"),"ddd")="Fri",RTD("cqg.rtd", ,"ContractData",$A12, "ExpirationDate",, "T")+2,RTD("cqg.rtd", ,"ContractData",$A12, "ExpirationDate",, "T"))</f>
        <v>42443</v>
      </c>
      <c r="B14" s="148">
        <v>1</v>
      </c>
      <c r="C14" s="142" t="str">
        <f>"ZME?"&amp;B14</f>
        <v>ZME?1</v>
      </c>
      <c r="D14" s="142" t="str">
        <f>RTD("cqg.rtd", ,"ContractData",C14, "Symbol",, "T")</f>
        <v>ZMEH6</v>
      </c>
      <c r="E14" s="142" t="str">
        <f>RIGHT(RTD("cqg.rtd", ,"ContractData",D14, "LongDescription",, "T"),6)</f>
        <v>Mar 16</v>
      </c>
      <c r="F14" s="148">
        <f ca="1">IF(A13-A14=1,2,1)</f>
        <v>1</v>
      </c>
      <c r="G14" s="142" t="str">
        <f ca="1">"ZME?"&amp;F14</f>
        <v>ZME?1</v>
      </c>
      <c r="H14" s="142" t="str">
        <f ca="1">RTD("cqg.rtd", ,"ContractData",G14, "Symbol",, "T")</f>
        <v>ZMEH6</v>
      </c>
      <c r="I14" s="142" t="str">
        <f ca="1">RIGHT(RTD("cqg.rtd", ,"ContractData",H14, "LongDescription",, "T"),6)</f>
        <v>Mar 16</v>
      </c>
    </row>
    <row r="15" spans="1:36" x14ac:dyDescent="0.3">
      <c r="A15" s="146"/>
      <c r="B15" s="142">
        <f t="shared" ref="B15:B24" si="14">B14+1</f>
        <v>2</v>
      </c>
      <c r="C15" s="142" t="str">
        <f t="shared" ref="C15:C22" si="15">"ZME?"&amp;B15</f>
        <v>ZME?2</v>
      </c>
      <c r="D15" s="142" t="str">
        <f>RTD("cqg.rtd", ,"ContractData",C15, "Symbol",, "T")</f>
        <v>ZMEK6</v>
      </c>
      <c r="E15" s="142" t="str">
        <f>RIGHT(RTD("cqg.rtd", ,"ContractData",D15, "LongDescription",, "T"),6)</f>
        <v>May 16</v>
      </c>
      <c r="F15" s="146">
        <f ca="1">IF(LEFT(E14,3)="Sep",F14,IF(LEFT(E13,3)="Dec",F14,F14+1))</f>
        <v>2</v>
      </c>
      <c r="G15" s="142" t="str">
        <f t="shared" ref="G15:G24" ca="1" si="16">"ZME?"&amp;F15</f>
        <v>ZME?2</v>
      </c>
      <c r="H15" s="142" t="str">
        <f ca="1">RTD("cqg.rtd", ,"ContractData",G15, "Symbol",, "T")</f>
        <v>ZMEK6</v>
      </c>
      <c r="I15" s="142" t="str">
        <f ca="1">RIGHT(RTD("cqg.rtd", ,"ContractData",H15, "LongDescription",, "T"),6)</f>
        <v>May 16</v>
      </c>
    </row>
    <row r="16" spans="1:36" x14ac:dyDescent="0.3">
      <c r="A16" s="146"/>
      <c r="B16" s="142">
        <f t="shared" si="14"/>
        <v>3</v>
      </c>
      <c r="C16" s="142" t="str">
        <f t="shared" si="15"/>
        <v>ZME?3</v>
      </c>
      <c r="D16" s="142" t="str">
        <f>RTD("cqg.rtd", ,"ContractData",C16, "Symbol",, "T")</f>
        <v>ZMEN6</v>
      </c>
      <c r="E16" s="142" t="str">
        <f>RIGHT(RTD("cqg.rtd", ,"ContractData",D16, "LongDescription",, "T"),6)</f>
        <v>Jul 16</v>
      </c>
      <c r="F16" s="146">
        <f t="shared" ref="F16:F24" ca="1" si="17">IF(LEFT(E15,3)="Sep",F15,IF(LEFT(E14,3)="Dec",F15,F15+1))</f>
        <v>3</v>
      </c>
      <c r="G16" s="142" t="str">
        <f t="shared" ca="1" si="16"/>
        <v>ZME?3</v>
      </c>
      <c r="H16" s="142" t="str">
        <f ca="1">RTD("cqg.rtd", ,"ContractData",G16, "Symbol",, "T")</f>
        <v>ZMEN6</v>
      </c>
      <c r="I16" s="142" t="str">
        <f ca="1">RIGHT(RTD("cqg.rtd", ,"ContractData",H16, "LongDescription",, "T"),6)</f>
        <v>Jul 16</v>
      </c>
    </row>
    <row r="17" spans="1:25" x14ac:dyDescent="0.3">
      <c r="A17" s="146"/>
      <c r="B17" s="142">
        <f t="shared" si="14"/>
        <v>4</v>
      </c>
      <c r="C17" s="142" t="str">
        <f t="shared" si="15"/>
        <v>ZME?4</v>
      </c>
      <c r="D17" s="142" t="str">
        <f>RTD("cqg.rtd", ,"ContractData",C17, "Symbol",, "T")</f>
        <v>ZMEQ6</v>
      </c>
      <c r="E17" s="142" t="str">
        <f>RIGHT(RTD("cqg.rtd", ,"ContractData",D17, "LongDescription",, "T"),6)</f>
        <v>Aug 16</v>
      </c>
      <c r="F17" s="146">
        <f t="shared" ca="1" si="17"/>
        <v>4</v>
      </c>
      <c r="G17" s="142" t="str">
        <f t="shared" ca="1" si="16"/>
        <v>ZME?4</v>
      </c>
      <c r="H17" s="142" t="str">
        <f ca="1">RTD("cqg.rtd", ,"ContractData",G17, "Symbol",, "T")</f>
        <v>ZMEQ6</v>
      </c>
      <c r="I17" s="142" t="str">
        <f ca="1">RIGHT(RTD("cqg.rtd", ,"ContractData",H17, "LongDescription",, "T"),6)</f>
        <v>Aug 16</v>
      </c>
    </row>
    <row r="18" spans="1:25" x14ac:dyDescent="0.3">
      <c r="A18" s="146"/>
      <c r="B18" s="142">
        <f t="shared" si="14"/>
        <v>5</v>
      </c>
      <c r="C18" s="142" t="str">
        <f t="shared" si="15"/>
        <v>ZME?5</v>
      </c>
      <c r="D18" s="142" t="str">
        <f>RTD("cqg.rtd", ,"ContractData",C18, "Symbol",, "T")</f>
        <v>ZMEU6</v>
      </c>
      <c r="E18" s="142" t="str">
        <f>RIGHT(RTD("cqg.rtd", ,"ContractData",D18, "LongDescription",, "T"),6)</f>
        <v>Sep 16</v>
      </c>
      <c r="F18" s="146">
        <f ca="1">IF(LEFT(E17,3)="Sep",F17,IF(LEFT(E16,3)="Dec",F17,F17+1))</f>
        <v>5</v>
      </c>
      <c r="G18" s="142" t="str">
        <f t="shared" ca="1" si="16"/>
        <v>ZME?5</v>
      </c>
      <c r="H18" s="142" t="str">
        <f ca="1">RTD("cqg.rtd", ,"ContractData",G18, "Symbol",, "T")</f>
        <v>ZMEU6</v>
      </c>
      <c r="I18" s="142" t="str">
        <f ca="1">RIGHT(RTD("cqg.rtd", ,"ContractData",H18, "LongDescription",, "T"),6)</f>
        <v>Sep 16</v>
      </c>
    </row>
    <row r="19" spans="1:25" x14ac:dyDescent="0.3">
      <c r="A19" s="146"/>
      <c r="B19" s="142">
        <f t="shared" si="14"/>
        <v>6</v>
      </c>
      <c r="C19" s="142" t="str">
        <f t="shared" si="15"/>
        <v>ZME?6</v>
      </c>
      <c r="D19" s="142" t="str">
        <f>RTD("cqg.rtd", ,"ContractData",C19, "Symbol",, "T")</f>
        <v>ZMEV6</v>
      </c>
      <c r="E19" s="142" t="str">
        <f>RIGHT(RTD("cqg.rtd", ,"ContractData",D19, "LongDescription",, "T"),6)</f>
        <v>Oct 16</v>
      </c>
      <c r="F19" s="146">
        <f t="shared" ca="1" si="17"/>
        <v>5</v>
      </c>
      <c r="G19" s="142" t="str">
        <f t="shared" ca="1" si="16"/>
        <v>ZME?5</v>
      </c>
      <c r="H19" s="142" t="str">
        <f ca="1">RTD("cqg.rtd", ,"ContractData",G19, "Symbol",, "T")</f>
        <v>ZMEU6</v>
      </c>
      <c r="I19" s="142" t="str">
        <f ca="1">RIGHT(RTD("cqg.rtd", ,"ContractData",H19, "LongDescription",, "T"),6)</f>
        <v>Sep 16</v>
      </c>
    </row>
    <row r="20" spans="1:25" x14ac:dyDescent="0.3">
      <c r="A20" s="146"/>
      <c r="B20" s="142">
        <f t="shared" si="14"/>
        <v>7</v>
      </c>
      <c r="C20" s="142" t="str">
        <f t="shared" si="15"/>
        <v>ZME?7</v>
      </c>
      <c r="D20" s="142" t="str">
        <f>RTD("cqg.rtd", ,"ContractData",C20, "Symbol",, "T")</f>
        <v>ZMEZ6</v>
      </c>
      <c r="E20" s="142" t="str">
        <f>RIGHT(RTD("cqg.rtd", ,"ContractData",D20, "LongDescription",, "T"),6)</f>
        <v>Dec 16</v>
      </c>
      <c r="F20" s="146">
        <f t="shared" ca="1" si="17"/>
        <v>6</v>
      </c>
      <c r="G20" s="142" t="str">
        <f t="shared" ca="1" si="16"/>
        <v>ZME?6</v>
      </c>
      <c r="H20" s="142" t="str">
        <f ca="1">RTD("cqg.rtd", ,"ContractData",G20, "Symbol",, "T")</f>
        <v>ZMEV6</v>
      </c>
      <c r="I20" s="142" t="str">
        <f ca="1">RIGHT(RTD("cqg.rtd", ,"ContractData",H20, "LongDescription",, "T"),6)</f>
        <v>Oct 16</v>
      </c>
    </row>
    <row r="21" spans="1:25" x14ac:dyDescent="0.3">
      <c r="A21" s="146"/>
      <c r="B21" s="142">
        <f t="shared" si="14"/>
        <v>8</v>
      </c>
      <c r="C21" s="142" t="str">
        <f t="shared" si="15"/>
        <v>ZME?8</v>
      </c>
      <c r="D21" s="142" t="str">
        <f>RTD("cqg.rtd", ,"ContractData",C21, "Symbol",, "T")</f>
        <v>ZMEF7</v>
      </c>
      <c r="E21" s="142" t="str">
        <f>RIGHT(RTD("cqg.rtd", ,"ContractData",D21, "LongDescription",, "T"),6)</f>
        <v>Jan 17</v>
      </c>
      <c r="F21" s="146">
        <f t="shared" ca="1" si="17"/>
        <v>7</v>
      </c>
      <c r="G21" s="142" t="str">
        <f t="shared" ca="1" si="16"/>
        <v>ZME?7</v>
      </c>
      <c r="H21" s="142" t="str">
        <f ca="1">RTD("cqg.rtd", ,"ContractData",G21, "Symbol",, "T")</f>
        <v>ZMEZ6</v>
      </c>
      <c r="I21" s="142" t="str">
        <f ca="1">RIGHT(RTD("cqg.rtd", ,"ContractData",H21, "LongDescription",, "T"),6)</f>
        <v>Dec 16</v>
      </c>
    </row>
    <row r="22" spans="1:25" x14ac:dyDescent="0.3">
      <c r="A22" s="146"/>
      <c r="B22" s="142">
        <f t="shared" si="14"/>
        <v>9</v>
      </c>
      <c r="C22" s="142" t="str">
        <f t="shared" si="15"/>
        <v>ZME?9</v>
      </c>
      <c r="D22" s="142" t="str">
        <f>RTD("cqg.rtd", ,"ContractData",C22, "Symbol",, "T")</f>
        <v>ZMEH7</v>
      </c>
      <c r="E22" s="142" t="str">
        <f>RIGHT(RTD("cqg.rtd", ,"ContractData",D22, "LongDescription",, "T"),6)</f>
        <v>Mar 17</v>
      </c>
      <c r="F22" s="146">
        <f t="shared" ca="1" si="17"/>
        <v>7</v>
      </c>
      <c r="G22" s="142" t="str">
        <f t="shared" ca="1" si="16"/>
        <v>ZME?7</v>
      </c>
      <c r="H22" s="142" t="str">
        <f ca="1">RTD("cqg.rtd", ,"ContractData",G22, "Symbol",, "T")</f>
        <v>ZMEZ6</v>
      </c>
      <c r="I22" s="142" t="str">
        <f ca="1">RIGHT(RTD("cqg.rtd", ,"ContractData",H22, "LongDescription",, "T"),6)</f>
        <v>Dec 16</v>
      </c>
    </row>
    <row r="23" spans="1:25" x14ac:dyDescent="0.3">
      <c r="A23" s="146"/>
      <c r="B23" s="142">
        <f t="shared" si="14"/>
        <v>10</v>
      </c>
      <c r="C23" s="142" t="str">
        <f t="shared" ref="C23" si="18">"ZME?"&amp;B23</f>
        <v>ZME?10</v>
      </c>
      <c r="D23" s="142" t="str">
        <f>RTD("cqg.rtd", ,"ContractData",C23, "Symbol",, "T")</f>
        <v>ZMEK7</v>
      </c>
      <c r="E23" s="142" t="str">
        <f>RIGHT(RTD("cqg.rtd", ,"ContractData",D23, "LongDescription",, "T"),6)</f>
        <v>May 17</v>
      </c>
      <c r="F23" s="146">
        <f t="shared" ca="1" si="17"/>
        <v>8</v>
      </c>
      <c r="G23" s="142" t="str">
        <f t="shared" ca="1" si="16"/>
        <v>ZME?8</v>
      </c>
      <c r="H23" s="142" t="str">
        <f ca="1">RTD("cqg.rtd", ,"ContractData",G23, "Symbol",, "T")</f>
        <v>ZMEF7</v>
      </c>
      <c r="I23" s="142" t="str">
        <f ca="1">RIGHT(RTD("cqg.rtd", ,"ContractData",H23, "LongDescription",, "T"),6)</f>
        <v>Jan 17</v>
      </c>
    </row>
    <row r="24" spans="1:25" x14ac:dyDescent="0.3">
      <c r="B24" s="142">
        <f t="shared" si="14"/>
        <v>11</v>
      </c>
      <c r="C24" s="142" t="str">
        <f t="shared" ref="C24" si="19">"ZME?"&amp;B24</f>
        <v>ZME?11</v>
      </c>
      <c r="D24" s="142" t="str">
        <f>RTD("cqg.rtd", ,"ContractData",C24, "Symbol",, "T")</f>
        <v>ZMEN7</v>
      </c>
      <c r="E24" s="142" t="str">
        <f>RIGHT(RTD("cqg.rtd", ,"ContractData",D24, "LongDescription",, "T"),6)</f>
        <v>Jul 17</v>
      </c>
      <c r="F24" s="146">
        <f t="shared" ca="1" si="17"/>
        <v>9</v>
      </c>
      <c r="G24" s="142" t="str">
        <f t="shared" ca="1" si="16"/>
        <v>ZME?9</v>
      </c>
      <c r="H24" s="142" t="str">
        <f ca="1">RTD("cqg.rtd", ,"ContractData",G24, "Symbol",, "T")</f>
        <v>ZMEH7</v>
      </c>
      <c r="I24" s="142" t="str">
        <f ca="1">RIGHT(RTD("cqg.rtd", ,"ContractData",H24, "LongDescription",, "T"),6)</f>
        <v>Mar 17</v>
      </c>
    </row>
    <row r="27" spans="1:25" x14ac:dyDescent="0.3">
      <c r="A27" s="142">
        <f ca="1">RTD("cqg.rtd", ,"ContractData",C2, "LastTradeToday",, "T")</f>
        <v>43.75</v>
      </c>
      <c r="B27" s="149">
        <f ca="1">TRUNC(A27)</f>
        <v>43</v>
      </c>
      <c r="C27" s="142">
        <f ca="1">A27-B27</f>
        <v>0.75</v>
      </c>
      <c r="D27" s="142">
        <f ca="1">C27*4</f>
        <v>3</v>
      </c>
      <c r="E27" s="142">
        <f ca="1">IF(D27&lt;10,IF(D27&lt;1,0,0),"")</f>
        <v>0</v>
      </c>
      <c r="F27" s="142" t="str">
        <f ca="1">IFERROR(B27&amp;"' "&amp;E27&amp;D27,"")</f>
        <v>43' 03</v>
      </c>
      <c r="H27" s="142">
        <f ca="1">RTD("cqg.rtd", ,"ContractData",C2, "Open",, "T")</f>
        <v>40.5</v>
      </c>
      <c r="I27" s="149">
        <f ca="1">TRUNC(H27)</f>
        <v>40</v>
      </c>
      <c r="J27" s="142">
        <f ca="1">H27-I27</f>
        <v>0.5</v>
      </c>
      <c r="K27" s="142">
        <f ca="1">J27*4</f>
        <v>2</v>
      </c>
      <c r="L27" s="142">
        <f ca="1">IF(K27&lt;10,IF(K27&lt;1,0,0),"")</f>
        <v>0</v>
      </c>
      <c r="M27" s="142" t="str">
        <f ca="1">IFERROR(I27&amp;"' "&amp;L27&amp;K27,"")</f>
        <v>40' 02</v>
      </c>
      <c r="N27" s="142">
        <f ca="1">RTD("cqg.rtd", ,"ContractData",C2, "High",, "T")</f>
        <v>45</v>
      </c>
      <c r="O27" s="149">
        <f ca="1">TRUNC(N27)</f>
        <v>45</v>
      </c>
      <c r="P27" s="142">
        <f ca="1">N27-O27</f>
        <v>0</v>
      </c>
      <c r="Q27" s="142">
        <f ca="1">P27*4</f>
        <v>0</v>
      </c>
      <c r="R27" s="142">
        <f ca="1">IF(Q27&lt;10,IF(Q27&lt;1,0,0),"")</f>
        <v>0</v>
      </c>
      <c r="S27" s="142" t="str">
        <f ca="1">IFERROR(O27&amp;"' "&amp;R27&amp;Q27,"")</f>
        <v>45' 00</v>
      </c>
      <c r="T27" s="142">
        <f ca="1">RTD("cqg.rtd", ,"ContractData",C2, "Low",, "T")</f>
        <v>40</v>
      </c>
      <c r="U27" s="149">
        <f ca="1">TRUNC(T27)</f>
        <v>40</v>
      </c>
      <c r="V27" s="142">
        <f ca="1">T27-U27</f>
        <v>0</v>
      </c>
      <c r="W27" s="142">
        <f ca="1">V27*4</f>
        <v>0</v>
      </c>
      <c r="X27" s="142">
        <f ca="1">IF(W27&lt;10,IF(W27&lt;1,0,0),"")</f>
        <v>0</v>
      </c>
      <c r="Y27" s="142" t="str">
        <f ca="1">IFERROR(U27&amp;"' "&amp;X27&amp;W27,"")</f>
        <v>40' 00</v>
      </c>
    </row>
    <row r="28" spans="1:25" x14ac:dyDescent="0.3">
      <c r="A28" s="142">
        <f ca="1">RTD("cqg.rtd", ,"ContractData",C3, "LastTradeToday",, "T")</f>
        <v>51.5</v>
      </c>
      <c r="B28" s="149">
        <f t="shared" ref="B28:B37" ca="1" si="20">TRUNC(A28)</f>
        <v>51</v>
      </c>
      <c r="C28" s="142">
        <f t="shared" ref="C28:C37" ca="1" si="21">A28-B28</f>
        <v>0.5</v>
      </c>
      <c r="D28" s="142">
        <f t="shared" ref="D28:D37" ca="1" si="22">C28*4</f>
        <v>2</v>
      </c>
      <c r="E28" s="142">
        <f t="shared" ref="E28:E37" ca="1" si="23">IF(D28&lt;10,IF(D28&lt;1,0,0),"")</f>
        <v>0</v>
      </c>
      <c r="F28" s="142" t="str">
        <f t="shared" ref="F28:F37" ca="1" si="24">IFERROR(B28&amp;"' "&amp;E28&amp;D28,"")</f>
        <v>51' 02</v>
      </c>
      <c r="H28" s="142">
        <f ca="1">RTD("cqg.rtd", ,"ContractData",C3, "Open",, "T")</f>
        <v>50</v>
      </c>
      <c r="I28" s="149">
        <f t="shared" ref="I28:I37" ca="1" si="25">TRUNC(H28)</f>
        <v>50</v>
      </c>
      <c r="J28" s="142">
        <f t="shared" ref="J28:J37" ca="1" si="26">H28-I28</f>
        <v>0</v>
      </c>
      <c r="K28" s="142">
        <f t="shared" ref="K28:K37" ca="1" si="27">J28*4</f>
        <v>0</v>
      </c>
      <c r="L28" s="142">
        <f t="shared" ref="L28:L37" ca="1" si="28">IF(K28&lt;10,IF(K28&lt;1,0,0),"")</f>
        <v>0</v>
      </c>
      <c r="M28" s="142" t="str">
        <f t="shared" ref="M28:M37" ca="1" si="29">IFERROR(I28&amp;"' "&amp;L28&amp;K28,"")</f>
        <v>50' 00</v>
      </c>
      <c r="N28" s="142">
        <f ca="1">RTD("cqg.rtd", ,"ContractData",C3, "High",, "T")</f>
        <v>53</v>
      </c>
      <c r="O28" s="149">
        <f t="shared" ref="O28:O37" ca="1" si="30">TRUNC(N28)</f>
        <v>53</v>
      </c>
      <c r="P28" s="142">
        <f t="shared" ref="P28:P37" ca="1" si="31">N28-O28</f>
        <v>0</v>
      </c>
      <c r="Q28" s="142">
        <f t="shared" ref="Q28:Q37" ca="1" si="32">P28*4</f>
        <v>0</v>
      </c>
      <c r="R28" s="142">
        <f t="shared" ref="R28:R37" ca="1" si="33">IF(Q28&lt;10,IF(Q28&lt;1,0,0),"")</f>
        <v>0</v>
      </c>
      <c r="S28" s="142" t="str">
        <f t="shared" ref="S28:S37" ca="1" si="34">IFERROR(O28&amp;"' "&amp;R28&amp;Q28,"")</f>
        <v>53' 00</v>
      </c>
      <c r="T28" s="142">
        <f ca="1">RTD("cqg.rtd", ,"ContractData",C3, "Low",, "T")</f>
        <v>50</v>
      </c>
      <c r="U28" s="149">
        <f t="shared" ref="U28:U37" ca="1" si="35">TRUNC(T28)</f>
        <v>50</v>
      </c>
      <c r="V28" s="142">
        <f t="shared" ref="V28:V37" ca="1" si="36">T28-U28</f>
        <v>0</v>
      </c>
      <c r="W28" s="142">
        <f t="shared" ref="W28:W37" ca="1" si="37">V28*4</f>
        <v>0</v>
      </c>
      <c r="X28" s="142">
        <f t="shared" ref="X28:X37" ca="1" si="38">IF(W28&lt;10,IF(W28&lt;1,0,0),"")</f>
        <v>0</v>
      </c>
      <c r="Y28" s="142" t="str">
        <f t="shared" ref="Y28:Y37" ca="1" si="39">IFERROR(U28&amp;"' "&amp;X28&amp;W28,"")</f>
        <v>50' 00</v>
      </c>
    </row>
    <row r="29" spans="1:25" x14ac:dyDescent="0.3">
      <c r="A29" s="142">
        <f ca="1">RTD("cqg.rtd", ,"ContractData",C4, "LastTradeToday",, "T")</f>
        <v>54.75</v>
      </c>
      <c r="B29" s="149">
        <f t="shared" ca="1" si="20"/>
        <v>54</v>
      </c>
      <c r="C29" s="142">
        <f t="shared" ca="1" si="21"/>
        <v>0.75</v>
      </c>
      <c r="D29" s="142">
        <f t="shared" ca="1" si="22"/>
        <v>3</v>
      </c>
      <c r="E29" s="142">
        <f t="shared" ca="1" si="23"/>
        <v>0</v>
      </c>
      <c r="F29" s="142" t="str">
        <f t="shared" ca="1" si="24"/>
        <v>54' 03</v>
      </c>
      <c r="H29" s="142">
        <f ca="1">RTD("cqg.rtd", ,"ContractData",C4, "Open",, "T")</f>
        <v>56.75</v>
      </c>
      <c r="I29" s="149">
        <f t="shared" ca="1" si="25"/>
        <v>56</v>
      </c>
      <c r="J29" s="142">
        <f t="shared" ca="1" si="26"/>
        <v>0.75</v>
      </c>
      <c r="K29" s="142">
        <f t="shared" ca="1" si="27"/>
        <v>3</v>
      </c>
      <c r="L29" s="142">
        <f t="shared" ca="1" si="28"/>
        <v>0</v>
      </c>
      <c r="M29" s="142" t="str">
        <f t="shared" ca="1" si="29"/>
        <v>56' 03</v>
      </c>
      <c r="N29" s="142">
        <f ca="1">RTD("cqg.rtd", ,"ContractData",C4, "High",, "T")</f>
        <v>56.75</v>
      </c>
      <c r="O29" s="149">
        <f t="shared" ca="1" si="30"/>
        <v>56</v>
      </c>
      <c r="P29" s="142">
        <f t="shared" ca="1" si="31"/>
        <v>0.75</v>
      </c>
      <c r="Q29" s="142">
        <f t="shared" ca="1" si="32"/>
        <v>3</v>
      </c>
      <c r="R29" s="142">
        <f t="shared" ca="1" si="33"/>
        <v>0</v>
      </c>
      <c r="S29" s="142" t="str">
        <f t="shared" ca="1" si="34"/>
        <v>56' 03</v>
      </c>
      <c r="T29" s="142">
        <f ca="1">RTD("cqg.rtd", ,"ContractData",C4, "Low",, "T")</f>
        <v>54.5</v>
      </c>
      <c r="U29" s="149">
        <f t="shared" ca="1" si="35"/>
        <v>54</v>
      </c>
      <c r="V29" s="142">
        <f t="shared" ca="1" si="36"/>
        <v>0.5</v>
      </c>
      <c r="W29" s="142">
        <f t="shared" ca="1" si="37"/>
        <v>2</v>
      </c>
      <c r="X29" s="142">
        <f t="shared" ca="1" si="38"/>
        <v>0</v>
      </c>
      <c r="Y29" s="142" t="str">
        <f t="shared" ca="1" si="39"/>
        <v>54' 02</v>
      </c>
    </row>
    <row r="30" spans="1:25" x14ac:dyDescent="0.3">
      <c r="A30" s="142" t="str">
        <f ca="1">RTD("cqg.rtd", ,"ContractData",C5, "LastTradeToday",, "T")</f>
        <v/>
      </c>
      <c r="B30" s="149" t="e">
        <f t="shared" ca="1" si="20"/>
        <v>#VALUE!</v>
      </c>
      <c r="C30" s="142" t="e">
        <f t="shared" ca="1" si="21"/>
        <v>#VALUE!</v>
      </c>
      <c r="D30" s="142" t="e">
        <f t="shared" ca="1" si="22"/>
        <v>#VALUE!</v>
      </c>
      <c r="E30" s="142" t="e">
        <f t="shared" ca="1" si="23"/>
        <v>#VALUE!</v>
      </c>
      <c r="F30" s="142" t="str">
        <f t="shared" ca="1" si="24"/>
        <v/>
      </c>
      <c r="H30" s="142" t="str">
        <f ca="1">RTD("cqg.rtd", ,"ContractData",C5, "Open",, "T")</f>
        <v/>
      </c>
      <c r="I30" s="149" t="e">
        <f t="shared" ca="1" si="25"/>
        <v>#VALUE!</v>
      </c>
      <c r="J30" s="142" t="e">
        <f t="shared" ca="1" si="26"/>
        <v>#VALUE!</v>
      </c>
      <c r="K30" s="142" t="e">
        <f t="shared" ca="1" si="27"/>
        <v>#VALUE!</v>
      </c>
      <c r="L30" s="142" t="e">
        <f t="shared" ca="1" si="28"/>
        <v>#VALUE!</v>
      </c>
      <c r="M30" s="142" t="str">
        <f t="shared" ca="1" si="29"/>
        <v/>
      </c>
      <c r="N30" s="142" t="str">
        <f ca="1">RTD("cqg.rtd", ,"ContractData",C5, "High",, "T")</f>
        <v/>
      </c>
      <c r="O30" s="149" t="e">
        <f t="shared" ca="1" si="30"/>
        <v>#VALUE!</v>
      </c>
      <c r="P30" s="142" t="e">
        <f t="shared" ca="1" si="31"/>
        <v>#VALUE!</v>
      </c>
      <c r="Q30" s="142" t="e">
        <f t="shared" ca="1" si="32"/>
        <v>#VALUE!</v>
      </c>
      <c r="R30" s="142" t="e">
        <f t="shared" ca="1" si="33"/>
        <v>#VALUE!</v>
      </c>
      <c r="S30" s="142" t="str">
        <f t="shared" ca="1" si="34"/>
        <v/>
      </c>
      <c r="T30" s="142" t="str">
        <f ca="1">RTD("cqg.rtd", ,"ContractData",C5, "Low",, "T")</f>
        <v/>
      </c>
      <c r="U30" s="149" t="e">
        <f t="shared" ca="1" si="35"/>
        <v>#VALUE!</v>
      </c>
      <c r="V30" s="142" t="e">
        <f t="shared" ca="1" si="36"/>
        <v>#VALUE!</v>
      </c>
      <c r="W30" s="142" t="e">
        <f t="shared" ca="1" si="37"/>
        <v>#VALUE!</v>
      </c>
      <c r="X30" s="142" t="e">
        <f t="shared" ca="1" si="38"/>
        <v>#VALUE!</v>
      </c>
      <c r="Y30" s="142" t="str">
        <f t="shared" ca="1" si="39"/>
        <v/>
      </c>
    </row>
    <row r="31" spans="1:25" x14ac:dyDescent="0.3">
      <c r="A31" s="142">
        <f ca="1">RTD("cqg.rtd", ,"ContractData",C6, "LastTradeToday",, "T")</f>
        <v>63</v>
      </c>
      <c r="B31" s="149">
        <f t="shared" ca="1" si="20"/>
        <v>63</v>
      </c>
      <c r="C31" s="142">
        <f t="shared" ca="1" si="21"/>
        <v>0</v>
      </c>
      <c r="D31" s="142">
        <f t="shared" ca="1" si="22"/>
        <v>0</v>
      </c>
      <c r="E31" s="142">
        <f t="shared" ca="1" si="23"/>
        <v>0</v>
      </c>
      <c r="F31" s="142" t="str">
        <f t="shared" ca="1" si="24"/>
        <v>63' 00</v>
      </c>
      <c r="H31" s="142">
        <f ca="1">RTD("cqg.rtd", ,"ContractData",C6, "Open",, "T")</f>
        <v>63</v>
      </c>
      <c r="I31" s="149">
        <f t="shared" ca="1" si="25"/>
        <v>63</v>
      </c>
      <c r="J31" s="142">
        <f t="shared" ca="1" si="26"/>
        <v>0</v>
      </c>
      <c r="K31" s="142">
        <f t="shared" ca="1" si="27"/>
        <v>0</v>
      </c>
      <c r="L31" s="142">
        <f t="shared" ca="1" si="28"/>
        <v>0</v>
      </c>
      <c r="M31" s="142" t="str">
        <f t="shared" ca="1" si="29"/>
        <v>63' 00</v>
      </c>
      <c r="N31" s="142">
        <f ca="1">RTD("cqg.rtd", ,"ContractData",C6, "High",, "T")</f>
        <v>63</v>
      </c>
      <c r="O31" s="149">
        <f t="shared" ca="1" si="30"/>
        <v>63</v>
      </c>
      <c r="P31" s="142">
        <f t="shared" ca="1" si="31"/>
        <v>0</v>
      </c>
      <c r="Q31" s="142">
        <f t="shared" ca="1" si="32"/>
        <v>0</v>
      </c>
      <c r="R31" s="142">
        <f t="shared" ca="1" si="33"/>
        <v>0</v>
      </c>
      <c r="S31" s="142" t="str">
        <f t="shared" ca="1" si="34"/>
        <v>63' 00</v>
      </c>
      <c r="T31" s="142">
        <f ca="1">RTD("cqg.rtd", ,"ContractData",C6, "Low",, "T")</f>
        <v>63</v>
      </c>
      <c r="U31" s="149">
        <f t="shared" ca="1" si="35"/>
        <v>63</v>
      </c>
      <c r="V31" s="142">
        <f t="shared" ca="1" si="36"/>
        <v>0</v>
      </c>
      <c r="W31" s="142">
        <f t="shared" ca="1" si="37"/>
        <v>0</v>
      </c>
      <c r="X31" s="142">
        <f t="shared" ca="1" si="38"/>
        <v>0</v>
      </c>
      <c r="Y31" s="142" t="str">
        <f t="shared" ca="1" si="39"/>
        <v>63' 00</v>
      </c>
    </row>
    <row r="32" spans="1:25" x14ac:dyDescent="0.3">
      <c r="A32" s="142" t="str">
        <f ca="1">RTD("cqg.rtd", ,"ContractData",C7, "LastTradeToday",, "T")</f>
        <v/>
      </c>
      <c r="B32" s="149" t="e">
        <f t="shared" ca="1" si="20"/>
        <v>#VALUE!</v>
      </c>
      <c r="C32" s="142" t="e">
        <f t="shared" ca="1" si="21"/>
        <v>#VALUE!</v>
      </c>
      <c r="D32" s="142" t="e">
        <f t="shared" ca="1" si="22"/>
        <v>#VALUE!</v>
      </c>
      <c r="E32" s="142" t="e">
        <f t="shared" ca="1" si="23"/>
        <v>#VALUE!</v>
      </c>
      <c r="F32" s="142" t="str">
        <f t="shared" ca="1" si="24"/>
        <v/>
      </c>
      <c r="H32" s="142" t="str">
        <f ca="1">RTD("cqg.rtd", ,"ContractData",C7, "Open",, "T")</f>
        <v/>
      </c>
      <c r="I32" s="149" t="e">
        <f t="shared" ca="1" si="25"/>
        <v>#VALUE!</v>
      </c>
      <c r="J32" s="142" t="e">
        <f t="shared" ca="1" si="26"/>
        <v>#VALUE!</v>
      </c>
      <c r="K32" s="142" t="e">
        <f t="shared" ca="1" si="27"/>
        <v>#VALUE!</v>
      </c>
      <c r="L32" s="142" t="e">
        <f t="shared" ca="1" si="28"/>
        <v>#VALUE!</v>
      </c>
      <c r="M32" s="142" t="str">
        <f t="shared" ca="1" si="29"/>
        <v/>
      </c>
      <c r="N32" s="142" t="str">
        <f ca="1">RTD("cqg.rtd", ,"ContractData",C7, "High",, "T")</f>
        <v/>
      </c>
      <c r="O32" s="149" t="e">
        <f t="shared" ca="1" si="30"/>
        <v>#VALUE!</v>
      </c>
      <c r="P32" s="142" t="e">
        <f t="shared" ca="1" si="31"/>
        <v>#VALUE!</v>
      </c>
      <c r="Q32" s="142" t="e">
        <f t="shared" ca="1" si="32"/>
        <v>#VALUE!</v>
      </c>
      <c r="R32" s="142" t="e">
        <f t="shared" ca="1" si="33"/>
        <v>#VALUE!</v>
      </c>
      <c r="S32" s="142" t="str">
        <f t="shared" ca="1" si="34"/>
        <v/>
      </c>
      <c r="T32" s="142" t="str">
        <f ca="1">RTD("cqg.rtd", ,"ContractData",C7, "Low",, "T")</f>
        <v/>
      </c>
      <c r="U32" s="149" t="e">
        <f t="shared" ca="1" si="35"/>
        <v>#VALUE!</v>
      </c>
      <c r="V32" s="142" t="e">
        <f t="shared" ca="1" si="36"/>
        <v>#VALUE!</v>
      </c>
      <c r="W32" s="142" t="e">
        <f t="shared" ca="1" si="37"/>
        <v>#VALUE!</v>
      </c>
      <c r="X32" s="142" t="e">
        <f t="shared" ca="1" si="38"/>
        <v>#VALUE!</v>
      </c>
      <c r="Y32" s="142" t="str">
        <f t="shared" ca="1" si="39"/>
        <v/>
      </c>
    </row>
    <row r="33" spans="1:25" x14ac:dyDescent="0.3">
      <c r="A33" s="142">
        <f ca="1">RTD("cqg.rtd", ,"ContractData",C8, "LastTradeToday",, "T")</f>
        <v>61.25</v>
      </c>
      <c r="B33" s="149">
        <f t="shared" ca="1" si="20"/>
        <v>61</v>
      </c>
      <c r="C33" s="142">
        <f t="shared" ca="1" si="21"/>
        <v>0.25</v>
      </c>
      <c r="D33" s="142">
        <f t="shared" ca="1" si="22"/>
        <v>1</v>
      </c>
      <c r="E33" s="142">
        <f t="shared" ca="1" si="23"/>
        <v>0</v>
      </c>
      <c r="F33" s="142" t="str">
        <f t="shared" ca="1" si="24"/>
        <v>61' 01</v>
      </c>
      <c r="H33" s="142">
        <f ca="1">RTD("cqg.rtd", ,"ContractData",C8, "Open",, "T")</f>
        <v>61.25</v>
      </c>
      <c r="I33" s="149">
        <f t="shared" ca="1" si="25"/>
        <v>61</v>
      </c>
      <c r="J33" s="142">
        <f t="shared" ca="1" si="26"/>
        <v>0.25</v>
      </c>
      <c r="K33" s="142">
        <f t="shared" ca="1" si="27"/>
        <v>1</v>
      </c>
      <c r="L33" s="142">
        <f t="shared" ca="1" si="28"/>
        <v>0</v>
      </c>
      <c r="M33" s="142" t="str">
        <f t="shared" ca="1" si="29"/>
        <v>61' 01</v>
      </c>
      <c r="N33" s="142">
        <f ca="1">RTD("cqg.rtd", ,"ContractData",C8, "High",, "T")</f>
        <v>61.25</v>
      </c>
      <c r="O33" s="149">
        <f t="shared" ca="1" si="30"/>
        <v>61</v>
      </c>
      <c r="P33" s="142">
        <f t="shared" ca="1" si="31"/>
        <v>0.25</v>
      </c>
      <c r="Q33" s="142">
        <f t="shared" ca="1" si="32"/>
        <v>1</v>
      </c>
      <c r="R33" s="142">
        <f t="shared" ca="1" si="33"/>
        <v>0</v>
      </c>
      <c r="S33" s="142" t="str">
        <f t="shared" ca="1" si="34"/>
        <v>61' 01</v>
      </c>
      <c r="T33" s="142">
        <f ca="1">RTD("cqg.rtd", ,"ContractData",C8, "Low",, "T")</f>
        <v>61.25</v>
      </c>
      <c r="U33" s="149">
        <f t="shared" ca="1" si="35"/>
        <v>61</v>
      </c>
      <c r="V33" s="142">
        <f t="shared" ca="1" si="36"/>
        <v>0.25</v>
      </c>
      <c r="W33" s="142">
        <f t="shared" ca="1" si="37"/>
        <v>1</v>
      </c>
      <c r="X33" s="142">
        <f t="shared" ca="1" si="38"/>
        <v>0</v>
      </c>
      <c r="Y33" s="142" t="str">
        <f t="shared" ca="1" si="39"/>
        <v>61' 01</v>
      </c>
    </row>
    <row r="34" spans="1:25" x14ac:dyDescent="0.3">
      <c r="A34" s="142">
        <f ca="1">RTD("cqg.rtd", ,"ContractData",C9, "LastTradeToday",, "T")</f>
        <v>64.5</v>
      </c>
      <c r="B34" s="149">
        <f t="shared" ca="1" si="20"/>
        <v>64</v>
      </c>
      <c r="C34" s="142">
        <f t="shared" ca="1" si="21"/>
        <v>0.5</v>
      </c>
      <c r="D34" s="142">
        <f t="shared" ca="1" si="22"/>
        <v>2</v>
      </c>
      <c r="E34" s="142">
        <f t="shared" ca="1" si="23"/>
        <v>0</v>
      </c>
      <c r="F34" s="142" t="str">
        <f t="shared" ca="1" si="24"/>
        <v>64' 02</v>
      </c>
      <c r="H34" s="142">
        <f ca="1">RTD("cqg.rtd", ,"ContractData",C9, "Open",, "T")</f>
        <v>65.5</v>
      </c>
      <c r="I34" s="149">
        <f t="shared" ca="1" si="25"/>
        <v>65</v>
      </c>
      <c r="J34" s="142">
        <f t="shared" ca="1" si="26"/>
        <v>0.5</v>
      </c>
      <c r="K34" s="142">
        <f t="shared" ca="1" si="27"/>
        <v>2</v>
      </c>
      <c r="L34" s="142">
        <f t="shared" ca="1" si="28"/>
        <v>0</v>
      </c>
      <c r="M34" s="142" t="str">
        <f t="shared" ca="1" si="29"/>
        <v>65' 02</v>
      </c>
      <c r="N34" s="142">
        <f ca="1">RTD("cqg.rtd", ,"ContractData",C9, "High",, "T")</f>
        <v>67</v>
      </c>
      <c r="O34" s="149">
        <f t="shared" ca="1" si="30"/>
        <v>67</v>
      </c>
      <c r="P34" s="142">
        <f t="shared" ca="1" si="31"/>
        <v>0</v>
      </c>
      <c r="Q34" s="142">
        <f t="shared" ca="1" si="32"/>
        <v>0</v>
      </c>
      <c r="R34" s="142">
        <f t="shared" ca="1" si="33"/>
        <v>0</v>
      </c>
      <c r="S34" s="142" t="str">
        <f t="shared" ca="1" si="34"/>
        <v>67' 00</v>
      </c>
      <c r="T34" s="142">
        <f ca="1">RTD("cqg.rtd", ,"ContractData",C9, "Low",, "T")</f>
        <v>64.25</v>
      </c>
      <c r="U34" s="149">
        <f t="shared" ca="1" si="35"/>
        <v>64</v>
      </c>
      <c r="V34" s="142">
        <f t="shared" ca="1" si="36"/>
        <v>0.25</v>
      </c>
      <c r="W34" s="142">
        <f t="shared" ca="1" si="37"/>
        <v>1</v>
      </c>
      <c r="X34" s="142">
        <f t="shared" ca="1" si="38"/>
        <v>0</v>
      </c>
      <c r="Y34" s="142" t="str">
        <f t="shared" ca="1" si="39"/>
        <v>64' 01</v>
      </c>
    </row>
    <row r="35" spans="1:25" x14ac:dyDescent="0.3">
      <c r="A35" s="142" t="str">
        <f ca="1">RTD("cqg.rtd", ,"ContractData",C10, "LastTradeToday",, "T")</f>
        <v/>
      </c>
      <c r="B35" s="149" t="e">
        <f t="shared" ca="1" si="20"/>
        <v>#VALUE!</v>
      </c>
      <c r="C35" s="142" t="e">
        <f t="shared" ca="1" si="21"/>
        <v>#VALUE!</v>
      </c>
      <c r="D35" s="142" t="e">
        <f t="shared" ca="1" si="22"/>
        <v>#VALUE!</v>
      </c>
      <c r="E35" s="142" t="e">
        <f t="shared" ca="1" si="23"/>
        <v>#VALUE!</v>
      </c>
      <c r="F35" s="142" t="str">
        <f t="shared" ca="1" si="24"/>
        <v/>
      </c>
      <c r="H35" s="142" t="str">
        <f ca="1">RTD("cqg.rtd", ,"ContractData",C10, "Open",, "T")</f>
        <v/>
      </c>
      <c r="I35" s="149" t="e">
        <f t="shared" ca="1" si="25"/>
        <v>#VALUE!</v>
      </c>
      <c r="J35" s="142" t="e">
        <f t="shared" ca="1" si="26"/>
        <v>#VALUE!</v>
      </c>
      <c r="K35" s="142" t="e">
        <f t="shared" ca="1" si="27"/>
        <v>#VALUE!</v>
      </c>
      <c r="L35" s="142" t="e">
        <f t="shared" ca="1" si="28"/>
        <v>#VALUE!</v>
      </c>
      <c r="M35" s="142" t="str">
        <f t="shared" ca="1" si="29"/>
        <v/>
      </c>
      <c r="N35" s="142" t="str">
        <f ca="1">RTD("cqg.rtd", ,"ContractData",C10, "High",, "T")</f>
        <v/>
      </c>
      <c r="O35" s="149" t="e">
        <f t="shared" ca="1" si="30"/>
        <v>#VALUE!</v>
      </c>
      <c r="P35" s="142" t="e">
        <f t="shared" ca="1" si="31"/>
        <v>#VALUE!</v>
      </c>
      <c r="Q35" s="142" t="e">
        <f t="shared" ca="1" si="32"/>
        <v>#VALUE!</v>
      </c>
      <c r="R35" s="142" t="e">
        <f t="shared" ca="1" si="33"/>
        <v>#VALUE!</v>
      </c>
      <c r="S35" s="142" t="str">
        <f t="shared" ca="1" si="34"/>
        <v/>
      </c>
      <c r="T35" s="142" t="str">
        <f ca="1">RTD("cqg.rtd", ,"ContractData",C10, "Low",, "T")</f>
        <v/>
      </c>
      <c r="U35" s="149" t="e">
        <f t="shared" ca="1" si="35"/>
        <v>#VALUE!</v>
      </c>
      <c r="V35" s="142" t="e">
        <f t="shared" ca="1" si="36"/>
        <v>#VALUE!</v>
      </c>
      <c r="W35" s="142" t="e">
        <f t="shared" ca="1" si="37"/>
        <v>#VALUE!</v>
      </c>
      <c r="X35" s="142" t="e">
        <f t="shared" ca="1" si="38"/>
        <v>#VALUE!</v>
      </c>
      <c r="Y35" s="142" t="str">
        <f t="shared" ca="1" si="39"/>
        <v/>
      </c>
    </row>
    <row r="36" spans="1:25" x14ac:dyDescent="0.3">
      <c r="A36" s="142">
        <f ca="1">RTD("cqg.rtd", ,"ContractData",C11, "LastTradeToday",, "T")</f>
        <v>64</v>
      </c>
      <c r="B36" s="149">
        <f t="shared" ca="1" si="20"/>
        <v>64</v>
      </c>
      <c r="C36" s="142">
        <f t="shared" ca="1" si="21"/>
        <v>0</v>
      </c>
      <c r="D36" s="142">
        <f t="shared" ca="1" si="22"/>
        <v>0</v>
      </c>
      <c r="E36" s="142">
        <f t="shared" ca="1" si="23"/>
        <v>0</v>
      </c>
      <c r="F36" s="142" t="str">
        <f t="shared" ca="1" si="24"/>
        <v>64' 00</v>
      </c>
      <c r="H36" s="142">
        <f ca="1">RTD("cqg.rtd", ,"ContractData",C11, "Open",, "T")</f>
        <v>64</v>
      </c>
      <c r="I36" s="149">
        <f t="shared" ca="1" si="25"/>
        <v>64</v>
      </c>
      <c r="J36" s="142">
        <f t="shared" ca="1" si="26"/>
        <v>0</v>
      </c>
      <c r="K36" s="142">
        <f t="shared" ca="1" si="27"/>
        <v>0</v>
      </c>
      <c r="L36" s="142">
        <f t="shared" ca="1" si="28"/>
        <v>0</v>
      </c>
      <c r="M36" s="142" t="str">
        <f t="shared" ca="1" si="29"/>
        <v>64' 00</v>
      </c>
      <c r="N36" s="142">
        <f ca="1">RTD("cqg.rtd", ,"ContractData",C11, "High",, "T")</f>
        <v>64</v>
      </c>
      <c r="O36" s="149">
        <f t="shared" ca="1" si="30"/>
        <v>64</v>
      </c>
      <c r="P36" s="142">
        <f t="shared" ca="1" si="31"/>
        <v>0</v>
      </c>
      <c r="Q36" s="142">
        <f t="shared" ca="1" si="32"/>
        <v>0</v>
      </c>
      <c r="R36" s="142">
        <f t="shared" ca="1" si="33"/>
        <v>0</v>
      </c>
      <c r="S36" s="142" t="str">
        <f t="shared" ca="1" si="34"/>
        <v>64' 00</v>
      </c>
      <c r="T36" s="142">
        <f ca="1">RTD("cqg.rtd", ,"ContractData",C11, "Low",, "T")</f>
        <v>64</v>
      </c>
      <c r="U36" s="149">
        <f t="shared" ca="1" si="35"/>
        <v>64</v>
      </c>
      <c r="V36" s="142">
        <f t="shared" ca="1" si="36"/>
        <v>0</v>
      </c>
      <c r="W36" s="142">
        <f t="shared" ca="1" si="37"/>
        <v>0</v>
      </c>
      <c r="X36" s="142">
        <f t="shared" ca="1" si="38"/>
        <v>0</v>
      </c>
      <c r="Y36" s="142" t="str">
        <f t="shared" ca="1" si="39"/>
        <v>64' 00</v>
      </c>
    </row>
    <row r="37" spans="1:25" x14ac:dyDescent="0.3">
      <c r="A37" s="142">
        <f ca="1">RTD("cqg.rtd", ,"ContractData",C12, "LastTradeToday",, "T")</f>
        <v>67</v>
      </c>
      <c r="B37" s="149">
        <f t="shared" ca="1" si="20"/>
        <v>67</v>
      </c>
      <c r="C37" s="142">
        <f t="shared" ca="1" si="21"/>
        <v>0</v>
      </c>
      <c r="D37" s="142">
        <f t="shared" ca="1" si="22"/>
        <v>0</v>
      </c>
      <c r="E37" s="142">
        <f t="shared" ca="1" si="23"/>
        <v>0</v>
      </c>
      <c r="F37" s="142" t="str">
        <f t="shared" ca="1" si="24"/>
        <v>67' 00</v>
      </c>
      <c r="H37" s="142">
        <f ca="1">RTD("cqg.rtd", ,"ContractData",C12, "Open",, "T")</f>
        <v>67</v>
      </c>
      <c r="I37" s="149">
        <f t="shared" ca="1" si="25"/>
        <v>67</v>
      </c>
      <c r="J37" s="142">
        <f t="shared" ca="1" si="26"/>
        <v>0</v>
      </c>
      <c r="K37" s="142">
        <f t="shared" ca="1" si="27"/>
        <v>0</v>
      </c>
      <c r="L37" s="142">
        <f t="shared" ca="1" si="28"/>
        <v>0</v>
      </c>
      <c r="M37" s="142" t="str">
        <f t="shared" ca="1" si="29"/>
        <v>67' 00</v>
      </c>
      <c r="N37" s="142">
        <f ca="1">RTD("cqg.rtd", ,"ContractData",C12, "High",, "T")</f>
        <v>67</v>
      </c>
      <c r="O37" s="149">
        <f t="shared" ca="1" si="30"/>
        <v>67</v>
      </c>
      <c r="P37" s="142">
        <f t="shared" ca="1" si="31"/>
        <v>0</v>
      </c>
      <c r="Q37" s="142">
        <f t="shared" ca="1" si="32"/>
        <v>0</v>
      </c>
      <c r="R37" s="142">
        <f t="shared" ca="1" si="33"/>
        <v>0</v>
      </c>
      <c r="S37" s="142" t="str">
        <f t="shared" ca="1" si="34"/>
        <v>67' 00</v>
      </c>
      <c r="T37" s="142">
        <f ca="1">RTD("cqg.rtd", ,"ContractData",C12, "Low",, "T")</f>
        <v>67</v>
      </c>
      <c r="U37" s="149">
        <f t="shared" ca="1" si="35"/>
        <v>67</v>
      </c>
      <c r="V37" s="142">
        <f t="shared" ca="1" si="36"/>
        <v>0</v>
      </c>
      <c r="W37" s="142">
        <f t="shared" ca="1" si="37"/>
        <v>0</v>
      </c>
      <c r="X37" s="142">
        <f t="shared" ca="1" si="38"/>
        <v>0</v>
      </c>
      <c r="Y37" s="142" t="str">
        <f t="shared" ca="1" si="39"/>
        <v>67' 00</v>
      </c>
    </row>
  </sheetData>
  <sheetProtection algorithmName="SHA-512" hashValue="1Cuj8u3DGfx2XVAfQRJpZJiFi2maUoPCnuHw81rOi1sbUDd+YOpAbUaI5HzxvKVzH8Zvp2AAfp5FD07cCyyWMQ==" saltValue="mSNnYTgySuIWYEcj4XOHU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Display!B6</f>
        <v>SOM00H6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45</v>
      </c>
      <c r="C6" s="152">
        <f t="shared" ref="C6:C9" ca="1" si="0">TRUNC(B6)</f>
        <v>45</v>
      </c>
      <c r="D6" s="151">
        <f t="shared" ref="D6:D9" ca="1" si="1">B6-C6</f>
        <v>0</v>
      </c>
      <c r="E6" s="150">
        <f ca="1">D6*4</f>
        <v>0</v>
      </c>
      <c r="F6" s="150">
        <f t="shared" ref="F6:F9" ca="1" si="2">IF(E6&lt;10,IF(E6&lt;1,0,0),"")</f>
        <v>0</v>
      </c>
      <c r="G6" s="150" t="str">
        <f ca="1">C6&amp;"' "&amp;F6&amp;E6</f>
        <v>45' 00</v>
      </c>
      <c r="H6" s="150">
        <f ca="1">RTD("cqg.rtd",,"DOMData",$B$3,"Volume","5","T")</f>
        <v>4</v>
      </c>
    </row>
    <row r="7" spans="2:8" ht="17.25" x14ac:dyDescent="0.3">
      <c r="B7" s="152">
        <f ca="1">RTD("cqg.rtd",,"DOMData",$B$3,"Price","4","T")</f>
        <v>44.75</v>
      </c>
      <c r="C7" s="152">
        <f t="shared" ca="1" si="0"/>
        <v>44</v>
      </c>
      <c r="D7" s="151">
        <f t="shared" ca="1" si="1"/>
        <v>0.75</v>
      </c>
      <c r="E7" s="150">
        <f t="shared" ref="E7:E17" ca="1" si="3">D7*4</f>
        <v>3</v>
      </c>
      <c r="F7" s="150">
        <f t="shared" ca="1" si="2"/>
        <v>0</v>
      </c>
      <c r="G7" s="150" t="str">
        <f t="shared" ref="G7:G9" ca="1" si="4">C7&amp;"' "&amp;F7&amp;E7</f>
        <v>44' 03</v>
      </c>
      <c r="H7" s="150">
        <f ca="1">RTD("cqg.rtd",,"DOMData",$B$3,"Volume","4","T")</f>
        <v>7</v>
      </c>
    </row>
    <row r="8" spans="2:8" ht="17.25" x14ac:dyDescent="0.3">
      <c r="B8" s="152">
        <f ca="1">RTD("cqg.rtd",,"DOMData",$B$3,"Price","3","T")</f>
        <v>44.5</v>
      </c>
      <c r="C8" s="152">
        <f t="shared" ca="1" si="0"/>
        <v>44</v>
      </c>
      <c r="D8" s="151">
        <f t="shared" ca="1" si="1"/>
        <v>0.5</v>
      </c>
      <c r="E8" s="150">
        <f t="shared" ca="1" si="3"/>
        <v>2</v>
      </c>
      <c r="F8" s="150">
        <f t="shared" ca="1" si="2"/>
        <v>0</v>
      </c>
      <c r="G8" s="150" t="str">
        <f t="shared" ca="1" si="4"/>
        <v>44' 02</v>
      </c>
      <c r="H8" s="150">
        <f ca="1">RTD("cqg.rtd",,"DOMData",$B$3,"Volume","3","T")</f>
        <v>14</v>
      </c>
    </row>
    <row r="9" spans="2:8" ht="17.25" x14ac:dyDescent="0.3">
      <c r="B9" s="152">
        <f ca="1">RTD("cqg.rtd",,"DOMData",$B$3,"Price","2","T")</f>
        <v>44.25</v>
      </c>
      <c r="C9" s="152">
        <f t="shared" ca="1" si="0"/>
        <v>44</v>
      </c>
      <c r="D9" s="151">
        <f t="shared" ca="1" si="1"/>
        <v>0.25</v>
      </c>
      <c r="E9" s="150">
        <f t="shared" ca="1" si="3"/>
        <v>1</v>
      </c>
      <c r="F9" s="150">
        <f t="shared" ca="1" si="2"/>
        <v>0</v>
      </c>
      <c r="G9" s="150" t="str">
        <f t="shared" ca="1" si="4"/>
        <v>44' 01</v>
      </c>
      <c r="H9" s="150">
        <f ca="1">RTD("cqg.rtd",,"DOMData",$B$3,"Volume","2","T")</f>
        <v>7</v>
      </c>
    </row>
    <row r="10" spans="2:8" ht="17.25" x14ac:dyDescent="0.3">
      <c r="B10" s="152">
        <f ca="1">RTD("cqg.rtd",,"DOMData",$B$3,"Price","1","T")</f>
        <v>44</v>
      </c>
      <c r="C10" s="152">
        <f ca="1">TRUNC(B10)</f>
        <v>44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44' 00</v>
      </c>
      <c r="H10" s="150">
        <f ca="1">RTD("cqg.rtd",,"DOMData",$B$3,"Volume","1","T")</f>
        <v>15</v>
      </c>
    </row>
    <row r="11" spans="2:8" ht="17.25" x14ac:dyDescent="0.3">
      <c r="B11" s="152">
        <f ca="1">RTD("cqg.rtd",,"DOMData",$B$3,"Price","-1","T")</f>
        <v>43.75</v>
      </c>
      <c r="C11" s="152">
        <f t="shared" ref="C11:C17" ca="1" si="5">TRUNC(B11)</f>
        <v>43</v>
      </c>
      <c r="D11" s="150">
        <f t="shared" ref="D11:D17" ca="1" si="6">B11-C11</f>
        <v>0.75</v>
      </c>
      <c r="E11" s="150">
        <f t="shared" ca="1" si="3"/>
        <v>3</v>
      </c>
      <c r="F11" s="150">
        <f t="shared" ref="F11:F17" ca="1" si="7">IF(E11&lt;10,IF(E11&lt;1,0,0),"")</f>
        <v>0</v>
      </c>
      <c r="G11" s="150" t="str">
        <f ca="1">C11&amp;"' "&amp;F11&amp;E11</f>
        <v>43' 03</v>
      </c>
      <c r="H11" s="153">
        <f ca="1">RTD("cqg.rtd",,"DOMData",$B$3,"Volume","-1","T")</f>
        <v>6</v>
      </c>
    </row>
    <row r="12" spans="2:8" ht="17.25" x14ac:dyDescent="0.3">
      <c r="B12" s="152">
        <f ca="1">RTD("cqg.rtd",,"DOMData",$B$3,"Price","-2","T")</f>
        <v>43.5</v>
      </c>
      <c r="C12" s="152">
        <f t="shared" ca="1" si="5"/>
        <v>43</v>
      </c>
      <c r="D12" s="150">
        <f t="shared" ca="1" si="6"/>
        <v>0.5</v>
      </c>
      <c r="E12" s="150">
        <f t="shared" ca="1" si="3"/>
        <v>2</v>
      </c>
      <c r="F12" s="150">
        <f t="shared" ca="1" si="7"/>
        <v>0</v>
      </c>
      <c r="G12" s="150" t="str">
        <f t="shared" ref="G12:G17" ca="1" si="8">C12&amp;"' "&amp;F12&amp;E12</f>
        <v>43' 02</v>
      </c>
      <c r="H12" s="153">
        <f ca="1">RTD("cqg.rtd",,"DOMData",$B$3,"Volume","-2","T")</f>
        <v>9</v>
      </c>
    </row>
    <row r="13" spans="2:8" ht="17.25" x14ac:dyDescent="0.3">
      <c r="B13" s="152">
        <f ca="1">RTD("cqg.rtd",,"DOMData",$B$3,"Price","-3","T")</f>
        <v>43.25</v>
      </c>
      <c r="C13" s="152">
        <f t="shared" ca="1" si="5"/>
        <v>43</v>
      </c>
      <c r="D13" s="150">
        <f t="shared" ca="1" si="6"/>
        <v>0.25</v>
      </c>
      <c r="E13" s="150">
        <f t="shared" ca="1" si="3"/>
        <v>1</v>
      </c>
      <c r="F13" s="150">
        <f t="shared" ca="1" si="7"/>
        <v>0</v>
      </c>
      <c r="G13" s="150" t="str">
        <f t="shared" ca="1" si="8"/>
        <v>43' 01</v>
      </c>
      <c r="H13" s="153">
        <f ca="1">RTD("cqg.rtd",,"DOMData",$B$3,"Volume","-3","T")</f>
        <v>21</v>
      </c>
    </row>
    <row r="14" spans="2:8" ht="17.25" x14ac:dyDescent="0.3">
      <c r="B14" s="152">
        <f ca="1">RTD("cqg.rtd",,"DOMData",$B$3,"Price","-4","T")</f>
        <v>43</v>
      </c>
      <c r="C14" s="152">
        <f t="shared" ca="1" si="5"/>
        <v>43</v>
      </c>
      <c r="D14" s="150">
        <f t="shared" ca="1" si="6"/>
        <v>0</v>
      </c>
      <c r="E14" s="150">
        <f t="shared" ca="1" si="3"/>
        <v>0</v>
      </c>
      <c r="F14" s="150">
        <f t="shared" ca="1" si="7"/>
        <v>0</v>
      </c>
      <c r="G14" s="150" t="str">
        <f t="shared" ca="1" si="8"/>
        <v>43' 00</v>
      </c>
      <c r="H14" s="153">
        <f ca="1">RTD("cqg.rtd",,"DOMData",$B$3,"Volume","-4","T")</f>
        <v>5</v>
      </c>
    </row>
    <row r="15" spans="2:8" ht="17.25" x14ac:dyDescent="0.3">
      <c r="B15" s="152">
        <f ca="1">RTD("cqg.rtd",,"DOMData",$B$3,"Price","-5","T")</f>
        <v>42.75</v>
      </c>
      <c r="C15" s="152">
        <f t="shared" ca="1" si="5"/>
        <v>42</v>
      </c>
      <c r="D15" s="150">
        <f t="shared" ca="1" si="6"/>
        <v>0.75</v>
      </c>
      <c r="E15" s="150">
        <f t="shared" ca="1" si="3"/>
        <v>3</v>
      </c>
      <c r="F15" s="150">
        <f t="shared" ca="1" si="7"/>
        <v>0</v>
      </c>
      <c r="G15" s="150" t="str">
        <f t="shared" ca="1" si="8"/>
        <v>42' 03</v>
      </c>
      <c r="H15" s="153">
        <f ca="1">RTD("cqg.rtd",,"DOMData",$B$3,"Volume","-5","T")</f>
        <v>1</v>
      </c>
    </row>
    <row r="17" spans="2:8" ht="17.25" x14ac:dyDescent="0.3">
      <c r="B17" s="142">
        <f ca="1">RTD("cqg.rtd", ,"ContractData",B3, "LastTradeToday",, "T")</f>
        <v>43.75</v>
      </c>
      <c r="C17" s="152">
        <f t="shared" ca="1" si="5"/>
        <v>43</v>
      </c>
      <c r="D17" s="150">
        <f t="shared" ca="1" si="6"/>
        <v>0.75</v>
      </c>
      <c r="E17" s="150">
        <f t="shared" ca="1" si="3"/>
        <v>3</v>
      </c>
      <c r="F17" s="150">
        <f t="shared" ca="1" si="7"/>
        <v>0</v>
      </c>
      <c r="G17" s="150" t="str">
        <f ca="1">C17&amp;"' "&amp;F17&amp;E17</f>
        <v>43' 03</v>
      </c>
      <c r="H17" s="142">
        <f ca="1">RTD("cqg.rtd", ,"ContractData",B3, "NetLastTradeToday",, "T")*4</f>
        <v>4</v>
      </c>
    </row>
  </sheetData>
  <sheetProtection algorithmName="SHA-512" hashValue="CkyJWdd3RcMzOaKtEsNiDUhN7kNmKZKCYGM3fuaR3fIZDw68pO3On3y52zuPhmuRp9R1U2C8PoiGdo1hEkmttw==" saltValue="q3h1Wklf3m9uu31HniZA+w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Display!B7</f>
        <v>SOM00K6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53.25</v>
      </c>
      <c r="C6" s="152">
        <f t="shared" ref="C6:C9" ca="1" si="0">TRUNC(B6)</f>
        <v>53</v>
      </c>
      <c r="D6" s="151">
        <f t="shared" ref="D6:D9" ca="1" si="1">B6-C6</f>
        <v>0.25</v>
      </c>
      <c r="E6" s="150">
        <f ca="1">D6*4</f>
        <v>1</v>
      </c>
      <c r="F6" s="150">
        <f t="shared" ref="F6:F9" ca="1" si="2">IF(E6&lt;10,IF(E6&lt;1,0,0),"")</f>
        <v>0</v>
      </c>
      <c r="G6" s="150" t="str">
        <f ca="1">C6&amp;"' "&amp;F6&amp;E6</f>
        <v>53' 01</v>
      </c>
      <c r="H6" s="150">
        <f ca="1">RTD("cqg.rtd",,"DOMData",$B$3,"Volume","5","T")</f>
        <v>1</v>
      </c>
    </row>
    <row r="7" spans="2:8" ht="17.25" x14ac:dyDescent="0.3">
      <c r="B7" s="152">
        <f ca="1">RTD("cqg.rtd",,"DOMData",$B$3,"Price","4","T")</f>
        <v>52.75</v>
      </c>
      <c r="C7" s="152">
        <f t="shared" ca="1" si="0"/>
        <v>52</v>
      </c>
      <c r="D7" s="151">
        <f t="shared" ca="1" si="1"/>
        <v>0.75</v>
      </c>
      <c r="E7" s="150">
        <f t="shared" ref="E7:E15" ca="1" si="3">D7*4</f>
        <v>3</v>
      </c>
      <c r="F7" s="150">
        <f t="shared" ca="1" si="2"/>
        <v>0</v>
      </c>
      <c r="G7" s="150" t="str">
        <f t="shared" ref="G7:G9" ca="1" si="4">C7&amp;"' "&amp;F7&amp;E7</f>
        <v>52' 03</v>
      </c>
      <c r="H7" s="150">
        <f ca="1">RTD("cqg.rtd",,"DOMData",$B$3,"Volume","4","T")</f>
        <v>6</v>
      </c>
    </row>
    <row r="8" spans="2:8" ht="17.25" x14ac:dyDescent="0.3">
      <c r="B8" s="152">
        <f ca="1">RTD("cqg.rtd",,"DOMData",$B$3,"Price","3","T")</f>
        <v>52.5</v>
      </c>
      <c r="C8" s="152">
        <f t="shared" ca="1" si="0"/>
        <v>52</v>
      </c>
      <c r="D8" s="151">
        <f t="shared" ca="1" si="1"/>
        <v>0.5</v>
      </c>
      <c r="E8" s="150">
        <f t="shared" ca="1" si="3"/>
        <v>2</v>
      </c>
      <c r="F8" s="150">
        <f t="shared" ca="1" si="2"/>
        <v>0</v>
      </c>
      <c r="G8" s="150" t="str">
        <f t="shared" ca="1" si="4"/>
        <v>52' 02</v>
      </c>
      <c r="H8" s="150">
        <f ca="1">RTD("cqg.rtd",,"DOMData",$B$3,"Volume","3","T")</f>
        <v>12</v>
      </c>
    </row>
    <row r="9" spans="2:8" ht="17.25" x14ac:dyDescent="0.3">
      <c r="B9" s="152">
        <f ca="1">RTD("cqg.rtd",,"DOMData",$B$3,"Price","2","T")</f>
        <v>52.25</v>
      </c>
      <c r="C9" s="152">
        <f t="shared" ca="1" si="0"/>
        <v>52</v>
      </c>
      <c r="D9" s="151">
        <f t="shared" ca="1" si="1"/>
        <v>0.25</v>
      </c>
      <c r="E9" s="150">
        <f t="shared" ca="1" si="3"/>
        <v>1</v>
      </c>
      <c r="F9" s="150">
        <f t="shared" ca="1" si="2"/>
        <v>0</v>
      </c>
      <c r="G9" s="150" t="str">
        <f t="shared" ca="1" si="4"/>
        <v>52' 01</v>
      </c>
      <c r="H9" s="150">
        <f ca="1">RTD("cqg.rtd",,"DOMData",$B$3,"Volume","2","T")</f>
        <v>10</v>
      </c>
    </row>
    <row r="10" spans="2:8" ht="17.25" x14ac:dyDescent="0.3">
      <c r="B10" s="152">
        <f ca="1">RTD("cqg.rtd",,"DOMData",$B$3,"Price","1","T")</f>
        <v>52</v>
      </c>
      <c r="C10" s="152">
        <f ca="1">TRUNC(B10)</f>
        <v>52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52' 00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51.75</v>
      </c>
      <c r="C11" s="152">
        <f t="shared" ref="C11:C15" ca="1" si="5">TRUNC(B11)</f>
        <v>51</v>
      </c>
      <c r="D11" s="150">
        <f t="shared" ref="D11:D15" ca="1" si="6">B11-C11</f>
        <v>0.75</v>
      </c>
      <c r="E11" s="150">
        <f t="shared" ca="1" si="3"/>
        <v>3</v>
      </c>
      <c r="F11" s="150">
        <f t="shared" ref="F11:F15" ca="1" si="7">IF(E11&lt;10,IF(E11&lt;1,0,0),"")</f>
        <v>0</v>
      </c>
      <c r="G11" s="150" t="str">
        <f ca="1">C11&amp;"' "&amp;F11&amp;E11</f>
        <v>51' 03</v>
      </c>
      <c r="H11" s="153">
        <f ca="1">RTD("cqg.rtd",,"DOMData",$B$3,"Volume","-1","T")</f>
        <v>2</v>
      </c>
    </row>
    <row r="12" spans="2:8" ht="17.25" x14ac:dyDescent="0.3">
      <c r="B12" s="152">
        <f ca="1">RTD("cqg.rtd",,"DOMData",$B$3,"Price","-2","T")</f>
        <v>51.5</v>
      </c>
      <c r="C12" s="152">
        <f t="shared" ca="1" si="5"/>
        <v>51</v>
      </c>
      <c r="D12" s="150">
        <f t="shared" ca="1" si="6"/>
        <v>0.5</v>
      </c>
      <c r="E12" s="150">
        <f t="shared" ca="1" si="3"/>
        <v>2</v>
      </c>
      <c r="F12" s="150">
        <f t="shared" ca="1" si="7"/>
        <v>0</v>
      </c>
      <c r="G12" s="150" t="str">
        <f t="shared" ref="G12:G15" ca="1" si="8">C12&amp;"' "&amp;F12&amp;E12</f>
        <v>51' 02</v>
      </c>
      <c r="H12" s="153">
        <f ca="1">RTD("cqg.rtd",,"DOMData",$B$3,"Volume","-2","T")</f>
        <v>8</v>
      </c>
    </row>
    <row r="13" spans="2:8" ht="17.25" x14ac:dyDescent="0.3">
      <c r="B13" s="152">
        <f ca="1">RTD("cqg.rtd",,"DOMData",$B$3,"Price","-3","T")</f>
        <v>51.25</v>
      </c>
      <c r="C13" s="152">
        <f t="shared" ca="1" si="5"/>
        <v>51</v>
      </c>
      <c r="D13" s="150">
        <f t="shared" ca="1" si="6"/>
        <v>0.25</v>
      </c>
      <c r="E13" s="150">
        <f t="shared" ca="1" si="3"/>
        <v>1</v>
      </c>
      <c r="F13" s="150">
        <f t="shared" ca="1" si="7"/>
        <v>0</v>
      </c>
      <c r="G13" s="150" t="str">
        <f t="shared" ca="1" si="8"/>
        <v>51' 01</v>
      </c>
      <c r="H13" s="153">
        <f ca="1">RTD("cqg.rtd",,"DOMData",$B$3,"Volume","-3","T")</f>
        <v>13</v>
      </c>
    </row>
    <row r="14" spans="2:8" ht="17.25" x14ac:dyDescent="0.3">
      <c r="B14" s="152">
        <f ca="1">RTD("cqg.rtd",,"DOMData",$B$3,"Price","-4","T")</f>
        <v>51</v>
      </c>
      <c r="C14" s="152">
        <f t="shared" ca="1" si="5"/>
        <v>51</v>
      </c>
      <c r="D14" s="150">
        <f t="shared" ca="1" si="6"/>
        <v>0</v>
      </c>
      <c r="E14" s="150">
        <f t="shared" ca="1" si="3"/>
        <v>0</v>
      </c>
      <c r="F14" s="150">
        <f t="shared" ca="1" si="7"/>
        <v>0</v>
      </c>
      <c r="G14" s="150" t="str">
        <f t="shared" ca="1" si="8"/>
        <v>51' 00</v>
      </c>
      <c r="H14" s="153">
        <f ca="1">RTD("cqg.rtd",,"DOMData",$B$3,"Volume","-4","T")</f>
        <v>4</v>
      </c>
    </row>
    <row r="15" spans="2:8" ht="17.25" x14ac:dyDescent="0.3">
      <c r="B15" s="152">
        <f ca="1">RTD("cqg.rtd",,"DOMData",$B$3,"Price","-5","T")</f>
        <v>50.75</v>
      </c>
      <c r="C15" s="152">
        <f t="shared" ca="1" si="5"/>
        <v>50</v>
      </c>
      <c r="D15" s="150">
        <f t="shared" ca="1" si="6"/>
        <v>0.75</v>
      </c>
      <c r="E15" s="150">
        <f t="shared" ca="1" si="3"/>
        <v>3</v>
      </c>
      <c r="F15" s="150">
        <f t="shared" ca="1" si="7"/>
        <v>0</v>
      </c>
      <c r="G15" s="150" t="str">
        <f t="shared" ca="1" si="8"/>
        <v>50' 03</v>
      </c>
      <c r="H15" s="153">
        <f ca="1">RTD("cqg.rtd",,"DOMData",$B$3,"Volume","-5","T")</f>
        <v>3</v>
      </c>
    </row>
  </sheetData>
  <sheetProtection algorithmName="SHA-512" hashValue="W2vq0xz4gmLgKCT2B3RiiRrcWFznLSfUOF3B+cwbX9CrhWr7K3FtJzWZQ4icRmivpsBli95P7/UlWiWKeXFkZw==" saltValue="dSs8yZh9ygQ9nXCHw5kFyw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Display!B8</f>
        <v>SOM00N6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57.25</v>
      </c>
      <c r="C6" s="152">
        <f t="shared" ref="C6:C9" ca="1" si="0">TRUNC(B6)</f>
        <v>57</v>
      </c>
      <c r="D6" s="151">
        <f t="shared" ref="D6:D9" ca="1" si="1">B6-C6</f>
        <v>0.25</v>
      </c>
      <c r="E6" s="150">
        <f ca="1">D6*4</f>
        <v>1</v>
      </c>
      <c r="F6" s="150">
        <f t="shared" ref="F6:F9" ca="1" si="2">IF(E6&lt;10,IF(E6&lt;1,0,0),"")</f>
        <v>0</v>
      </c>
      <c r="G6" s="150" t="str">
        <f ca="1">C6&amp;"' "&amp;F6&amp;E6</f>
        <v>57' 01</v>
      </c>
      <c r="H6" s="150">
        <f ca="1">RTD("cqg.rtd",,"DOMData",$B$3,"Volume","5","T")</f>
        <v>1</v>
      </c>
    </row>
    <row r="7" spans="2:8" ht="17.25" x14ac:dyDescent="0.3">
      <c r="B7" s="152">
        <f ca="1">RTD("cqg.rtd",,"DOMData",$B$3,"Price","4","T")</f>
        <v>56.75</v>
      </c>
      <c r="C7" s="152">
        <f t="shared" ca="1" si="0"/>
        <v>56</v>
      </c>
      <c r="D7" s="151">
        <f t="shared" ca="1" si="1"/>
        <v>0.75</v>
      </c>
      <c r="E7" s="150">
        <f t="shared" ref="E7:E15" ca="1" si="3">D7*4</f>
        <v>3</v>
      </c>
      <c r="F7" s="150">
        <f t="shared" ca="1" si="2"/>
        <v>0</v>
      </c>
      <c r="G7" s="150" t="str">
        <f t="shared" ref="G7:G9" ca="1" si="4">C7&amp;"' "&amp;F7&amp;E7</f>
        <v>56' 03</v>
      </c>
      <c r="H7" s="150">
        <f ca="1">RTD("cqg.rtd",,"DOMData",$B$3,"Volume","4","T")</f>
        <v>6</v>
      </c>
    </row>
    <row r="8" spans="2:8" ht="17.25" x14ac:dyDescent="0.3">
      <c r="B8" s="152">
        <f ca="1">RTD("cqg.rtd",,"DOMData",$B$3,"Price","3","T")</f>
        <v>56.5</v>
      </c>
      <c r="C8" s="152">
        <f t="shared" ca="1" si="0"/>
        <v>56</v>
      </c>
      <c r="D8" s="151">
        <f t="shared" ca="1" si="1"/>
        <v>0.5</v>
      </c>
      <c r="E8" s="150">
        <f t="shared" ca="1" si="3"/>
        <v>2</v>
      </c>
      <c r="F8" s="150">
        <f t="shared" ca="1" si="2"/>
        <v>0</v>
      </c>
      <c r="G8" s="150" t="str">
        <f t="shared" ca="1" si="4"/>
        <v>56' 02</v>
      </c>
      <c r="H8" s="150">
        <f ca="1">RTD("cqg.rtd",,"DOMData",$B$3,"Volume","3","T")</f>
        <v>10</v>
      </c>
    </row>
    <row r="9" spans="2:8" ht="17.25" x14ac:dyDescent="0.3">
      <c r="B9" s="152">
        <f ca="1">RTD("cqg.rtd",,"DOMData",$B$3,"Price","2","T")</f>
        <v>56.25</v>
      </c>
      <c r="C9" s="152">
        <f t="shared" ca="1" si="0"/>
        <v>56</v>
      </c>
      <c r="D9" s="151">
        <f t="shared" ca="1" si="1"/>
        <v>0.25</v>
      </c>
      <c r="E9" s="150">
        <f t="shared" ca="1" si="3"/>
        <v>1</v>
      </c>
      <c r="F9" s="150">
        <f t="shared" ca="1" si="2"/>
        <v>0</v>
      </c>
      <c r="G9" s="150" t="str">
        <f t="shared" ca="1" si="4"/>
        <v>56' 01</v>
      </c>
      <c r="H9" s="150">
        <f ca="1">RTD("cqg.rtd",,"DOMData",$B$3,"Volume","2","T")</f>
        <v>6</v>
      </c>
    </row>
    <row r="10" spans="2:8" ht="17.25" x14ac:dyDescent="0.3">
      <c r="B10" s="152">
        <f ca="1">RTD("cqg.rtd",,"DOMData",$B$3,"Price","1","T")</f>
        <v>56</v>
      </c>
      <c r="C10" s="152">
        <f ca="1">TRUNC(B10)</f>
        <v>56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56' 00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55.5</v>
      </c>
      <c r="C11" s="152">
        <f t="shared" ref="C11:C15" ca="1" si="5">TRUNC(B11)</f>
        <v>55</v>
      </c>
      <c r="D11" s="150">
        <f t="shared" ref="D11:D15" ca="1" si="6">B11-C11</f>
        <v>0.5</v>
      </c>
      <c r="E11" s="150">
        <f t="shared" ca="1" si="3"/>
        <v>2</v>
      </c>
      <c r="F11" s="150">
        <f t="shared" ref="F11:F15" ca="1" si="7">IF(E11&lt;10,IF(E11&lt;1,0,0),"")</f>
        <v>0</v>
      </c>
      <c r="G11" s="150" t="str">
        <f ca="1">C11&amp;"' "&amp;F11&amp;E11</f>
        <v>55' 02</v>
      </c>
      <c r="H11" s="153">
        <f ca="1">RTD("cqg.rtd",,"DOMData",$B$3,"Volume","-1","T")</f>
        <v>2</v>
      </c>
    </row>
    <row r="12" spans="2:8" ht="17.25" x14ac:dyDescent="0.3">
      <c r="B12" s="152">
        <f ca="1">RTD("cqg.rtd",,"DOMData",$B$3,"Price","-2","T")</f>
        <v>55.25</v>
      </c>
      <c r="C12" s="152">
        <f t="shared" ca="1" si="5"/>
        <v>55</v>
      </c>
      <c r="D12" s="150">
        <f t="shared" ca="1" si="6"/>
        <v>0.25</v>
      </c>
      <c r="E12" s="150">
        <f t="shared" ca="1" si="3"/>
        <v>1</v>
      </c>
      <c r="F12" s="150">
        <f t="shared" ca="1" si="7"/>
        <v>0</v>
      </c>
      <c r="G12" s="150" t="str">
        <f t="shared" ref="G12:G15" ca="1" si="8">C12&amp;"' "&amp;F12&amp;E12</f>
        <v>55' 01</v>
      </c>
      <c r="H12" s="153">
        <f ca="1">RTD("cqg.rtd",,"DOMData",$B$3,"Volume","-2","T")</f>
        <v>8</v>
      </c>
    </row>
    <row r="13" spans="2:8" ht="17.25" x14ac:dyDescent="0.3">
      <c r="B13" s="152">
        <f ca="1">RTD("cqg.rtd",,"DOMData",$B$3,"Price","-3","T")</f>
        <v>55</v>
      </c>
      <c r="C13" s="152">
        <f t="shared" ca="1" si="5"/>
        <v>55</v>
      </c>
      <c r="D13" s="150">
        <f t="shared" ca="1" si="6"/>
        <v>0</v>
      </c>
      <c r="E13" s="150">
        <f t="shared" ca="1" si="3"/>
        <v>0</v>
      </c>
      <c r="F13" s="150">
        <f t="shared" ca="1" si="7"/>
        <v>0</v>
      </c>
      <c r="G13" s="150" t="str">
        <f t="shared" ca="1" si="8"/>
        <v>55' 00</v>
      </c>
      <c r="H13" s="153">
        <f ca="1">RTD("cqg.rtd",,"DOMData",$B$3,"Volume","-3","T")</f>
        <v>7</v>
      </c>
    </row>
    <row r="14" spans="2:8" ht="17.25" x14ac:dyDescent="0.3">
      <c r="B14" s="152">
        <f ca="1">RTD("cqg.rtd",,"DOMData",$B$3,"Price","-4","T")</f>
        <v>54.75</v>
      </c>
      <c r="C14" s="152">
        <f t="shared" ca="1" si="5"/>
        <v>54</v>
      </c>
      <c r="D14" s="150">
        <f t="shared" ca="1" si="6"/>
        <v>0.75</v>
      </c>
      <c r="E14" s="150">
        <f t="shared" ca="1" si="3"/>
        <v>3</v>
      </c>
      <c r="F14" s="150">
        <f t="shared" ca="1" si="7"/>
        <v>0</v>
      </c>
      <c r="G14" s="150" t="str">
        <f t="shared" ca="1" si="8"/>
        <v>54' 03</v>
      </c>
      <c r="H14" s="153">
        <f ca="1">RTD("cqg.rtd",,"DOMData",$B$3,"Volume","-4","T")</f>
        <v>5</v>
      </c>
    </row>
    <row r="15" spans="2:8" ht="17.25" x14ac:dyDescent="0.3">
      <c r="B15" s="152">
        <f ca="1">RTD("cqg.rtd",,"DOMData",$B$3,"Price","-5","T")</f>
        <v>54.5</v>
      </c>
      <c r="C15" s="152">
        <f t="shared" ca="1" si="5"/>
        <v>54</v>
      </c>
      <c r="D15" s="150">
        <f t="shared" ca="1" si="6"/>
        <v>0.5</v>
      </c>
      <c r="E15" s="150">
        <f t="shared" ca="1" si="3"/>
        <v>2</v>
      </c>
      <c r="F15" s="150">
        <f t="shared" ca="1" si="7"/>
        <v>0</v>
      </c>
      <c r="G15" s="150" t="str">
        <f t="shared" ca="1" si="8"/>
        <v>54' 02</v>
      </c>
      <c r="H15" s="153">
        <f ca="1">RTD("cqg.rtd",,"DOMData",$B$3,"Volume","-5","T")</f>
        <v>2</v>
      </c>
    </row>
  </sheetData>
  <sheetProtection algorithmName="SHA-512" hashValue="WBpPVlLID5DcxPgXR6FBAVeJ/SvZefPbfG8GoYY4414CQypOvNN6IK4O0VdO8fg7XqvomBPNalT0oxVuyWobAA==" saltValue="TdH9thGCWuu76hznWvK6W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activeCell="A2" sqref="A2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Display!B9</f>
        <v>SOM00Q6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64.5</v>
      </c>
      <c r="C6" s="152">
        <f t="shared" ref="C6:C9" ca="1" si="0">TRUNC(B6)</f>
        <v>64</v>
      </c>
      <c r="D6" s="151">
        <f t="shared" ref="D6:D9" ca="1" si="1">B6-C6</f>
        <v>0.5</v>
      </c>
      <c r="E6" s="150">
        <f ca="1">D6*4</f>
        <v>2</v>
      </c>
      <c r="F6" s="150">
        <f t="shared" ref="F6:F9" ca="1" si="2">IF(E6&lt;10,IF(E6&lt;1,0,0),"")</f>
        <v>0</v>
      </c>
      <c r="G6" s="150" t="str">
        <f ca="1">C6&amp;"' "&amp;F6&amp;E6</f>
        <v>64' 02</v>
      </c>
      <c r="H6" s="150">
        <f ca="1">RTD("cqg.rtd",,"DOMData",$B$3,"Volume","5","T")</f>
        <v>3</v>
      </c>
    </row>
    <row r="7" spans="2:8" ht="17.25" x14ac:dyDescent="0.3">
      <c r="B7" s="152">
        <f ca="1">RTD("cqg.rtd",,"DOMData",$B$3,"Price","4","T")</f>
        <v>63</v>
      </c>
      <c r="C7" s="152">
        <f t="shared" ca="1" si="0"/>
        <v>63</v>
      </c>
      <c r="D7" s="151">
        <f t="shared" ca="1" si="1"/>
        <v>0</v>
      </c>
      <c r="E7" s="150">
        <f t="shared" ref="E7:E15" ca="1" si="3">D7*4</f>
        <v>0</v>
      </c>
      <c r="F7" s="150">
        <f t="shared" ca="1" si="2"/>
        <v>0</v>
      </c>
      <c r="G7" s="150" t="str">
        <f t="shared" ref="G7:G9" ca="1" si="4">C7&amp;"' "&amp;F7&amp;E7</f>
        <v>63' 00</v>
      </c>
      <c r="H7" s="150">
        <f ca="1">RTD("cqg.rtd",,"DOMData",$B$3,"Volume","4","T")</f>
        <v>3</v>
      </c>
    </row>
    <row r="8" spans="2:8" ht="17.25" x14ac:dyDescent="0.3">
      <c r="B8" s="152">
        <f ca="1">RTD("cqg.rtd",,"DOMData",$B$3,"Price","3","T")</f>
        <v>62.25</v>
      </c>
      <c r="C8" s="152">
        <f t="shared" ca="1" si="0"/>
        <v>62</v>
      </c>
      <c r="D8" s="151">
        <f t="shared" ca="1" si="1"/>
        <v>0.25</v>
      </c>
      <c r="E8" s="150">
        <f t="shared" ca="1" si="3"/>
        <v>1</v>
      </c>
      <c r="F8" s="150">
        <f t="shared" ca="1" si="2"/>
        <v>0</v>
      </c>
      <c r="G8" s="150" t="str">
        <f t="shared" ca="1" si="4"/>
        <v>62' 01</v>
      </c>
      <c r="H8" s="150">
        <f ca="1">RTD("cqg.rtd",,"DOMData",$B$3,"Volume","3","T")</f>
        <v>1</v>
      </c>
    </row>
    <row r="9" spans="2:8" ht="17.25" x14ac:dyDescent="0.3">
      <c r="B9" s="152">
        <f ca="1">RTD("cqg.rtd",,"DOMData",$B$3,"Price","2","T")</f>
        <v>60</v>
      </c>
      <c r="C9" s="152">
        <f t="shared" ca="1" si="0"/>
        <v>60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60' 00</v>
      </c>
      <c r="H9" s="150">
        <f ca="1">RTD("cqg.rtd",,"DOMData",$B$3,"Volume","2","T")</f>
        <v>4</v>
      </c>
    </row>
    <row r="10" spans="2:8" ht="17.25" x14ac:dyDescent="0.3">
      <c r="B10" s="152">
        <f ca="1">RTD("cqg.rtd",,"DOMData",$B$3,"Price","1","T")</f>
        <v>59</v>
      </c>
      <c r="C10" s="152">
        <f ca="1">TRUNC(B10)</f>
        <v>59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59' 00</v>
      </c>
      <c r="H10" s="150">
        <f ca="1">RTD("cqg.rtd",,"DOMData",$B$3,"Volume","1","T")</f>
        <v>5</v>
      </c>
    </row>
    <row r="11" spans="2:8" ht="17.25" x14ac:dyDescent="0.3">
      <c r="B11" s="152">
        <f ca="1">RTD("cqg.rtd",,"DOMData",$B$3,"Price","-1","T")</f>
        <v>57.25</v>
      </c>
      <c r="C11" s="152">
        <f t="shared" ref="C11:C15" ca="1" si="5">TRUNC(B11)</f>
        <v>57</v>
      </c>
      <c r="D11" s="150">
        <f t="shared" ref="D11:D15" ca="1" si="6">B11-C11</f>
        <v>0.25</v>
      </c>
      <c r="E11" s="150">
        <f t="shared" ca="1" si="3"/>
        <v>1</v>
      </c>
      <c r="F11" s="150">
        <f t="shared" ref="F11:F15" ca="1" si="7">IF(E11&lt;10,IF(E11&lt;1,0,0),"")</f>
        <v>0</v>
      </c>
      <c r="G11" s="150" t="str">
        <f ca="1">C11&amp;"' "&amp;F11&amp;E11</f>
        <v>57' 01</v>
      </c>
      <c r="H11" s="153">
        <f ca="1">RTD("cqg.rtd",,"DOMData",$B$3,"Volume","-1","T")</f>
        <v>2</v>
      </c>
    </row>
    <row r="12" spans="2:8" ht="17.25" x14ac:dyDescent="0.3">
      <c r="B12" s="152">
        <f ca="1">RTD("cqg.rtd",,"DOMData",$B$3,"Price","-2","T")</f>
        <v>56.5</v>
      </c>
      <c r="C12" s="152">
        <f t="shared" ca="1" si="5"/>
        <v>56</v>
      </c>
      <c r="D12" s="150">
        <f t="shared" ca="1" si="6"/>
        <v>0.5</v>
      </c>
      <c r="E12" s="150">
        <f t="shared" ca="1" si="3"/>
        <v>2</v>
      </c>
      <c r="F12" s="150">
        <f t="shared" ca="1" si="7"/>
        <v>0</v>
      </c>
      <c r="G12" s="150" t="str">
        <f t="shared" ref="G12:G15" ca="1" si="8">C12&amp;"' "&amp;F12&amp;E12</f>
        <v>56' 02</v>
      </c>
      <c r="H12" s="153">
        <f ca="1">RTD("cqg.rtd",,"DOMData",$B$3,"Volume","-2","T")</f>
        <v>1</v>
      </c>
    </row>
    <row r="13" spans="2:8" ht="17.25" x14ac:dyDescent="0.3">
      <c r="B13" s="152">
        <f ca="1">RTD("cqg.rtd",,"DOMData",$B$3,"Price","-3","T")</f>
        <v>54.75</v>
      </c>
      <c r="C13" s="152">
        <f t="shared" ca="1" si="5"/>
        <v>54</v>
      </c>
      <c r="D13" s="150">
        <f t="shared" ca="1" si="6"/>
        <v>0.75</v>
      </c>
      <c r="E13" s="150">
        <f t="shared" ca="1" si="3"/>
        <v>3</v>
      </c>
      <c r="F13" s="150">
        <f t="shared" ca="1" si="7"/>
        <v>0</v>
      </c>
      <c r="G13" s="150" t="str">
        <f t="shared" ca="1" si="8"/>
        <v>54' 03</v>
      </c>
      <c r="H13" s="153">
        <f ca="1">RTD("cqg.rtd",,"DOMData",$B$3,"Volume","-3","T")</f>
        <v>1</v>
      </c>
    </row>
    <row r="14" spans="2:8" ht="17.25" x14ac:dyDescent="0.3">
      <c r="B14" s="152" t="str">
        <f ca="1">RTD("cqg.rtd",,"DOMData",$B$3,"Price","-4","T")</f>
        <v/>
      </c>
      <c r="C14" s="152" t="e">
        <f t="shared" ca="1" si="5"/>
        <v>#VALUE!</v>
      </c>
      <c r="D14" s="150" t="e">
        <f t="shared" ca="1" si="6"/>
        <v>#VALUE!</v>
      </c>
      <c r="E14" s="150" t="e">
        <f t="shared" ca="1" si="3"/>
        <v>#VALUE!</v>
      </c>
      <c r="F14" s="150" t="e">
        <f t="shared" ca="1" si="7"/>
        <v>#VALUE!</v>
      </c>
      <c r="G14" s="150" t="e">
        <f t="shared" ca="1" si="8"/>
        <v>#VALUE!</v>
      </c>
      <c r="H14" s="153" t="str">
        <f ca="1">RTD("cqg.rtd",,"DOMData",$B$3,"Volume","-4","T")</f>
        <v/>
      </c>
    </row>
    <row r="15" spans="2:8" ht="17.25" x14ac:dyDescent="0.3">
      <c r="B15" s="152" t="str">
        <f ca="1">RTD("cqg.rtd",,"DOMData",$B$3,"Price","-5","T")</f>
        <v/>
      </c>
      <c r="C15" s="152" t="e">
        <f t="shared" ca="1" si="5"/>
        <v>#VALUE!</v>
      </c>
      <c r="D15" s="150" t="e">
        <f t="shared" ca="1" si="6"/>
        <v>#VALUE!</v>
      </c>
      <c r="E15" s="150" t="e">
        <f t="shared" ca="1" si="3"/>
        <v>#VALUE!</v>
      </c>
      <c r="F15" s="150" t="e">
        <f t="shared" ca="1" si="7"/>
        <v>#VALUE!</v>
      </c>
      <c r="G15" s="150" t="e">
        <f t="shared" ca="1" si="8"/>
        <v>#VALUE!</v>
      </c>
      <c r="H15" s="153" t="str">
        <f ca="1">RTD("cqg.rtd",,"DOMData",$B$3,"Volume","-5","T")</f>
        <v/>
      </c>
    </row>
  </sheetData>
  <sheetProtection algorithmName="SHA-512" hashValue="T+zxpe5bGudfA4vvxSRMDgQ2hpYDUMZ3IUTWpA+ojsSQfbLqTfJxK+uaD9eb/aDmOABi22CyoKY3GWVQH6fxlA==" saltValue="+NBcE7jjSQgnPq5OFx1nmg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Display!B10</f>
        <v>SOM00U6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80</v>
      </c>
      <c r="C6" s="152">
        <f t="shared" ref="C6:C9" ca="1" si="0">TRUNC(B6)</f>
        <v>80</v>
      </c>
      <c r="D6" s="151">
        <f t="shared" ref="D6:D9" ca="1" si="1">B6-C6</f>
        <v>0</v>
      </c>
      <c r="E6" s="150">
        <f ca="1">D6*4</f>
        <v>0</v>
      </c>
      <c r="F6" s="150">
        <f t="shared" ref="F6:F9" ca="1" si="2">IF(E6&lt;10,IF(E6&lt;1,0,0),"")</f>
        <v>0</v>
      </c>
      <c r="G6" s="150" t="str">
        <f ca="1">C6&amp;"' "&amp;F6&amp;E6</f>
        <v>80' 00</v>
      </c>
      <c r="H6" s="150">
        <f ca="1">RTD("cqg.rtd",,"DOMData",$B$3,"Volume","5","T")</f>
        <v>10</v>
      </c>
    </row>
    <row r="7" spans="2:8" ht="17.25" x14ac:dyDescent="0.3">
      <c r="B7" s="152">
        <f ca="1">RTD("cqg.rtd",,"DOMData",$B$3,"Price","4","T")</f>
        <v>74.5</v>
      </c>
      <c r="C7" s="152">
        <f t="shared" ca="1" si="0"/>
        <v>74</v>
      </c>
      <c r="D7" s="151">
        <f t="shared" ca="1" si="1"/>
        <v>0.5</v>
      </c>
      <c r="E7" s="150">
        <f t="shared" ref="E7:E15" ca="1" si="3">D7*4</f>
        <v>2</v>
      </c>
      <c r="F7" s="150">
        <f t="shared" ca="1" si="2"/>
        <v>0</v>
      </c>
      <c r="G7" s="150" t="str">
        <f t="shared" ref="G7:G9" ca="1" si="4">C7&amp;"' "&amp;F7&amp;E7</f>
        <v>74' 02</v>
      </c>
      <c r="H7" s="150">
        <f ca="1">RTD("cqg.rtd",,"DOMData",$B$3,"Volume","4","T")</f>
        <v>1</v>
      </c>
    </row>
    <row r="8" spans="2:8" ht="17.25" x14ac:dyDescent="0.3">
      <c r="B8" s="152">
        <f ca="1">RTD("cqg.rtd",,"DOMData",$B$3,"Price","3","T")</f>
        <v>65</v>
      </c>
      <c r="C8" s="152">
        <f t="shared" ca="1" si="0"/>
        <v>65</v>
      </c>
      <c r="D8" s="151">
        <f t="shared" ca="1" si="1"/>
        <v>0</v>
      </c>
      <c r="E8" s="150">
        <f t="shared" ca="1" si="3"/>
        <v>0</v>
      </c>
      <c r="F8" s="150">
        <f t="shared" ca="1" si="2"/>
        <v>0</v>
      </c>
      <c r="G8" s="150" t="str">
        <f t="shared" ca="1" si="4"/>
        <v>65' 00</v>
      </c>
      <c r="H8" s="150">
        <f ca="1">RTD("cqg.rtd",,"DOMData",$B$3,"Volume","3","T")</f>
        <v>1</v>
      </c>
    </row>
    <row r="9" spans="2:8" ht="17.25" x14ac:dyDescent="0.3">
      <c r="B9" s="152">
        <f ca="1">RTD("cqg.rtd",,"DOMData",$B$3,"Price","2","T")</f>
        <v>64.5</v>
      </c>
      <c r="C9" s="152">
        <f t="shared" ca="1" si="0"/>
        <v>64</v>
      </c>
      <c r="D9" s="151">
        <f t="shared" ca="1" si="1"/>
        <v>0.5</v>
      </c>
      <c r="E9" s="150">
        <f t="shared" ca="1" si="3"/>
        <v>2</v>
      </c>
      <c r="F9" s="150">
        <f t="shared" ca="1" si="2"/>
        <v>0</v>
      </c>
      <c r="G9" s="150" t="str">
        <f t="shared" ca="1" si="4"/>
        <v>64' 02</v>
      </c>
      <c r="H9" s="150">
        <f ca="1">RTD("cqg.rtd",,"DOMData",$B$3,"Volume","2","T")</f>
        <v>3</v>
      </c>
    </row>
    <row r="10" spans="2:8" ht="17.25" x14ac:dyDescent="0.3">
      <c r="B10" s="152">
        <f ca="1">RTD("cqg.rtd",,"DOMData",$B$3,"Price","1","T")</f>
        <v>64</v>
      </c>
      <c r="C10" s="152">
        <f ca="1">TRUNC(B10)</f>
        <v>64</v>
      </c>
      <c r="D10" s="151">
        <f ca="1">B10-C10</f>
        <v>0</v>
      </c>
      <c r="E10" s="150">
        <f t="shared" ca="1" si="3"/>
        <v>0</v>
      </c>
      <c r="F10" s="150">
        <f ca="1">IF(E10&lt;10,IF(E10&lt;1,0,0),"")</f>
        <v>0</v>
      </c>
      <c r="G10" s="150" t="str">
        <f ca="1">C10&amp;"' "&amp;F10&amp;E10</f>
        <v>64' 00</v>
      </c>
      <c r="H10" s="150">
        <f ca="1">RTD("cqg.rtd",,"DOMData",$B$3,"Volume","1","T")</f>
        <v>6</v>
      </c>
    </row>
    <row r="11" spans="2:8" ht="17.25" x14ac:dyDescent="0.3">
      <c r="B11" s="152">
        <f ca="1">RTD("cqg.rtd",,"DOMData",$B$3,"Price","-1","T")</f>
        <v>61.5</v>
      </c>
      <c r="C11" s="152">
        <f t="shared" ref="C11:C15" ca="1" si="5">TRUNC(B11)</f>
        <v>61</v>
      </c>
      <c r="D11" s="150">
        <f t="shared" ref="D11:D15" ca="1" si="6">B11-C11</f>
        <v>0.5</v>
      </c>
      <c r="E11" s="150">
        <f t="shared" ca="1" si="3"/>
        <v>2</v>
      </c>
      <c r="F11" s="150">
        <f t="shared" ref="F11:F15" ca="1" si="7">IF(E11&lt;10,IF(E11&lt;1,0,0),"")</f>
        <v>0</v>
      </c>
      <c r="G11" s="150" t="str">
        <f ca="1">C11&amp;"' "&amp;F11&amp;E11</f>
        <v>61' 02</v>
      </c>
      <c r="H11" s="153">
        <f ca="1">RTD("cqg.rtd",,"DOMData",$B$3,"Volume","-1","T")</f>
        <v>1</v>
      </c>
    </row>
    <row r="12" spans="2:8" ht="17.25" x14ac:dyDescent="0.3">
      <c r="B12" s="152">
        <f ca="1">RTD("cqg.rtd",,"DOMData",$B$3,"Price","-2","T")</f>
        <v>61</v>
      </c>
      <c r="C12" s="152">
        <f t="shared" ca="1" si="5"/>
        <v>61</v>
      </c>
      <c r="D12" s="150">
        <f t="shared" ca="1" si="6"/>
        <v>0</v>
      </c>
      <c r="E12" s="150">
        <f t="shared" ca="1" si="3"/>
        <v>0</v>
      </c>
      <c r="F12" s="150">
        <f t="shared" ca="1" si="7"/>
        <v>0</v>
      </c>
      <c r="G12" s="150" t="str">
        <f t="shared" ref="G12:G15" ca="1" si="8">C12&amp;"' "&amp;F12&amp;E12</f>
        <v>61' 00</v>
      </c>
      <c r="H12" s="153">
        <f ca="1">RTD("cqg.rtd",,"DOMData",$B$3,"Volume","-2","T")</f>
        <v>2</v>
      </c>
    </row>
    <row r="13" spans="2:8" ht="17.25" x14ac:dyDescent="0.3">
      <c r="B13" s="152">
        <f ca="1">RTD("cqg.rtd",,"DOMData",$B$3,"Price","-3","T")</f>
        <v>59</v>
      </c>
      <c r="C13" s="152">
        <f t="shared" ca="1" si="5"/>
        <v>59</v>
      </c>
      <c r="D13" s="150">
        <f t="shared" ca="1" si="6"/>
        <v>0</v>
      </c>
      <c r="E13" s="150">
        <f t="shared" ca="1" si="3"/>
        <v>0</v>
      </c>
      <c r="F13" s="150">
        <f t="shared" ca="1" si="7"/>
        <v>0</v>
      </c>
      <c r="G13" s="150" t="str">
        <f t="shared" ca="1" si="8"/>
        <v>59' 00</v>
      </c>
      <c r="H13" s="153">
        <f ca="1">RTD("cqg.rtd",,"DOMData",$B$3,"Volume","-3","T")</f>
        <v>1</v>
      </c>
    </row>
    <row r="14" spans="2:8" ht="17.25" x14ac:dyDescent="0.3">
      <c r="B14" s="152">
        <f ca="1">RTD("cqg.rtd",,"DOMData",$B$3,"Price","-4","T")</f>
        <v>57.75</v>
      </c>
      <c r="C14" s="152">
        <f t="shared" ca="1" si="5"/>
        <v>57</v>
      </c>
      <c r="D14" s="150">
        <f t="shared" ca="1" si="6"/>
        <v>0.75</v>
      </c>
      <c r="E14" s="150">
        <f t="shared" ca="1" si="3"/>
        <v>3</v>
      </c>
      <c r="F14" s="150">
        <f t="shared" ca="1" si="7"/>
        <v>0</v>
      </c>
      <c r="G14" s="150" t="str">
        <f t="shared" ca="1" si="8"/>
        <v>57' 03</v>
      </c>
      <c r="H14" s="153">
        <f ca="1">RTD("cqg.rtd",,"DOMData",$B$3,"Volume","-4","T")</f>
        <v>1</v>
      </c>
    </row>
    <row r="15" spans="2:8" ht="17.25" x14ac:dyDescent="0.3">
      <c r="B15" s="152" t="str">
        <f ca="1">RTD("cqg.rtd",,"DOMData",$B$3,"Price","-5","T")</f>
        <v/>
      </c>
      <c r="C15" s="152" t="e">
        <f t="shared" ca="1" si="5"/>
        <v>#VALUE!</v>
      </c>
      <c r="D15" s="150" t="e">
        <f t="shared" ca="1" si="6"/>
        <v>#VALUE!</v>
      </c>
      <c r="E15" s="150" t="e">
        <f t="shared" ca="1" si="3"/>
        <v>#VALUE!</v>
      </c>
      <c r="F15" s="150" t="e">
        <f t="shared" ca="1" si="7"/>
        <v>#VALUE!</v>
      </c>
      <c r="G15" s="150" t="e">
        <f t="shared" ca="1" si="8"/>
        <v>#VALUE!</v>
      </c>
      <c r="H15" s="153" t="str">
        <f ca="1">RTD("cqg.rtd",,"DOMData",$B$3,"Volume","-5","T")</f>
        <v/>
      </c>
    </row>
  </sheetData>
  <sheetProtection algorithmName="SHA-512" hashValue="pkAopMvLWn9y2myCQSmLn7UICQnSRxl5kg9GXBy5yo84Yrua438Ad/x8YGVvnQMYqo7hJxYfSjoSgFlI8E3hEg==" saltValue="tvHGKw6ClXnOJHZXnlI37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Display!B11</f>
        <v>SOM02U6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 t="str">
        <f ca="1">RTD("cqg.rtd",,"DOMData",$B$3,"Price","5","T")</f>
        <v/>
      </c>
      <c r="C6" s="152" t="e">
        <f t="shared" ref="C6:C9" ca="1" si="0">TRUNC(B6)</f>
        <v>#VALUE!</v>
      </c>
      <c r="D6" s="151" t="e">
        <f t="shared" ref="D6:D9" ca="1" si="1">B6-C6</f>
        <v>#VALUE!</v>
      </c>
      <c r="E6" s="150" t="e">
        <f ca="1">D6*4</f>
        <v>#VALUE!</v>
      </c>
      <c r="F6" s="150" t="e">
        <f t="shared" ref="F6:F9" ca="1" si="2">IF(E6&lt;10,IF(E6&lt;1,0,0),"")</f>
        <v>#VALUE!</v>
      </c>
      <c r="G6" s="150" t="e">
        <f ca="1">C6&amp;"' "&amp;F6&amp;E6</f>
        <v>#VALUE!</v>
      </c>
      <c r="H6" s="150" t="str">
        <f ca="1">RTD("cqg.rtd",,"DOMData",$B$3,"Volume","5","T")</f>
        <v/>
      </c>
    </row>
    <row r="7" spans="2:8" ht="17.25" x14ac:dyDescent="0.3">
      <c r="B7" s="152" t="str">
        <f ca="1">RTD("cqg.rtd",,"DOMData",$B$3,"Price","4","T")</f>
        <v/>
      </c>
      <c r="C7" s="152" t="e">
        <f t="shared" ca="1" si="0"/>
        <v>#VALUE!</v>
      </c>
      <c r="D7" s="151" t="e">
        <f t="shared" ca="1" si="1"/>
        <v>#VALUE!</v>
      </c>
      <c r="E7" s="150" t="e">
        <f t="shared" ref="E7:E15" ca="1" si="3">D7*4</f>
        <v>#VALUE!</v>
      </c>
      <c r="F7" s="150" t="e">
        <f t="shared" ca="1" si="2"/>
        <v>#VALUE!</v>
      </c>
      <c r="G7" s="150" t="e">
        <f t="shared" ref="G7:G9" ca="1" si="4">C7&amp;"' "&amp;F7&amp;E7</f>
        <v>#VALUE!</v>
      </c>
      <c r="H7" s="150" t="str">
        <f ca="1">RTD("cqg.rtd",,"DOMData",$B$3,"Volume","4","T")</f>
        <v/>
      </c>
    </row>
    <row r="8" spans="2:8" ht="17.25" x14ac:dyDescent="0.3">
      <c r="B8" s="152" t="str">
        <f ca="1">RTD("cqg.rtd",,"DOMData",$B$3,"Price","3","T")</f>
        <v/>
      </c>
      <c r="C8" s="152" t="e">
        <f t="shared" ca="1" si="0"/>
        <v>#VALUE!</v>
      </c>
      <c r="D8" s="151" t="e">
        <f t="shared" ca="1" si="1"/>
        <v>#VALUE!</v>
      </c>
      <c r="E8" s="150" t="e">
        <f t="shared" ca="1" si="3"/>
        <v>#VALUE!</v>
      </c>
      <c r="F8" s="150" t="e">
        <f t="shared" ca="1" si="2"/>
        <v>#VALUE!</v>
      </c>
      <c r="G8" s="150" t="e">
        <f t="shared" ca="1" si="4"/>
        <v>#VALUE!</v>
      </c>
      <c r="H8" s="150" t="str">
        <f ca="1">RTD("cqg.rtd",,"DOMData",$B$3,"Volume","3","T")</f>
        <v/>
      </c>
    </row>
    <row r="9" spans="2:8" ht="17.25" x14ac:dyDescent="0.3">
      <c r="B9" s="152">
        <f ca="1">RTD("cqg.rtd",,"DOMData",$B$3,"Price","2","T")</f>
        <v>68.25</v>
      </c>
      <c r="C9" s="152">
        <f t="shared" ca="1" si="0"/>
        <v>68</v>
      </c>
      <c r="D9" s="151">
        <f t="shared" ca="1" si="1"/>
        <v>0.25</v>
      </c>
      <c r="E9" s="150">
        <f t="shared" ca="1" si="3"/>
        <v>1</v>
      </c>
      <c r="F9" s="150">
        <f t="shared" ca="1" si="2"/>
        <v>0</v>
      </c>
      <c r="G9" s="150" t="str">
        <f t="shared" ca="1" si="4"/>
        <v>68' 01</v>
      </c>
      <c r="H9" s="150">
        <f ca="1">RTD("cqg.rtd",,"DOMData",$B$3,"Volume","2","T")</f>
        <v>1</v>
      </c>
    </row>
    <row r="10" spans="2:8" ht="17.25" x14ac:dyDescent="0.3">
      <c r="B10" s="152">
        <f ca="1">RTD("cqg.rtd",,"DOMData",$B$3,"Price","1","T")</f>
        <v>63.75</v>
      </c>
      <c r="C10" s="152">
        <f ca="1">TRUNC(B10)</f>
        <v>63</v>
      </c>
      <c r="D10" s="151">
        <f ca="1">B10-C10</f>
        <v>0.75</v>
      </c>
      <c r="E10" s="150">
        <f t="shared" ca="1" si="3"/>
        <v>3</v>
      </c>
      <c r="F10" s="150">
        <f ca="1">IF(E10&lt;10,IF(E10&lt;1,0,0),"")</f>
        <v>0</v>
      </c>
      <c r="G10" s="150" t="str">
        <f ca="1">C10&amp;"' "&amp;F10&amp;E10</f>
        <v>63' 03</v>
      </c>
      <c r="H10" s="150">
        <f ca="1">RTD("cqg.rtd",,"DOMData",$B$3,"Volume","1","T")</f>
        <v>1</v>
      </c>
    </row>
    <row r="11" spans="2:8" ht="17.25" x14ac:dyDescent="0.3">
      <c r="B11" s="152">
        <f ca="1">RTD("cqg.rtd",,"DOMData",$B$3,"Price","-1","T")</f>
        <v>60</v>
      </c>
      <c r="C11" s="152">
        <f t="shared" ref="C11:C15" ca="1" si="5">TRUNC(B11)</f>
        <v>60</v>
      </c>
      <c r="D11" s="150">
        <f t="shared" ref="D11:D15" ca="1" si="6">B11-C11</f>
        <v>0</v>
      </c>
      <c r="E11" s="150">
        <f t="shared" ca="1" si="3"/>
        <v>0</v>
      </c>
      <c r="F11" s="150">
        <f t="shared" ref="F11:F15" ca="1" si="7">IF(E11&lt;10,IF(E11&lt;1,0,0),"")</f>
        <v>0</v>
      </c>
      <c r="G11" s="150" t="str">
        <f ca="1">C11&amp;"' "&amp;F11&amp;E11</f>
        <v>60' 00</v>
      </c>
      <c r="H11" s="153">
        <f ca="1">RTD("cqg.rtd",,"DOMData",$B$3,"Volume","-1","T")</f>
        <v>1</v>
      </c>
    </row>
    <row r="12" spans="2:8" ht="17.25" x14ac:dyDescent="0.3">
      <c r="B12" s="152">
        <f ca="1">RTD("cqg.rtd",,"DOMData",$B$3,"Price","-2","T")</f>
        <v>57</v>
      </c>
      <c r="C12" s="152">
        <f t="shared" ca="1" si="5"/>
        <v>57</v>
      </c>
      <c r="D12" s="150">
        <f t="shared" ca="1" si="6"/>
        <v>0</v>
      </c>
      <c r="E12" s="150">
        <f t="shared" ca="1" si="3"/>
        <v>0</v>
      </c>
      <c r="F12" s="150">
        <f t="shared" ca="1" si="7"/>
        <v>0</v>
      </c>
      <c r="G12" s="150" t="str">
        <f t="shared" ref="G12:G15" ca="1" si="8">C12&amp;"' "&amp;F12&amp;E12</f>
        <v>57' 00</v>
      </c>
      <c r="H12" s="153">
        <f ca="1">RTD("cqg.rtd",,"DOMData",$B$3,"Volume","-2","T")</f>
        <v>1</v>
      </c>
    </row>
    <row r="13" spans="2:8" ht="17.25" x14ac:dyDescent="0.3">
      <c r="B13" s="152" t="str">
        <f ca="1">RTD("cqg.rtd",,"DOMData",$B$3,"Price","-3","T")</f>
        <v/>
      </c>
      <c r="C13" s="152" t="e">
        <f t="shared" ca="1" si="5"/>
        <v>#VALUE!</v>
      </c>
      <c r="D13" s="150" t="e">
        <f t="shared" ca="1" si="6"/>
        <v>#VALUE!</v>
      </c>
      <c r="E13" s="150" t="e">
        <f t="shared" ca="1" si="3"/>
        <v>#VALUE!</v>
      </c>
      <c r="F13" s="150" t="e">
        <f t="shared" ca="1" si="7"/>
        <v>#VALUE!</v>
      </c>
      <c r="G13" s="150" t="e">
        <f t="shared" ca="1" si="8"/>
        <v>#VALUE!</v>
      </c>
      <c r="H13" s="153" t="str">
        <f ca="1">RTD("cqg.rtd",,"DOMData",$B$3,"Volume","-3","T")</f>
        <v/>
      </c>
    </row>
    <row r="14" spans="2:8" ht="17.25" x14ac:dyDescent="0.3">
      <c r="B14" s="152" t="str">
        <f ca="1">RTD("cqg.rtd",,"DOMData",$B$3,"Price","-4","T")</f>
        <v/>
      </c>
      <c r="C14" s="152" t="e">
        <f t="shared" ca="1" si="5"/>
        <v>#VALUE!</v>
      </c>
      <c r="D14" s="150" t="e">
        <f t="shared" ca="1" si="6"/>
        <v>#VALUE!</v>
      </c>
      <c r="E14" s="150" t="e">
        <f t="shared" ca="1" si="3"/>
        <v>#VALUE!</v>
      </c>
      <c r="F14" s="150" t="e">
        <f t="shared" ca="1" si="7"/>
        <v>#VALUE!</v>
      </c>
      <c r="G14" s="150" t="e">
        <f t="shared" ca="1" si="8"/>
        <v>#VALUE!</v>
      </c>
      <c r="H14" s="153" t="str">
        <f ca="1">RTD("cqg.rtd",,"DOMData",$B$3,"Volume","-4","T")</f>
        <v/>
      </c>
    </row>
    <row r="15" spans="2:8" ht="17.25" x14ac:dyDescent="0.3">
      <c r="B15" s="152" t="str">
        <f ca="1">RTD("cqg.rtd",,"DOMData",$B$3,"Price","-5","T")</f>
        <v/>
      </c>
      <c r="C15" s="152" t="e">
        <f t="shared" ca="1" si="5"/>
        <v>#VALUE!</v>
      </c>
      <c r="D15" s="150" t="e">
        <f t="shared" ca="1" si="6"/>
        <v>#VALUE!</v>
      </c>
      <c r="E15" s="150" t="e">
        <f t="shared" ca="1" si="3"/>
        <v>#VALUE!</v>
      </c>
      <c r="F15" s="150" t="e">
        <f t="shared" ca="1" si="7"/>
        <v>#VALUE!</v>
      </c>
      <c r="G15" s="150" t="e">
        <f t="shared" ca="1" si="8"/>
        <v>#VALUE!</v>
      </c>
      <c r="H15" s="153" t="str">
        <f ca="1">RTD("cqg.rtd",,"DOMData",$B$3,"Volume","-5","T")</f>
        <v/>
      </c>
    </row>
  </sheetData>
  <sheetProtection algorithmName="SHA-512" hashValue="ke6kwZ2Av1MyOYxrlcT9in5Pzmm8PcJb1DYPQCQyGLVCwZG3ITa4FjlAIhwLto1w7sXx4H/KSjYKz1F/o0U2wg==" saltValue="M57jzrnhJpflo/MT/a59hw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showRowColHeaders="0" workbookViewId="0">
      <selection sqref="A1:XFD1048576"/>
    </sheetView>
  </sheetViews>
  <sheetFormatPr defaultRowHeight="16.5" x14ac:dyDescent="0.3"/>
  <cols>
    <col min="1" max="1" width="9" style="142"/>
    <col min="2" max="8" width="15.625" style="142" customWidth="1"/>
    <col min="9" max="16384" width="9" style="142"/>
  </cols>
  <sheetData>
    <row r="3" spans="2:8" ht="17.25" x14ac:dyDescent="0.3">
      <c r="B3" s="150" t="str">
        <f ca="1">Display!B12</f>
        <v>SOM01V6</v>
      </c>
      <c r="C3" s="150"/>
      <c r="D3" s="150"/>
      <c r="E3" s="150"/>
      <c r="F3" s="150"/>
      <c r="G3" s="150"/>
      <c r="H3" s="150"/>
    </row>
    <row r="4" spans="2:8" ht="17.25" x14ac:dyDescent="0.3">
      <c r="B4" s="150"/>
      <c r="C4" s="150"/>
      <c r="D4" s="150"/>
      <c r="E4" s="150"/>
      <c r="F4" s="150"/>
      <c r="G4" s="150"/>
      <c r="H4" s="150"/>
    </row>
    <row r="5" spans="2:8" ht="17.25" x14ac:dyDescent="0.3">
      <c r="B5" s="150"/>
      <c r="C5" s="150"/>
      <c r="D5" s="151"/>
      <c r="E5" s="150"/>
      <c r="F5" s="150"/>
      <c r="G5" s="150"/>
      <c r="H5" s="150"/>
    </row>
    <row r="6" spans="2:8" ht="17.25" x14ac:dyDescent="0.3">
      <c r="B6" s="152">
        <f ca="1">RTD("cqg.rtd",,"DOMData",$B$3,"Price","5","T")</f>
        <v>64.5</v>
      </c>
      <c r="C6" s="152">
        <f t="shared" ref="C6:C9" ca="1" si="0">TRUNC(B6)</f>
        <v>64</v>
      </c>
      <c r="D6" s="151">
        <f t="shared" ref="D6:D9" ca="1" si="1">B6-C6</f>
        <v>0.5</v>
      </c>
      <c r="E6" s="150">
        <f ca="1">D6*4</f>
        <v>2</v>
      </c>
      <c r="F6" s="150">
        <f t="shared" ref="F6:F9" ca="1" si="2">IF(E6&lt;10,IF(E6&lt;1,0,0),"")</f>
        <v>0</v>
      </c>
      <c r="G6" s="150" t="str">
        <f ca="1">C6&amp;"' "&amp;F6&amp;E6</f>
        <v>64' 02</v>
      </c>
      <c r="H6" s="150">
        <f ca="1">RTD("cqg.rtd",,"DOMData",$B$3,"Volume","5","T")</f>
        <v>1</v>
      </c>
    </row>
    <row r="7" spans="2:8" ht="17.25" x14ac:dyDescent="0.3">
      <c r="B7" s="152">
        <f ca="1">RTD("cqg.rtd",,"DOMData",$B$3,"Price","4","T")</f>
        <v>64</v>
      </c>
      <c r="C7" s="152">
        <f t="shared" ca="1" si="0"/>
        <v>64</v>
      </c>
      <c r="D7" s="151">
        <f t="shared" ca="1" si="1"/>
        <v>0</v>
      </c>
      <c r="E7" s="150">
        <f t="shared" ref="E7:E15" ca="1" si="3">D7*4</f>
        <v>0</v>
      </c>
      <c r="F7" s="150">
        <f t="shared" ca="1" si="2"/>
        <v>0</v>
      </c>
      <c r="G7" s="150" t="str">
        <f t="shared" ref="G7:G9" ca="1" si="4">C7&amp;"' "&amp;F7&amp;E7</f>
        <v>64' 00</v>
      </c>
      <c r="H7" s="150">
        <f ca="1">RTD("cqg.rtd",,"DOMData",$B$3,"Volume","4","T")</f>
        <v>3</v>
      </c>
    </row>
    <row r="8" spans="2:8" ht="17.25" x14ac:dyDescent="0.3">
      <c r="B8" s="152">
        <f ca="1">RTD("cqg.rtd",,"DOMData",$B$3,"Price","3","T")</f>
        <v>63.5</v>
      </c>
      <c r="C8" s="152">
        <f t="shared" ca="1" si="0"/>
        <v>63</v>
      </c>
      <c r="D8" s="151">
        <f t="shared" ca="1" si="1"/>
        <v>0.5</v>
      </c>
      <c r="E8" s="150">
        <f t="shared" ca="1" si="3"/>
        <v>2</v>
      </c>
      <c r="F8" s="150">
        <f t="shared" ca="1" si="2"/>
        <v>0</v>
      </c>
      <c r="G8" s="150" t="str">
        <f t="shared" ca="1" si="4"/>
        <v>63' 02</v>
      </c>
      <c r="H8" s="150">
        <f ca="1">RTD("cqg.rtd",,"DOMData",$B$3,"Volume","3","T")</f>
        <v>1</v>
      </c>
    </row>
    <row r="9" spans="2:8" ht="17.25" x14ac:dyDescent="0.3">
      <c r="B9" s="152">
        <f ca="1">RTD("cqg.rtd",,"DOMData",$B$3,"Price","2","T")</f>
        <v>63</v>
      </c>
      <c r="C9" s="152">
        <f t="shared" ca="1" si="0"/>
        <v>63</v>
      </c>
      <c r="D9" s="151">
        <f t="shared" ca="1" si="1"/>
        <v>0</v>
      </c>
      <c r="E9" s="150">
        <f t="shared" ca="1" si="3"/>
        <v>0</v>
      </c>
      <c r="F9" s="150">
        <f t="shared" ca="1" si="2"/>
        <v>0</v>
      </c>
      <c r="G9" s="150" t="str">
        <f t="shared" ca="1" si="4"/>
        <v>63' 00</v>
      </c>
      <c r="H9" s="150">
        <f ca="1">RTD("cqg.rtd",,"DOMData",$B$3,"Volume","2","T")</f>
        <v>1</v>
      </c>
    </row>
    <row r="10" spans="2:8" ht="17.25" x14ac:dyDescent="0.3">
      <c r="B10" s="152">
        <f ca="1">RTD("cqg.rtd",,"DOMData",$B$3,"Price","1","T")</f>
        <v>61.75</v>
      </c>
      <c r="C10" s="152">
        <f ca="1">TRUNC(B10)</f>
        <v>61</v>
      </c>
      <c r="D10" s="151">
        <f ca="1">B10-C10</f>
        <v>0.75</v>
      </c>
      <c r="E10" s="150">
        <f t="shared" ca="1" si="3"/>
        <v>3</v>
      </c>
      <c r="F10" s="150">
        <f ca="1">IF(E10&lt;10,IF(E10&lt;1,0,0),"")</f>
        <v>0</v>
      </c>
      <c r="G10" s="150" t="str">
        <f ca="1">C10&amp;"' "&amp;F10&amp;E10</f>
        <v>61' 03</v>
      </c>
      <c r="H10" s="150">
        <f ca="1">RTD("cqg.rtd",,"DOMData",$B$3,"Volume","1","T")</f>
        <v>2</v>
      </c>
    </row>
    <row r="11" spans="2:8" ht="17.25" x14ac:dyDescent="0.3">
      <c r="B11" s="152">
        <f ca="1">RTD("cqg.rtd",,"DOMData",$B$3,"Price","-1","T")</f>
        <v>60.75</v>
      </c>
      <c r="C11" s="152">
        <f t="shared" ref="C11:C15" ca="1" si="5">TRUNC(B11)</f>
        <v>60</v>
      </c>
      <c r="D11" s="150">
        <f t="shared" ref="D11:D15" ca="1" si="6">B11-C11</f>
        <v>0.75</v>
      </c>
      <c r="E11" s="150">
        <f t="shared" ca="1" si="3"/>
        <v>3</v>
      </c>
      <c r="F11" s="150">
        <f t="shared" ref="F11:F15" ca="1" si="7">IF(E11&lt;10,IF(E11&lt;1,0,0),"")</f>
        <v>0</v>
      </c>
      <c r="G11" s="150" t="str">
        <f ca="1">C11&amp;"' "&amp;F11&amp;E11</f>
        <v>60' 03</v>
      </c>
      <c r="H11" s="153">
        <f ca="1">RTD("cqg.rtd",,"DOMData",$B$3,"Volume","-1","T")</f>
        <v>2</v>
      </c>
    </row>
    <row r="12" spans="2:8" ht="17.25" x14ac:dyDescent="0.3">
      <c r="B12" s="152">
        <f ca="1">RTD("cqg.rtd",,"DOMData",$B$3,"Price","-2","T")</f>
        <v>60</v>
      </c>
      <c r="C12" s="152">
        <f t="shared" ca="1" si="5"/>
        <v>60</v>
      </c>
      <c r="D12" s="150">
        <f t="shared" ca="1" si="6"/>
        <v>0</v>
      </c>
      <c r="E12" s="150">
        <f t="shared" ca="1" si="3"/>
        <v>0</v>
      </c>
      <c r="F12" s="150">
        <f t="shared" ca="1" si="7"/>
        <v>0</v>
      </c>
      <c r="G12" s="150" t="str">
        <f t="shared" ref="G12:G15" ca="1" si="8">C12&amp;"' "&amp;F12&amp;E12</f>
        <v>60' 00</v>
      </c>
      <c r="H12" s="153">
        <f ca="1">RTD("cqg.rtd",,"DOMData",$B$3,"Volume","-2","T")</f>
        <v>1</v>
      </c>
    </row>
    <row r="13" spans="2:8" ht="17.25" x14ac:dyDescent="0.3">
      <c r="B13" s="152">
        <f ca="1">RTD("cqg.rtd",,"DOMData",$B$3,"Price","-3","T")</f>
        <v>59</v>
      </c>
      <c r="C13" s="152">
        <f t="shared" ca="1" si="5"/>
        <v>59</v>
      </c>
      <c r="D13" s="150">
        <f t="shared" ca="1" si="6"/>
        <v>0</v>
      </c>
      <c r="E13" s="150">
        <f t="shared" ca="1" si="3"/>
        <v>0</v>
      </c>
      <c r="F13" s="150">
        <f t="shared" ca="1" si="7"/>
        <v>0</v>
      </c>
      <c r="G13" s="150" t="str">
        <f t="shared" ca="1" si="8"/>
        <v>59' 00</v>
      </c>
      <c r="H13" s="153">
        <f ca="1">RTD("cqg.rtd",,"DOMData",$B$3,"Volume","-3","T")</f>
        <v>1</v>
      </c>
    </row>
    <row r="14" spans="2:8" ht="17.25" x14ac:dyDescent="0.3">
      <c r="B14" s="152">
        <f ca="1">RTD("cqg.rtd",,"DOMData",$B$3,"Price","-4","T")</f>
        <v>50.75</v>
      </c>
      <c r="C14" s="152">
        <f t="shared" ca="1" si="5"/>
        <v>50</v>
      </c>
      <c r="D14" s="150">
        <f t="shared" ca="1" si="6"/>
        <v>0.75</v>
      </c>
      <c r="E14" s="150">
        <f t="shared" ca="1" si="3"/>
        <v>3</v>
      </c>
      <c r="F14" s="150">
        <f t="shared" ca="1" si="7"/>
        <v>0</v>
      </c>
      <c r="G14" s="150" t="str">
        <f t="shared" ca="1" si="8"/>
        <v>50' 03</v>
      </c>
      <c r="H14" s="153">
        <f ca="1">RTD("cqg.rtd",,"DOMData",$B$3,"Volume","-4","T")</f>
        <v>1</v>
      </c>
    </row>
    <row r="15" spans="2:8" ht="17.25" x14ac:dyDescent="0.3">
      <c r="B15" s="152" t="str">
        <f ca="1">RTD("cqg.rtd",,"DOMData",$B$3,"Price","-5","T")</f>
        <v/>
      </c>
      <c r="C15" s="152" t="e">
        <f t="shared" ca="1" si="5"/>
        <v>#VALUE!</v>
      </c>
      <c r="D15" s="150" t="e">
        <f t="shared" ca="1" si="6"/>
        <v>#VALUE!</v>
      </c>
      <c r="E15" s="150" t="e">
        <f t="shared" ca="1" si="3"/>
        <v>#VALUE!</v>
      </c>
      <c r="F15" s="150" t="e">
        <f t="shared" ca="1" si="7"/>
        <v>#VALUE!</v>
      </c>
      <c r="G15" s="150" t="e">
        <f t="shared" ca="1" si="8"/>
        <v>#VALUE!</v>
      </c>
      <c r="H15" s="153" t="str">
        <f ca="1">RTD("cqg.rtd",,"DOMData",$B$3,"Volume","-5","T")</f>
        <v/>
      </c>
    </row>
  </sheetData>
  <sheetProtection algorithmName="SHA-512" hashValue="3kdb5PS5fx8FfRv8XcfMvjhgBjPBjdzHv+Oa3I3N5RVr2wjEakTzmfIGyHy1D2rFYgXhpxk/IbYLvWSKtqvP1A==" saltValue="09FD8wzo8sE7F5Mcr+Cio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Display</vt:lpstr>
      <vt:lpstr>Data</vt:lpstr>
      <vt:lpstr>First</vt:lpstr>
      <vt:lpstr>Second</vt:lpstr>
      <vt:lpstr>Third</vt:lpstr>
      <vt:lpstr>Fourth</vt:lpstr>
      <vt:lpstr>Fifth</vt:lpstr>
      <vt:lpstr>Sixth</vt:lpstr>
      <vt:lpstr>Seventh</vt:lpstr>
      <vt:lpstr>Eighth</vt:lpstr>
      <vt:lpstr>Ninth</vt:lpstr>
      <vt:lpstr>Tenth</vt:lpstr>
      <vt:lpstr>Eleventh</vt:lpstr>
      <vt:lpstr>Chart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2015-12-30T19:30:58Z</dcterms:created>
  <dcterms:modified xsi:type="dcterms:W3CDTF">2016-01-19T18:01:47Z</dcterms:modified>
</cp:coreProperties>
</file>