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hartle\Downloads\CQG Web Toolkit For Excel\Presentation\"/>
    </mc:Choice>
  </mc:AlternateContent>
  <bookViews>
    <workbookView showVerticalScroll="0" xWindow="360" yWindow="180" windowWidth="18240" windowHeight="11640"/>
  </bookViews>
  <sheets>
    <sheet name="Main" sheetId="2" r:id="rId1"/>
    <sheet name="Calculations" sheetId="3" state="hidden" r:id="rId2"/>
  </sheets>
  <calcPr calcId="152511"/>
</workbook>
</file>

<file path=xl/calcChain.xml><?xml version="1.0" encoding="utf-8"?>
<calcChain xmlns="http://schemas.openxmlformats.org/spreadsheetml/2006/main">
  <c r="P78" i="2" l="1"/>
  <c r="R35" i="3"/>
  <c r="F19" i="3"/>
  <c r="E45" i="2"/>
  <c r="D45" i="2"/>
  <c r="E36" i="2"/>
  <c r="B46" i="2"/>
  <c r="E46" i="2"/>
  <c r="B44" i="2"/>
  <c r="B36" i="3"/>
  <c r="D44" i="2"/>
  <c r="S36" i="3"/>
  <c r="S35" i="3"/>
  <c r="E44" i="2"/>
  <c r="F46" i="2"/>
  <c r="D36" i="2"/>
  <c r="D46" i="2"/>
  <c r="F45" i="2"/>
  <c r="B45" i="2"/>
  <c r="E42" i="2"/>
  <c r="D42" i="2"/>
  <c r="F42" i="2"/>
  <c r="B42" i="2"/>
  <c r="F36" i="2"/>
  <c r="F44" i="2"/>
  <c r="B48" i="3" l="1"/>
  <c r="E48" i="2"/>
  <c r="E40" i="2" s="1"/>
  <c r="F48" i="2"/>
  <c r="F40" i="2" s="1"/>
  <c r="D48" i="2"/>
  <c r="D40" i="2" s="1"/>
  <c r="H77" i="2"/>
  <c r="B36" i="2"/>
  <c r="J30" i="3" l="1"/>
  <c r="B40" i="3"/>
  <c r="H30" i="3"/>
  <c r="B48" i="2"/>
  <c r="B40" i="2" s="1"/>
  <c r="H19" i="3"/>
  <c r="I19" i="3" l="1"/>
  <c r="G19" i="3"/>
  <c r="I31" i="3" l="1"/>
  <c r="H32" i="3" s="1"/>
  <c r="H34" i="3"/>
  <c r="R36" i="3" l="1"/>
  <c r="Q2" i="3"/>
  <c r="B13" i="2"/>
  <c r="Q3" i="3"/>
  <c r="D19" i="2"/>
  <c r="D20" i="2" s="1"/>
  <c r="T3" i="3"/>
  <c r="S2" i="3"/>
  <c r="B15" i="2"/>
  <c r="D7" i="2"/>
  <c r="D22" i="2"/>
  <c r="D10" i="2"/>
  <c r="R2" i="3"/>
  <c r="T2" i="3"/>
  <c r="B7" i="2"/>
  <c r="B16" i="2"/>
  <c r="B14" i="2"/>
  <c r="R3" i="3"/>
  <c r="S3" i="3"/>
  <c r="D8" i="2"/>
  <c r="D9" i="2"/>
  <c r="B9" i="2"/>
  <c r="B8" i="2"/>
  <c r="AB2" i="3" l="1"/>
  <c r="B62" i="2"/>
  <c r="AC2" i="3"/>
  <c r="A2" i="3"/>
  <c r="C2" i="3" s="1"/>
  <c r="O2" i="3" s="1"/>
  <c r="V13" i="3" s="1"/>
  <c r="M35" i="3"/>
  <c r="N35" i="3" s="1"/>
  <c r="O35" i="3" s="1"/>
  <c r="P2" i="3" s="1"/>
  <c r="B12" i="2" s="1"/>
  <c r="AB3" i="3"/>
  <c r="AC3" i="3"/>
  <c r="B63" i="2"/>
  <c r="A3" i="3"/>
  <c r="C3" i="3" s="1"/>
  <c r="M36" i="3"/>
  <c r="N36" i="3" s="1"/>
  <c r="O36" i="3" s="1"/>
  <c r="P3" i="3" s="1"/>
  <c r="R37" i="3"/>
  <c r="D54" i="2"/>
  <c r="U3" i="3"/>
  <c r="F62" i="2"/>
  <c r="D62" i="2"/>
  <c r="B50" i="2"/>
  <c r="Q4" i="3"/>
  <c r="E25" i="2" s="1"/>
  <c r="D57" i="2"/>
  <c r="W13" i="3"/>
  <c r="F63" i="2"/>
  <c r="H62" i="2"/>
  <c r="E57" i="2"/>
  <c r="T4" i="3"/>
  <c r="Z13" i="3"/>
  <c r="D63" i="2"/>
  <c r="Y13" i="3"/>
  <c r="E63" i="2"/>
  <c r="U2" i="3"/>
  <c r="S4" i="3"/>
  <c r="E28" i="2"/>
  <c r="B10" i="2"/>
  <c r="D21" i="2"/>
  <c r="E54" i="2"/>
  <c r="G63" i="2"/>
  <c r="H63" i="2"/>
  <c r="E62" i="2"/>
  <c r="R4" i="3"/>
  <c r="E27" i="2"/>
  <c r="G62" i="2"/>
  <c r="E7" i="2"/>
  <c r="E26" i="2"/>
  <c r="E10" i="2"/>
  <c r="E9" i="2"/>
  <c r="E8" i="2"/>
  <c r="G2" i="3" l="1"/>
  <c r="V5" i="3" s="1"/>
  <c r="M2" i="3"/>
  <c r="V11" i="3" s="1"/>
  <c r="H2" i="3"/>
  <c r="V6" i="3" s="1"/>
  <c r="E2" i="3"/>
  <c r="V3" i="3" s="1"/>
  <c r="J2" i="3"/>
  <c r="V8" i="3" s="1"/>
  <c r="N2" i="3"/>
  <c r="V12" i="3" s="1"/>
  <c r="I2" i="3"/>
  <c r="V7" i="3" s="1"/>
  <c r="F2" i="3"/>
  <c r="L2" i="3"/>
  <c r="V10" i="3" s="1"/>
  <c r="B2" i="3"/>
  <c r="F57" i="2"/>
  <c r="B6" i="2"/>
  <c r="K2" i="3"/>
  <c r="D2" i="3"/>
  <c r="V2" i="3" s="1"/>
  <c r="AD13" i="3"/>
  <c r="AB4" i="3"/>
  <c r="AC4" i="3"/>
  <c r="B64" i="2"/>
  <c r="A4" i="3"/>
  <c r="C4" i="3" s="1"/>
  <c r="M37" i="3"/>
  <c r="N37" i="3" s="1"/>
  <c r="O37" i="3" s="1"/>
  <c r="P4" i="3" s="1"/>
  <c r="AA13" i="3"/>
  <c r="N3" i="3"/>
  <c r="B3" i="3"/>
  <c r="O3" i="3"/>
  <c r="M3" i="3"/>
  <c r="E3" i="3"/>
  <c r="G3" i="3"/>
  <c r="H3" i="3"/>
  <c r="D3" i="3"/>
  <c r="K3" i="3"/>
  <c r="J3" i="3"/>
  <c r="I3" i="3"/>
  <c r="F3" i="3"/>
  <c r="L3" i="3"/>
  <c r="R38" i="3"/>
  <c r="D6" i="2"/>
  <c r="D12" i="2" s="1"/>
  <c r="D18" i="2"/>
  <c r="Z6" i="3"/>
  <c r="N19" i="2"/>
  <c r="E64" i="2"/>
  <c r="J13" i="2"/>
  <c r="N22" i="2"/>
  <c r="M19" i="2"/>
  <c r="M20" i="2" s="1"/>
  <c r="N13" i="2"/>
  <c r="N16" i="2"/>
  <c r="W11" i="3"/>
  <c r="M13" i="2"/>
  <c r="I13" i="2"/>
  <c r="F13" i="2"/>
  <c r="F14" i="2" s="1"/>
  <c r="L19" i="2"/>
  <c r="Q5" i="3"/>
  <c r="T5" i="3"/>
  <c r="G13" i="2"/>
  <c r="G15" i="2" s="1"/>
  <c r="Z5" i="3"/>
  <c r="Z2" i="3"/>
  <c r="H13" i="2"/>
  <c r="W10" i="3"/>
  <c r="G64" i="2"/>
  <c r="E13" i="2"/>
  <c r="Y3" i="3"/>
  <c r="W2" i="3"/>
  <c r="E14" i="2"/>
  <c r="Y10" i="3"/>
  <c r="Z10" i="3"/>
  <c r="M15" i="2"/>
  <c r="L20" i="2"/>
  <c r="F7" i="2"/>
  <c r="U81" i="2"/>
  <c r="W3" i="3"/>
  <c r="X13" i="3"/>
  <c r="F64" i="2"/>
  <c r="L21" i="2"/>
  <c r="R5" i="3"/>
  <c r="E19" i="2"/>
  <c r="E20" i="2" s="1"/>
  <c r="Y2" i="3"/>
  <c r="F19" i="2"/>
  <c r="U4" i="3"/>
  <c r="G14" i="2"/>
  <c r="Z7" i="3"/>
  <c r="K19" i="2"/>
  <c r="J19" i="2"/>
  <c r="J21" i="2" s="1"/>
  <c r="Y6" i="3"/>
  <c r="W6" i="3"/>
  <c r="W12" i="3"/>
  <c r="W8" i="3"/>
  <c r="F15" i="2"/>
  <c r="G16" i="2"/>
  <c r="Z11" i="3"/>
  <c r="Z3" i="3"/>
  <c r="J22" i="2"/>
  <c r="E16" i="2"/>
  <c r="W5" i="3"/>
  <c r="D64" i="2"/>
  <c r="J16" i="2"/>
  <c r="L22" i="2"/>
  <c r="H15" i="2"/>
  <c r="F16" i="2"/>
  <c r="J15" i="2"/>
  <c r="M22" i="2"/>
  <c r="N14" i="2"/>
  <c r="F31" i="2"/>
  <c r="F33" i="2" s="1"/>
  <c r="F34" i="2"/>
  <c r="F10" i="2"/>
  <c r="Z8" i="3"/>
  <c r="Y8" i="3"/>
  <c r="G19" i="2"/>
  <c r="G21" i="2" s="1"/>
  <c r="H57" i="2"/>
  <c r="H64" i="2"/>
  <c r="I15" i="2"/>
  <c r="H19" i="2"/>
  <c r="H21" i="2" s="1"/>
  <c r="Y5" i="3"/>
  <c r="I16" i="2"/>
  <c r="Y7" i="3"/>
  <c r="W7" i="3"/>
  <c r="M16" i="2"/>
  <c r="Y12" i="3"/>
  <c r="E15" i="2"/>
  <c r="H16" i="2"/>
  <c r="J14" i="2"/>
  <c r="N15" i="2"/>
  <c r="S5" i="3"/>
  <c r="F8" i="2"/>
  <c r="L13" i="2"/>
  <c r="G22" i="2"/>
  <c r="H14" i="2"/>
  <c r="F32" i="2"/>
  <c r="K13" i="2"/>
  <c r="Y11" i="3"/>
  <c r="N20" i="2"/>
  <c r="D13" i="2"/>
  <c r="M14" i="2"/>
  <c r="I19" i="2"/>
  <c r="I22" i="2" s="1"/>
  <c r="Z12" i="3"/>
  <c r="E21" i="2"/>
  <c r="H20" i="2"/>
  <c r="I21" i="2"/>
  <c r="F9" i="2"/>
  <c r="F20" i="2"/>
  <c r="F22" i="2"/>
  <c r="F21" i="2"/>
  <c r="K21" i="2"/>
  <c r="K20" i="2"/>
  <c r="L14" i="2"/>
  <c r="L15" i="2"/>
  <c r="K16" i="2"/>
  <c r="K15" i="2"/>
  <c r="D16" i="2"/>
  <c r="D14" i="2"/>
  <c r="V4" i="3" l="1"/>
  <c r="V9" i="3"/>
  <c r="AD3" i="3"/>
  <c r="AD10" i="3"/>
  <c r="AD5" i="3"/>
  <c r="AD11" i="3"/>
  <c r="AD8" i="3"/>
  <c r="AD12" i="3"/>
  <c r="AD6" i="3"/>
  <c r="AD7" i="3"/>
  <c r="AD2" i="3"/>
  <c r="AB5" i="3"/>
  <c r="AC5" i="3"/>
  <c r="B66" i="2"/>
  <c r="AA3" i="3"/>
  <c r="AA2" i="3"/>
  <c r="AA10" i="3"/>
  <c r="M38" i="3"/>
  <c r="N38" i="3" s="1"/>
  <c r="O38" i="3" s="1"/>
  <c r="P5" i="3" s="1"/>
  <c r="A5" i="3"/>
  <c r="C5" i="3" s="1"/>
  <c r="AA5" i="3"/>
  <c r="AA11" i="3"/>
  <c r="AA8" i="3"/>
  <c r="AA12" i="3"/>
  <c r="AA6" i="3"/>
  <c r="AA7" i="3"/>
  <c r="R39" i="3"/>
  <c r="M4" i="3"/>
  <c r="B4" i="3"/>
  <c r="N4" i="3"/>
  <c r="J4" i="3"/>
  <c r="H4" i="3"/>
  <c r="L4" i="3"/>
  <c r="E4" i="3"/>
  <c r="K4" i="3"/>
  <c r="G4" i="3"/>
  <c r="F4" i="3"/>
  <c r="D4" i="3"/>
  <c r="I4" i="3"/>
  <c r="E6" i="2"/>
  <c r="E24" i="2"/>
  <c r="D15" i="2"/>
  <c r="G20" i="2"/>
  <c r="Z9" i="3"/>
  <c r="I20" i="2"/>
  <c r="W9" i="3"/>
  <c r="X10" i="3"/>
  <c r="F25" i="2"/>
  <c r="J20" i="2"/>
  <c r="K22" i="2"/>
  <c r="L16" i="2"/>
  <c r="G66" i="2"/>
  <c r="Y4" i="3"/>
  <c r="U5" i="3"/>
  <c r="K14" i="2"/>
  <c r="J25" i="2"/>
  <c r="X7" i="3"/>
  <c r="X6" i="3"/>
  <c r="F28" i="2"/>
  <c r="X2" i="3"/>
  <c r="F27" i="2"/>
  <c r="I14" i="2"/>
  <c r="Z4" i="3"/>
  <c r="N25" i="2"/>
  <c r="M21" i="2"/>
  <c r="E22" i="2"/>
  <c r="X12" i="3"/>
  <c r="H25" i="2"/>
  <c r="H26" i="2" s="1"/>
  <c r="X5" i="3"/>
  <c r="N28" i="2"/>
  <c r="X3" i="3"/>
  <c r="F66" i="2"/>
  <c r="D66" i="2"/>
  <c r="N26" i="2"/>
  <c r="M25" i="2"/>
  <c r="Y9" i="3"/>
  <c r="N27" i="2"/>
  <c r="N21" i="2"/>
  <c r="H66" i="2"/>
  <c r="G25" i="2"/>
  <c r="L25" i="2"/>
  <c r="U82" i="2"/>
  <c r="J26" i="2"/>
  <c r="I25" i="2"/>
  <c r="I28" i="2"/>
  <c r="E66" i="2"/>
  <c r="H27" i="2"/>
  <c r="L26" i="2"/>
  <c r="K25" i="2"/>
  <c r="G28" i="2"/>
  <c r="K28" i="2"/>
  <c r="X8" i="3"/>
  <c r="H22" i="2"/>
  <c r="G27" i="2"/>
  <c r="W4" i="3"/>
  <c r="X11" i="3"/>
  <c r="G26" i="2"/>
  <c r="Q6" i="3"/>
  <c r="J27" i="2"/>
  <c r="J28" i="2"/>
  <c r="M28" i="2"/>
  <c r="M26" i="2"/>
  <c r="L28" i="2"/>
  <c r="L27" i="2"/>
  <c r="I26" i="2"/>
  <c r="K27" i="2"/>
  <c r="S6" i="3"/>
  <c r="T6" i="3"/>
  <c r="R6" i="3"/>
  <c r="G7" i="2"/>
  <c r="G10" i="2"/>
  <c r="G9" i="2"/>
  <c r="G8" i="2"/>
  <c r="AA4" i="3" l="1"/>
  <c r="AD4" i="3"/>
  <c r="AD9" i="3"/>
  <c r="AA9" i="3"/>
  <c r="AB6" i="3"/>
  <c r="AC6" i="3"/>
  <c r="B68" i="2"/>
  <c r="A6" i="3"/>
  <c r="C6" i="3" s="1"/>
  <c r="M39" i="3"/>
  <c r="N39" i="3" s="1"/>
  <c r="O39" i="3" s="1"/>
  <c r="P6" i="3" s="1"/>
  <c r="R40" i="3"/>
  <c r="F6" i="2"/>
  <c r="F30" i="2"/>
  <c r="V81" i="2"/>
  <c r="E12" i="2"/>
  <c r="E18" i="2"/>
  <c r="L5" i="3"/>
  <c r="M5" i="3"/>
  <c r="B5" i="3"/>
  <c r="G5" i="3"/>
  <c r="D5" i="3"/>
  <c r="E5" i="3"/>
  <c r="K5" i="3"/>
  <c r="F5" i="3"/>
  <c r="J5" i="3"/>
  <c r="H5" i="3"/>
  <c r="I5" i="3"/>
  <c r="U6" i="3"/>
  <c r="D68" i="2"/>
  <c r="Q7" i="3"/>
  <c r="I27" i="2"/>
  <c r="U83" i="2"/>
  <c r="H7" i="2"/>
  <c r="G31" i="2"/>
  <c r="G32" i="2" s="1"/>
  <c r="T7" i="3"/>
  <c r="X4" i="3"/>
  <c r="H28" i="2"/>
  <c r="M31" i="2"/>
  <c r="G37" i="2"/>
  <c r="X9" i="3"/>
  <c r="H68" i="2"/>
  <c r="G39" i="2"/>
  <c r="S7" i="3"/>
  <c r="H8" i="2"/>
  <c r="K26" i="2"/>
  <c r="E68" i="2"/>
  <c r="J31" i="2"/>
  <c r="J32" i="2" s="1"/>
  <c r="N31" i="2"/>
  <c r="N34" i="2" s="1"/>
  <c r="K31" i="2"/>
  <c r="K33" i="2" s="1"/>
  <c r="G34" i="2"/>
  <c r="H31" i="2"/>
  <c r="H33" i="2" s="1"/>
  <c r="G68" i="2"/>
  <c r="I31" i="2"/>
  <c r="N32" i="2"/>
  <c r="G40" i="2"/>
  <c r="I33" i="2"/>
  <c r="R7" i="3"/>
  <c r="H9" i="2"/>
  <c r="L31" i="2"/>
  <c r="F26" i="2"/>
  <c r="K32" i="2"/>
  <c r="G33" i="2"/>
  <c r="M32" i="2"/>
  <c r="H34" i="2"/>
  <c r="F68" i="2"/>
  <c r="J33" i="2"/>
  <c r="M27" i="2"/>
  <c r="N33" i="2"/>
  <c r="H32" i="2"/>
  <c r="H43" i="2"/>
  <c r="H10" i="2"/>
  <c r="M34" i="2"/>
  <c r="M33" i="2"/>
  <c r="I32" i="2"/>
  <c r="I34" i="2"/>
  <c r="L32" i="2"/>
  <c r="L34" i="2"/>
  <c r="L33" i="2"/>
  <c r="H46" i="2"/>
  <c r="H45" i="2"/>
  <c r="H44" i="2"/>
  <c r="AB7" i="3" l="1"/>
  <c r="AC7" i="3"/>
  <c r="B69" i="2"/>
  <c r="M40" i="3"/>
  <c r="N40" i="3" s="1"/>
  <c r="O40" i="3" s="1"/>
  <c r="P7" i="3" s="1"/>
  <c r="A7" i="3"/>
  <c r="C7" i="3" s="1"/>
  <c r="V82" i="2"/>
  <c r="F12" i="2"/>
  <c r="F18" i="2"/>
  <c r="F24" i="2"/>
  <c r="K6" i="3"/>
  <c r="L6" i="3"/>
  <c r="B6" i="3"/>
  <c r="I6" i="3"/>
  <c r="D6" i="3"/>
  <c r="H6" i="3"/>
  <c r="G6" i="3"/>
  <c r="E6" i="3"/>
  <c r="F6" i="3"/>
  <c r="J6" i="3"/>
  <c r="R41" i="3"/>
  <c r="G6" i="2"/>
  <c r="G30" i="2" s="1"/>
  <c r="G36" i="2"/>
  <c r="U7" i="3"/>
  <c r="N37" i="2"/>
  <c r="N39" i="2"/>
  <c r="K37" i="2"/>
  <c r="Q8" i="3"/>
  <c r="F69" i="2"/>
  <c r="N38" i="2"/>
  <c r="M37" i="2"/>
  <c r="J34" i="2"/>
  <c r="K38" i="2"/>
  <c r="G38" i="2"/>
  <c r="E69" i="2"/>
  <c r="M38" i="2"/>
  <c r="K39" i="2"/>
  <c r="N40" i="2"/>
  <c r="I7" i="2"/>
  <c r="I8" i="2"/>
  <c r="G69" i="2"/>
  <c r="H69" i="2"/>
  <c r="H37" i="2"/>
  <c r="H40" i="2" s="1"/>
  <c r="L37" i="2"/>
  <c r="M40" i="2"/>
  <c r="H39" i="2"/>
  <c r="L40" i="2"/>
  <c r="R8" i="3"/>
  <c r="I49" i="2"/>
  <c r="I50" i="2" s="1"/>
  <c r="I51" i="2"/>
  <c r="K34" i="2"/>
  <c r="D69" i="2"/>
  <c r="U84" i="2"/>
  <c r="J37" i="2"/>
  <c r="H38" i="2"/>
  <c r="T8" i="3"/>
  <c r="I52" i="2"/>
  <c r="I37" i="2"/>
  <c r="M39" i="2"/>
  <c r="K40" i="2"/>
  <c r="S8" i="3"/>
  <c r="I9" i="2"/>
  <c r="I10" i="2"/>
  <c r="L39" i="2"/>
  <c r="L38" i="2"/>
  <c r="J40" i="2"/>
  <c r="J39" i="2"/>
  <c r="I40" i="2"/>
  <c r="I39" i="2"/>
  <c r="I38" i="2"/>
  <c r="AB8" i="3" l="1"/>
  <c r="AC8" i="3"/>
  <c r="B70" i="2"/>
  <c r="A8" i="3"/>
  <c r="C8" i="3" s="1"/>
  <c r="M41" i="3"/>
  <c r="N41" i="3" s="1"/>
  <c r="O41" i="3" s="1"/>
  <c r="P8" i="3" s="1"/>
  <c r="R42" i="3"/>
  <c r="H6" i="2"/>
  <c r="H42" i="2"/>
  <c r="V83" i="2"/>
  <c r="G12" i="2"/>
  <c r="G18" i="2"/>
  <c r="G24" i="2"/>
  <c r="B7" i="3"/>
  <c r="K7" i="3"/>
  <c r="J7" i="3"/>
  <c r="E7" i="3"/>
  <c r="D7" i="3"/>
  <c r="H7" i="3"/>
  <c r="G7" i="3"/>
  <c r="F7" i="3"/>
  <c r="I7" i="3"/>
  <c r="U8" i="3"/>
  <c r="L43" i="2"/>
  <c r="M43" i="2"/>
  <c r="M44" i="2" s="1"/>
  <c r="Q9" i="3"/>
  <c r="J55" i="2" s="1"/>
  <c r="J58" i="2" s="1"/>
  <c r="N43" i="2"/>
  <c r="N44" i="2" s="1"/>
  <c r="U85" i="2"/>
  <c r="M46" i="2"/>
  <c r="E70" i="2"/>
  <c r="L46" i="2"/>
  <c r="J43" i="2"/>
  <c r="J45" i="2" s="1"/>
  <c r="L45" i="2"/>
  <c r="J46" i="2"/>
  <c r="S9" i="3"/>
  <c r="J56" i="2"/>
  <c r="J38" i="2"/>
  <c r="K43" i="2"/>
  <c r="K44" i="2"/>
  <c r="N46" i="2"/>
  <c r="I43" i="2"/>
  <c r="K46" i="2"/>
  <c r="F70" i="2"/>
  <c r="L44" i="2"/>
  <c r="R9" i="3"/>
  <c r="T9" i="3"/>
  <c r="K45" i="2"/>
  <c r="G70" i="2"/>
  <c r="H70" i="2"/>
  <c r="J44" i="2"/>
  <c r="J57" i="2"/>
  <c r="N45" i="2"/>
  <c r="D70" i="2"/>
  <c r="I45" i="2"/>
  <c r="J7" i="2"/>
  <c r="J9" i="2"/>
  <c r="I46" i="2"/>
  <c r="J8" i="2"/>
  <c r="J10" i="2"/>
  <c r="AB9" i="3" l="1"/>
  <c r="AC9" i="3"/>
  <c r="B72" i="2"/>
  <c r="M42" i="3"/>
  <c r="N42" i="3" s="1"/>
  <c r="O42" i="3" s="1"/>
  <c r="P9" i="3" s="1"/>
  <c r="A9" i="3"/>
  <c r="C9" i="3" s="1"/>
  <c r="R43" i="3"/>
  <c r="I8" i="3"/>
  <c r="J8" i="3"/>
  <c r="B8" i="3"/>
  <c r="E8" i="3"/>
  <c r="G8" i="3"/>
  <c r="F8" i="3"/>
  <c r="H8" i="3"/>
  <c r="D8" i="3"/>
  <c r="V84" i="2"/>
  <c r="H12" i="2"/>
  <c r="H18" i="2"/>
  <c r="H24" i="2"/>
  <c r="H30" i="2"/>
  <c r="H36" i="2"/>
  <c r="I6" i="2"/>
  <c r="I48" i="2"/>
  <c r="M45" i="2"/>
  <c r="E72" i="2"/>
  <c r="D72" i="2"/>
  <c r="G72" i="2"/>
  <c r="F72" i="2"/>
  <c r="M49" i="2"/>
  <c r="M51" i="2" s="1"/>
  <c r="U9" i="3"/>
  <c r="I44" i="2"/>
  <c r="N49" i="2"/>
  <c r="J49" i="2"/>
  <c r="N52" i="2"/>
  <c r="J51" i="2"/>
  <c r="M50" i="2"/>
  <c r="M52" i="2"/>
  <c r="U86" i="2"/>
  <c r="J50" i="2"/>
  <c r="L49" i="2"/>
  <c r="K49" i="2"/>
  <c r="K51" i="2"/>
  <c r="H72" i="2"/>
  <c r="Q10" i="3"/>
  <c r="N50" i="2"/>
  <c r="N51" i="2"/>
  <c r="L50" i="2"/>
  <c r="L52" i="2"/>
  <c r="K52" i="2"/>
  <c r="K50" i="2"/>
  <c r="S10" i="3"/>
  <c r="T10" i="3"/>
  <c r="R10" i="3"/>
  <c r="K7" i="2"/>
  <c r="K61" i="2"/>
  <c r="K10" i="2"/>
  <c r="K9" i="2"/>
  <c r="K8" i="2"/>
  <c r="K62" i="2"/>
  <c r="K63" i="2"/>
  <c r="K64" i="2"/>
  <c r="AB10" i="3" l="1"/>
  <c r="AC10" i="3"/>
  <c r="B74" i="2"/>
  <c r="A10" i="3"/>
  <c r="C10" i="3" s="1"/>
  <c r="M43" i="3"/>
  <c r="N43" i="3" s="1"/>
  <c r="O43" i="3" s="1"/>
  <c r="P10" i="3" s="1"/>
  <c r="R44" i="3"/>
  <c r="V85" i="2"/>
  <c r="I12" i="2"/>
  <c r="I18" i="2"/>
  <c r="I24" i="2"/>
  <c r="I30" i="2"/>
  <c r="I36" i="2"/>
  <c r="J6" i="2"/>
  <c r="J54" i="2"/>
  <c r="I42" i="2"/>
  <c r="I9" i="3"/>
  <c r="H9" i="3"/>
  <c r="B9" i="3"/>
  <c r="D9" i="3"/>
  <c r="G9" i="3"/>
  <c r="F9" i="3"/>
  <c r="E9" i="3"/>
  <c r="M55" i="2"/>
  <c r="G74" i="2"/>
  <c r="U10" i="3"/>
  <c r="E74" i="2"/>
  <c r="F74" i="2"/>
  <c r="D74" i="2"/>
  <c r="J52" i="2"/>
  <c r="L55" i="2"/>
  <c r="L56" i="2" s="1"/>
  <c r="L51" i="2"/>
  <c r="H74" i="2"/>
  <c r="K55" i="2"/>
  <c r="K57" i="2" s="1"/>
  <c r="M58" i="2"/>
  <c r="K56" i="2"/>
  <c r="U87" i="2"/>
  <c r="N55" i="2"/>
  <c r="L58" i="2"/>
  <c r="M56" i="2"/>
  <c r="L57" i="2"/>
  <c r="Q11" i="3"/>
  <c r="N56" i="2"/>
  <c r="N58" i="2"/>
  <c r="R11" i="3"/>
  <c r="L67" i="2"/>
  <c r="L7" i="2"/>
  <c r="S11" i="3"/>
  <c r="T11" i="3"/>
  <c r="L70" i="2"/>
  <c r="L68" i="2"/>
  <c r="L69" i="2"/>
  <c r="L8" i="2"/>
  <c r="L10" i="2"/>
  <c r="L9" i="2"/>
  <c r="AB11" i="3" l="1"/>
  <c r="AC11" i="3"/>
  <c r="B75" i="2"/>
  <c r="M44" i="3"/>
  <c r="N44" i="3" s="1"/>
  <c r="O44" i="3" s="1"/>
  <c r="P11" i="3" s="1"/>
  <c r="A11" i="3"/>
  <c r="C11" i="3" s="1"/>
  <c r="G10" i="3"/>
  <c r="H10" i="3"/>
  <c r="B10" i="3"/>
  <c r="E10" i="3"/>
  <c r="D10" i="3"/>
  <c r="F10" i="3"/>
  <c r="R45" i="3"/>
  <c r="V86" i="2"/>
  <c r="J12" i="2"/>
  <c r="J18" i="2"/>
  <c r="J24" i="2"/>
  <c r="J30" i="2"/>
  <c r="J36" i="2"/>
  <c r="J42" i="2"/>
  <c r="J48" i="2"/>
  <c r="K6" i="2"/>
  <c r="K60" i="2"/>
  <c r="E75" i="2"/>
  <c r="U11" i="3"/>
  <c r="H75" i="2"/>
  <c r="D75" i="2"/>
  <c r="N61" i="2"/>
  <c r="N62" i="2"/>
  <c r="N57" i="2"/>
  <c r="U88" i="2"/>
  <c r="G75" i="2"/>
  <c r="N63" i="2"/>
  <c r="M57" i="2"/>
  <c r="K58" i="2"/>
  <c r="F75" i="2"/>
  <c r="N64" i="2"/>
  <c r="M61" i="2"/>
  <c r="L61" i="2"/>
  <c r="Q12" i="3"/>
  <c r="M64" i="2"/>
  <c r="M62" i="2"/>
  <c r="M63" i="2"/>
  <c r="L64" i="2"/>
  <c r="L62" i="2"/>
  <c r="L63" i="2"/>
  <c r="S12" i="3"/>
  <c r="M7" i="2"/>
  <c r="T12" i="3"/>
  <c r="R12" i="3"/>
  <c r="M73" i="2"/>
  <c r="M10" i="2"/>
  <c r="M8" i="2"/>
  <c r="M9" i="2"/>
  <c r="M74" i="2"/>
  <c r="M75" i="2"/>
  <c r="M76" i="2"/>
  <c r="AB12" i="3" l="1"/>
  <c r="AC12" i="3"/>
  <c r="B76" i="2"/>
  <c r="M45" i="3"/>
  <c r="N45" i="3" s="1"/>
  <c r="O45" i="3" s="1"/>
  <c r="P12" i="3" s="1"/>
  <c r="A12" i="3"/>
  <c r="C12" i="3" s="1"/>
  <c r="R46" i="3"/>
  <c r="L6" i="2"/>
  <c r="L60" i="2" s="1"/>
  <c r="L66" i="2"/>
  <c r="V87" i="2"/>
  <c r="K12" i="2"/>
  <c r="K18" i="2"/>
  <c r="K24" i="2"/>
  <c r="K30" i="2"/>
  <c r="K36" i="2"/>
  <c r="K42" i="2"/>
  <c r="K48" i="2"/>
  <c r="K54" i="2"/>
  <c r="F11" i="3"/>
  <c r="B11" i="3"/>
  <c r="G11" i="3"/>
  <c r="D11" i="3"/>
  <c r="E11" i="3"/>
  <c r="U89" i="2"/>
  <c r="U12" i="3"/>
  <c r="N67" i="2"/>
  <c r="N69" i="2" s="1"/>
  <c r="D76" i="2"/>
  <c r="N68" i="2"/>
  <c r="F76" i="2"/>
  <c r="N70" i="2"/>
  <c r="M67" i="2"/>
  <c r="M69" i="2" s="1"/>
  <c r="M70" i="2"/>
  <c r="H76" i="2"/>
  <c r="E76" i="2"/>
  <c r="G76" i="2"/>
  <c r="Q13" i="3"/>
  <c r="R13" i="3"/>
  <c r="N7" i="2"/>
  <c r="N79" i="2"/>
  <c r="T13" i="3"/>
  <c r="S13" i="3"/>
  <c r="N8" i="2"/>
  <c r="N9" i="2"/>
  <c r="N10" i="2"/>
  <c r="N81" i="2"/>
  <c r="N80" i="2"/>
  <c r="N82" i="2"/>
  <c r="AB13" i="3" l="1"/>
  <c r="AC13" i="3"/>
  <c r="B78" i="2"/>
  <c r="M46" i="3"/>
  <c r="N46" i="3" s="1"/>
  <c r="O46" i="3" s="1"/>
  <c r="P13" i="3" s="1"/>
  <c r="A13" i="3"/>
  <c r="C13" i="3" s="1"/>
  <c r="V88" i="2"/>
  <c r="L12" i="2"/>
  <c r="L18" i="2"/>
  <c r="L24" i="2"/>
  <c r="L30" i="2"/>
  <c r="L36" i="2"/>
  <c r="L42" i="2"/>
  <c r="L48" i="2"/>
  <c r="L54" i="2"/>
  <c r="M6" i="2"/>
  <c r="M66" i="2" s="1"/>
  <c r="M72" i="2"/>
  <c r="R47" i="3"/>
  <c r="E12" i="3"/>
  <c r="F12" i="3"/>
  <c r="B12" i="3"/>
  <c r="D12" i="3"/>
  <c r="N73" i="2"/>
  <c r="D78" i="2"/>
  <c r="G78" i="2"/>
  <c r="N75" i="2"/>
  <c r="U13" i="3"/>
  <c r="M68" i="2"/>
  <c r="U90" i="2"/>
  <c r="N74" i="2"/>
  <c r="F78" i="2"/>
  <c r="E78" i="2"/>
  <c r="H78" i="2"/>
  <c r="Q14" i="3"/>
  <c r="N76" i="2"/>
  <c r="M47" i="3" l="1"/>
  <c r="N47" i="3" s="1"/>
  <c r="O47" i="3" s="1"/>
  <c r="P14" i="3" s="1"/>
  <c r="N78" i="2"/>
  <c r="N6" i="2"/>
  <c r="N72" i="2" s="1"/>
  <c r="V89" i="2"/>
  <c r="M12" i="2"/>
  <c r="M18" i="2"/>
  <c r="M24" i="2"/>
  <c r="M30" i="2"/>
  <c r="M36" i="2"/>
  <c r="M42" i="2"/>
  <c r="M48" i="2"/>
  <c r="M54" i="2"/>
  <c r="M60" i="2"/>
  <c r="B13" i="3"/>
  <c r="E13" i="3"/>
  <c r="F13" i="3"/>
  <c r="D13" i="3"/>
  <c r="O79" i="2"/>
  <c r="O80" i="2"/>
  <c r="O82" i="2"/>
  <c r="O81" i="2"/>
  <c r="V90" i="2" l="1"/>
  <c r="N12" i="2"/>
  <c r="N18" i="2"/>
  <c r="N24" i="2"/>
  <c r="N30" i="2"/>
  <c r="N36" i="2"/>
  <c r="N42" i="2"/>
  <c r="N48" i="2"/>
  <c r="N54" i="2"/>
  <c r="N60" i="2"/>
  <c r="N66" i="2"/>
  <c r="O78" i="2"/>
</calcChain>
</file>

<file path=xl/sharedStrings.xml><?xml version="1.0" encoding="utf-8"?>
<sst xmlns="http://schemas.openxmlformats.org/spreadsheetml/2006/main" count="36" uniqueCount="27">
  <si>
    <t>Bid</t>
  </si>
  <si>
    <t>Ask</t>
  </si>
  <si>
    <t>S</t>
  </si>
  <si>
    <t>Symbol</t>
  </si>
  <si>
    <t>Open</t>
  </si>
  <si>
    <t>High</t>
  </si>
  <si>
    <t>Low</t>
  </si>
  <si>
    <t>Net</t>
  </si>
  <si>
    <t>NetLastQuoteToday</t>
  </si>
  <si>
    <t>Designed by Thom Hartle</t>
  </si>
  <si>
    <t>Split B&amp;A</t>
  </si>
  <si>
    <t>Symbol Check</t>
  </si>
  <si>
    <t xml:space="preserve">  </t>
  </si>
  <si>
    <t>Other Markets</t>
  </si>
  <si>
    <t>CLE</t>
  </si>
  <si>
    <t>L</t>
  </si>
  <si>
    <t>LastTradeToday</t>
  </si>
  <si>
    <t>Last Trade</t>
  </si>
  <si>
    <t>Last Trade and Net Change</t>
  </si>
  <si>
    <t>NGE?</t>
  </si>
  <si>
    <t>EU6?</t>
  </si>
  <si>
    <t xml:space="preserve">  CQG, Inc., Copyright © 2015</t>
  </si>
  <si>
    <t>ET</t>
  </si>
  <si>
    <t>QO</t>
  </si>
  <si>
    <t>CQG ICE Brent Crude Oil Calendar Spreads</t>
  </si>
  <si>
    <t>CQG QO Forward Curve</t>
  </si>
  <si>
    <t>CQG 1-12 Month Calendar Forward Curve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</si>
</sst>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00"/>
  </numFmts>
  <fonts count="16" x14ac:knownFonts="1">
    <font>
      <sz val="11"/>
      <color theme="1"/>
      <name val="Tahoma"/>
      <family val="2"/>
    </font>
    <font>
      <sz val="11"/>
      <color theme="1"/>
      <name val="Century Gothic"/>
      <family val="2"/>
    </font>
    <font>
      <sz val="11"/>
      <color theme="1"/>
      <name val="Calibri"/>
      <family val="2"/>
      <scheme val="minor"/>
    </font>
    <font>
      <b/>
      <sz val="10"/>
      <color theme="1"/>
      <name val="Tahoma"/>
      <family val="2"/>
    </font>
    <font>
      <sz val="11"/>
      <color theme="1"/>
      <name val="Calibri"/>
      <family val="2"/>
    </font>
    <font>
      <sz val="11"/>
      <color theme="0"/>
      <name val="Century Gothic"/>
      <family val="2"/>
    </font>
    <font>
      <sz val="11"/>
      <color rgb="FFFF0000"/>
      <name val="Century Gothic"/>
      <family val="2"/>
    </font>
    <font>
      <sz val="10"/>
      <color theme="0"/>
      <name val="Century Gothic"/>
      <family val="2"/>
    </font>
    <font>
      <sz val="11"/>
      <color rgb="FF002060"/>
      <name val="Century Gothic"/>
      <family val="2"/>
    </font>
    <font>
      <sz val="16"/>
      <color theme="4"/>
      <name val="Century Gothic"/>
      <family val="2"/>
    </font>
    <font>
      <sz val="16"/>
      <color rgb="FF002060"/>
      <name val="Century Gothic"/>
      <family val="2"/>
    </font>
    <font>
      <sz val="16"/>
      <color rgb="FFFF0000"/>
      <name val="Century Gothic"/>
      <family val="2"/>
    </font>
    <font>
      <sz val="20"/>
      <color theme="3" tint="0.59996337778862885"/>
      <name val="Century Gothic"/>
      <family val="2"/>
    </font>
    <font>
      <sz val="16"/>
      <color theme="3" tint="0.59996337778862885"/>
      <name val="Century Gothic"/>
      <family val="2"/>
    </font>
    <font>
      <sz val="14"/>
      <color theme="3" tint="0.59996337778862885"/>
      <name val="Century Gothic"/>
      <family val="2"/>
    </font>
    <font>
      <sz val="11"/>
      <color rgb="FF00000F"/>
      <name val="Century Gothic"/>
      <family val="2"/>
    </font>
  </fonts>
  <fills count="15">
    <fill>
      <patternFill patternType="none"/>
    </fill>
    <fill>
      <patternFill patternType="gray125"/>
    </fill>
    <fill>
      <gradientFill degree="90">
        <stop position="0">
          <color theme="1"/>
        </stop>
        <stop position="0.5">
          <color rgb="FF002060"/>
        </stop>
        <stop position="1">
          <color theme="1"/>
        </stop>
      </gradientFill>
    </fill>
    <fill>
      <patternFill patternType="solid">
        <fgColor rgb="FF00000F"/>
        <bgColor indexed="64"/>
      </patternFill>
    </fill>
    <fill>
      <patternFill patternType="solid">
        <fgColor rgb="FF00000F"/>
        <bgColor auto="1"/>
      </patternFill>
    </fill>
    <fill>
      <gradientFill>
        <stop position="0">
          <color theme="1"/>
        </stop>
        <stop position="0.5">
          <color rgb="FF002060"/>
        </stop>
        <stop position="1">
          <color theme="1"/>
        </stop>
      </gradientFill>
    </fill>
    <fill>
      <gradientFill degree="90">
        <stop position="0">
          <color theme="4"/>
        </stop>
        <stop position="1">
          <color theme="0"/>
        </stop>
      </gradientFill>
    </fill>
    <fill>
      <gradientFill degree="270">
        <stop position="0">
          <color theme="4"/>
        </stop>
        <stop position="1">
          <color theme="0"/>
        </stop>
      </gradientFill>
    </fill>
    <fill>
      <gradientFill degree="90">
        <stop position="0">
          <color theme="3"/>
        </stop>
        <stop position="0.5">
          <color theme="4"/>
        </stop>
        <stop position="1">
          <color theme="3"/>
        </stop>
      </gradientFill>
    </fill>
    <fill>
      <gradientFill degree="270">
        <stop position="0">
          <color theme="0"/>
        </stop>
        <stop position="1">
          <color theme="4"/>
        </stop>
      </gradientFill>
    </fill>
    <fill>
      <gradientFill degree="90">
        <stop position="0">
          <color theme="0"/>
        </stop>
        <stop position="1">
          <color theme="4"/>
        </stop>
      </gradientFill>
    </fill>
    <fill>
      <gradientFill degree="270">
        <stop position="0">
          <color theme="1"/>
        </stop>
        <stop position="1">
          <color rgb="FF002060"/>
        </stop>
      </gradientFill>
    </fill>
    <fill>
      <patternFill patternType="solid">
        <fgColor theme="3" tint="0.59996337778862885"/>
        <bgColor indexed="64"/>
      </patternFill>
    </fill>
    <fill>
      <patternFill patternType="solid">
        <fgColor theme="3" tint="0.59996337778862885"/>
        <bgColor auto="1"/>
      </patternFill>
    </fill>
    <fill>
      <patternFill patternType="solid">
        <fgColor theme="1"/>
        <bgColor indexed="64"/>
      </patternFill>
    </fill>
  </fills>
  <borders count="46">
    <border>
      <left/>
      <right/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/>
      <top/>
      <bottom/>
      <diagonal/>
    </border>
    <border>
      <left/>
      <right/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 style="thin">
        <color theme="3"/>
      </left>
      <right/>
      <top/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rgb="FF002060"/>
      </bottom>
      <diagonal/>
    </border>
    <border>
      <left style="thin">
        <color theme="3"/>
      </left>
      <right style="thin">
        <color theme="3"/>
      </right>
      <top style="thin">
        <color rgb="FF002060"/>
      </top>
      <bottom style="thin">
        <color rgb="FF002060"/>
      </bottom>
      <diagonal/>
    </border>
    <border>
      <left style="thin">
        <color theme="3"/>
      </left>
      <right style="thin">
        <color theme="3"/>
      </right>
      <top style="thin">
        <color rgb="FF002060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rgb="FF002060"/>
      </top>
      <bottom/>
      <diagonal/>
    </border>
    <border>
      <left style="thin">
        <color theme="3"/>
      </left>
      <right style="thin">
        <color theme="3"/>
      </right>
      <top/>
      <bottom/>
      <diagonal/>
    </border>
    <border>
      <left style="thin">
        <color theme="3" tint="0.59996337778862885"/>
      </left>
      <right style="thin">
        <color theme="3"/>
      </right>
      <top style="thin">
        <color theme="3" tint="0.59996337778862885"/>
      </top>
      <bottom style="thin">
        <color theme="3"/>
      </bottom>
      <diagonal/>
    </border>
    <border>
      <left style="thin">
        <color theme="3"/>
      </left>
      <right/>
      <top style="thin">
        <color theme="3" tint="0.59996337778862885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 tint="0.59996337778862885"/>
      </top>
      <bottom style="thin">
        <color theme="3"/>
      </bottom>
      <diagonal/>
    </border>
    <border>
      <left style="thin">
        <color theme="3"/>
      </left>
      <right style="thin">
        <color theme="3" tint="0.59996337778862885"/>
      </right>
      <top style="thin">
        <color theme="3" tint="0.59996337778862885"/>
      </top>
      <bottom style="thin">
        <color theme="3"/>
      </bottom>
      <diagonal/>
    </border>
    <border>
      <left style="thin">
        <color theme="3" tint="0.59996337778862885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 tint="0.59996337778862885"/>
      </right>
      <top style="thin">
        <color theme="3"/>
      </top>
      <bottom style="thin">
        <color theme="3"/>
      </bottom>
      <diagonal/>
    </border>
    <border>
      <left style="thin">
        <color theme="3" tint="0.59996337778862885"/>
      </left>
      <right style="thin">
        <color theme="3"/>
      </right>
      <top style="thin">
        <color theme="3"/>
      </top>
      <bottom style="thin">
        <color theme="3" tint="0.59996337778862885"/>
      </bottom>
      <diagonal/>
    </border>
    <border>
      <left style="thin">
        <color theme="3"/>
      </left>
      <right/>
      <top style="thin">
        <color theme="3"/>
      </top>
      <bottom style="thin">
        <color theme="3" tint="0.59996337778862885"/>
      </bottom>
      <diagonal/>
    </border>
    <border>
      <left style="thin">
        <color theme="3"/>
      </left>
      <right style="thin">
        <color theme="3" tint="0.59996337778862885"/>
      </right>
      <top style="thin">
        <color theme="3"/>
      </top>
      <bottom style="thin">
        <color theme="3" tint="0.59996337778862885"/>
      </bottom>
      <diagonal/>
    </border>
    <border>
      <left/>
      <right/>
      <top style="medium">
        <color theme="3" tint="0.39994506668294322"/>
      </top>
      <bottom/>
      <diagonal/>
    </border>
    <border>
      <left style="thin">
        <color theme="3" tint="0.59996337778862885"/>
      </left>
      <right/>
      <top/>
      <bottom/>
      <diagonal/>
    </border>
    <border>
      <left/>
      <right style="thin">
        <color theme="3" tint="0.59996337778862885"/>
      </right>
      <top/>
      <bottom/>
      <diagonal/>
    </border>
    <border>
      <left style="thin">
        <color theme="3" tint="0.59996337778862885"/>
      </left>
      <right style="thin">
        <color theme="3"/>
      </right>
      <top/>
      <bottom style="thin">
        <color theme="3"/>
      </bottom>
      <diagonal/>
    </border>
    <border>
      <left style="thin">
        <color theme="3" tint="0.59996337778862885"/>
      </left>
      <right/>
      <top style="thin">
        <color theme="3" tint="0.59996337778862885"/>
      </top>
      <bottom/>
      <diagonal/>
    </border>
    <border>
      <left/>
      <right/>
      <top style="thin">
        <color theme="3" tint="0.59996337778862885"/>
      </top>
      <bottom/>
      <diagonal/>
    </border>
    <border>
      <left/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/>
      <top/>
      <bottom style="thin">
        <color theme="3" tint="0.59996337778862885"/>
      </bottom>
      <diagonal/>
    </border>
    <border>
      <left/>
      <right/>
      <top/>
      <bottom style="thin">
        <color theme="3" tint="0.59996337778862885"/>
      </bottom>
      <diagonal/>
    </border>
    <border>
      <left/>
      <right style="thin">
        <color theme="3" tint="0.59996337778862885"/>
      </right>
      <top/>
      <bottom style="thin">
        <color theme="3" tint="0.59996337778862885"/>
      </bottom>
      <diagonal/>
    </border>
    <border>
      <left/>
      <right style="thin">
        <color theme="3"/>
      </right>
      <top style="thin">
        <color theme="3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/>
      </top>
      <bottom style="thin">
        <color theme="3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rgb="FF002060"/>
      </right>
      <top style="thin">
        <color theme="3" tint="0.59996337778862885"/>
      </top>
      <bottom style="thin">
        <color theme="3"/>
      </bottom>
      <diagonal/>
    </border>
    <border>
      <left style="thin">
        <color theme="3" tint="0.59996337778862885"/>
      </left>
      <right style="thin">
        <color rgb="FF002060"/>
      </right>
      <top style="thin">
        <color theme="3"/>
      </top>
      <bottom style="thin">
        <color theme="3"/>
      </bottom>
      <diagonal/>
    </border>
    <border>
      <left style="thin">
        <color theme="3" tint="0.59996337778862885"/>
      </left>
      <right style="thin">
        <color rgb="FF002060"/>
      </right>
      <top style="thin">
        <color theme="3"/>
      </top>
      <bottom style="thin">
        <color theme="3" tint="0.59996337778862885"/>
      </bottom>
      <diagonal/>
    </border>
    <border>
      <left style="thin">
        <color theme="3"/>
      </left>
      <right style="thin">
        <color theme="3" tint="0.59996337778862885"/>
      </right>
      <top/>
      <bottom/>
      <diagonal/>
    </border>
    <border>
      <left style="thin">
        <color theme="3"/>
      </left>
      <right style="thin">
        <color theme="3" tint="0.59996337778862885"/>
      </right>
      <top/>
      <bottom style="thin">
        <color theme="3"/>
      </bottom>
      <diagonal/>
    </border>
    <border>
      <left/>
      <right style="thin">
        <color theme="3"/>
      </right>
      <top style="thin">
        <color theme="3" tint="0.59996337778862885"/>
      </top>
      <bottom style="thin">
        <color theme="3"/>
      </bottom>
      <diagonal/>
    </border>
  </borders>
  <cellStyleXfs count="2">
    <xf numFmtId="0" fontId="0" fillId="0" borderId="0"/>
    <xf numFmtId="0" fontId="2" fillId="0" borderId="0"/>
  </cellStyleXfs>
  <cellXfs count="165">
    <xf numFmtId="0" fontId="0" fillId="0" borderId="0" xfId="0"/>
    <xf numFmtId="1" fontId="5" fillId="4" borderId="0" xfId="0" applyNumberFormat="1" applyFont="1" applyFill="1" applyBorder="1" applyAlignment="1" applyProtection="1">
      <alignment horizontal="center" vertical="center" shrinkToFit="1"/>
    </xf>
    <xf numFmtId="2" fontId="5" fillId="4" borderId="1" xfId="0" applyNumberFormat="1" applyFont="1" applyFill="1" applyBorder="1" applyAlignment="1" applyProtection="1">
      <alignment horizontal="center" vertical="center" shrinkToFit="1"/>
      <protection locked="0"/>
    </xf>
    <xf numFmtId="2" fontId="5" fillId="4" borderId="0" xfId="0" applyNumberFormat="1" applyFont="1" applyFill="1" applyBorder="1" applyAlignment="1" applyProtection="1">
      <alignment horizontal="center" vertical="center" shrinkToFit="1"/>
    </xf>
    <xf numFmtId="2" fontId="5" fillId="4" borderId="1" xfId="0" applyNumberFormat="1" applyFont="1" applyFill="1" applyBorder="1" applyAlignment="1" applyProtection="1">
      <alignment horizontal="center" vertical="center" shrinkToFit="1"/>
    </xf>
    <xf numFmtId="0" fontId="5" fillId="4" borderId="1" xfId="0" applyFont="1" applyFill="1" applyBorder="1" applyAlignment="1" applyProtection="1">
      <alignment horizontal="center" vertical="center" shrinkToFit="1"/>
    </xf>
    <xf numFmtId="0" fontId="5" fillId="4" borderId="12" xfId="0" applyFont="1" applyFill="1" applyBorder="1" applyAlignment="1" applyProtection="1">
      <alignment horizontal="center" vertical="center" shrinkToFit="1"/>
    </xf>
    <xf numFmtId="2" fontId="5" fillId="4" borderId="12" xfId="0" applyNumberFormat="1" applyFont="1" applyFill="1" applyBorder="1" applyAlignment="1" applyProtection="1">
      <alignment horizontal="center" vertical="center" shrinkToFit="1"/>
    </xf>
    <xf numFmtId="0" fontId="5" fillId="4" borderId="17" xfId="0" applyFont="1" applyFill="1" applyBorder="1" applyAlignment="1" applyProtection="1">
      <alignment horizontal="center" vertical="center" shrinkToFit="1"/>
    </xf>
    <xf numFmtId="0" fontId="5" fillId="3" borderId="0" xfId="0" applyFont="1" applyFill="1" applyAlignment="1" applyProtection="1">
      <alignment horizontal="center" vertical="center" shrinkToFit="1"/>
    </xf>
    <xf numFmtId="0" fontId="5" fillId="3" borderId="0" xfId="0" applyFont="1" applyFill="1" applyAlignment="1" applyProtection="1">
      <alignment horizontal="center" vertical="center"/>
    </xf>
    <xf numFmtId="0" fontId="7" fillId="11" borderId="30" xfId="0" applyFont="1" applyFill="1" applyBorder="1" applyAlignment="1" applyProtection="1">
      <alignment horizontal="center" vertical="center" shrinkToFit="1"/>
    </xf>
    <xf numFmtId="0" fontId="7" fillId="11" borderId="9" xfId="0" applyFont="1" applyFill="1" applyBorder="1" applyAlignment="1" applyProtection="1">
      <alignment horizontal="center" vertical="center" shrinkToFit="1"/>
    </xf>
    <xf numFmtId="0" fontId="7" fillId="11" borderId="21" xfId="0" applyFont="1" applyFill="1" applyBorder="1" applyAlignment="1" applyProtection="1">
      <alignment horizontal="center" vertical="center" shrinkToFit="1"/>
    </xf>
    <xf numFmtId="0" fontId="5" fillId="3" borderId="0" xfId="0" applyFont="1" applyFill="1" applyBorder="1" applyAlignment="1" applyProtection="1">
      <alignment horizontal="center" vertical="center"/>
    </xf>
    <xf numFmtId="0" fontId="5" fillId="3" borderId="28" xfId="0" applyFont="1" applyFill="1" applyBorder="1" applyAlignment="1" applyProtection="1">
      <alignment horizontal="center" vertical="center"/>
    </xf>
    <xf numFmtId="0" fontId="5" fillId="4" borderId="22" xfId="0" quotePrefix="1" applyFont="1" applyFill="1" applyBorder="1" applyAlignment="1" applyProtection="1">
      <alignment horizontal="center" vertical="center" shrinkToFit="1"/>
    </xf>
    <xf numFmtId="0" fontId="5" fillId="4" borderId="10" xfId="0" applyFont="1" applyFill="1" applyBorder="1" applyAlignment="1" applyProtection="1">
      <alignment horizontal="center" vertical="center" shrinkToFit="1"/>
    </xf>
    <xf numFmtId="0" fontId="5" fillId="4" borderId="23" xfId="0" applyFont="1" applyFill="1" applyBorder="1" applyAlignment="1" applyProtection="1">
      <alignment horizontal="center" vertical="center" shrinkToFit="1"/>
    </xf>
    <xf numFmtId="2" fontId="6" fillId="6" borderId="22" xfId="0" applyNumberFormat="1" applyFont="1" applyFill="1" applyBorder="1" applyAlignment="1" applyProtection="1">
      <alignment horizontal="center" vertical="center" shrinkToFit="1"/>
    </xf>
    <xf numFmtId="2" fontId="6" fillId="6" borderId="10" xfId="0" applyNumberFormat="1" applyFont="1" applyFill="1" applyBorder="1" applyAlignment="1" applyProtection="1">
      <alignment horizontal="center" vertical="center" shrinkToFit="1"/>
    </xf>
    <xf numFmtId="2" fontId="6" fillId="6" borderId="23" xfId="0" applyNumberFormat="1" applyFont="1" applyFill="1" applyBorder="1" applyAlignment="1" applyProtection="1">
      <alignment horizontal="center" vertical="center" shrinkToFit="1"/>
    </xf>
    <xf numFmtId="2" fontId="5" fillId="3" borderId="0" xfId="0" applyNumberFormat="1" applyFont="1" applyFill="1" applyAlignment="1" applyProtection="1">
      <alignment horizontal="center" vertical="center"/>
    </xf>
    <xf numFmtId="2" fontId="8" fillId="7" borderId="22" xfId="0" applyNumberFormat="1" applyFont="1" applyFill="1" applyBorder="1" applyAlignment="1" applyProtection="1">
      <alignment horizontal="center" vertical="center" shrinkToFit="1"/>
    </xf>
    <xf numFmtId="2" fontId="8" fillId="7" borderId="10" xfId="0" applyNumberFormat="1" applyFont="1" applyFill="1" applyBorder="1" applyAlignment="1" applyProtection="1">
      <alignment horizontal="center" vertical="center" shrinkToFit="1"/>
    </xf>
    <xf numFmtId="2" fontId="8" fillId="7" borderId="23" xfId="0" applyNumberFormat="1" applyFont="1" applyFill="1" applyBorder="1" applyAlignment="1" applyProtection="1">
      <alignment horizontal="center" vertical="center" shrinkToFit="1"/>
    </xf>
    <xf numFmtId="2" fontId="5" fillId="3" borderId="24" xfId="0" applyNumberFormat="1" applyFont="1" applyFill="1" applyBorder="1" applyAlignment="1" applyProtection="1">
      <alignment horizontal="center" vertical="center" shrinkToFit="1"/>
    </xf>
    <xf numFmtId="2" fontId="5" fillId="3" borderId="25" xfId="0" applyNumberFormat="1" applyFont="1" applyFill="1" applyBorder="1" applyAlignment="1" applyProtection="1">
      <alignment horizontal="center" vertical="center" shrinkToFit="1"/>
    </xf>
    <xf numFmtId="2" fontId="5" fillId="3" borderId="26" xfId="0" applyNumberFormat="1" applyFont="1" applyFill="1" applyBorder="1" applyAlignment="1" applyProtection="1">
      <alignment horizontal="center" vertical="center" shrinkToFit="1"/>
    </xf>
    <xf numFmtId="2" fontId="5" fillId="12" borderId="17" xfId="0" applyNumberFormat="1" applyFont="1" applyFill="1" applyBorder="1" applyAlignment="1" applyProtection="1">
      <alignment horizontal="center" vertical="center" shrinkToFit="1"/>
    </xf>
    <xf numFmtId="2" fontId="5" fillId="12" borderId="5" xfId="0" applyNumberFormat="1" applyFont="1" applyFill="1" applyBorder="1" applyAlignment="1" applyProtection="1">
      <alignment horizontal="center" vertical="center" shrinkToFit="1"/>
    </xf>
    <xf numFmtId="2" fontId="5" fillId="12" borderId="43" xfId="0" applyNumberFormat="1" applyFont="1" applyFill="1" applyBorder="1" applyAlignment="1" applyProtection="1">
      <alignment horizontal="center" vertical="center" shrinkToFit="1"/>
    </xf>
    <xf numFmtId="0" fontId="7" fillId="11" borderId="18" xfId="0" applyFont="1" applyFill="1" applyBorder="1" applyAlignment="1" applyProtection="1">
      <alignment horizontal="center" vertical="center" shrinkToFit="1"/>
    </xf>
    <xf numFmtId="2" fontId="7" fillId="11" borderId="19" xfId="0" applyNumberFormat="1" applyFont="1" applyFill="1" applyBorder="1" applyAlignment="1" applyProtection="1">
      <alignment horizontal="center" vertical="center" shrinkToFit="1"/>
    </xf>
    <xf numFmtId="0" fontId="7" fillId="11" borderId="20" xfId="0" applyFont="1" applyFill="1" applyBorder="1" applyAlignment="1" applyProtection="1">
      <alignment horizontal="center" vertical="center" shrinkToFit="1"/>
    </xf>
    <xf numFmtId="0" fontId="5" fillId="4" borderId="22" xfId="0" applyFont="1" applyFill="1" applyBorder="1" applyAlignment="1" applyProtection="1">
      <alignment horizontal="center" vertical="center" shrinkToFit="1"/>
    </xf>
    <xf numFmtId="2" fontId="5" fillId="4" borderId="25" xfId="0" applyNumberFormat="1" applyFont="1" applyFill="1" applyBorder="1" applyAlignment="1" applyProtection="1">
      <alignment horizontal="center" vertical="center" shrinkToFit="1"/>
    </xf>
    <xf numFmtId="2" fontId="5" fillId="4" borderId="0" xfId="0" applyNumberFormat="1" applyFont="1" applyFill="1" applyAlignment="1" applyProtection="1">
      <alignment horizontal="center" vertical="center" shrinkToFit="1"/>
    </xf>
    <xf numFmtId="0" fontId="5" fillId="4" borderId="0" xfId="0" applyFont="1" applyFill="1" applyAlignment="1" applyProtection="1">
      <alignment horizontal="center" vertical="center" shrinkToFit="1"/>
    </xf>
    <xf numFmtId="2" fontId="5" fillId="13" borderId="17" xfId="0" applyNumberFormat="1" applyFont="1" applyFill="1" applyBorder="1" applyAlignment="1" applyProtection="1">
      <alignment horizontal="center" vertical="center" shrinkToFit="1"/>
    </xf>
    <xf numFmtId="2" fontId="5" fillId="13" borderId="43" xfId="0" applyNumberFormat="1" applyFont="1" applyFill="1" applyBorder="1" applyAlignment="1" applyProtection="1">
      <alignment horizontal="center" vertical="center" shrinkToFit="1"/>
    </xf>
    <xf numFmtId="2" fontId="5" fillId="4" borderId="23" xfId="0" applyNumberFormat="1" applyFont="1" applyFill="1" applyBorder="1" applyAlignment="1" applyProtection="1">
      <alignment horizontal="center" vertical="center" shrinkToFit="1"/>
    </xf>
    <xf numFmtId="0" fontId="5" fillId="4" borderId="0" xfId="0" applyFont="1" applyFill="1" applyBorder="1" applyAlignment="1" applyProtection="1">
      <alignment horizontal="center" vertical="center" shrinkToFit="1"/>
    </xf>
    <xf numFmtId="2" fontId="5" fillId="12" borderId="7" xfId="0" applyNumberFormat="1" applyFont="1" applyFill="1" applyBorder="1" applyAlignment="1" applyProtection="1">
      <alignment horizontal="center" vertical="center" shrinkToFit="1"/>
    </xf>
    <xf numFmtId="2" fontId="5" fillId="12" borderId="44" xfId="0" applyNumberFormat="1" applyFont="1" applyFill="1" applyBorder="1" applyAlignment="1" applyProtection="1">
      <alignment horizontal="center" vertical="center" shrinkToFit="1"/>
    </xf>
    <xf numFmtId="0" fontId="7" fillId="11" borderId="40" xfId="0" applyFont="1" applyFill="1" applyBorder="1" applyAlignment="1" applyProtection="1">
      <alignment horizontal="center" vertical="center" shrinkToFit="1"/>
    </xf>
    <xf numFmtId="0" fontId="7" fillId="11" borderId="2" xfId="0" applyFont="1" applyFill="1" applyBorder="1" applyAlignment="1" applyProtection="1">
      <alignment horizontal="center" vertical="center" shrinkToFit="1"/>
    </xf>
    <xf numFmtId="0" fontId="7" fillId="11" borderId="1" xfId="0" applyFont="1" applyFill="1" applyBorder="1" applyAlignment="1" applyProtection="1">
      <alignment horizontal="center" vertical="center" shrinkToFit="1"/>
    </xf>
    <xf numFmtId="0" fontId="7" fillId="11" borderId="23" xfId="0" applyFont="1" applyFill="1" applyBorder="1" applyAlignment="1" applyProtection="1">
      <alignment horizontal="center" vertical="center" shrinkToFit="1"/>
    </xf>
    <xf numFmtId="0" fontId="5" fillId="4" borderId="41" xfId="0" applyFont="1" applyFill="1" applyBorder="1" applyAlignment="1" applyProtection="1">
      <alignment horizontal="center" vertical="center" shrinkToFit="1"/>
    </xf>
    <xf numFmtId="2" fontId="5" fillId="4" borderId="2" xfId="0" applyNumberFormat="1" applyFont="1" applyFill="1" applyBorder="1" applyAlignment="1" applyProtection="1">
      <alignment horizontal="center" vertical="center" shrinkToFit="1"/>
    </xf>
    <xf numFmtId="2" fontId="5" fillId="4" borderId="0" xfId="0" applyNumberFormat="1" applyFont="1" applyFill="1" applyBorder="1" applyAlignment="1" applyProtection="1">
      <alignment vertical="center" shrinkToFit="1"/>
    </xf>
    <xf numFmtId="2" fontId="6" fillId="6" borderId="41" xfId="0" applyNumberFormat="1" applyFont="1" applyFill="1" applyBorder="1" applyAlignment="1" applyProtection="1">
      <alignment horizontal="center" vertical="center" shrinkToFit="1"/>
    </xf>
    <xf numFmtId="2" fontId="6" fillId="6" borderId="2" xfId="0" applyNumberFormat="1" applyFont="1" applyFill="1" applyBorder="1" applyAlignment="1" applyProtection="1">
      <alignment horizontal="center" vertical="center" shrinkToFit="1"/>
    </xf>
    <xf numFmtId="2" fontId="8" fillId="7" borderId="41" xfId="0" applyNumberFormat="1" applyFont="1" applyFill="1" applyBorder="1" applyAlignment="1" applyProtection="1">
      <alignment horizontal="center" vertical="center" shrinkToFit="1"/>
    </xf>
    <xf numFmtId="2" fontId="8" fillId="7" borderId="2" xfId="0" applyNumberFormat="1" applyFont="1" applyFill="1" applyBorder="1" applyAlignment="1" applyProtection="1">
      <alignment horizontal="center" vertical="center" shrinkToFit="1"/>
    </xf>
    <xf numFmtId="2" fontId="5" fillId="3" borderId="42" xfId="0" applyNumberFormat="1" applyFont="1" applyFill="1" applyBorder="1" applyAlignment="1" applyProtection="1">
      <alignment horizontal="center" vertical="center" shrinkToFit="1"/>
    </xf>
    <xf numFmtId="2" fontId="5" fillId="3" borderId="37" xfId="0" applyNumberFormat="1" applyFont="1" applyFill="1" applyBorder="1" applyAlignment="1" applyProtection="1">
      <alignment horizontal="center" vertical="center" shrinkToFit="1"/>
    </xf>
    <xf numFmtId="2" fontId="5" fillId="12" borderId="1" xfId="0" applyNumberFormat="1" applyFont="1" applyFill="1" applyBorder="1" applyAlignment="1" applyProtection="1">
      <alignment horizontal="center" vertical="center" shrinkToFit="1"/>
    </xf>
    <xf numFmtId="2" fontId="5" fillId="12" borderId="23" xfId="0" applyNumberFormat="1" applyFont="1" applyFill="1" applyBorder="1" applyAlignment="1" applyProtection="1">
      <alignment horizontal="center" vertical="center" shrinkToFit="1"/>
    </xf>
    <xf numFmtId="2" fontId="15" fillId="4" borderId="0" xfId="0" applyNumberFormat="1" applyFont="1" applyFill="1" applyBorder="1" applyAlignment="1" applyProtection="1">
      <alignment horizontal="center" vertical="center" shrinkToFit="1"/>
    </xf>
    <xf numFmtId="0" fontId="7" fillId="11" borderId="22" xfId="0" applyFont="1" applyFill="1" applyBorder="1" applyAlignment="1" applyProtection="1">
      <alignment horizontal="center" vertical="center" shrinkToFit="1"/>
    </xf>
    <xf numFmtId="0" fontId="5" fillId="4" borderId="29" xfId="0" applyFont="1" applyFill="1" applyBorder="1" applyAlignment="1" applyProtection="1">
      <alignment horizontal="center" vertical="center" shrinkToFit="1"/>
    </xf>
    <xf numFmtId="164" fontId="5" fillId="4" borderId="17" xfId="0" applyNumberFormat="1" applyFont="1" applyFill="1" applyBorder="1" applyAlignment="1" applyProtection="1">
      <alignment horizontal="center" vertical="center" shrinkToFit="1"/>
    </xf>
    <xf numFmtId="10" fontId="5" fillId="4" borderId="17" xfId="0" applyNumberFormat="1" applyFont="1" applyFill="1" applyBorder="1" applyAlignment="1" applyProtection="1">
      <alignment horizontal="center" vertical="center" shrinkToFit="1"/>
    </xf>
    <xf numFmtId="2" fontId="15" fillId="3" borderId="0" xfId="0" applyNumberFormat="1" applyFont="1" applyFill="1" applyBorder="1" applyAlignment="1" applyProtection="1">
      <alignment horizontal="center" vertical="center" shrinkToFit="1"/>
    </xf>
    <xf numFmtId="0" fontId="15" fillId="3" borderId="0" xfId="0" applyFont="1" applyFill="1" applyBorder="1" applyAlignment="1" applyProtection="1">
      <alignment horizontal="center" vertical="center" shrinkToFit="1"/>
    </xf>
    <xf numFmtId="2" fontId="5" fillId="3" borderId="0" xfId="0" applyNumberFormat="1" applyFont="1" applyFill="1" applyBorder="1" applyAlignment="1" applyProtection="1">
      <alignment horizontal="center" vertical="center" shrinkToFit="1"/>
    </xf>
    <xf numFmtId="164" fontId="5" fillId="3" borderId="0" xfId="0" applyNumberFormat="1" applyFont="1" applyFill="1" applyBorder="1" applyAlignment="1" applyProtection="1">
      <alignment horizontal="center" vertical="center" shrinkToFit="1"/>
    </xf>
    <xf numFmtId="10" fontId="5" fillId="3" borderId="0" xfId="0" applyNumberFormat="1" applyFont="1" applyFill="1" applyBorder="1" applyAlignment="1" applyProtection="1">
      <alignment horizontal="center" vertical="center" shrinkToFit="1"/>
    </xf>
    <xf numFmtId="2" fontId="9" fillId="5" borderId="1" xfId="0" applyNumberFormat="1" applyFont="1" applyFill="1" applyBorder="1" applyAlignment="1" applyProtection="1">
      <alignment horizontal="center" vertical="center" shrinkToFit="1"/>
    </xf>
    <xf numFmtId="2" fontId="9" fillId="5" borderId="10" xfId="0" applyNumberFormat="1" applyFont="1" applyFill="1" applyBorder="1" applyAlignment="1" applyProtection="1">
      <alignment horizontal="center" vertical="center" shrinkToFit="1"/>
    </xf>
    <xf numFmtId="2" fontId="11" fillId="9" borderId="1" xfId="0" applyNumberFormat="1" applyFont="1" applyFill="1" applyBorder="1" applyAlignment="1" applyProtection="1">
      <alignment horizontal="center" vertical="center" shrinkToFit="1"/>
    </xf>
    <xf numFmtId="2" fontId="10" fillId="10" borderId="1" xfId="0" applyNumberFormat="1" applyFont="1" applyFill="1" applyBorder="1" applyAlignment="1" applyProtection="1">
      <alignment horizontal="center" vertical="center" shrinkToFit="1"/>
    </xf>
    <xf numFmtId="1" fontId="10" fillId="10" borderId="1" xfId="0" applyNumberFormat="1" applyFont="1" applyFill="1" applyBorder="1" applyAlignment="1" applyProtection="1">
      <alignment horizontal="center" vertical="center" shrinkToFit="1"/>
    </xf>
    <xf numFmtId="164" fontId="10" fillId="10" borderId="1" xfId="0" applyNumberFormat="1" applyFont="1" applyFill="1" applyBorder="1" applyAlignment="1" applyProtection="1">
      <alignment horizontal="center" vertical="center" shrinkToFit="1"/>
    </xf>
    <xf numFmtId="165" fontId="10" fillId="10" borderId="1" xfId="0" applyNumberFormat="1" applyFont="1" applyFill="1" applyBorder="1" applyAlignment="1" applyProtection="1">
      <alignment horizontal="center" vertical="center" shrinkToFit="1"/>
    </xf>
    <xf numFmtId="2" fontId="5" fillId="8" borderId="1" xfId="0" applyNumberFormat="1" applyFont="1" applyFill="1" applyBorder="1" applyAlignment="1" applyProtection="1">
      <alignment horizontal="center" vertical="center" shrinkToFit="1"/>
    </xf>
    <xf numFmtId="0" fontId="5" fillId="8" borderId="1" xfId="0" applyFont="1" applyFill="1" applyBorder="1" applyAlignment="1" applyProtection="1">
      <alignment horizontal="center" vertical="center" shrinkToFit="1"/>
    </xf>
    <xf numFmtId="0" fontId="5" fillId="8" borderId="13" xfId="0" applyFont="1" applyFill="1" applyBorder="1" applyAlignment="1" applyProtection="1">
      <alignment horizontal="center" vertical="center" shrinkToFit="1"/>
    </xf>
    <xf numFmtId="0" fontId="5" fillId="8" borderId="14" xfId="0" applyFont="1" applyFill="1" applyBorder="1" applyAlignment="1" applyProtection="1">
      <alignment horizontal="center" vertical="center" shrinkToFit="1"/>
    </xf>
    <xf numFmtId="2" fontId="5" fillId="4" borderId="7" xfId="0" applyNumberFormat="1" applyFont="1" applyFill="1" applyBorder="1" applyAlignment="1" applyProtection="1">
      <alignment horizontal="center" vertical="center" shrinkToFit="1"/>
    </xf>
    <xf numFmtId="2" fontId="5" fillId="13" borderId="1" xfId="0" applyNumberFormat="1" applyFont="1" applyFill="1" applyBorder="1" applyAlignment="1" applyProtection="1">
      <alignment horizontal="center" vertical="center" shrinkToFit="1"/>
    </xf>
    <xf numFmtId="2" fontId="5" fillId="13" borderId="23" xfId="0" applyNumberFormat="1" applyFont="1" applyFill="1" applyBorder="1" applyAlignment="1" applyProtection="1">
      <alignment horizontal="center" vertical="center" shrinkToFit="1"/>
    </xf>
    <xf numFmtId="2" fontId="5" fillId="8" borderId="14" xfId="0" applyNumberFormat="1" applyFont="1" applyFill="1" applyBorder="1" applyAlignment="1" applyProtection="1">
      <alignment horizontal="center" vertical="center" shrinkToFit="1"/>
    </xf>
    <xf numFmtId="2" fontId="7" fillId="12" borderId="1" xfId="0" applyNumberFormat="1" applyFont="1" applyFill="1" applyBorder="1" applyAlignment="1" applyProtection="1">
      <alignment horizontal="center" vertical="center" shrinkToFit="1"/>
    </xf>
    <xf numFmtId="2" fontId="7" fillId="12" borderId="23" xfId="0" applyNumberFormat="1" applyFont="1" applyFill="1" applyBorder="1" applyAlignment="1" applyProtection="1">
      <alignment horizontal="center" vertical="center" shrinkToFit="1"/>
    </xf>
    <xf numFmtId="0" fontId="5" fillId="4" borderId="5" xfId="0" applyFont="1" applyFill="1" applyBorder="1" applyAlignment="1" applyProtection="1">
      <alignment horizontal="center" vertical="center" shrinkToFit="1"/>
    </xf>
    <xf numFmtId="0" fontId="5" fillId="4" borderId="5" xfId="0" applyFont="1" applyFill="1" applyBorder="1" applyAlignment="1" applyProtection="1">
      <alignment vertical="center" shrinkToFit="1"/>
    </xf>
    <xf numFmtId="0" fontId="5" fillId="4" borderId="0" xfId="0" applyFont="1" applyFill="1" applyAlignment="1" applyProtection="1">
      <alignment vertical="center" shrinkToFit="1"/>
    </xf>
    <xf numFmtId="2" fontId="5" fillId="3" borderId="23" xfId="0" applyNumberFormat="1" applyFont="1" applyFill="1" applyBorder="1" applyAlignment="1" applyProtection="1">
      <alignment horizontal="center" vertical="center" shrinkToFit="1"/>
    </xf>
    <xf numFmtId="0" fontId="5" fillId="8" borderId="16" xfId="0" applyFont="1" applyFill="1" applyBorder="1" applyAlignment="1" applyProtection="1">
      <alignment horizontal="center" vertical="center" shrinkToFit="1"/>
    </xf>
    <xf numFmtId="0" fontId="5" fillId="12" borderId="0" xfId="0" applyFont="1" applyFill="1" applyAlignment="1" applyProtection="1">
      <alignment horizontal="center" vertical="center"/>
    </xf>
    <xf numFmtId="0" fontId="5" fillId="8" borderId="15" xfId="0" applyFont="1" applyFill="1" applyBorder="1" applyAlignment="1" applyProtection="1">
      <alignment horizontal="center" vertical="center" shrinkToFit="1"/>
    </xf>
    <xf numFmtId="0" fontId="5" fillId="3" borderId="27" xfId="0" applyFont="1" applyFill="1" applyBorder="1" applyAlignment="1" applyProtection="1">
      <alignment horizontal="center" vertical="center"/>
    </xf>
    <xf numFmtId="2" fontId="6" fillId="6" borderId="38" xfId="0" applyNumberFormat="1" applyFont="1" applyFill="1" applyBorder="1" applyAlignment="1" applyProtection="1">
      <alignment horizontal="center" vertical="center" shrinkToFit="1"/>
    </xf>
    <xf numFmtId="2" fontId="8" fillId="7" borderId="38" xfId="0" applyNumberFormat="1" applyFont="1" applyFill="1" applyBorder="1" applyAlignment="1" applyProtection="1">
      <alignment horizontal="center" vertical="center" shrinkToFit="1"/>
    </xf>
    <xf numFmtId="0" fontId="1" fillId="3" borderId="0" xfId="0" applyFont="1" applyFill="1" applyAlignment="1" applyProtection="1">
      <alignment horizontal="center" vertical="center"/>
    </xf>
    <xf numFmtId="2" fontId="5" fillId="3" borderId="39" xfId="0" applyNumberFormat="1" applyFont="1" applyFill="1" applyBorder="1" applyAlignment="1" applyProtection="1">
      <alignment horizontal="center" vertical="center" shrinkToFit="1"/>
    </xf>
    <xf numFmtId="0" fontId="5" fillId="4" borderId="17" xfId="0" applyFont="1" applyFill="1" applyBorder="1" applyAlignment="1" applyProtection="1">
      <alignment horizontal="centerContinuous" vertical="center" shrinkToFit="1"/>
    </xf>
    <xf numFmtId="0" fontId="5" fillId="4" borderId="7" xfId="0" applyFont="1" applyFill="1" applyBorder="1" applyAlignment="1" applyProtection="1">
      <alignment horizontal="centerContinuous" vertical="center" shrinkToFit="1"/>
    </xf>
    <xf numFmtId="2" fontId="5" fillId="4" borderId="1" xfId="0" applyNumberFormat="1" applyFont="1" applyFill="1" applyBorder="1" applyAlignment="1" applyProtection="1">
      <alignment horizontal="centerContinuous" vertical="center" shrinkToFit="1"/>
    </xf>
    <xf numFmtId="0" fontId="5" fillId="4" borderId="1" xfId="0" applyFont="1" applyFill="1" applyBorder="1" applyAlignment="1" applyProtection="1">
      <alignment horizontal="centerContinuous" vertical="center" shrinkToFit="1"/>
    </xf>
    <xf numFmtId="0" fontId="5" fillId="3" borderId="0" xfId="0" applyFont="1" applyFill="1" applyBorder="1" applyAlignment="1" applyProtection="1">
      <alignment horizontal="center" vertical="center" shrinkToFit="1"/>
    </xf>
    <xf numFmtId="0" fontId="0" fillId="14" borderId="0" xfId="0" applyFont="1" applyFill="1" applyAlignment="1">
      <alignment horizontal="center"/>
    </xf>
    <xf numFmtId="0" fontId="0" fillId="14" borderId="0" xfId="0" applyFont="1" applyFill="1"/>
    <xf numFmtId="0" fontId="3" fillId="14" borderId="0" xfId="0" applyFont="1" applyFill="1"/>
    <xf numFmtId="2" fontId="3" fillId="14" borderId="0" xfId="0" applyNumberFormat="1" applyFont="1" applyFill="1" applyAlignment="1">
      <alignment horizontal="center"/>
    </xf>
    <xf numFmtId="0" fontId="3" fillId="14" borderId="0" xfId="0" applyFont="1" applyFill="1" applyAlignment="1">
      <alignment horizontal="center"/>
    </xf>
    <xf numFmtId="2" fontId="3" fillId="14" borderId="0" xfId="0" applyNumberFormat="1" applyFont="1" applyFill="1"/>
    <xf numFmtId="0" fontId="0" fillId="14" borderId="0" xfId="0" applyFill="1"/>
    <xf numFmtId="0" fontId="3" fillId="14" borderId="0" xfId="0" applyFont="1" applyFill="1" applyAlignment="1">
      <alignment horizontal="right"/>
    </xf>
    <xf numFmtId="165" fontId="3" fillId="14" borderId="0" xfId="0" applyNumberFormat="1" applyFont="1" applyFill="1"/>
    <xf numFmtId="2" fontId="0" fillId="14" borderId="0" xfId="0" applyNumberFormat="1" applyFont="1" applyFill="1"/>
    <xf numFmtId="165" fontId="0" fillId="14" borderId="0" xfId="0" applyNumberFormat="1" applyFont="1" applyFill="1"/>
    <xf numFmtId="0" fontId="0" fillId="14" borderId="0" xfId="0" applyFont="1" applyFill="1" applyAlignment="1">
      <alignment horizontal="right"/>
    </xf>
    <xf numFmtId="0" fontId="4" fillId="14" borderId="0" xfId="0" applyFont="1" applyFill="1" applyAlignment="1">
      <alignment vertical="center"/>
    </xf>
    <xf numFmtId="0" fontId="5" fillId="3" borderId="0" xfId="0" applyFont="1" applyFill="1" applyBorder="1" applyAlignment="1" applyProtection="1">
      <alignment horizontal="center" vertical="center" shrinkToFit="1"/>
    </xf>
    <xf numFmtId="2" fontId="10" fillId="10" borderId="1" xfId="0" applyNumberFormat="1" applyFont="1" applyFill="1" applyBorder="1" applyAlignment="1" applyProtection="1">
      <alignment horizontal="center" vertical="center" shrinkToFit="1"/>
    </xf>
    <xf numFmtId="22" fontId="5" fillId="4" borderId="1" xfId="0" applyNumberFormat="1" applyFont="1" applyFill="1" applyBorder="1" applyAlignment="1" applyProtection="1">
      <alignment horizontal="center" vertical="center" shrinkToFit="1"/>
    </xf>
    <xf numFmtId="0" fontId="5" fillId="4" borderId="1" xfId="1" applyFont="1" applyFill="1" applyBorder="1" applyAlignment="1" applyProtection="1">
      <alignment horizontal="center" vertical="center" shrinkToFit="1"/>
    </xf>
    <xf numFmtId="165" fontId="10" fillId="10" borderId="1" xfId="0" applyNumberFormat="1" applyFont="1" applyFill="1" applyBorder="1" applyAlignment="1" applyProtection="1">
      <alignment horizontal="center" vertical="center" shrinkToFit="1"/>
    </xf>
    <xf numFmtId="1" fontId="10" fillId="10" borderId="1" xfId="0" applyNumberFormat="1" applyFont="1" applyFill="1" applyBorder="1" applyAlignment="1" applyProtection="1">
      <alignment horizontal="center" vertical="center" shrinkToFit="1"/>
    </xf>
    <xf numFmtId="0" fontId="12" fillId="5" borderId="31" xfId="0" applyFont="1" applyFill="1" applyBorder="1" applyAlignment="1" applyProtection="1">
      <alignment horizontal="center" vertical="center" shrinkToFit="1"/>
    </xf>
    <xf numFmtId="0" fontId="12" fillId="5" borderId="32" xfId="0" applyFont="1" applyFill="1" applyBorder="1" applyAlignment="1" applyProtection="1">
      <alignment horizontal="center" vertical="center" shrinkToFit="1"/>
    </xf>
    <xf numFmtId="0" fontId="12" fillId="5" borderId="33" xfId="0" applyFont="1" applyFill="1" applyBorder="1" applyAlignment="1" applyProtection="1">
      <alignment horizontal="center" vertical="center" shrinkToFit="1"/>
    </xf>
    <xf numFmtId="0" fontId="12" fillId="5" borderId="34" xfId="0" applyFont="1" applyFill="1" applyBorder="1" applyAlignment="1" applyProtection="1">
      <alignment horizontal="center" vertical="center" shrinkToFit="1"/>
    </xf>
    <xf numFmtId="0" fontId="12" fillId="5" borderId="35" xfId="0" applyFont="1" applyFill="1" applyBorder="1" applyAlignment="1" applyProtection="1">
      <alignment horizontal="center" vertical="center" shrinkToFit="1"/>
    </xf>
    <xf numFmtId="0" fontId="12" fillId="5" borderId="36" xfId="0" applyFont="1" applyFill="1" applyBorder="1" applyAlignment="1" applyProtection="1">
      <alignment horizontal="center" vertical="center" shrinkToFit="1"/>
    </xf>
    <xf numFmtId="0" fontId="5" fillId="3" borderId="3" xfId="1" applyFont="1" applyFill="1" applyBorder="1" applyAlignment="1" applyProtection="1">
      <alignment horizontal="center" vertical="center" shrinkToFit="1"/>
    </xf>
    <xf numFmtId="22" fontId="5" fillId="3" borderId="3" xfId="0" applyNumberFormat="1" applyFont="1" applyFill="1" applyBorder="1" applyAlignment="1" applyProtection="1">
      <alignment horizontal="center" vertical="center" shrinkToFit="1"/>
    </xf>
    <xf numFmtId="0" fontId="13" fillId="5" borderId="31" xfId="0" applyFont="1" applyFill="1" applyBorder="1" applyAlignment="1" applyProtection="1">
      <alignment horizontal="center" vertical="center"/>
    </xf>
    <xf numFmtId="0" fontId="13" fillId="5" borderId="32" xfId="0" applyFont="1" applyFill="1" applyBorder="1" applyAlignment="1" applyProtection="1">
      <alignment horizontal="center" vertical="center"/>
    </xf>
    <xf numFmtId="0" fontId="13" fillId="5" borderId="33" xfId="0" applyFont="1" applyFill="1" applyBorder="1" applyAlignment="1" applyProtection="1">
      <alignment horizontal="center" vertical="center"/>
    </xf>
    <xf numFmtId="0" fontId="13" fillId="5" borderId="34" xfId="0" applyFont="1" applyFill="1" applyBorder="1" applyAlignment="1" applyProtection="1">
      <alignment horizontal="center" vertical="center"/>
    </xf>
    <xf numFmtId="0" fontId="13" fillId="5" borderId="35" xfId="0" applyFont="1" applyFill="1" applyBorder="1" applyAlignment="1" applyProtection="1">
      <alignment horizontal="center" vertical="center"/>
    </xf>
    <xf numFmtId="0" fontId="13" fillId="5" borderId="36" xfId="0" applyFont="1" applyFill="1" applyBorder="1" applyAlignment="1" applyProtection="1">
      <alignment horizontal="center" vertical="center"/>
    </xf>
    <xf numFmtId="0" fontId="14" fillId="5" borderId="32" xfId="0" applyFont="1" applyFill="1" applyBorder="1" applyAlignment="1" applyProtection="1">
      <alignment horizontal="center" vertical="center"/>
    </xf>
    <xf numFmtId="0" fontId="14" fillId="5" borderId="33" xfId="0" applyFont="1" applyFill="1" applyBorder="1" applyAlignment="1" applyProtection="1">
      <alignment horizontal="center" vertical="center"/>
    </xf>
    <xf numFmtId="0" fontId="14" fillId="5" borderId="0" xfId="0" applyFont="1" applyFill="1" applyBorder="1" applyAlignment="1" applyProtection="1">
      <alignment horizontal="center" vertical="center"/>
    </xf>
    <xf numFmtId="0" fontId="14" fillId="5" borderId="29" xfId="0" applyFont="1" applyFill="1" applyBorder="1" applyAlignment="1" applyProtection="1">
      <alignment horizontal="center" vertical="center"/>
    </xf>
    <xf numFmtId="0" fontId="14" fillId="5" borderId="35" xfId="0" applyFont="1" applyFill="1" applyBorder="1" applyAlignment="1" applyProtection="1">
      <alignment horizontal="center" vertical="center"/>
    </xf>
    <xf numFmtId="0" fontId="14" fillId="5" borderId="36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 shrinkToFit="1"/>
    </xf>
    <xf numFmtId="0" fontId="5" fillId="2" borderId="11" xfId="0" applyFont="1" applyFill="1" applyBorder="1" applyAlignment="1" applyProtection="1">
      <alignment horizontal="center" vertical="center" shrinkToFit="1"/>
    </xf>
    <xf numFmtId="0" fontId="5" fillId="2" borderId="2" xfId="0" applyFont="1" applyFill="1" applyBorder="1" applyAlignment="1" applyProtection="1">
      <alignment horizontal="center" vertical="center" shrinkToFit="1"/>
    </xf>
    <xf numFmtId="22" fontId="5" fillId="4" borderId="20" xfId="0" applyNumberFormat="1" applyFont="1" applyFill="1" applyBorder="1" applyAlignment="1" applyProtection="1">
      <alignment horizontal="center" vertical="center" shrinkToFit="1"/>
    </xf>
    <xf numFmtId="22" fontId="5" fillId="4" borderId="19" xfId="0" applyNumberFormat="1" applyFont="1" applyFill="1" applyBorder="1" applyAlignment="1" applyProtection="1">
      <alignment horizontal="center" vertical="center" shrinkToFit="1"/>
    </xf>
    <xf numFmtId="0" fontId="5" fillId="4" borderId="45" xfId="1" applyFont="1" applyFill="1" applyBorder="1" applyAlignment="1" applyProtection="1">
      <alignment horizontal="center" vertical="center" shrinkToFit="1"/>
    </xf>
    <xf numFmtId="0" fontId="5" fillId="4" borderId="20" xfId="1" applyFont="1" applyFill="1" applyBorder="1" applyAlignment="1" applyProtection="1">
      <alignment horizontal="center" vertical="center" shrinkToFit="1"/>
    </xf>
    <xf numFmtId="0" fontId="5" fillId="4" borderId="8" xfId="0" applyFont="1" applyFill="1" applyBorder="1" applyAlignment="1" applyProtection="1">
      <alignment horizontal="center" vertical="center" shrinkToFit="1"/>
    </xf>
    <xf numFmtId="0" fontId="5" fillId="4" borderId="3" xfId="0" applyFont="1" applyFill="1" applyBorder="1" applyAlignment="1" applyProtection="1">
      <alignment horizontal="center" vertical="center" shrinkToFit="1"/>
    </xf>
    <xf numFmtId="0" fontId="5" fillId="4" borderId="4" xfId="0" applyFont="1" applyFill="1" applyBorder="1" applyAlignment="1" applyProtection="1">
      <alignment horizontal="center" vertical="center" shrinkToFit="1"/>
    </xf>
    <xf numFmtId="2" fontId="9" fillId="5" borderId="8" xfId="0" applyNumberFormat="1" applyFont="1" applyFill="1" applyBorder="1" applyAlignment="1" applyProtection="1">
      <alignment horizontal="center" vertical="center" shrinkToFit="1"/>
    </xf>
    <xf numFmtId="2" fontId="9" fillId="5" borderId="3" xfId="0" applyNumberFormat="1" applyFont="1" applyFill="1" applyBorder="1" applyAlignment="1" applyProtection="1">
      <alignment horizontal="center" vertical="center" shrinkToFit="1"/>
    </xf>
    <xf numFmtId="2" fontId="9" fillId="5" borderId="5" xfId="0" applyNumberFormat="1" applyFont="1" applyFill="1" applyBorder="1" applyAlignment="1" applyProtection="1">
      <alignment horizontal="center" vertical="center" shrinkToFit="1"/>
    </xf>
    <xf numFmtId="2" fontId="9" fillId="5" borderId="0" xfId="0" applyNumberFormat="1" applyFont="1" applyFill="1" applyBorder="1" applyAlignment="1" applyProtection="1">
      <alignment horizontal="center" vertical="center" shrinkToFit="1"/>
    </xf>
    <xf numFmtId="2" fontId="9" fillId="5" borderId="9" xfId="0" applyNumberFormat="1" applyFont="1" applyFill="1" applyBorder="1" applyAlignment="1" applyProtection="1">
      <alignment horizontal="center" vertical="center" shrinkToFit="1"/>
    </xf>
    <xf numFmtId="2" fontId="9" fillId="5" borderId="6" xfId="0" applyNumberFormat="1" applyFont="1" applyFill="1" applyBorder="1" applyAlignment="1" applyProtection="1">
      <alignment horizontal="center" vertical="center" shrinkToFit="1"/>
    </xf>
    <xf numFmtId="0" fontId="5" fillId="4" borderId="10" xfId="0" applyFont="1" applyFill="1" applyBorder="1" applyAlignment="1" applyProtection="1">
      <alignment horizontal="center" vertical="center" shrinkToFit="1"/>
    </xf>
    <xf numFmtId="0" fontId="5" fillId="4" borderId="11" xfId="0" applyFont="1" applyFill="1" applyBorder="1" applyAlignment="1" applyProtection="1">
      <alignment horizontal="center" vertical="center" shrinkToFit="1"/>
    </xf>
    <xf numFmtId="0" fontId="5" fillId="4" borderId="2" xfId="0" applyFont="1" applyFill="1" applyBorder="1" applyAlignment="1" applyProtection="1">
      <alignment horizontal="center" vertical="center" shrinkToFit="1"/>
    </xf>
    <xf numFmtId="2" fontId="11" fillId="9" borderId="1" xfId="0" applyNumberFormat="1" applyFont="1" applyFill="1" applyBorder="1" applyAlignment="1" applyProtection="1">
      <alignment horizontal="center" vertical="center" shrinkToFit="1"/>
    </xf>
    <xf numFmtId="1" fontId="11" fillId="9" borderId="1" xfId="0" applyNumberFormat="1" applyFont="1" applyFill="1" applyBorder="1" applyAlignment="1" applyProtection="1">
      <alignment horizontal="center" vertical="center" shrinkToFit="1"/>
    </xf>
    <xf numFmtId="164" fontId="10" fillId="9" borderId="1" xfId="0" applyNumberFormat="1" applyFont="1" applyFill="1" applyBorder="1" applyAlignment="1" applyProtection="1">
      <alignment horizontal="center" vertical="center" shrinkToFi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000F"/>
      <color rgb="FF006400"/>
      <color rgb="FF7D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cqgxl.rtd">
      <tp>
        <v>-3.95</v>
        <stp/>
        <stp>ContractData</stp>
        <stp>QOS7F6</stp>
        <stp>Ask</stp>
        <tr r="L26" s="2"/>
      </tp>
      <tp>
        <v>-3.59</v>
        <stp/>
        <stp>ContractData</stp>
        <stp>QOS7G6</stp>
        <stp>Ask</stp>
        <tr r="M32" s="2"/>
      </tp>
      <tp>
        <v>-2.98</v>
        <stp/>
        <stp>ContractData</stp>
        <stp>QOS4X5</stp>
        <stp>Bid</stp>
        <tr r="G15" s="2"/>
      </tp>
      <tp>
        <v>-2.84</v>
        <stp/>
        <stp>ContractData</stp>
        <stp>QOS4Z5</stp>
        <stp>Bid</stp>
        <tr r="H21" s="2"/>
      </tp>
      <tp>
        <v>-3.3200000000000003</v>
        <stp/>
        <stp>ContractData</stp>
        <stp>QOS7H6</stp>
        <stp>Ask</stp>
        <tr r="N38" s="2"/>
      </tp>
      <tp>
        <v>-1.6500000000000001</v>
        <stp/>
        <stp>ContractData</stp>
        <stp>QOS4M6</stp>
        <stp>Bid</stp>
        <tr r="N57" s="2"/>
      </tp>
      <tp>
        <v>-2.2400000000000002</v>
        <stp/>
        <stp>ContractData</stp>
        <stp>QOS4H6</stp>
        <stp>Bid</stp>
        <tr r="K39" s="2"/>
      </tp>
      <tp>
        <v>-2</v>
        <stp/>
        <stp>ContractData</stp>
        <stp>QOS4J6</stp>
        <stp>Bid</stp>
        <tr r="L45" s="2"/>
      </tp>
      <tp>
        <v>-1.8</v>
        <stp/>
        <stp>ContractData</stp>
        <stp>QOS4K6</stp>
        <stp>Bid</stp>
        <tr r="M51" s="2"/>
      </tp>
      <tp>
        <v>-2.61</v>
        <stp/>
        <stp>ContractData</stp>
        <stp>QOS4F6</stp>
        <stp>Bid</stp>
        <tr r="I27" s="2"/>
      </tp>
      <tp>
        <v>-2.4</v>
        <stp/>
        <stp>ContractData</stp>
        <stp>QOS4G6</stp>
        <stp>Bid</stp>
        <tr r="J33" s="2"/>
      </tp>
      <tp>
        <v>-4.3899999999999997</v>
        <stp/>
        <stp>ContractData</stp>
        <stp>QOS7Z5</stp>
        <stp>Ask</stp>
        <tr r="K20" s="2"/>
      </tp>
      <tp>
        <v>-4.71</v>
        <stp/>
        <stp>ContractData</stp>
        <stp>QOS7X5</stp>
        <stp>Ask</stp>
        <tr r="J14" s="2"/>
      </tp>
      <tp>
        <v>-3.58</v>
        <stp/>
        <stp>ContractData</stp>
        <stp>QOS6F6</stp>
        <stp>Ask</stp>
        <tr r="K26" s="2"/>
      </tp>
      <tp>
        <v>-3.22</v>
        <stp/>
        <stp>ContractData</stp>
        <stp>QOS6G6</stp>
        <stp>Ask</stp>
        <tr r="L32" s="2"/>
      </tp>
      <tp>
        <v>-3.63</v>
        <stp/>
        <stp>ContractData</stp>
        <stp>QOS5X5</stp>
        <stp>Bid</stp>
        <tr r="H15" s="2"/>
      </tp>
      <tp>
        <v>-3.42</v>
        <stp/>
        <stp>ContractData</stp>
        <stp>QOS5Z5</stp>
        <stp>Bid</stp>
        <tr r="I21" s="2"/>
      </tp>
      <tp>
        <v>-2.7</v>
        <stp/>
        <stp>ContractData</stp>
        <stp>QOS6J6</stp>
        <stp>Ask</stp>
        <tr r="N44" s="2"/>
      </tp>
      <tp>
        <v>-2.99</v>
        <stp/>
        <stp>ContractData</stp>
        <stp>QOS6H6</stp>
        <stp>Ask</stp>
        <tr r="M38" s="2"/>
      </tp>
      <tp>
        <v>-2.65</v>
        <stp/>
        <stp>ContractData</stp>
        <stp>QOS5H6</stp>
        <stp>Bid</stp>
        <tr r="L39" s="2"/>
      </tp>
      <tp>
        <v>-2.39</v>
        <stp/>
        <stp>ContractData</stp>
        <stp>QOS5J6</stp>
        <stp>Bid</stp>
        <tr r="M45" s="2"/>
      </tp>
      <tp>
        <v>-2.19</v>
        <stp/>
        <stp>ContractData</stp>
        <stp>QOS5K6</stp>
        <stp>Bid</stp>
        <tr r="N51" s="2"/>
      </tp>
      <tp>
        <v>-3.15</v>
        <stp/>
        <stp>ContractData</stp>
        <stp>QOS5F6</stp>
        <stp>Bid</stp>
        <tr r="J27" s="2"/>
      </tp>
      <tp>
        <v>-2.87</v>
        <stp/>
        <stp>ContractData</stp>
        <stp>QOS5G6</stp>
        <stp>Bid</stp>
        <tr r="K33" s="2"/>
      </tp>
      <tp>
        <v>-3.93</v>
        <stp/>
        <stp>ContractData</stp>
        <stp>QOS6Z5</stp>
        <stp>Ask</stp>
        <tr r="J20" s="2"/>
      </tp>
      <tp>
        <v>-4.18</v>
        <stp/>
        <stp>ContractData</stp>
        <stp>QOS6X5</stp>
        <stp>Ask</stp>
        <tr r="I14" s="2"/>
      </tp>
      <tp>
        <v>-5.87</v>
        <stp/>
        <stp>ContractData</stp>
        <stp>QOS9X</stp>
        <stp>Y_Settlement</stp>
        <tr r="X10" s="3"/>
      </tp>
      <tp>
        <v>-3.12</v>
        <stp/>
        <stp>ContractData</stp>
        <stp>QOS5F6</stp>
        <stp>Ask</stp>
        <tr r="J26" s="2"/>
      </tp>
      <tp>
        <v>-2.83</v>
        <stp/>
        <stp>ContractData</stp>
        <stp>QOS5G6</stp>
        <stp>Ask</stp>
        <tr r="K32" s="2"/>
      </tp>
      <tp>
        <v>-4.21</v>
        <stp/>
        <stp>ContractData</stp>
        <stp>QOS6X5</stp>
        <stp>Bid</stp>
        <tr r="I15" s="2"/>
      </tp>
      <tp>
        <v>-3.95</v>
        <stp/>
        <stp>ContractData</stp>
        <stp>QOS6Z5</stp>
        <stp>Bid</stp>
        <tr r="J21" s="2"/>
      </tp>
      <tp>
        <v>-2.34</v>
        <stp/>
        <stp>ContractData</stp>
        <stp>QOS5J6</stp>
        <stp>Ask</stp>
        <tr r="M44" s="2"/>
      </tp>
      <tp>
        <v>-2.12</v>
        <stp/>
        <stp>ContractData</stp>
        <stp>QOS5K6</stp>
        <stp>Ask</stp>
        <tr r="N50" s="2"/>
      </tp>
      <tp>
        <v>-2.6</v>
        <stp/>
        <stp>ContractData</stp>
        <stp>QOS5H6</stp>
        <stp>Ask</stp>
        <tr r="L38" s="2"/>
      </tp>
      <tp>
        <v>47.2</v>
        <stp/>
        <stp>ContractData</stp>
        <stp>ET</stp>
        <stp>LastTradeToday</stp>
        <tr r="B46" s="2"/>
      </tp>
      <tp>
        <v>-3.04</v>
        <stp/>
        <stp>ContractData</stp>
        <stp>QOS6H6</stp>
        <stp>Bid</stp>
        <tr r="M39" s="2"/>
      </tp>
      <tp>
        <v>-2.77</v>
        <stp/>
        <stp>ContractData</stp>
        <stp>QOS6J6</stp>
        <stp>Bid</stp>
        <tr r="N45" s="2"/>
      </tp>
      <tp>
        <v>-3.62</v>
        <stp/>
        <stp>ContractData</stp>
        <stp>QOS6F6</stp>
        <stp>Bid</stp>
        <tr r="K27" s="2"/>
      </tp>
      <tp>
        <v>-3.2800000000000002</v>
        <stp/>
        <stp>ContractData</stp>
        <stp>QOS6G6</stp>
        <stp>Bid</stp>
        <tr r="L33" s="2"/>
      </tp>
      <tp>
        <v>-3.39</v>
        <stp/>
        <stp>ContractData</stp>
        <stp>QOS5Z5</stp>
        <stp>Ask</stp>
        <tr r="I20" s="2"/>
      </tp>
      <tp>
        <v>-3.6</v>
        <stp/>
        <stp>ContractData</stp>
        <stp>QOS5X5</stp>
        <stp>Ask</stp>
        <tr r="H14" s="2"/>
      </tp>
      <tp>
        <v>47.35</v>
        <stp/>
        <stp>ContractData</stp>
        <stp>CLE</stp>
        <stp>High</stp>
        <tr r="D44" s="2"/>
      </tp>
      <tp>
        <v>-5.43</v>
        <stp/>
        <stp>ContractData</stp>
        <stp>QOS8X</stp>
        <stp>Y_Settlement</stp>
        <tr r="X9" s="3"/>
      </tp>
      <tp>
        <v>-2.58</v>
        <stp/>
        <stp>ContractData</stp>
        <stp>QOS4F6</stp>
        <stp>Ask</stp>
        <tr r="I26" s="2"/>
      </tp>
      <tp>
        <v>-2.37</v>
        <stp/>
        <stp>ContractData</stp>
        <stp>QOS4G6</stp>
        <stp>Ask</stp>
        <tr r="J32" s="2"/>
      </tp>
      <tp>
        <v>-4.74</v>
        <stp/>
        <stp>ContractData</stp>
        <stp>QOS7X5</stp>
        <stp>Bid</stp>
        <tr r="J15" s="2"/>
      </tp>
      <tp>
        <v>-4.42</v>
        <stp/>
        <stp>ContractData</stp>
        <stp>QOS7Z5</stp>
        <stp>Bid</stp>
        <tr r="K21" s="2"/>
      </tp>
      <tp>
        <v>-1.6</v>
        <stp/>
        <stp>ContractData</stp>
        <stp>QOS4M6</stp>
        <stp>Ask</stp>
        <tr r="N56" s="2"/>
      </tp>
      <tp>
        <v>-1.97</v>
        <stp/>
        <stp>ContractData</stp>
        <stp>QOS4J6</stp>
        <stp>Ask</stp>
        <tr r="L44" s="2"/>
      </tp>
      <tp>
        <v>-1.77</v>
        <stp/>
        <stp>ContractData</stp>
        <stp>QOS4K6</stp>
        <stp>Ask</stp>
        <tr r="M50" s="2"/>
      </tp>
      <tp>
        <v>-2.21</v>
        <stp/>
        <stp>ContractData</stp>
        <stp>QOS4H6</stp>
        <stp>Ask</stp>
        <tr r="K38" s="2"/>
      </tp>
      <tp>
        <v>-3.43</v>
        <stp/>
        <stp>ContractData</stp>
        <stp>QOS7H6</stp>
        <stp>Bid</stp>
        <tr r="N39" s="2"/>
      </tp>
      <tp>
        <v>-4.05</v>
        <stp/>
        <stp>ContractData</stp>
        <stp>QOS7F6</stp>
        <stp>Bid</stp>
        <tr r="L27" s="2"/>
      </tp>
      <tp>
        <v>-3.69</v>
        <stp/>
        <stp>ContractData</stp>
        <stp>QOS7G6</stp>
        <stp>Bid</stp>
        <tr r="M33" s="2"/>
      </tp>
      <tp>
        <v>-2.82</v>
        <stp/>
        <stp>ContractData</stp>
        <stp>QOS4Z5</stp>
        <stp>Ask</stp>
        <tr r="H20" s="2"/>
      </tp>
      <tp>
        <v>-2.96</v>
        <stp/>
        <stp>ContractData</stp>
        <stp>QOS4X5</stp>
        <stp>Ask</stp>
        <tr r="G14" s="2"/>
      </tp>
      <tp>
        <v>-2.0100000000000002</v>
        <stp/>
        <stp>ContractData</stp>
        <stp>QOS3F6</stp>
        <stp>Ask</stp>
        <tr r="H26" s="2"/>
      </tp>
      <tp>
        <v>-1.84</v>
        <stp/>
        <stp>ContractData</stp>
        <stp>QOS3G6</stp>
        <stp>Ask</stp>
        <tr r="I32" s="2"/>
      </tp>
      <tp>
        <v>-1.1300000000000001</v>
        <stp/>
        <stp>ContractData</stp>
        <stp>QOS3N6</stp>
        <stp>Ask</stp>
        <tr r="N62" s="2"/>
      </tp>
      <tp>
        <v>-1.25</v>
        <stp/>
        <stp>ContractData</stp>
        <stp>QOS3M6</stp>
        <stp>Ask</stp>
        <tr r="M56" s="2"/>
      </tp>
      <tp>
        <v>-1.57</v>
        <stp/>
        <stp>ContractData</stp>
        <stp>QOS3J6</stp>
        <stp>Ask</stp>
        <tr r="K44" s="2"/>
      </tp>
      <tp>
        <v>-1.3900000000000001</v>
        <stp/>
        <stp>ContractData</stp>
        <stp>QOS3K6</stp>
        <stp>Ask</stp>
        <tr r="L50" s="2"/>
      </tp>
      <tp>
        <v>-1.75</v>
        <stp/>
        <stp>ContractData</stp>
        <stp>QOS3H6</stp>
        <stp>Ask</stp>
        <tr r="J38" s="2"/>
      </tp>
      <tp>
        <v>-2.1800000000000002</v>
        <stp/>
        <stp>ContractData</stp>
        <stp>QOS3Z5</stp>
        <stp>Ask</stp>
        <tr r="G20" s="2"/>
      </tp>
      <tp>
        <v>-2.34</v>
        <stp/>
        <stp>ContractData</stp>
        <stp>QOS3X5</stp>
        <stp>Ask</stp>
        <tr r="F14" s="2"/>
      </tp>
      <tp>
        <v>-6.04</v>
        <stp/>
        <stp>ContractData</stp>
        <stp>QOS10X</stp>
        <stp>Bid</stp>
        <tr r="Y11" s="3"/>
      </tp>
      <tp>
        <v>-6.43</v>
        <stp/>
        <stp>ContractData</stp>
        <stp>QOS11X</stp>
        <stp>Bid</stp>
        <tr r="Y12" s="3"/>
      </tp>
      <tp>
        <v>-6.8</v>
        <stp/>
        <stp>ContractData</stp>
        <stp>QOS12X</stp>
        <stp>Bid</stp>
        <tr r="Y13" s="3"/>
      </tp>
      <tp>
        <v>-1.37</v>
        <stp/>
        <stp>ContractData</stp>
        <stp>QOS2F6</stp>
        <stp>Ask</stp>
        <tr r="G26" s="2"/>
      </tp>
      <tp>
        <v>-1.26</v>
        <stp/>
        <stp>ContractData</stp>
        <stp>QOS2G6</stp>
        <stp>Ask</stp>
        <tr r="H32" s="2"/>
      </tp>
      <tp>
        <v>-0.79</v>
        <stp/>
        <stp>ContractData</stp>
        <stp>QOS1X5</stp>
        <stp>Bid</stp>
        <tr r="D15" s="2"/>
      </tp>
      <tp>
        <v>-0.81</v>
        <stp/>
        <stp>ContractData</stp>
        <stp>QOS1Z5</stp>
        <stp>Bid</stp>
        <tr r="E21" s="2"/>
      </tp>
      <tp>
        <v>-0.77</v>
        <stp/>
        <stp>ContractData</stp>
        <stp>QOS2N6</stp>
        <stp>Ask</stp>
        <tr r="M62" s="2"/>
      </tp>
      <tp>
        <v>-0.38</v>
        <stp/>
        <stp>ContractData</stp>
        <stp>QOS1U6</stp>
        <stp>Bid</stp>
        <tr r="N75" s="2"/>
      </tp>
      <tp>
        <v>-0.37</v>
        <stp/>
        <stp>ContractData</stp>
        <stp>QOS1V6</stp>
        <stp>Bid</stp>
        <tr r="O81" s="2"/>
      </tp>
      <tp>
        <v>-0.86</v>
        <stp/>
        <stp>ContractData</stp>
        <stp>QOS2M6</stp>
        <stp>Ask</stp>
        <tr r="L56" s="2"/>
      </tp>
      <tp>
        <v>-1.1100000000000001</v>
        <stp/>
        <stp>ContractData</stp>
        <stp>QOS2J6</stp>
        <stp>Ask</stp>
        <tr r="J44" s="2"/>
      </tp>
      <tp>
        <v>-0.99</v>
        <stp/>
        <stp>ContractData</stp>
        <stp>QOS2K6</stp>
        <stp>Ask</stp>
        <tr r="K50" s="2"/>
      </tp>
      <tp>
        <v>-0.39</v>
        <stp/>
        <stp>ContractData</stp>
        <stp>QOS1Q6</stp>
        <stp>Bid</stp>
        <tr r="M69" s="2"/>
      </tp>
      <tp>
        <v>-1.21</v>
        <stp/>
        <stp>ContractData</stp>
        <stp>QOS2H6</stp>
        <stp>Ask</stp>
        <tr r="I38" s="2"/>
      </tp>
      <tp>
        <v>-0.47000000000000003</v>
        <stp/>
        <stp>ContractData</stp>
        <stp>QOS1M6</stp>
        <stp>Bid</stp>
        <tr r="K57" s="2"/>
      </tp>
      <tp>
        <v>-0.41000000000000003</v>
        <stp/>
        <stp>ContractData</stp>
        <stp>QOS1N6</stp>
        <stp>Bid</stp>
        <tr r="L63" s="2"/>
      </tp>
      <tp>
        <v>-0.65</v>
        <stp/>
        <stp>ContractData</stp>
        <stp>QOS1H6</stp>
        <stp>Bid</stp>
        <tr r="H39" s="2"/>
      </tp>
      <tp>
        <v>-0.57999999999999996</v>
        <stp/>
        <stp>ContractData</stp>
        <stp>QOS1J6</stp>
        <stp>Bid</stp>
        <tr r="I45" s="2"/>
      </tp>
      <tp>
        <v>-0.74</v>
        <stp/>
        <stp>ContractData</stp>
        <stp>QOS2Q6</stp>
        <stp>Ask</stp>
        <tr r="N68" s="2"/>
      </tp>
      <tp>
        <v>-0.55000000000000004</v>
        <stp/>
        <stp>ContractData</stp>
        <stp>QOS1K6</stp>
        <stp>Bid</stp>
        <tr r="J51" s="2"/>
      </tp>
      <tp>
        <v>-0.75</v>
        <stp/>
        <stp>ContractData</stp>
        <stp>QOS1F6</stp>
        <stp>Bid</stp>
        <tr r="F27" s="2"/>
      </tp>
      <tp>
        <v>-0.63</v>
        <stp/>
        <stp>ContractData</stp>
        <stp>QOS1G6</stp>
        <stp>Bid</stp>
        <tr r="G33" s="2"/>
      </tp>
      <tp>
        <v>-1.55</v>
        <stp/>
        <stp>ContractData</stp>
        <stp>QOS2Z5</stp>
        <stp>Ask</stp>
        <tr r="F20" s="2"/>
      </tp>
      <tp>
        <v>-1.59</v>
        <stp/>
        <stp>ContractData</stp>
        <stp>QOS2X5</stp>
        <stp>Ask</stp>
        <tr r="E14" s="2"/>
      </tp>
      <tp>
        <v>-6.6400000000000006</v>
        <stp/>
        <stp>ContractData</stp>
        <stp>QOS12X</stp>
        <stp>Ask</stp>
        <tr r="Z13" s="3"/>
      </tp>
      <tp>
        <v>-5.93</v>
        <stp/>
        <stp>ContractData</stp>
        <stp>QOS10X</stp>
        <stp>Ask</stp>
        <tr r="Z11" s="3"/>
      </tp>
      <tp>
        <v>-6.29</v>
        <stp/>
        <stp>ContractData</stp>
        <stp>QOS11X</stp>
        <stp>Ask</stp>
        <tr r="Z12" s="3"/>
      </tp>
      <tp>
        <v>-0.74</v>
        <stp/>
        <stp>ContractData</stp>
        <stp>QOS1F6</stp>
        <stp>Ask</stp>
        <tr r="F26" s="2"/>
      </tp>
      <tp>
        <v>-0.62</v>
        <stp/>
        <stp>ContractData</stp>
        <stp>QOS1G6</stp>
        <stp>Ask</stp>
        <tr r="G32" s="2"/>
      </tp>
      <tp>
        <v>-1.6</v>
        <stp/>
        <stp>ContractData</stp>
        <stp>QOS2X5</stp>
        <stp>Bid</stp>
        <tr r="E15" s="2"/>
      </tp>
      <tp>
        <v>-1.56</v>
        <stp/>
        <stp>ContractData</stp>
        <stp>QOS2Z5</stp>
        <stp>Bid</stp>
        <tr r="F21" s="2"/>
      </tp>
      <tp>
        <v>-0.4</v>
        <stp/>
        <stp>ContractData</stp>
        <stp>QOS1N6</stp>
        <stp>Ask</stp>
        <tr r="L62" s="2"/>
      </tp>
      <tp>
        <v>-0.46</v>
        <stp/>
        <stp>ContractData</stp>
        <stp>QOS1M6</stp>
        <stp>Ask</stp>
        <tr r="K56" s="2"/>
      </tp>
      <tp>
        <v>-0.57000000000000006</v>
        <stp/>
        <stp>ContractData</stp>
        <stp>QOS1J6</stp>
        <stp>Ask</stp>
        <tr r="I44" s="2"/>
      </tp>
      <tp>
        <v>-0.53</v>
        <stp/>
        <stp>ContractData</stp>
        <stp>QOS1K6</stp>
        <stp>Ask</stp>
        <tr r="J50" s="2"/>
      </tp>
      <tp>
        <v>-0.77</v>
        <stp/>
        <stp>ContractData</stp>
        <stp>QOS2Q6</stp>
        <stp>Bid</stp>
        <tr r="N69" s="2"/>
      </tp>
      <tp>
        <v>-0.64</v>
        <stp/>
        <stp>ContractData</stp>
        <stp>QOS1H6</stp>
        <stp>Ask</stp>
        <tr r="H38" s="2"/>
      </tp>
      <tp>
        <v>-0.36</v>
        <stp/>
        <stp>ContractData</stp>
        <stp>QOS1V6</stp>
        <stp>Ask</stp>
        <tr r="O80" s="2"/>
      </tp>
      <tp>
        <v>-0.87</v>
        <stp/>
        <stp>ContractData</stp>
        <stp>QOS2M6</stp>
        <stp>Bid</stp>
        <tr r="L57" s="2"/>
      </tp>
      <tp>
        <v>-0.79</v>
        <stp/>
        <stp>ContractData</stp>
        <stp>QOS2N6</stp>
        <stp>Bid</stp>
        <tr r="M63" s="2"/>
      </tp>
      <tp>
        <v>-0.36</v>
        <stp/>
        <stp>ContractData</stp>
        <stp>QOS1U6</stp>
        <stp>Ask</stp>
        <tr r="N74" s="2"/>
      </tp>
      <tp>
        <v>-1.23</v>
        <stp/>
        <stp>ContractData</stp>
        <stp>QOS2H6</stp>
        <stp>Bid</stp>
        <tr r="I39" s="2"/>
      </tp>
      <tp>
        <v>-1.1200000000000001</v>
        <stp/>
        <stp>ContractData</stp>
        <stp>QOS2J6</stp>
        <stp>Bid</stp>
        <tr r="J45" s="2"/>
      </tp>
      <tp>
        <v>-0.38</v>
        <stp/>
        <stp>ContractData</stp>
        <stp>QOS1Q6</stp>
        <stp>Ask</stp>
        <tr r="M68" s="2"/>
      </tp>
      <tp>
        <v>-1.01</v>
        <stp/>
        <stp>ContractData</stp>
        <stp>QOS2K6</stp>
        <stp>Bid</stp>
        <tr r="K51" s="2"/>
      </tp>
      <tp>
        <v>-1.3800000000000001</v>
        <stp/>
        <stp>ContractData</stp>
        <stp>QOS2F6</stp>
        <stp>Bid</stp>
        <tr r="G27" s="2"/>
      </tp>
      <tp>
        <v>-1.28</v>
        <stp/>
        <stp>ContractData</stp>
        <stp>QOS2G6</stp>
        <stp>Bid</stp>
        <tr r="H33" s="2"/>
      </tp>
      <tp>
        <v>-0.8</v>
        <stp/>
        <stp>ContractData</stp>
        <stp>QOS1Z5</stp>
        <stp>Ask</stp>
        <tr r="E20" s="2"/>
      </tp>
      <tp>
        <v>-0.78</v>
        <stp/>
        <stp>ContractData</stp>
        <stp>QOS1X5</stp>
        <stp>Ask</stp>
        <tr r="D14" s="2"/>
      </tp>
      <tp>
        <v>-2.35</v>
        <stp/>
        <stp>ContractData</stp>
        <stp>QOS3X5</stp>
        <stp>Bid</stp>
        <tr r="F15" s="2"/>
      </tp>
      <tp>
        <v>-2.19</v>
        <stp/>
        <stp>ContractData</stp>
        <stp>QOS3Z5</stp>
        <stp>Bid</stp>
        <tr r="G21" s="2"/>
      </tp>
      <tp>
        <v>-1.26</v>
        <stp/>
        <stp>ContractData</stp>
        <stp>QOS3M6</stp>
        <stp>Bid</stp>
        <tr r="M57" s="2"/>
      </tp>
      <tp>
        <v>-1.17</v>
        <stp/>
        <stp>ContractData</stp>
        <stp>QOS3N6</stp>
        <stp>Bid</stp>
        <tr r="N63" s="2"/>
      </tp>
      <tp>
        <v>-1.77</v>
        <stp/>
        <stp>ContractData</stp>
        <stp>QOS3H6</stp>
        <stp>Bid</stp>
        <tr r="J39" s="2"/>
      </tp>
      <tp>
        <v>-1.59</v>
        <stp/>
        <stp>ContractData</stp>
        <stp>QOS3J6</stp>
        <stp>Bid</stp>
        <tr r="K45" s="2"/>
      </tp>
      <tp>
        <v>-1.42</v>
        <stp/>
        <stp>ContractData</stp>
        <stp>QOS3K6</stp>
        <stp>Bid</stp>
        <tr r="L51" s="2"/>
      </tp>
      <tp>
        <v>-2.0300000000000002</v>
        <stp/>
        <stp>ContractData</stp>
        <stp>QOS3F6</stp>
        <stp>Bid</stp>
        <tr r="H27" s="2"/>
      </tp>
      <tp>
        <v>-1.86</v>
        <stp/>
        <stp>ContractData</stp>
        <stp>QOS3G6</stp>
        <stp>Bid</stp>
        <tr r="I33" s="2"/>
      </tp>
      <tp>
        <v>-2.42</v>
        <stp/>
        <stp>ContractData</stp>
        <stp>QOS3X</stp>
        <stp>Y_Settlement</stp>
        <tr r="X4" s="3"/>
      </tp>
      <tp>
        <v>47.2</v>
        <stp/>
        <stp>ContractData</stp>
        <stp>CLE</stp>
        <stp>LastTradeToday</stp>
        <tr r="D46" s="2"/>
      </tp>
      <tp>
        <v>-1.6600000000000001</v>
        <stp/>
        <stp>ContractData</stp>
        <stp>QOS2X</stp>
        <stp>Y_Settlement</stp>
        <tr r="X3" s="3"/>
      </tp>
      <tp>
        <v>-0.83000000000000007</v>
        <stp/>
        <stp>ContractData</stp>
        <stp>QOS1X</stp>
        <stp>Y_Settlement</stp>
        <tr r="X2" s="3"/>
      </tp>
      <tp>
        <v>44.82</v>
        <stp/>
        <stp>ContractData</stp>
        <stp>CLE</stp>
        <stp>Low</stp>
        <tr r="D45" s="2"/>
      </tp>
    </main>
    <main first="cqgxl.rtd">
      <tp>
        <v>-4.92</v>
        <stp/>
        <stp>ContractData</stp>
        <stp>QOS7X</stp>
        <stp>Y_Settlement</stp>
        <tr r="X8" s="3"/>
      </tp>
      <tp>
        <v>-5.21</v>
        <stp/>
        <stp>ContractData</stp>
        <stp>QOS8X5</stp>
        <stp>Bid</stp>
        <tr r="K15" s="2"/>
      </tp>
      <tp>
        <v>-4.87</v>
        <stp/>
        <stp>ContractData</stp>
        <stp>QOS8Z5</stp>
        <stp>Bid</stp>
        <tr r="L21" s="2"/>
      </tp>
      <tp>
        <v>-4.4400000000000004</v>
        <stp/>
        <stp>ContractData</stp>
        <stp>QOS8F6</stp>
        <stp>Bid</stp>
        <tr r="M27" s="2"/>
      </tp>
      <tp>
        <v>-4.07</v>
        <stp/>
        <stp>ContractData</stp>
        <stp>QOS8G6</stp>
        <stp>Bid</stp>
        <tr r="N33" s="2"/>
      </tp>
      <tp t="s">
        <v>QOS1X5</v>
        <stp/>
        <stp>ContractData</stp>
        <stp>QOS1X</stp>
        <stp>Symbol</stp>
        <tr r="D13" s="2"/>
      </tp>
      <tp t="s">
        <v>QOS1Z5</v>
        <stp/>
        <stp>ContractData</stp>
        <stp>QOS1Z</stp>
        <stp>Symbol</stp>
        <tr r="E19" s="2"/>
      </tp>
      <tp t="s">
        <v>QOS1Q6</v>
        <stp/>
        <stp>ContractData</stp>
        <stp>QOS1Q</stp>
        <stp>Symbol</stp>
        <tr r="M67" s="2"/>
      </tp>
      <tp t="s">
        <v>QOS1U6</v>
        <stp/>
        <stp>ContractData</stp>
        <stp>QOS1U</stp>
        <stp>Symbol</stp>
        <tr r="N73" s="2"/>
      </tp>
      <tp t="s">
        <v>QOS1V6</v>
        <stp/>
        <stp>ContractData</stp>
        <stp>QOS1V</stp>
        <stp>Symbol</stp>
        <tr r="O79" s="2"/>
      </tp>
      <tp t="s">
        <v>QOS1H6</v>
        <stp/>
        <stp>ContractData</stp>
        <stp>QOS1H</stp>
        <stp>Symbol</stp>
        <tr r="H37" s="2"/>
      </tp>
      <tp t="s">
        <v>QOS1J6</v>
        <stp/>
        <stp>ContractData</stp>
        <stp>QOS1J</stp>
        <stp>Symbol</stp>
        <tr r="I43" s="2"/>
      </tp>
      <tp t="s">
        <v>QOS1K6</v>
        <stp/>
        <stp>ContractData</stp>
        <stp>QOS1K</stp>
        <stp>Symbol</stp>
        <tr r="J49" s="2"/>
      </tp>
      <tp t="s">
        <v>QOS1M6</v>
        <stp/>
        <stp>ContractData</stp>
        <stp>QOS1M</stp>
        <stp>Symbol</stp>
        <tr r="K55" s="2"/>
      </tp>
      <tp t="s">
        <v>QOS1N6</v>
        <stp/>
        <stp>ContractData</stp>
        <stp>QOS1N</stp>
        <stp>Symbol</stp>
        <tr r="L61" s="2"/>
      </tp>
      <tp t="s">
        <v>QOS1F6</v>
        <stp/>
        <stp>ContractData</stp>
        <stp>QOS1F</stp>
        <stp>Symbol</stp>
        <tr r="F25" s="2"/>
      </tp>
      <tp t="s">
        <v>QOS1G6</v>
        <stp/>
        <stp>ContractData</stp>
        <stp>QOS1G</stp>
        <stp>Symbol</stp>
        <tr r="G31" s="2"/>
      </tp>
      <tp t="s">
        <v>QOS2X5</v>
        <stp/>
        <stp>ContractData</stp>
        <stp>QOS2X</stp>
        <stp>Symbol</stp>
        <tr r="E13" s="2"/>
      </tp>
      <tp t="s">
        <v>QOS2Z5</v>
        <stp/>
        <stp>ContractData</stp>
        <stp>QOS2Z</stp>
        <stp>Symbol</stp>
        <tr r="F19" s="2"/>
      </tp>
      <tp t="s">
        <v>QOS2Q6</v>
        <stp/>
        <stp>ContractData</stp>
        <stp>QOS2Q</stp>
        <stp>Symbol</stp>
        <tr r="N67" s="2"/>
      </tp>
      <tp t="s">
        <v>QOS2H6</v>
        <stp/>
        <stp>ContractData</stp>
        <stp>QOS2H</stp>
        <stp>Symbol</stp>
        <tr r="I37" s="2"/>
      </tp>
      <tp t="s">
        <v>QOS2J6</v>
        <stp/>
        <stp>ContractData</stp>
        <stp>QOS2J</stp>
        <stp>Symbol</stp>
        <tr r="J43" s="2"/>
      </tp>
      <tp t="s">
        <v>QOS2K6</v>
        <stp/>
        <stp>ContractData</stp>
        <stp>QOS2K</stp>
        <stp>Symbol</stp>
        <tr r="K49" s="2"/>
      </tp>
      <tp t="s">
        <v>QOS2M6</v>
        <stp/>
        <stp>ContractData</stp>
        <stp>QOS2M</stp>
        <stp>Symbol</stp>
        <tr r="L55" s="2"/>
      </tp>
      <tp t="s">
        <v>QOS2N6</v>
        <stp/>
        <stp>ContractData</stp>
        <stp>QOS2N</stp>
        <stp>Symbol</stp>
        <tr r="M61" s="2"/>
      </tp>
      <tp t="s">
        <v>QOS2F6</v>
        <stp/>
        <stp>ContractData</stp>
        <stp>QOS2F</stp>
        <stp>Symbol</stp>
        <tr r="G25" s="2"/>
      </tp>
      <tp t="s">
        <v>QOS2G6</v>
        <stp/>
        <stp>ContractData</stp>
        <stp>QOS2G</stp>
        <stp>Symbol</stp>
        <tr r="H31" s="2"/>
      </tp>
      <tp t="s">
        <v>QOS3X5</v>
        <stp/>
        <stp>ContractData</stp>
        <stp>QOS3X</stp>
        <stp>Symbol</stp>
        <tr r="F13" s="2"/>
      </tp>
      <tp t="s">
        <v>QOS3Z5</v>
        <stp/>
        <stp>ContractData</stp>
        <stp>QOS3Z</stp>
        <stp>Symbol</stp>
        <tr r="G19" s="2"/>
      </tp>
      <tp t="s">
        <v>QOS3H6</v>
        <stp/>
        <stp>ContractData</stp>
        <stp>QOS3H</stp>
        <stp>Symbol</stp>
        <tr r="J37" s="2"/>
      </tp>
      <tp t="s">
        <v>QOS3J6</v>
        <stp/>
        <stp>ContractData</stp>
        <stp>QOS3J</stp>
        <stp>Symbol</stp>
        <tr r="K43" s="2"/>
      </tp>
      <tp t="s">
        <v>QOS3K6</v>
        <stp/>
        <stp>ContractData</stp>
        <stp>QOS3K</stp>
        <stp>Symbol</stp>
        <tr r="L49" s="2"/>
      </tp>
      <tp t="s">
        <v>QOS3M6</v>
        <stp/>
        <stp>ContractData</stp>
        <stp>QOS3M</stp>
        <stp>Symbol</stp>
        <tr r="M55" s="2"/>
      </tp>
      <tp t="s">
        <v>QOS3N6</v>
        <stp/>
        <stp>ContractData</stp>
        <stp>QOS3N</stp>
        <stp>Symbol</stp>
        <tr r="N61" s="2"/>
      </tp>
      <tp t="s">
        <v>QOS3F6</v>
        <stp/>
        <stp>ContractData</stp>
        <stp>QOS3F</stp>
        <stp>Symbol</stp>
        <tr r="H25" s="2"/>
      </tp>
      <tp t="s">
        <v>QOS3G6</v>
        <stp/>
        <stp>ContractData</stp>
        <stp>QOS3G</stp>
        <stp>Symbol</stp>
        <tr r="I31" s="2"/>
      </tp>
      <tp t="s">
        <v>QOS4X5</v>
        <stp/>
        <stp>ContractData</stp>
        <stp>QOS4X</stp>
        <stp>Symbol</stp>
        <tr r="G13" s="2"/>
      </tp>
      <tp t="s">
        <v>QOS4Z5</v>
        <stp/>
        <stp>ContractData</stp>
        <stp>QOS4Z</stp>
        <stp>Symbol</stp>
        <tr r="H19" s="2"/>
      </tp>
      <tp t="s">
        <v>QOS4H6</v>
        <stp/>
        <stp>ContractData</stp>
        <stp>QOS4H</stp>
        <stp>Symbol</stp>
        <tr r="K37" s="2"/>
      </tp>
      <tp t="s">
        <v>QOS4J6</v>
        <stp/>
        <stp>ContractData</stp>
        <stp>QOS4J</stp>
        <stp>Symbol</stp>
        <tr r="L43" s="2"/>
      </tp>
      <tp t="s">
        <v>QOS4K6</v>
        <stp/>
        <stp>ContractData</stp>
        <stp>QOS4K</stp>
        <stp>Symbol</stp>
        <tr r="M49" s="2"/>
      </tp>
      <tp t="s">
        <v>QOS4M6</v>
        <stp/>
        <stp>ContractData</stp>
        <stp>QOS4M</stp>
        <stp>Symbol</stp>
        <tr r="N55" s="2"/>
      </tp>
      <tp t="s">
        <v>QOS4F6</v>
        <stp/>
        <stp>ContractData</stp>
        <stp>QOS4F</stp>
        <stp>Symbol</stp>
        <tr r="I25" s="2"/>
      </tp>
      <tp t="s">
        <v>QOS4G6</v>
        <stp/>
        <stp>ContractData</stp>
        <stp>QOS4G</stp>
        <stp>Symbol</stp>
        <tr r="J31" s="2"/>
      </tp>
      <tp t="s">
        <v>QOS5X5</v>
        <stp/>
        <stp>ContractData</stp>
        <stp>QOS5X</stp>
        <stp>Symbol</stp>
        <tr r="H13" s="2"/>
      </tp>
      <tp t="s">
        <v>QOS5Z5</v>
        <stp/>
        <stp>ContractData</stp>
        <stp>QOS5Z</stp>
        <stp>Symbol</stp>
        <tr r="I19" s="2"/>
      </tp>
      <tp t="s">
        <v>QOS5H6</v>
        <stp/>
        <stp>ContractData</stp>
        <stp>QOS5H</stp>
        <stp>Symbol</stp>
        <tr r="L37" s="2"/>
      </tp>
      <tp t="s">
        <v>QOS5J6</v>
        <stp/>
        <stp>ContractData</stp>
        <stp>QOS5J</stp>
        <stp>Symbol</stp>
        <tr r="M43" s="2"/>
      </tp>
      <tp t="s">
        <v>QOS5K6</v>
        <stp/>
        <stp>ContractData</stp>
        <stp>QOS5K</stp>
        <stp>Symbol</stp>
        <tr r="N49" s="2"/>
      </tp>
      <tp t="s">
        <v>QOS5F6</v>
        <stp/>
        <stp>ContractData</stp>
        <stp>QOS5F</stp>
        <stp>Symbol</stp>
        <tr r="J25" s="2"/>
      </tp>
      <tp t="s">
        <v>QOS5G6</v>
        <stp/>
        <stp>ContractData</stp>
        <stp>QOS5G</stp>
        <stp>Symbol</stp>
        <tr r="K31" s="2"/>
      </tp>
      <tp t="s">
        <v>QOS6X5</v>
        <stp/>
        <stp>ContractData</stp>
        <stp>QOS6X</stp>
        <stp>Symbol</stp>
        <tr r="I13" s="2"/>
      </tp>
      <tp t="s">
        <v>QOS6Z5</v>
        <stp/>
        <stp>ContractData</stp>
        <stp>QOS6Z</stp>
        <stp>Symbol</stp>
        <tr r="J19" s="2"/>
      </tp>
      <tp t="s">
        <v>QOS6H6</v>
        <stp/>
        <stp>ContractData</stp>
        <stp>QOS6H</stp>
        <stp>Symbol</stp>
        <tr r="M37" s="2"/>
      </tp>
      <tp t="s">
        <v>QOS6J6</v>
        <stp/>
        <stp>ContractData</stp>
        <stp>QOS6J</stp>
        <stp>Symbol</stp>
        <tr r="N43" s="2"/>
      </tp>
      <tp t="s">
        <v>QOS6F6</v>
        <stp/>
        <stp>ContractData</stp>
        <stp>QOS6F</stp>
        <stp>Symbol</stp>
        <tr r="K25" s="2"/>
      </tp>
      <tp t="s">
        <v>QOS6G6</v>
        <stp/>
        <stp>ContractData</stp>
        <stp>QOS6G</stp>
        <stp>Symbol</stp>
        <tr r="L31" s="2"/>
      </tp>
      <tp t="s">
        <v>QOS7X5</v>
        <stp/>
        <stp>ContractData</stp>
        <stp>QOS7X</stp>
        <stp>Symbol</stp>
        <tr r="J13" s="2"/>
      </tp>
      <tp t="s">
        <v>QOS7Z5</v>
        <stp/>
        <stp>ContractData</stp>
        <stp>QOS7Z</stp>
        <stp>Symbol</stp>
        <tr r="K19" s="2"/>
      </tp>
      <tp t="s">
        <v>QOS7H6</v>
        <stp/>
        <stp>ContractData</stp>
        <stp>QOS7H</stp>
        <stp>Symbol</stp>
        <tr r="N37" s="2"/>
      </tp>
      <tp t="s">
        <v>QOS7F6</v>
        <stp/>
        <stp>ContractData</stp>
        <stp>QOS7F</stp>
        <stp>Symbol</stp>
        <tr r="L25" s="2"/>
      </tp>
      <tp t="s">
        <v>QOS7G6</v>
        <stp/>
        <stp>ContractData</stp>
        <stp>QOS7G</stp>
        <stp>Symbol</stp>
        <tr r="M31" s="2"/>
      </tp>
      <tp t="s">
        <v>QOS8X5</v>
        <stp/>
        <stp>ContractData</stp>
        <stp>QOS8X</stp>
        <stp>Symbol</stp>
        <tr r="K13" s="2"/>
      </tp>
      <tp t="s">
        <v>QOS8Z5</v>
        <stp/>
        <stp>ContractData</stp>
        <stp>QOS8Z</stp>
        <stp>Symbol</stp>
        <tr r="L19" s="2"/>
      </tp>
      <tp t="s">
        <v>QOS8F6</v>
        <stp/>
        <stp>ContractData</stp>
        <stp>QOS8F</stp>
        <stp>Symbol</stp>
        <tr r="M25" s="2"/>
      </tp>
      <tp t="s">
        <v>QOS8G6</v>
        <stp/>
        <stp>ContractData</stp>
        <stp>QOS8G</stp>
        <stp>Symbol</stp>
        <tr r="N31" s="2"/>
      </tp>
      <tp t="s">
        <v>QOS9X5</v>
        <stp/>
        <stp>ContractData</stp>
        <stp>QOS9X</stp>
        <stp>Symbol</stp>
        <tr r="L13" s="2"/>
      </tp>
      <tp t="s">
        <v>QOS9Z5</v>
        <stp/>
        <stp>ContractData</stp>
        <stp>QOS9Z</stp>
        <stp>Symbol</stp>
        <tr r="M19" s="2"/>
      </tp>
      <tp t="s">
        <v>QOS9F6</v>
        <stp/>
        <stp>ContractData</stp>
        <stp>QOS9F</stp>
        <stp>Symbol</stp>
        <tr r="N25" s="2"/>
      </tp>
      <tp>
        <v>-4.34</v>
        <stp/>
        <stp>ContractData</stp>
        <stp>QOS6X</stp>
        <stp>Y_Settlement</stp>
        <tr r="X7" s="3"/>
      </tp>
      <tp>
        <v>-5.66</v>
        <stp/>
        <stp>ContractData</stp>
        <stp>QOS9X5</stp>
        <stp>Bid</stp>
        <tr r="L15" s="2"/>
      </tp>
      <tp>
        <v>-5.23</v>
        <stp/>
        <stp>ContractData</stp>
        <stp>QOS9Z5</stp>
        <stp>Bid</stp>
        <tr r="M21" s="2"/>
      </tp>
      <tp>
        <v>-4.82</v>
        <stp/>
        <stp>ContractData</stp>
        <stp>QOS9F6</stp>
        <stp>Bid</stp>
        <tr r="N27" s="2"/>
      </tp>
      <tp t="s">
        <v>QOQ6</v>
        <stp/>
        <stp>ContractData</stp>
        <stp>QO?10</stp>
        <stp>Symbol</stp>
        <tr r="Q11" s="3"/>
      </tp>
      <tp t="s">
        <v>QOU6</v>
        <stp/>
        <stp>ContractData</stp>
        <stp>QO?11</stp>
        <stp>Symbol</stp>
        <tr r="Q12" s="3"/>
      </tp>
      <tp t="s">
        <v>QOV6</v>
        <stp/>
        <stp>ContractData</stp>
        <stp>QO?12</stp>
        <stp>Symbol</stp>
        <tr r="Q13" s="3"/>
      </tp>
      <tp t="s">
        <v>QOX6</v>
        <stp/>
        <stp>ContractData</stp>
        <stp>QO?13</stp>
        <stp>Symbol</stp>
        <tr r="Q14" s="3"/>
      </tp>
      <tp>
        <v>-3.72</v>
        <stp/>
        <stp>ContractData</stp>
        <stp>QOS5X</stp>
        <stp>Y_Settlement</stp>
        <tr r="X6" s="3"/>
      </tp>
      <tp>
        <v>-4.7</v>
        <stp/>
        <stp>ContractData</stp>
        <stp>QOS9F6</stp>
        <stp>Ask</stp>
        <tr r="N26" s="2"/>
      </tp>
      <tp>
        <v>-5.17</v>
        <stp/>
        <stp>ContractData</stp>
        <stp>QOS9Z5</stp>
        <stp>Ask</stp>
        <tr r="M20" s="2"/>
      </tp>
      <tp>
        <v>-5.53</v>
        <stp/>
        <stp>ContractData</stp>
        <stp>QOS9X5</stp>
        <stp>Ask</stp>
        <tr r="L14" s="2"/>
      </tp>
      <tp>
        <v>-3.06</v>
        <stp/>
        <stp>ContractData</stp>
        <stp>QOS4X</stp>
        <stp>Y_Settlement</stp>
        <tr r="X5" s="3"/>
      </tp>
      <tp>
        <v>-4.34</v>
        <stp/>
        <stp>ContractData</stp>
        <stp>QOS8F6</stp>
        <stp>Ask</stp>
        <tr r="M26" s="2"/>
      </tp>
      <tp>
        <v>-3.95</v>
        <stp/>
        <stp>ContractData</stp>
        <stp>QOS8G6</stp>
        <stp>Ask</stp>
        <tr r="N32" s="2"/>
      </tp>
      <tp>
        <v>-4.76</v>
        <stp/>
        <stp>ContractData</stp>
        <stp>QOS8Z5</stp>
        <stp>Ask</stp>
        <tr r="L20" s="2"/>
      </tp>
      <tp>
        <v>-5.17</v>
        <stp/>
        <stp>ContractData</stp>
        <stp>QOS8X5</stp>
        <stp>Ask</stp>
        <tr r="K14" s="2"/>
      </tp>
    </main>
    <main first="cqgxl.rtd">
      <tp>
        <v>-5.58</v>
        <stp/>
        <stp>ContractData</stp>
        <stp>QOS9X</stp>
        <stp>LastTradeToday</stp>
        <tr r="W10" s="3"/>
      </tp>
      <tp>
        <v>-5.17</v>
        <stp/>
        <stp>ContractData</stp>
        <stp>QOS8X</stp>
        <stp>LastTradeToday</stp>
        <tr r="W9" s="3"/>
      </tp>
      <tp>
        <v>-2.35</v>
        <stp/>
        <stp>ContractData</stp>
        <stp>QOS3X</stp>
        <stp>LastTradeToday</stp>
        <tr r="W4" s="3"/>
      </tp>
      <tp>
        <v>-1.6</v>
        <stp/>
        <stp>ContractData</stp>
        <stp>QOS2X</stp>
        <stp>LastTradeToday</stp>
        <tr r="W3" s="3"/>
      </tp>
      <tp>
        <v>-0.79</v>
        <stp/>
        <stp>ContractData</stp>
        <stp>QOS1X</stp>
        <stp>LastTradeToday</stp>
        <tr r="W2" s="3"/>
      </tp>
      <tp>
        <v>-4.7300000000000004</v>
        <stp/>
        <stp>ContractData</stp>
        <stp>QOS7X</stp>
        <stp>LastTradeToday</stp>
        <tr r="W8" s="3"/>
      </tp>
      <tp>
        <v>-4.21</v>
        <stp/>
        <stp>ContractData</stp>
        <stp>QOS6X</stp>
        <stp>LastTradeToday</stp>
        <tr r="W7" s="3"/>
      </tp>
      <tp>
        <v>-3.6</v>
        <stp/>
        <stp>ContractData</stp>
        <stp>QOS5X</stp>
        <stp>LastTradeToday</stp>
        <tr r="W6" s="3"/>
      </tp>
      <tp>
        <v>-2.97</v>
        <stp/>
        <stp>ContractData</stp>
        <stp>QOS4X</stp>
        <stp>LastTradeToday</stp>
        <tr r="W5" s="3"/>
      </tp>
      <tp t="s">
        <v>QOX5</v>
        <stp/>
        <stp>ContractData</stp>
        <stp>QO?</stp>
        <stp>Symbol</stp>
        <tr r="R35" s="3"/>
      </tp>
      <tp t="s">
        <v>CLEV5</v>
        <stp/>
        <stp>ContractData</stp>
        <stp>CLE</stp>
        <stp>Symbol</stp>
        <tr r="D36" s="2"/>
      </tp>
    </main>
    <main first="cqgxl.rtd">
      <tp>
        <v>45.160000000000004</v>
        <stp/>
        <stp>ContractData</stp>
        <stp>CLE</stp>
        <stp>Open</stp>
        <tr r="D42" s="2"/>
      </tp>
      <tp t="s">
        <v>ETV5</v>
        <stp/>
        <stp>ContractData</stp>
        <stp>ET</stp>
        <stp>Symbol</stp>
        <tr r="B36" s="2"/>
      </tp>
      <tp>
        <v>4</v>
        <stp/>
        <stp>ContractData</stp>
        <stp>QOX5</stp>
        <stp>LastBidVolume</stp>
        <tr r="D57" s="2"/>
      </tp>
      <tp>
        <v>-5.51</v>
        <stp/>
        <stp>ContractData</stp>
        <stp>QOS10Z5</stp>
        <stp>Ask</stp>
        <tr r="N20" s="2"/>
      </tp>
      <tp>
        <v>-5.93</v>
        <stp/>
        <stp>ContractData</stp>
        <stp>QOS10X5</stp>
        <stp>Ask</stp>
        <tr r="M14" s="2"/>
      </tp>
      <tp>
        <v>56.08</v>
        <stp/>
        <stp>ContractData</stp>
        <stp>QOV6</stp>
        <stp>Low</stp>
        <tr r="F78" s="2"/>
      </tp>
      <tp>
        <v>54.5</v>
        <stp/>
        <stp>ContractData</stp>
        <stp>QOU6</stp>
        <stp>Low</stp>
        <tr r="F76" s="2"/>
      </tp>
      <tp>
        <v>-6.29</v>
        <stp/>
        <stp>ContractData</stp>
        <stp>QOS11X5</stp>
        <stp>Ask</stp>
        <tr r="N14" s="2"/>
      </tp>
      <tp>
        <v>54.71</v>
        <stp/>
        <stp>ContractData</stp>
        <stp>QOQ6</stp>
        <stp>Low</stp>
        <tr r="F75" s="2"/>
      </tp>
      <tp>
        <v>48.53</v>
        <stp/>
        <stp>ContractData</stp>
        <stp>QOZ5</stp>
        <stp>Low</stp>
        <tr r="F63" s="2"/>
      </tp>
      <tp>
        <v>47.71</v>
        <stp/>
        <stp>ContractData</stp>
        <stp>QOX5</stp>
        <stp>Low</stp>
        <tr r="F62" s="2"/>
      </tp>
      <tp t="s">
        <v>EU6Z5</v>
        <stp/>
        <stp>ContractData</stp>
        <stp>EU6?</stp>
        <stp>Symbol</stp>
        <tr r="F36" s="2"/>
      </tp>
      <tp>
        <v>50.15</v>
        <stp/>
        <stp>ContractData</stp>
        <stp>QOG6</stp>
        <stp>Low</stp>
        <tr r="F66" s="2"/>
      </tp>
      <tp>
        <v>49.35</v>
        <stp/>
        <stp>ContractData</stp>
        <stp>QOF6</stp>
        <stp>Low</stp>
        <tr r="F64" s="2"/>
      </tp>
      <tp>
        <v>53.53</v>
        <stp/>
        <stp>ContractData</stp>
        <stp>QON6</stp>
        <stp>Low</stp>
        <tr r="F74" s="2"/>
      </tp>
      <tp>
        <v>52.61</v>
        <stp/>
        <stp>ContractData</stp>
        <stp>QOM6</stp>
        <stp>Low</stp>
        <tr r="F72" s="2"/>
      </tp>
      <tp>
        <v>52.050000000000004</v>
        <stp/>
        <stp>ContractData</stp>
        <stp>QOK6</stp>
        <stp>Low</stp>
        <tr r="F70" s="2"/>
      </tp>
      <tp>
        <v>51.49</v>
        <stp/>
        <stp>ContractData</stp>
        <stp>QOJ6</stp>
        <stp>Low</stp>
        <tr r="F69" s="2"/>
      </tp>
      <tp>
        <v>50.79</v>
        <stp/>
        <stp>ContractData</stp>
        <stp>QOH6</stp>
        <stp>Low</stp>
        <tr r="F68" s="2"/>
      </tp>
      <tp>
        <v>-6.43</v>
        <stp/>
        <stp>ContractData</stp>
        <stp>QOS11X5</stp>
        <stp>Bid</stp>
        <tr r="N15" s="2"/>
      </tp>
      <tp>
        <v>1.1339000000000001</v>
        <stp/>
        <stp>ContractData</stp>
        <stp>EU6?</stp>
        <stp>High</stp>
        <tr r="F44" s="2"/>
      </tp>
      <tp>
        <v>-6.04</v>
        <stp/>
        <stp>ContractData</stp>
        <stp>QOS10X5</stp>
        <stp>Bid</stp>
        <tr r="M15" s="2"/>
      </tp>
      <tp>
        <v>-5.64</v>
        <stp/>
        <stp>ContractData</stp>
        <stp>QOS10Z5</stp>
        <stp>Bid</stp>
        <tr r="N21" s="2"/>
      </tp>
      <tp>
        <v>47.34</v>
        <stp/>
        <stp>ContractData</stp>
        <stp>ET</stp>
        <stp>High</stp>
        <tr r="B44" s="2"/>
      </tp>
      <tp>
        <v>54.08</v>
        <stp/>
        <stp>ContractData</stp>
        <stp>QOK6</stp>
        <stp>Ask</stp>
        <tr r="T8" s="3"/>
        <tr r="I50" s="2"/>
        <tr r="I8" s="2"/>
      </tp>
      <tp>
        <v>53.51</v>
        <stp/>
        <stp>ContractData</stp>
        <stp>QOJ6</stp>
        <stp>Ask</stp>
        <tr r="H44" s="2"/>
        <tr r="H8" s="2"/>
        <tr r="T7" s="3"/>
      </tp>
      <tp>
        <v>52.86</v>
        <stp/>
        <stp>ContractData</stp>
        <stp>QOH6</stp>
        <stp>Ask</stp>
        <tr r="G38" s="2"/>
        <tr r="G8" s="2"/>
        <tr r="T6" s="3"/>
      </tp>
      <tp>
        <v>55.09</v>
        <stp/>
        <stp>ContractData</stp>
        <stp>QON6</stp>
        <stp>Ask</stp>
        <tr r="K62" s="2"/>
        <tr r="K8" s="2"/>
        <tr r="T10" s="3"/>
      </tp>
      <tp>
        <v>54.620000000000005</v>
        <stp/>
        <stp>ContractData</stp>
        <stp>QOM6</stp>
        <stp>Ask</stp>
        <tr r="J8" s="2"/>
        <tr r="T9" s="3"/>
        <tr r="J56" s="2"/>
      </tp>
      <tp>
        <v>52.230000000000004</v>
        <stp/>
        <stp>ContractData</stp>
        <stp>QOG6</stp>
        <stp>Ask</stp>
        <tr r="F32" s="2"/>
        <tr r="F8" s="2"/>
        <tr r="T5" s="3"/>
      </tp>
      <tp>
        <v>51.480000000000004</v>
        <stp/>
        <stp>ContractData</stp>
        <stp>QOF6</stp>
        <stp>Ask</stp>
        <tr r="E8" s="2"/>
        <tr r="E26" s="2"/>
        <tr r="T4" s="3"/>
      </tp>
      <tp>
        <v>50.67</v>
        <stp/>
        <stp>ContractData</stp>
        <stp>QOZ5</stp>
        <stp>Ask</stp>
        <tr r="D8" s="2"/>
        <tr r="T3" s="3"/>
        <tr r="D20" s="2"/>
      </tp>
      <tp>
        <v>49.88</v>
        <stp/>
        <stp>ContractData</stp>
        <stp>QOX5</stp>
        <stp>Ask</stp>
        <tr r="E54" s="2"/>
        <tr r="B8" s="2"/>
        <tr r="B14" s="2"/>
        <tr r="T2" s="3"/>
      </tp>
      <tp>
        <v>55.910000000000004</v>
        <stp/>
        <stp>ContractData</stp>
        <stp>QOQ6</stp>
        <stp>Ask</stp>
        <tr r="L8" s="2"/>
        <tr r="L68" s="2"/>
        <tr r="T11" s="3"/>
      </tp>
      <tp>
        <v>56.72</v>
        <stp/>
        <stp>ContractData</stp>
        <stp>QOV6</stp>
        <stp>Ask</stp>
        <tr r="N80" s="2"/>
        <tr r="N8" s="2"/>
        <tr r="T13" s="3"/>
      </tp>
      <tp>
        <v>56.01</v>
        <stp/>
        <stp>ContractData</stp>
        <stp>QOU6</stp>
        <stp>Ask</stp>
        <tr r="M74" s="2"/>
        <tr r="M8" s="2"/>
        <tr r="T12" s="3"/>
      </tp>
      <tp>
        <v>-7.11</v>
        <stp/>
        <stp>ContractData</stp>
        <stp>QOS12X</stp>
        <stp>Y_Settlement</stp>
        <tr r="X13" s="3"/>
      </tp>
      <tp>
        <v>-6.7</v>
        <stp/>
        <stp>ContractData</stp>
        <stp>QOS11X</stp>
        <stp>Y_Settlement</stp>
        <tr r="X12" s="3"/>
      </tp>
      <tp>
        <v>54.94</v>
        <stp/>
        <stp>ContractData</stp>
        <stp>QOQ6</stp>
        <stp>Bid</stp>
        <tr r="L9" s="2"/>
        <tr r="L69" s="2"/>
        <tr r="S11" s="3"/>
      </tp>
      <tp>
        <v>55.38</v>
        <stp/>
        <stp>ContractData</stp>
        <stp>QOU6</stp>
        <stp>Bid</stp>
        <tr r="M75" s="2"/>
        <tr r="M9" s="2"/>
        <tr r="S12" s="3"/>
      </tp>
      <tp>
        <v>55.69</v>
        <stp/>
        <stp>ContractData</stp>
        <stp>QOV6</stp>
        <stp>Bid</stp>
        <tr r="N81" s="2"/>
        <tr r="N9" s="2"/>
        <tr r="S13" s="3"/>
      </tp>
      <tp>
        <v>49.870000000000005</v>
        <stp/>
        <stp>ContractData</stp>
        <stp>QOX5</stp>
        <stp>Bid</stp>
        <tr r="E57" s="2"/>
        <tr r="B9" s="2"/>
        <tr r="B15" s="2"/>
        <tr r="S2" s="3"/>
      </tp>
      <tp>
        <v>50.65</v>
        <stp/>
        <stp>ContractData</stp>
        <stp>QOZ5</stp>
        <stp>Bid</stp>
        <tr r="D21" s="2"/>
        <tr r="D9" s="2"/>
        <tr r="S3" s="3"/>
      </tp>
      <tp>
        <v>52.21</v>
        <stp/>
        <stp>ContractData</stp>
        <stp>QOG6</stp>
        <stp>Bid</stp>
        <tr r="F9" s="2"/>
        <tr r="S5" s="3"/>
        <tr r="F33" s="2"/>
      </tp>
      <tp>
        <v>51.46</v>
        <stp/>
        <stp>ContractData</stp>
        <stp>QOF6</stp>
        <stp>Bid</stp>
        <tr r="E9" s="2"/>
        <tr r="E27" s="2"/>
        <tr r="S4" s="3"/>
      </tp>
      <tp>
        <v>52.83</v>
        <stp/>
        <stp>ContractData</stp>
        <stp>QOH6</stp>
        <stp>Bid</stp>
        <tr r="G39" s="2"/>
        <tr r="G9" s="2"/>
        <tr r="S6" s="3"/>
      </tp>
      <tp>
        <v>54.050000000000004</v>
        <stp/>
        <stp>ContractData</stp>
        <stp>QOK6</stp>
        <stp>Bid</stp>
        <tr r="I9" s="2"/>
        <tr r="S8" s="3"/>
        <tr r="I51" s="2"/>
      </tp>
      <tp>
        <v>53.47</v>
        <stp/>
        <stp>ContractData</stp>
        <stp>QOJ6</stp>
        <stp>Bid</stp>
        <tr r="H45" s="2"/>
        <tr r="H9" s="2"/>
        <tr r="S7" s="3"/>
      </tp>
      <tp>
        <v>54.58</v>
        <stp/>
        <stp>ContractData</stp>
        <stp>QOM6</stp>
        <stp>Bid</stp>
        <tr r="J9" s="2"/>
        <tr r="J57" s="2"/>
        <tr r="S9" s="3"/>
      </tp>
      <tp>
        <v>55.04</v>
        <stp/>
        <stp>ContractData</stp>
        <stp>QON6</stp>
        <stp>Bid</stp>
        <tr r="K63" s="2"/>
        <tr r="K9" s="2"/>
        <tr r="S10" s="3"/>
      </tp>
      <tp>
        <v>-6.29</v>
        <stp/>
        <stp>ContractData</stp>
        <stp>QOS10X</stp>
        <stp>Y_Settlement</stp>
        <tr r="X11" s="3"/>
      </tp>
      <tp>
        <v>7</v>
        <stp/>
        <stp>ContractData</stp>
        <stp>QOX5</stp>
        <stp>LastAskVolume</stp>
        <tr r="D54" s="2"/>
      </tp>
      <tp>
        <v>2.657</v>
        <stp/>
        <stp>ContractData</stp>
        <stp>NGE?</stp>
        <stp>Low</stp>
        <tr r="E45" s="2"/>
      </tp>
      <tp t="s">
        <v>NGEV5</v>
        <stp/>
        <stp>ContractData</stp>
        <stp>NGE?</stp>
        <stp>Symbol</stp>
        <tr r="E36" s="2"/>
      </tp>
      <tp>
        <v>51.46</v>
        <stp/>
        <stp>ContractData</stp>
        <stp>QOF6</stp>
        <stp>LastTradeToday</stp>
        <tr r="H64" s="2"/>
        <tr r="G64" s="2"/>
        <tr r="E10" s="2"/>
        <tr r="R4" s="3"/>
        <tr r="E28" s="2"/>
      </tp>
      <tp>
        <v>52.21</v>
        <stp/>
        <stp>ContractData</stp>
        <stp>QOG6</stp>
        <stp>LastTradeToday</stp>
        <tr r="H66" s="2"/>
        <tr r="G66" s="2"/>
        <tr r="F10" s="2"/>
        <tr r="F34" s="2"/>
        <tr r="R5" s="3"/>
      </tp>
      <tp>
        <v>55.03</v>
        <stp/>
        <stp>ContractData</stp>
        <stp>QON6</stp>
        <stp>LastTradeToday</stp>
        <tr r="H74" s="2"/>
        <tr r="G74" s="2"/>
        <tr r="K64" s="2"/>
        <tr r="K10" s="2"/>
        <tr r="R10" s="3"/>
      </tp>
      <tp>
        <v>54.61</v>
        <stp/>
        <stp>ContractData</stp>
        <stp>QOM6</stp>
        <stp>LastTradeToday</stp>
        <tr r="H72" s="2"/>
        <tr r="G72" s="2"/>
        <tr r="J10" s="2"/>
        <tr r="R9" s="3"/>
        <tr r="J58" s="2"/>
      </tp>
      <tp>
        <v>53.33</v>
        <stp/>
        <stp>ContractData</stp>
        <stp>QOJ6</stp>
        <stp>LastTradeToday</stp>
        <tr r="H69" s="2"/>
        <tr r="G69" s="2"/>
        <tr r="H46" s="2"/>
        <tr r="H10" s="2"/>
        <tr r="R7" s="3"/>
      </tp>
      <tp>
        <v>53.9</v>
        <stp/>
        <stp>ContractData</stp>
        <stp>QOK6</stp>
        <stp>LastTradeToday</stp>
        <tr r="H70" s="2"/>
        <tr r="G70" s="2"/>
        <tr r="I10" s="2"/>
        <tr r="I52" s="2"/>
        <tr r="R8" s="3"/>
      </tp>
      <tp>
        <v>52.85</v>
        <stp/>
        <stp>ContractData</stp>
        <stp>QOH6</stp>
        <stp>LastTradeToday</stp>
        <tr r="G40" s="2"/>
        <tr r="G68" s="2"/>
        <tr r="H68" s="2"/>
        <tr r="G10" s="2"/>
        <tr r="R6" s="3"/>
      </tp>
      <tp>
        <v>56.08</v>
        <stp/>
        <stp>ContractData</stp>
        <stp>QOV6</stp>
        <stp>LastTradeToday</stp>
        <tr r="H78" s="2"/>
        <tr r="G78" s="2"/>
        <tr r="N82" s="2"/>
        <tr r="N10" s="2"/>
        <tr r="R13" s="3"/>
      </tp>
      <tp>
        <v>55.56</v>
        <stp/>
        <stp>ContractData</stp>
        <stp>QOU6</stp>
        <stp>LastTradeToday</stp>
        <tr r="G76" s="2"/>
        <tr r="H76" s="2"/>
        <tr r="M76" s="2"/>
        <tr r="M10" s="2"/>
        <tr r="R12" s="3"/>
      </tp>
      <tp>
        <v>54.71</v>
        <stp/>
        <stp>ContractData</stp>
        <stp>QOQ6</stp>
        <stp>LastTradeToday</stp>
        <tr r="G75" s="2"/>
        <tr r="H75" s="2"/>
        <tr r="L10" s="2"/>
        <tr r="L70" s="2"/>
        <tr r="R11" s="3"/>
      </tp>
      <tp>
        <v>50.65</v>
        <stp/>
        <stp>ContractData</stp>
        <stp>QOZ5</stp>
        <stp>LastTradeToday</stp>
        <tr r="H63" s="2"/>
        <tr r="G63" s="2"/>
        <tr r="R3" s="3"/>
        <tr r="D10" s="2"/>
        <tr r="D22" s="2"/>
      </tp>
      <tp>
        <v>49.88</v>
        <stp/>
        <stp>ContractData</stp>
        <stp>QOX5</stp>
        <stp>LastTradeToday</stp>
        <tr r="G62" s="2"/>
        <tr r="B10" s="2"/>
        <tr r="H62" s="2"/>
        <tr r="B16" s="2"/>
        <tr r="R2" s="3"/>
      </tp>
      <tp>
        <v>2.6640000000000001</v>
        <stp/>
        <stp>ContractData</stp>
        <stp>NGE?</stp>
        <stp>LastTradeToday</stp>
        <tr r="E46" s="2"/>
      </tp>
      <tp>
        <v>44.97</v>
        <stp/>
        <stp>ContractData</stp>
        <stp>ET</stp>
        <stp>Open</stp>
        <tr r="B42" s="2"/>
      </tp>
      <tp t="s">
        <v>QOM6</v>
        <stp/>
        <stp>ContractData</stp>
        <stp>QOM6</stp>
        <stp>Symbol</stp>
        <tr r="J7" s="2"/>
        <tr r="J55" s="2"/>
      </tp>
      <tp t="s">
        <v>QON6</v>
        <stp/>
        <stp>ContractData</stp>
        <stp>QON6</stp>
        <stp>Symbol</stp>
        <tr r="K61" s="2"/>
        <tr r="K7" s="2"/>
      </tp>
      <tp t="s">
        <v>QOH6</v>
        <stp/>
        <stp>ContractData</stp>
        <stp>QOH6</stp>
        <stp>Symbol</stp>
        <tr r="G37" s="2"/>
        <tr r="G7" s="2"/>
      </tp>
      <tp t="s">
        <v>QOK6</v>
        <stp/>
        <stp>ContractData</stp>
        <stp>QOK6</stp>
        <stp>Symbol</stp>
        <tr r="I49" s="2"/>
        <tr r="I7" s="2"/>
      </tp>
      <tp t="s">
        <v>QOJ6</v>
        <stp/>
        <stp>ContractData</stp>
        <stp>QOJ6</stp>
        <stp>Symbol</stp>
        <tr r="H43" s="2"/>
        <tr r="H7" s="2"/>
      </tp>
      <tp t="s">
        <v>QOG6</v>
        <stp/>
        <stp>ContractData</stp>
        <stp>QOG6</stp>
        <stp>Symbol</stp>
        <tr r="F31" s="2"/>
        <tr r="F7" s="2"/>
      </tp>
      <tp t="s">
        <v>QOF6</v>
        <stp/>
        <stp>ContractData</stp>
        <stp>QOF6</stp>
        <stp>Symbol</stp>
        <tr r="E7" s="2"/>
        <tr r="E25" s="2"/>
      </tp>
      <tp t="s">
        <v>QOX5</v>
        <stp/>
        <stp>ContractData</stp>
        <stp>QOX5</stp>
        <stp>Symbol</stp>
        <tr r="B7" s="2"/>
        <tr r="B13" s="2"/>
      </tp>
      <tp t="s">
        <v>QOZ5</v>
        <stp/>
        <stp>ContractData</stp>
        <stp>QOZ5</stp>
        <stp>Symbol</stp>
        <tr r="D7" s="2"/>
        <tr r="D19" s="2"/>
      </tp>
      <tp t="s">
        <v>QOU6</v>
        <stp/>
        <stp>ContractData</stp>
        <stp>QOU6</stp>
        <stp>Symbol</stp>
        <tr r="M73" s="2"/>
        <tr r="M7" s="2"/>
      </tp>
      <tp t="s">
        <v>QOV6</v>
        <stp/>
        <stp>ContractData</stp>
        <stp>QOV6</stp>
        <stp>Symbol</stp>
        <tr r="N79" s="2"/>
        <tr r="N7" s="2"/>
      </tp>
      <tp t="s">
        <v>QOQ6</v>
        <stp/>
        <stp>ContractData</stp>
        <stp>QOQ6</stp>
        <stp>Symbol</stp>
        <tr r="L7" s="2"/>
        <tr r="L67" s="2"/>
      </tp>
      <tp t="s">
        <v>QON6</v>
        <stp/>
        <stp>ContractData</stp>
        <stp>QO?9</stp>
        <stp>Symbol</stp>
        <tr r="Q10" s="3"/>
      </tp>
      <tp t="s">
        <v>QOM6</v>
        <stp/>
        <stp>ContractData</stp>
        <stp>QO?8</stp>
        <stp>Symbol</stp>
        <tr r="Q9" s="3"/>
      </tp>
      <tp t="s">
        <v>QOX5</v>
        <stp/>
        <stp>ContractData</stp>
        <stp>QO?1</stp>
        <stp>Symbol</stp>
        <tr r="Q2" s="3"/>
        <tr r="S35" s="3"/>
        <tr r="B36" s="3"/>
        <tr r="F19" s="3"/>
        <tr r="R35" s="3"/>
      </tp>
      <tp t="s">
        <v>QOF6</v>
        <stp/>
        <stp>ContractData</stp>
        <stp>QO?3</stp>
        <stp>Symbol</stp>
        <tr r="Q4" s="3"/>
      </tp>
      <tp t="s">
        <v>QOZ5</v>
        <stp/>
        <stp>ContractData</stp>
        <stp>QO?2</stp>
        <stp>Symbol</stp>
        <tr r="Q3" s="3"/>
        <tr r="S36" s="3"/>
      </tp>
      <tp t="s">
        <v>QOH6</v>
        <stp/>
        <stp>ContractData</stp>
        <stp>QO?5</stp>
        <stp>Symbol</stp>
        <tr r="Q6" s="3"/>
      </tp>
      <tp t="s">
        <v>QOG6</v>
        <stp/>
        <stp>ContractData</stp>
        <stp>QO?4</stp>
        <stp>Symbol</stp>
        <tr r="Q5" s="3"/>
      </tp>
      <tp t="s">
        <v>QOK6</v>
        <stp/>
        <stp>ContractData</stp>
        <stp>QO?7</stp>
        <stp>Symbol</stp>
        <tr r="Q8" s="3"/>
      </tp>
      <tp t="s">
        <v>QOJ6</v>
        <stp/>
        <stp>ContractData</stp>
        <stp>QO?6</stp>
        <stp>Symbol</stp>
        <tr r="Q7" s="3"/>
      </tp>
      <tp t="b">
        <v>0</v>
        <stp/>
        <stp>ContractData</stp>
        <stp/>
        <stp>Y_Settlement</stp>
        <tr r="H77" s="2"/>
      </tp>
      <tp>
        <v>1.1305000000000001</v>
        <stp/>
        <stp>ContractData</stp>
        <stp>EU6?</stp>
        <stp>LastTradeToday</stp>
        <tr r="F46" s="2"/>
      </tp>
    </main>
    <main first="cqg.rtd">
      <tp t="b">
        <v>0</v>
        <stp/>
        <stp>ContractData</stp>
        <stp>QOX5</stp>
        <stp>NetLastTradeToday</stp>
        <stp/>
        <stp>T</stp>
        <tr r="H57" s="2"/>
      </tp>
    </main>
    <main first="cqgxl.rtd">
      <tp>
        <v>-6.33</v>
        <stp/>
        <stp>ContractData</stp>
        <stp>QOS11X5</stp>
        <stp>LastTradeToday</stp>
        <tr r="N16" s="2"/>
      </tp>
      <tp>
        <v>-5.5600000000000005</v>
        <stp/>
        <stp>ContractData</stp>
        <stp>QOS10Z5</stp>
        <stp>LastTradeToday</stp>
        <tr r="N22" s="2"/>
      </tp>
      <tp>
        <v>-5.96</v>
        <stp/>
        <stp>ContractData</stp>
        <stp>QOS10X5</stp>
        <stp>LastTradeToday</stp>
        <tr r="M16" s="2"/>
      </tp>
      <tp>
        <v>44.83</v>
        <stp/>
        <stp>ContractData</stp>
        <stp>ET</stp>
        <stp>Low</stp>
        <tr r="B45" s="2"/>
      </tp>
      <tp>
        <v>1.1282000000000001</v>
        <stp/>
        <stp>ContractData</stp>
        <stp>EU6?</stp>
        <stp>Open</stp>
        <tr r="F42" s="2"/>
      </tp>
      <tp>
        <v>1.1232</v>
        <stp/>
        <stp>ContractData</stp>
        <stp>EU6?</stp>
        <stp>Low</stp>
        <tr r="F45" s="2"/>
      </tp>
    </main>
    <main first="cqg.rtd">
      <tp t="b">
        <v>0</v>
        <stp/>
        <stp>StudyData</stp>
        <stp>QOQ6</stp>
        <stp>VolOI</stp>
        <stp/>
        <stp>Vol</stp>
        <stp>330</stp>
        <stp/>
        <stp>PrimaryOnly</stp>
        <stp/>
        <stp/>
        <stp/>
        <stp>T</stp>
        <tr r="U88" s="2"/>
      </tp>
    </main>
    <main first="cqgxl.rtd">
      <tp>
        <v>55.33</v>
        <stp/>
        <stp>ContractData</stp>
        <stp>QOQ6</stp>
        <stp>High</stp>
        <tr r="E75" s="2"/>
      </tp>
      <tp>
        <v>51.06</v>
        <stp/>
        <stp>ContractData</stp>
        <stp>QOH6</stp>
        <stp>Open</stp>
        <tr r="D68" s="2"/>
      </tp>
      <tp>
        <v>51.74</v>
        <stp/>
        <stp>ContractData</stp>
        <stp>QOJ6</stp>
        <stp>Open</stp>
        <tr r="D69" s="2"/>
      </tp>
      <tp>
        <v>52.31</v>
        <stp/>
        <stp>ContractData</stp>
        <stp>QOK6</stp>
        <stp>Open</stp>
        <tr r="D70" s="2"/>
      </tp>
    </main>
    <main first="cqg.rtd">
      <tp t="b">
        <v>0</v>
        <stp/>
        <stp>StudyData</stp>
        <stp>QOU6</stp>
        <stp>VolOI</stp>
        <stp/>
        <stp>Vol</stp>
        <stp>330</stp>
        <stp/>
        <stp>PrimaryOnly</stp>
        <stp/>
        <stp/>
        <stp/>
        <stp>T</stp>
        <tr r="U89" s="2"/>
      </tp>
    </main>
    <main first="cqgxl.rtd">
      <tp>
        <v>55.71</v>
        <stp/>
        <stp>ContractData</stp>
        <stp>QOU6</stp>
        <stp>High</stp>
        <tr r="E76" s="2"/>
      </tp>
      <tp>
        <v>52.89</v>
        <stp/>
        <stp>ContractData</stp>
        <stp>QOM6</stp>
        <stp>Open</stp>
        <tr r="D72" s="2"/>
      </tp>
      <tp>
        <v>53.53</v>
        <stp/>
        <stp>ContractData</stp>
        <stp>QON6</stp>
        <stp>Open</stp>
        <tr r="D74" s="2"/>
      </tp>
    </main>
    <main first="cqg.rtd">
      <tp t="b">
        <v>0</v>
        <stp/>
        <stp>StudyData</stp>
        <stp>QOV6</stp>
        <stp>VolOI</stp>
        <stp/>
        <stp>Vol</stp>
        <stp>330</stp>
        <stp/>
        <stp>PrimaryOnly</stp>
        <stp/>
        <stp/>
        <stp/>
        <stp>T</stp>
        <tr r="U90" s="2"/>
      </tp>
    </main>
    <main first="cqgxl.rtd">
      <tp>
        <v>56.08</v>
        <stp/>
        <stp>ContractData</stp>
        <stp>QOV6</stp>
        <stp>High</stp>
        <tr r="E78" s="2"/>
      </tp>
      <tp>
        <v>50.34</v>
        <stp/>
        <stp>ContractData</stp>
        <stp>QOX5</stp>
        <stp>High</stp>
        <tr r="E62" s="2"/>
      </tp>
    </main>
    <main first="cqgxl.rtd">
      <tp>
        <v>51.06</v>
        <stp/>
        <stp>ContractData</stp>
        <stp>QOZ5</stp>
        <stp>High</stp>
        <tr r="E63" s="2"/>
      </tp>
      <tp>
        <v>2.734</v>
        <stp/>
        <stp>ContractData</stp>
        <stp>NGE?</stp>
        <stp>Open</stp>
        <tr r="E42" s="2"/>
      </tp>
      <tp>
        <v>49.63</v>
        <stp/>
        <stp>ContractData</stp>
        <stp>QOF6</stp>
        <stp>Open</stp>
        <tr r="D64" s="2"/>
      </tp>
      <tp>
        <v>50.49</v>
        <stp/>
        <stp>ContractData</stp>
        <stp>QOG6</stp>
        <stp>Open</stp>
        <tr r="D66" s="2"/>
      </tp>
      <tp t="s">
        <v>QOS10X5</v>
        <stp/>
        <stp>ContractData</stp>
        <stp>QOS10X</stp>
        <stp>Symbol</stp>
        <tr r="M13" s="2"/>
      </tp>
      <tp t="s">
        <v>QOS10Z5</v>
        <stp/>
        <stp>ContractData</stp>
        <stp>QOS10Z</stp>
        <stp>Symbol</stp>
        <tr r="N19" s="2"/>
      </tp>
      <tp t="s">
        <v>QOS11X5</v>
        <stp/>
        <stp>ContractData</stp>
        <stp>QOS11X</stp>
        <stp>Symbol</stp>
        <tr r="N13" s="2"/>
      </tp>
      <tp>
        <v>48.06</v>
        <stp/>
        <stp>ContractData</stp>
        <stp>QOX5</stp>
        <stp>Open</stp>
        <tr r="D62" s="2"/>
      </tp>
      <tp>
        <v>-4.0200000000000005</v>
        <stp/>
        <stp>ContractData</stp>
        <stp>QOS8G6</stp>
        <stp>LastTradeToday</stp>
        <tr r="N34" s="2"/>
      </tp>
      <tp>
        <v>-4.3899999999999997</v>
        <stp/>
        <stp>ContractData</stp>
        <stp>QOS8F6</stp>
        <stp>LastTradeToday</stp>
        <tr r="M28" s="2"/>
      </tp>
      <tp>
        <v>-4.8100000000000005</v>
        <stp/>
        <stp>ContractData</stp>
        <stp>QOS8Z5</stp>
        <stp>LastTradeToday</stp>
        <tr r="L22" s="2"/>
      </tp>
      <tp>
        <v>-5.17</v>
        <stp/>
        <stp>ContractData</stp>
        <stp>QOS8X5</stp>
        <stp>LastTradeToday</stp>
        <tr r="K16" s="2"/>
      </tp>
      <tp>
        <v>-4.76</v>
        <stp/>
        <stp>ContractData</stp>
        <stp>QOS9F6</stp>
        <stp>LastTradeToday</stp>
        <tr r="N28" s="2"/>
      </tp>
      <tp>
        <v>-5.19</v>
        <stp/>
        <stp>ContractData</stp>
        <stp>QOS9Z5</stp>
        <stp>LastTradeToday</stp>
        <tr r="M22" s="2"/>
      </tp>
      <tp>
        <v>-5.58</v>
        <stp/>
        <stp>ContractData</stp>
        <stp>QOS9X5</stp>
        <stp>LastTradeToday</stp>
        <tr r="L16" s="2"/>
      </tp>
      <tp>
        <v>-1</v>
        <stp/>
        <stp>ContractData</stp>
        <stp>QOS2K6</stp>
        <stp>LastTradeToday</stp>
        <tr r="K52" s="2"/>
      </tp>
      <tp>
        <v>-1.1100000000000001</v>
        <stp/>
        <stp>ContractData</stp>
        <stp>QOS2J6</stp>
        <stp>LastTradeToday</stp>
        <tr r="J46" s="2"/>
      </tp>
      <tp>
        <v>-1.22</v>
        <stp/>
        <stp>ContractData</stp>
        <stp>QOS2H6</stp>
        <stp>LastTradeToday</stp>
        <tr r="I40" s="2"/>
      </tp>
      <tp>
        <v>-0.79</v>
        <stp/>
        <stp>ContractData</stp>
        <stp>QOS2N6</stp>
        <stp>LastTradeToday</stp>
        <tr r="M64" s="2"/>
      </tp>
      <tp>
        <v>-0.87</v>
        <stp/>
        <stp>ContractData</stp>
        <stp>QOS2M6</stp>
        <stp>LastTradeToday</stp>
        <tr r="L58" s="2"/>
      </tp>
      <tp>
        <v>-1.27</v>
        <stp/>
        <stp>ContractData</stp>
        <stp>QOS2G6</stp>
        <stp>LastTradeToday</stp>
        <tr r="H34" s="2"/>
      </tp>
      <tp>
        <v>-1.3800000000000001</v>
        <stp/>
        <stp>ContractData</stp>
        <stp>QOS2F6</stp>
        <stp>LastTradeToday</stp>
        <tr r="G28" s="2"/>
      </tp>
      <tp>
        <v>-1.55</v>
        <stp/>
        <stp>ContractData</stp>
        <stp>QOS2Z5</stp>
        <stp>LastTradeToday</stp>
        <tr r="F22" s="2"/>
      </tp>
      <tp>
        <v>-1.6</v>
        <stp/>
        <stp>ContractData</stp>
        <stp>QOS2X5</stp>
        <stp>LastTradeToday</stp>
        <tr r="E16" s="2"/>
      </tp>
      <tp>
        <v>-0.75</v>
        <stp/>
        <stp>ContractData</stp>
        <stp>QOS2Q6</stp>
        <stp>LastTradeToday</stp>
        <tr r="N70" s="2"/>
      </tp>
      <tp>
        <v>-1.43</v>
        <stp/>
        <stp>ContractData</stp>
        <stp>QOS3K6</stp>
        <stp>LastTradeToday</stp>
        <tr r="L52" s="2"/>
      </tp>
      <tp>
        <v>-1.58</v>
        <stp/>
        <stp>ContractData</stp>
        <stp>QOS3J6</stp>
        <stp>LastTradeToday</stp>
        <tr r="K46" s="2"/>
      </tp>
      <tp>
        <v>-1.76</v>
        <stp/>
        <stp>ContractData</stp>
        <stp>QOS3H6</stp>
        <stp>LastTradeToday</stp>
        <tr r="J40" s="2"/>
      </tp>
      <tp>
        <v>-1.1599999999999999</v>
        <stp/>
        <stp>ContractData</stp>
        <stp>QOS3N6</stp>
        <stp>LastTradeToday</stp>
        <tr r="N64" s="2"/>
      </tp>
      <tp>
        <v>-1.25</v>
        <stp/>
        <stp>ContractData</stp>
        <stp>QOS3M6</stp>
        <stp>LastTradeToday</stp>
        <tr r="M58" s="2"/>
      </tp>
      <tp>
        <v>-1.86</v>
        <stp/>
        <stp>ContractData</stp>
        <stp>QOS3G6</stp>
        <stp>LastTradeToday</stp>
        <tr r="I34" s="2"/>
      </tp>
      <tp>
        <v>-2.02</v>
        <stp/>
        <stp>ContractData</stp>
        <stp>QOS3F6</stp>
        <stp>LastTradeToday</stp>
        <tr r="H28" s="2"/>
      </tp>
      <tp>
        <v>-2.1800000000000002</v>
        <stp/>
        <stp>ContractData</stp>
        <stp>QOS3Z5</stp>
        <stp>LastTradeToday</stp>
        <tr r="G22" s="2"/>
      </tp>
      <tp>
        <v>-2.35</v>
        <stp/>
        <stp>ContractData</stp>
        <stp>QOS3X5</stp>
        <stp>LastTradeToday</stp>
        <tr r="F16" s="2"/>
      </tp>
      <tp>
        <v>-0.54</v>
        <stp/>
        <stp>ContractData</stp>
        <stp>QOS1K6</stp>
        <stp>LastTradeToday</stp>
        <tr r="J52" s="2"/>
      </tp>
      <tp>
        <v>-0.57999999999999996</v>
        <stp/>
        <stp>ContractData</stp>
        <stp>QOS1J6</stp>
        <stp>LastTradeToday</stp>
        <tr r="I46" s="2"/>
      </tp>
      <tp>
        <v>-0.64</v>
        <stp/>
        <stp>ContractData</stp>
        <stp>QOS1H6</stp>
        <stp>LastTradeToday</stp>
        <tr r="H40" s="2"/>
      </tp>
      <tp>
        <v>-0.4</v>
        <stp/>
        <stp>ContractData</stp>
        <stp>QOS1N6</stp>
        <stp>LastTradeToday</stp>
        <tr r="L64" s="2"/>
      </tp>
      <tp>
        <v>-0.47000000000000003</v>
        <stp/>
        <stp>ContractData</stp>
        <stp>QOS1M6</stp>
        <stp>LastTradeToday</stp>
        <tr r="K58" s="2"/>
      </tp>
      <tp>
        <v>-0.63</v>
        <stp/>
        <stp>ContractData</stp>
        <stp>QOS1G6</stp>
        <stp>LastTradeToday</stp>
        <tr r="G34" s="2"/>
      </tp>
      <tp>
        <v>-0.75</v>
        <stp/>
        <stp>ContractData</stp>
        <stp>QOS1F6</stp>
        <stp>LastTradeToday</stp>
        <tr r="F28" s="2"/>
      </tp>
      <tp>
        <v>-0.81</v>
        <stp/>
        <stp>ContractData</stp>
        <stp>QOS1Z5</stp>
        <stp>LastTradeToday</stp>
        <tr r="E22" s="2"/>
      </tp>
      <tp>
        <v>-0.79</v>
        <stp/>
        <stp>ContractData</stp>
        <stp>QOS1X5</stp>
        <stp>LastTradeToday</stp>
        <tr r="D16" s="2"/>
      </tp>
      <tp>
        <v>-0.38</v>
        <stp/>
        <stp>ContractData</stp>
        <stp>QOS1Q6</stp>
        <stp>LastTradeToday</stp>
        <tr r="M70" s="2"/>
      </tp>
      <tp>
        <v>-0.37</v>
        <stp/>
        <stp>ContractData</stp>
        <stp>QOS1V6</stp>
        <stp>LastTradeToday</stp>
        <tr r="O82" s="2"/>
      </tp>
      <tp>
        <v>-0.37</v>
        <stp/>
        <stp>ContractData</stp>
        <stp>QOS1U6</stp>
        <stp>LastTradeToday</stp>
        <tr r="N76" s="2"/>
      </tp>
      <tp>
        <v>-6.7</v>
        <stp/>
        <stp>ContractData</stp>
        <stp>QOS12X</stp>
        <stp>LastTradeToday</stp>
        <tr r="W13" s="3"/>
      </tp>
      <tp>
        <v>-6.33</v>
        <stp/>
        <stp>ContractData</stp>
        <stp>QOS11X</stp>
        <stp>LastTradeToday</stp>
        <tr r="W12" s="3"/>
      </tp>
      <tp>
        <v>-5.96</v>
        <stp/>
        <stp>ContractData</stp>
        <stp>QOS10X</stp>
        <stp>LastTradeToday</stp>
        <tr r="W11" s="3"/>
      </tp>
      <tp>
        <v>-2.74</v>
        <stp/>
        <stp>ContractData</stp>
        <stp>QOS6J6</stp>
        <stp>LastTradeToday</stp>
        <tr r="N46" s="2"/>
      </tp>
      <tp>
        <v>-3.02</v>
        <stp/>
        <stp>ContractData</stp>
        <stp>QOS6H6</stp>
        <stp>LastTradeToday</stp>
        <tr r="M40" s="2"/>
      </tp>
      <tp>
        <v>-3.27</v>
        <stp/>
        <stp>ContractData</stp>
        <stp>QOS6G6</stp>
        <stp>LastTradeToday</stp>
        <tr r="L34" s="2"/>
      </tp>
      <tp>
        <v>-3.6</v>
        <stp/>
        <stp>ContractData</stp>
        <stp>QOS6F6</stp>
        <stp>LastTradeToday</stp>
        <tr r="K28" s="2"/>
      </tp>
      <tp>
        <v>-3.95</v>
        <stp/>
        <stp>ContractData</stp>
        <stp>QOS6Z5</stp>
        <stp>LastTradeToday</stp>
        <tr r="J22" s="2"/>
      </tp>
      <tp>
        <v>-4.21</v>
        <stp/>
        <stp>ContractData</stp>
        <stp>QOS6X5</stp>
        <stp>LastTradeToday</stp>
        <tr r="I16" s="2"/>
      </tp>
      <tp>
        <v>-3.39</v>
        <stp/>
        <stp>ContractData</stp>
        <stp>QOS7H6</stp>
        <stp>LastTradeToday</stp>
        <tr r="N40" s="2"/>
      </tp>
      <tp>
        <v>-3.65</v>
        <stp/>
        <stp>ContractData</stp>
        <stp>QOS7G6</stp>
        <stp>LastTradeToday</stp>
        <tr r="M34" s="2"/>
      </tp>
      <tp>
        <v>-4.01</v>
        <stp/>
        <stp>ContractData</stp>
        <stp>QOS7F6</stp>
        <stp>LastTradeToday</stp>
        <tr r="L28" s="2"/>
      </tp>
      <tp>
        <v>-4.4000000000000004</v>
        <stp/>
        <stp>ContractData</stp>
        <stp>QOS7Z5</stp>
        <stp>LastTradeToday</stp>
        <tr r="K22" s="2"/>
      </tp>
      <tp>
        <v>-4.7300000000000004</v>
        <stp/>
        <stp>ContractData</stp>
        <stp>QOS7X5</stp>
        <stp>LastTradeToday</stp>
        <tr r="J16" s="2"/>
      </tp>
      <tp>
        <v>-1.81</v>
        <stp/>
        <stp>ContractData</stp>
        <stp>QOS4K6</stp>
        <stp>LastTradeToday</stp>
        <tr r="M52" s="2"/>
      </tp>
      <tp>
        <v>-1.99</v>
        <stp/>
        <stp>ContractData</stp>
        <stp>QOS4J6</stp>
        <stp>LastTradeToday</stp>
        <tr r="L46" s="2"/>
      </tp>
      <tp>
        <v>-2.23</v>
        <stp/>
        <stp>ContractData</stp>
        <stp>QOS4H6</stp>
        <stp>LastTradeToday</stp>
        <tr r="K40" s="2"/>
      </tp>
      <tp>
        <v>-1.62</v>
        <stp/>
        <stp>ContractData</stp>
        <stp>QOS4M6</stp>
        <stp>LastTradeToday</stp>
        <tr r="N58" s="2"/>
      </tp>
      <tp>
        <v>-2.39</v>
        <stp/>
        <stp>ContractData</stp>
        <stp>QOS4G6</stp>
        <stp>LastTradeToday</stp>
        <tr r="J34" s="2"/>
      </tp>
      <tp>
        <v>-2.59</v>
        <stp/>
        <stp>ContractData</stp>
        <stp>QOS4F6</stp>
        <stp>LastTradeToday</stp>
        <tr r="I28" s="2"/>
      </tp>
      <tp>
        <v>-2.82</v>
        <stp/>
        <stp>ContractData</stp>
        <stp>QOS4Z5</stp>
        <stp>LastTradeToday</stp>
        <tr r="H22" s="2"/>
      </tp>
      <tp>
        <v>-2.97</v>
        <stp/>
        <stp>ContractData</stp>
        <stp>QOS4X5</stp>
        <stp>LastTradeToday</stp>
        <tr r="G16" s="2"/>
      </tp>
      <tp>
        <v>-2.16</v>
        <stp/>
        <stp>ContractData</stp>
        <stp>QOS5K6</stp>
        <stp>LastTradeToday</stp>
        <tr r="N52" s="2"/>
      </tp>
      <tp>
        <v>-2.37</v>
        <stp/>
        <stp>ContractData</stp>
        <stp>QOS5J6</stp>
        <stp>LastTradeToday</stp>
        <tr r="M46" s="2"/>
      </tp>
      <tp>
        <v>-2.64</v>
        <stp/>
        <stp>ContractData</stp>
        <stp>QOS5H6</stp>
        <stp>LastTradeToday</stp>
        <tr r="L40" s="2"/>
      </tp>
      <tp>
        <v>-2.86</v>
        <stp/>
        <stp>ContractData</stp>
        <stp>QOS5G6</stp>
        <stp>LastTradeToday</stp>
        <tr r="K34" s="2"/>
      </tp>
      <tp>
        <v>-3.13</v>
        <stp/>
        <stp>ContractData</stp>
        <stp>QOS5F6</stp>
        <stp>LastTradeToday</stp>
        <tr r="J28" s="2"/>
      </tp>
      <tp>
        <v>-3.38</v>
        <stp/>
        <stp>ContractData</stp>
        <stp>QOS5Z5</stp>
        <stp>LastTradeToday</stp>
        <tr r="I22" s="2"/>
      </tp>
      <tp>
        <v>-3.6</v>
        <stp/>
        <stp>ContractData</stp>
        <stp>QOS5X5</stp>
        <stp>LastTradeToday</stp>
        <tr r="H16" s="2"/>
      </tp>
      <tp>
        <v>48.68</v>
        <stp/>
        <stp>ContractData</stp>
        <stp>QOZ5</stp>
        <stp>Open</stp>
        <tr r="D63" s="2"/>
      </tp>
      <tp>
        <v>2.7360000000000002</v>
        <stp/>
        <stp>ContractData</stp>
        <stp>NGE?</stp>
        <stp>High</stp>
        <tr r="E44" s="2"/>
      </tp>
    </main>
    <main first="cqg.rtd">
      <tp t="b">
        <v>0</v>
        <stp/>
        <stp>StudyData</stp>
        <stp>QOG6</stp>
        <stp>VolOI</stp>
        <stp/>
        <stp>Vol</stp>
        <stp>330</stp>
        <stp/>
        <stp>PrimaryOnly</stp>
        <stp/>
        <stp/>
        <stp/>
        <stp>T</stp>
        <tr r="U82" s="2"/>
      </tp>
    </main>
    <main first="cqgxl.rtd">
      <tp>
        <v>52.370000000000005</v>
        <stp/>
        <stp>ContractData</stp>
        <stp>QOG6</stp>
        <stp>High</stp>
        <tr r="E66" s="2"/>
      </tp>
    </main>
    <main first="cqg.rtd">
      <tp t="b">
        <v>0</v>
        <stp/>
        <stp>StudyData</stp>
        <stp>QOF6</stp>
        <stp>VolOI</stp>
        <stp/>
        <stp>Vol</stp>
        <stp>330</stp>
        <stp/>
        <stp>PrimaryOnly</stp>
        <stp/>
        <stp/>
        <stp/>
        <stp>T</stp>
        <tr r="U81" s="2"/>
      </tp>
    </main>
    <main first="cqgxl.rtd">
      <tp>
        <v>51.82</v>
        <stp/>
        <stp>ContractData</stp>
        <stp>QOF6</stp>
        <stp>High</stp>
        <tr r="E64" s="2"/>
      </tp>
    </main>
    <main first="cqg.rtd">
      <tp t="b">
        <v>0</v>
        <stp/>
        <stp>StudyData</stp>
        <stp>QOH6</stp>
        <stp>VolOI</stp>
        <stp/>
        <stp>Vol</stp>
        <stp>330</stp>
        <stp/>
        <stp>PrimaryOnly</stp>
        <stp/>
        <stp/>
        <stp/>
        <stp>T</stp>
        <tr r="U83" s="2"/>
      </tp>
    </main>
    <main first="cqgxl.rtd">
      <tp>
        <v>53.1</v>
        <stp/>
        <stp>ContractData</stp>
        <stp>QOH6</stp>
        <stp>High</stp>
        <tr r="E68" s="2"/>
      </tp>
      <tp>
        <v>54.71</v>
        <stp/>
        <stp>ContractData</stp>
        <stp>QOQ6</stp>
        <stp>Open</stp>
        <tr r="D75" s="2"/>
      </tp>
    </main>
    <main first="cqg.rtd">
      <tp t="b">
        <v>0</v>
        <stp/>
        <stp>StudyData</stp>
        <stp>QOK6</stp>
        <stp>VolOI</stp>
        <stp/>
        <stp>Vol</stp>
        <stp>330</stp>
        <stp/>
        <stp>PrimaryOnly</stp>
        <stp/>
        <stp/>
        <stp/>
        <stp>T</stp>
        <tr r="U85" s="2"/>
      </tp>
    </main>
    <main first="cqgxl.rtd">
      <tp>
        <v>54.25</v>
        <stp/>
        <stp>ContractData</stp>
        <stp>QOK6</stp>
        <stp>High</stp>
        <tr r="E70" s="2"/>
      </tp>
    </main>
    <main first="cqg.rtd">
      <tp t="b">
        <v>0</v>
        <stp/>
        <stp>StudyData</stp>
        <stp>QOJ6</stp>
        <stp>VolOI</stp>
        <stp/>
        <stp>Vol</stp>
        <stp>330</stp>
        <stp/>
        <stp>PrimaryOnly</stp>
        <stp/>
        <stp/>
        <stp/>
        <stp>T</stp>
        <tr r="U84" s="2"/>
      </tp>
    </main>
    <main first="cqgxl.rtd">
      <tp>
        <v>53.69</v>
        <stp/>
        <stp>ContractData</stp>
        <stp>QOJ6</stp>
        <stp>High</stp>
        <tr r="E69" s="2"/>
      </tp>
    </main>
    <main first="cqg.rtd">
      <tp t="b">
        <v>0</v>
        <stp/>
        <stp>StudyData</stp>
        <stp>QOM6</stp>
        <stp>VolOI</stp>
        <stp/>
        <stp>Vol</stp>
        <stp>330</stp>
        <stp/>
        <stp>PrimaryOnly</stp>
        <stp/>
        <stp/>
        <stp/>
        <stp>T</stp>
        <tr r="U86" s="2"/>
      </tp>
    </main>
    <main first="cqgxl.rtd">
      <tp>
        <v>54.75</v>
        <stp/>
        <stp>ContractData</stp>
        <stp>QOM6</stp>
        <stp>High</stp>
        <tr r="E72" s="2"/>
      </tp>
      <tp>
        <v>54.5</v>
        <stp/>
        <stp>ContractData</stp>
        <stp>QOU6</stp>
        <stp>Open</stp>
        <tr r="D76" s="2"/>
      </tp>
      <tp>
        <v>56.08</v>
        <stp/>
        <stp>ContractData</stp>
        <stp>QOV6</stp>
        <stp>Open</stp>
        <tr r="D78" s="2"/>
      </tp>
    </main>
    <main first="cqg.rtd">
      <tp t="b">
        <v>0</v>
        <stp/>
        <stp>StudyData</stp>
        <stp>QON6</stp>
        <stp>VolOI</stp>
        <stp/>
        <stp>Vol</stp>
        <stp>330</stp>
        <stp/>
        <stp>PrimaryOnly</stp>
        <stp/>
        <stp/>
        <stp/>
        <stp>T</stp>
        <tr r="U87" s="2"/>
      </tp>
    </main>
    <main first="cqgxl.rtd">
      <tp>
        <v>55.08</v>
        <stp/>
        <stp>ContractData</stp>
        <stp>QON6</stp>
        <stp>High</stp>
        <tr r="E74" s="2"/>
      </tp>
      <tp>
        <v>54.45</v>
        <stp/>
        <stp>ContractData</stp>
        <stp>QOV6</stp>
        <stp>Y_Settlement</stp>
        <tr r="H78" s="2"/>
        <tr r="U13" s="3"/>
      </tp>
      <tp>
        <v>54.04</v>
        <stp/>
        <stp>ContractData</stp>
        <stp>QOU6</stp>
        <stp>Y_Settlement</stp>
        <tr r="H76" s="2"/>
        <tr r="U12" s="3"/>
      </tp>
      <tp>
        <v>53.620000000000005</v>
        <stp/>
        <stp>ContractData</stp>
        <stp>QOQ6</stp>
        <stp>Y_Settlement</stp>
        <tr r="H75" s="2"/>
        <tr r="U11" s="3"/>
      </tp>
      <tp>
        <v>-5.21</v>
        <stp/>
        <stp>ContractData</stp>
        <stp>QOS8X</stp>
        <stp>Bid</stp>
        <tr r="Y9" s="3"/>
      </tp>
      <tp>
        <v>-5.66</v>
        <stp/>
        <stp>ContractData</stp>
        <stp>QOS9X</stp>
        <stp>Bid</stp>
        <tr r="Y10" s="3"/>
      </tp>
      <tp>
        <v>-2.98</v>
        <stp/>
        <stp>ContractData</stp>
        <stp>QOS4X</stp>
        <stp>Bid</stp>
        <tr r="Y5" s="3"/>
      </tp>
      <tp>
        <v>-3.63</v>
        <stp/>
        <stp>ContractData</stp>
        <stp>QOS5X</stp>
        <stp>Bid</stp>
        <tr r="Y6" s="3"/>
      </tp>
      <tp>
        <v>-4.21</v>
        <stp/>
        <stp>ContractData</stp>
        <stp>QOS6X</stp>
        <stp>Bid</stp>
        <tr r="Y7" s="3"/>
      </tp>
      <tp>
        <v>-4.74</v>
        <stp/>
        <stp>ContractData</stp>
        <stp>QOS7X</stp>
        <stp>Bid</stp>
        <tr r="Y8" s="3"/>
      </tp>
      <tp>
        <v>-0.79</v>
        <stp/>
        <stp>ContractData</stp>
        <stp>QOS1X</stp>
        <stp>Bid</stp>
        <tr r="Y2" s="3"/>
      </tp>
      <tp>
        <v>-1.6</v>
        <stp/>
        <stp>ContractData</stp>
        <stp>QOS2X</stp>
        <stp>Bid</stp>
        <tr r="Y3" s="3"/>
      </tp>
      <tp>
        <v>-2.35</v>
        <stp/>
        <stp>ContractData</stp>
        <stp>QOS3X</stp>
        <stp>Bid</stp>
        <tr r="Y4" s="3"/>
      </tp>
      <tp>
        <v>-4.18</v>
        <stp/>
        <stp>ContractData</stp>
        <stp>QOS6X</stp>
        <stp>Ask</stp>
        <tr r="Z7" s="3"/>
      </tp>
      <tp>
        <v>-4.71</v>
        <stp/>
        <stp>ContractData</stp>
        <stp>QOS7X</stp>
        <stp>Ask</stp>
        <tr r="Z8" s="3"/>
      </tp>
      <tp>
        <v>-2.96</v>
        <stp/>
        <stp>ContractData</stp>
        <stp>QOS4X</stp>
        <stp>Ask</stp>
        <tr r="Z5" s="3"/>
      </tp>
      <tp>
        <v>-3.6</v>
        <stp/>
        <stp>ContractData</stp>
        <stp>QOS5X</stp>
        <stp>Ask</stp>
        <tr r="Z6" s="3"/>
      </tp>
      <tp>
        <v>-1.59</v>
        <stp/>
        <stp>ContractData</stp>
        <stp>QOS2X</stp>
        <stp>Ask</stp>
        <tr r="Z3" s="3"/>
      </tp>
      <tp>
        <v>-2.34</v>
        <stp/>
        <stp>ContractData</stp>
        <stp>QOS3X</stp>
        <stp>Ask</stp>
        <tr r="Z4" s="3"/>
      </tp>
      <tp>
        <v>-0.78</v>
        <stp/>
        <stp>ContractData</stp>
        <stp>QOS1X</stp>
        <stp>Ask</stp>
        <tr r="Z2" s="3"/>
      </tp>
      <tp>
        <v>-5.17</v>
        <stp/>
        <stp>ContractData</stp>
        <stp>QOS8X</stp>
        <stp>Ask</stp>
        <tr r="Z9" s="3"/>
      </tp>
      <tp>
        <v>-5.53</v>
        <stp/>
        <stp>ContractData</stp>
        <stp>QOS9X</stp>
        <stp>Ask</stp>
        <tr r="Z10" s="3"/>
      </tp>
      <tp>
        <v>48.58</v>
        <stp/>
        <stp>ContractData</stp>
        <stp>QOZ5</stp>
        <stp>Y_Settlement</stp>
        <tr r="H63" s="2"/>
        <tr r="U3" s="3"/>
      </tp>
      <tp>
        <v>47.75</v>
        <stp/>
        <stp>ContractData</stp>
        <stp>QOX5</stp>
        <stp>Y_Settlement</stp>
        <tr r="U2" s="3"/>
        <tr r="H62" s="2"/>
      </tp>
      <tp>
        <v>49.410000000000004</v>
        <stp/>
        <stp>ContractData</stp>
        <stp>QOF6</stp>
        <stp>Y_Settlement</stp>
        <tr r="H64" s="2"/>
        <tr r="U4" s="3"/>
      </tp>
      <tp>
        <v>50.17</v>
        <stp/>
        <stp>ContractData</stp>
        <stp>QOG6</stp>
        <stp>Y_Settlement</stp>
        <tr r="H66" s="2"/>
        <tr r="U5" s="3"/>
      </tp>
      <tp>
        <v>53.18</v>
        <stp/>
        <stp>ContractData</stp>
        <stp>QON6</stp>
        <stp>Y_Settlement</stp>
        <tr r="H74" s="2"/>
        <tr r="U10" s="3"/>
      </tp>
      <tp t="s">
        <v>ICE Brent Crude: November 2015</v>
        <stp/>
        <stp>ContractData</stp>
        <stp>QOX5</stp>
        <stp>LongDescription</stp>
        <tr r="B50" s="2"/>
      </tp>
      <tp>
        <v>52.67</v>
        <stp/>
        <stp>ContractData</stp>
        <stp>QOM6</stp>
        <stp>Y_Settlement</stp>
        <tr r="H72" s="2"/>
        <tr r="U9" s="3"/>
      </tp>
      <tp>
        <v>51.47</v>
        <stp/>
        <stp>ContractData</stp>
        <stp>QOJ6</stp>
        <stp>Y_Settlement</stp>
        <tr r="H69" s="2"/>
        <tr r="U7" s="3"/>
      </tp>
      <tp>
        <v>52.09</v>
        <stp/>
        <stp>ContractData</stp>
        <stp>QOK6</stp>
        <stp>Y_Settlement</stp>
        <tr r="H70" s="2"/>
        <tr r="U8" s="3"/>
      </tp>
      <tp>
        <v>50.81</v>
        <stp/>
        <stp>ContractData</stp>
        <stp>QOH6</stp>
        <stp>Y_Settlement</stp>
        <tr r="H68" s="2"/>
        <tr r="U6" s="3"/>
      </tp>
      <tp t="b">
        <v>0</v>
        <stp/>
        <stp>ContractData</stp>
        <stp/>
        <stp>LastTradeToday</stp>
        <tr r="H77" s="2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volatileDependencies" Target="volatileDependenci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82204326659718"/>
          <c:y val="4.8887024082021016E-2"/>
          <c:w val="0.87214259383832549"/>
          <c:h val="0.8108290092630781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chemeClr val="tx2">
                  <a:lumMod val="20000"/>
                  <a:lumOff val="80000"/>
                </a:schemeClr>
              </a:solidFill>
            </a:ln>
          </c:spPr>
          <c:marker>
            <c:symbol val="circle"/>
            <c:size val="7"/>
            <c:spPr>
              <a:solidFill>
                <a:schemeClr val="tx2">
                  <a:lumMod val="20000"/>
                  <a:lumOff val="80000"/>
                </a:schemeClr>
              </a:solidFill>
              <a:ln w="3175">
                <a:noFill/>
              </a:ln>
            </c:spPr>
          </c:marker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baseline="0">
                    <a:latin typeface="Century Gothic" panose="020B0502020202020204" pitchFamily="34" charset="0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Calculations!$O$35:$O$46</c:f>
              <c:strCache>
                <c:ptCount val="12"/>
                <c:pt idx="0">
                  <c:v>Nov 15</c:v>
                </c:pt>
                <c:pt idx="1">
                  <c:v>Dec 15</c:v>
                </c:pt>
                <c:pt idx="2">
                  <c:v>Jan 16</c:v>
                </c:pt>
                <c:pt idx="3">
                  <c:v>Feb 16</c:v>
                </c:pt>
                <c:pt idx="4">
                  <c:v>Mar 16</c:v>
                </c:pt>
                <c:pt idx="5">
                  <c:v>Apr 16</c:v>
                </c:pt>
                <c:pt idx="6">
                  <c:v>May 16</c:v>
                </c:pt>
                <c:pt idx="7">
                  <c:v>Jun 16</c:v>
                </c:pt>
                <c:pt idx="8">
                  <c:v>Jul 16</c:v>
                </c:pt>
                <c:pt idx="9">
                  <c:v>Aug 16</c:v>
                </c:pt>
                <c:pt idx="10">
                  <c:v>Sep 16</c:v>
                </c:pt>
                <c:pt idx="11">
                  <c:v>Oct 16</c:v>
                </c:pt>
              </c:strCache>
            </c:strRef>
          </c:cat>
          <c:val>
            <c:numRef>
              <c:f>Calculations!$AB$2:$AB$13</c:f>
              <c:numCache>
                <c:formatCode>0.000</c:formatCode>
                <c:ptCount val="12"/>
                <c:pt idx="0">
                  <c:v>49.88</c:v>
                </c:pt>
                <c:pt idx="1">
                  <c:v>50.65</c:v>
                </c:pt>
                <c:pt idx="2">
                  <c:v>51.46</c:v>
                </c:pt>
                <c:pt idx="3">
                  <c:v>52.21</c:v>
                </c:pt>
                <c:pt idx="4">
                  <c:v>52.85</c:v>
                </c:pt>
                <c:pt idx="5">
                  <c:v>53.489999999999995</c:v>
                </c:pt>
                <c:pt idx="6">
                  <c:v>54.064999999999998</c:v>
                </c:pt>
                <c:pt idx="7">
                  <c:v>54.61</c:v>
                </c:pt>
                <c:pt idx="8">
                  <c:v>55.064999999999998</c:v>
                </c:pt>
                <c:pt idx="9">
                  <c:v>55.424999999999997</c:v>
                </c:pt>
                <c:pt idx="10">
                  <c:v>55.56</c:v>
                </c:pt>
                <c:pt idx="11">
                  <c:v>56.08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974248"/>
        <c:axId val="387974640"/>
      </c:lineChart>
      <c:catAx>
        <c:axId val="387974248"/>
        <c:scaling>
          <c:orientation val="minMax"/>
        </c:scaling>
        <c:delete val="0"/>
        <c:axPos val="b"/>
        <c:majorGridlines>
          <c:spPr>
            <a:ln>
              <a:solidFill>
                <a:schemeClr val="accent1"/>
              </a:solidFill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650" b="0" i="0" baseline="0">
                <a:latin typeface="Century Gothic" panose="020B0502020202020204" pitchFamily="34" charset="0"/>
              </a:defRPr>
            </a:pPr>
            <a:endParaRPr lang="en-US"/>
          </a:p>
        </c:txPr>
        <c:crossAx val="387974640"/>
        <c:crosses val="autoZero"/>
        <c:auto val="1"/>
        <c:lblAlgn val="ctr"/>
        <c:lblOffset val="100"/>
        <c:noMultiLvlLbl val="0"/>
      </c:catAx>
      <c:valAx>
        <c:axId val="387974640"/>
        <c:scaling>
          <c:orientation val="minMax"/>
        </c:scaling>
        <c:delete val="0"/>
        <c:axPos val="l"/>
        <c:majorGridlines>
          <c:spPr>
            <a:ln>
              <a:solidFill>
                <a:schemeClr val="accent1"/>
              </a:solidFill>
              <a:prstDash val="dash"/>
            </a:ln>
          </c:spPr>
        </c:majorGridlines>
        <c:numFmt formatCode="0.00" sourceLinked="0"/>
        <c:majorTickMark val="out"/>
        <c:minorTickMark val="none"/>
        <c:tickLblPos val="nextTo"/>
        <c:txPr>
          <a:bodyPr/>
          <a:lstStyle/>
          <a:p>
            <a:pPr>
              <a:defRPr sz="900" b="0" i="0" baseline="0">
                <a:latin typeface="Century Gothic" panose="020B0502020202020204" pitchFamily="34" charset="0"/>
              </a:defRPr>
            </a:pPr>
            <a:endParaRPr lang="en-US"/>
          </a:p>
        </c:txPr>
        <c:crossAx val="387974248"/>
        <c:crosses val="autoZero"/>
        <c:crossBetween val="between"/>
      </c:valAx>
      <c:spPr>
        <a:solidFill>
          <a:schemeClr val="tx1"/>
        </a:solidFill>
        <a:ln w="6350">
          <a:solidFill>
            <a:schemeClr val="accent1"/>
          </a:solidFill>
        </a:ln>
        <a:effectLst>
          <a:innerShdw blurRad="63500" dist="50800" dir="18900000">
            <a:prstClr val="black">
              <a:alpha val="50000"/>
            </a:prstClr>
          </a:innerShdw>
        </a:effectLst>
      </c:spPr>
    </c:plotArea>
    <c:plotVisOnly val="1"/>
    <c:dispBlanksAs val="gap"/>
    <c:showDLblsOverMax val="0"/>
  </c:chart>
  <c:spPr>
    <a:solidFill>
      <a:schemeClr val="tx1"/>
    </a:solidFill>
    <a:ln w="19050">
      <a:noFill/>
    </a:ln>
  </c:spPr>
  <c:txPr>
    <a:bodyPr/>
    <a:lstStyle/>
    <a:p>
      <a:pPr>
        <a:defRPr sz="900" b="1" i="0" baseline="0">
          <a:solidFill>
            <a:schemeClr val="bg1"/>
          </a:solidFill>
          <a:latin typeface="Tahoma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85106373025241"/>
          <c:y val="0.2027848073042664"/>
          <c:w val="0.86292746427695699"/>
          <c:h val="0.67627116754551231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3D4A8"/>
                </a:gs>
                <a:gs pos="25000">
                  <a:srgbClr val="21D6E0"/>
                </a:gs>
                <a:gs pos="75000">
                  <a:srgbClr val="0087E6"/>
                </a:gs>
                <a:gs pos="100000">
                  <a:srgbClr val="005CBF"/>
                </a:gs>
              </a:gsLst>
              <a:lin ang="5400000" scaled="0"/>
            </a:gradFill>
          </c:spPr>
          <c:invertIfNegative val="0"/>
          <c:dLbls>
            <c:numFmt formatCode="#,##0.000" sourceLinked="0"/>
            <c:spPr>
              <a:noFill/>
            </c:spPr>
            <c:txPr>
              <a:bodyPr/>
              <a:lstStyle/>
              <a:p>
                <a:pPr>
                  <a:defRPr sz="600" b="0" i="0" baseline="0">
                    <a:solidFill>
                      <a:schemeClr val="bg1"/>
                    </a:solidFill>
                    <a:latin typeface="Century Gothic" panose="020B0502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Calculations!$U$2:$U$13</c:f>
              <c:numCache>
                <c:formatCode>0.000</c:formatCode>
                <c:ptCount val="12"/>
                <c:pt idx="0">
                  <c:v>2.1300000000000026</c:v>
                </c:pt>
                <c:pt idx="1">
                  <c:v>2.0700000000000003</c:v>
                </c:pt>
                <c:pt idx="2">
                  <c:v>2.0499999999999972</c:v>
                </c:pt>
                <c:pt idx="3">
                  <c:v>2.0399999999999991</c:v>
                </c:pt>
                <c:pt idx="4">
                  <c:v>2.0399999999999991</c:v>
                </c:pt>
                <c:pt idx="5">
                  <c:v>1.8599999999999994</c:v>
                </c:pt>
                <c:pt idx="6">
                  <c:v>1.8099999999999952</c:v>
                </c:pt>
                <c:pt idx="7">
                  <c:v>1.9399999999999977</c:v>
                </c:pt>
                <c:pt idx="8">
                  <c:v>1.8500000000000014</c:v>
                </c:pt>
                <c:pt idx="9">
                  <c:v>1.0899999999999963</c:v>
                </c:pt>
                <c:pt idx="10">
                  <c:v>1.5200000000000031</c:v>
                </c:pt>
                <c:pt idx="11">
                  <c:v>1.6299999999999955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7976208"/>
        <c:axId val="382704568"/>
      </c:barChart>
      <c:catAx>
        <c:axId val="387976208"/>
        <c:scaling>
          <c:orientation val="minMax"/>
        </c:scaling>
        <c:delete val="1"/>
        <c:axPos val="b"/>
        <c:majorGridlines/>
        <c:numFmt formatCode="#,##0.00" sourceLinked="0"/>
        <c:majorTickMark val="out"/>
        <c:minorTickMark val="none"/>
        <c:tickLblPos val="nextTo"/>
        <c:crossAx val="382704568"/>
        <c:crosses val="autoZero"/>
        <c:auto val="1"/>
        <c:lblAlgn val="ctr"/>
        <c:lblOffset val="100"/>
        <c:noMultiLvlLbl val="0"/>
      </c:catAx>
      <c:valAx>
        <c:axId val="382704568"/>
        <c:scaling>
          <c:orientation val="minMax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txPr>
          <a:bodyPr/>
          <a:lstStyle/>
          <a:p>
            <a:pPr>
              <a:defRPr b="0" i="0" baseline="0">
                <a:solidFill>
                  <a:schemeClr val="bg1"/>
                </a:solidFill>
                <a:latin typeface="Century Gothic" panose="020B0502020202020204" pitchFamily="34" charset="0"/>
              </a:defRPr>
            </a:pPr>
            <a:endParaRPr lang="en-US"/>
          </a:p>
        </c:txPr>
        <c:crossAx val="387976208"/>
        <c:crosses val="autoZero"/>
        <c:crossBetween val="between"/>
      </c:valAx>
      <c:spPr>
        <a:solidFill>
          <a:schemeClr val="tx1"/>
        </a:solidFill>
      </c:spPr>
    </c:plotArea>
    <c:plotVisOnly val="1"/>
    <c:dispBlanksAs val="gap"/>
    <c:showDLblsOverMax val="0"/>
  </c:chart>
  <c:spPr>
    <a:solidFill>
      <a:schemeClr val="tx1"/>
    </a:solidFill>
    <a:ln w="15875">
      <a:noFill/>
    </a:ln>
  </c:spPr>
  <c:txPr>
    <a:bodyPr/>
    <a:lstStyle/>
    <a:p>
      <a:pPr>
        <a:defRPr sz="800" b="1" i="0" baseline="0">
          <a:latin typeface="Tahoma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chemeClr val="tx2">
                  <a:lumMod val="20000"/>
                  <a:lumOff val="80000"/>
                </a:schemeClr>
              </a:solidFill>
            </a:ln>
          </c:spPr>
          <c:marker>
            <c:symbol val="circle"/>
            <c:size val="7"/>
            <c:spPr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c:spPr>
          </c:marker>
          <c:dLbls>
            <c:numFmt formatCode="#,##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baseline="0">
                    <a:solidFill>
                      <a:schemeClr val="bg1"/>
                    </a:solidFill>
                    <a:latin typeface="Century Gothic" panose="020B0502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Calculations!$V$2:$V$13</c:f>
              <c:strCache>
                <c:ptCount val="12"/>
                <c:pt idx="0">
                  <c:v>QOS1X</c:v>
                </c:pt>
                <c:pt idx="1">
                  <c:v>QOS2X</c:v>
                </c:pt>
                <c:pt idx="2">
                  <c:v>QOS3X</c:v>
                </c:pt>
                <c:pt idx="3">
                  <c:v>QOS4X</c:v>
                </c:pt>
                <c:pt idx="4">
                  <c:v>QOS5X</c:v>
                </c:pt>
                <c:pt idx="5">
                  <c:v>QOS6X</c:v>
                </c:pt>
                <c:pt idx="6">
                  <c:v>QOS7X</c:v>
                </c:pt>
                <c:pt idx="7">
                  <c:v>QOS8X</c:v>
                </c:pt>
                <c:pt idx="8">
                  <c:v>QOS9X</c:v>
                </c:pt>
                <c:pt idx="9">
                  <c:v>QOS10X</c:v>
                </c:pt>
                <c:pt idx="10">
                  <c:v>QOS11X</c:v>
                </c:pt>
                <c:pt idx="11">
                  <c:v>QOS12X</c:v>
                </c:pt>
              </c:strCache>
            </c:strRef>
          </c:cat>
          <c:val>
            <c:numRef>
              <c:f>Calculations!$AD$2:$AD$13</c:f>
              <c:numCache>
                <c:formatCode>0.000</c:formatCode>
                <c:ptCount val="12"/>
                <c:pt idx="0">
                  <c:v>-0.79</c:v>
                </c:pt>
                <c:pt idx="1">
                  <c:v>-1.6</c:v>
                </c:pt>
                <c:pt idx="2">
                  <c:v>-2.35</c:v>
                </c:pt>
                <c:pt idx="3">
                  <c:v>-2.97</c:v>
                </c:pt>
                <c:pt idx="4">
                  <c:v>-3.6</c:v>
                </c:pt>
                <c:pt idx="5">
                  <c:v>-4.21</c:v>
                </c:pt>
                <c:pt idx="6">
                  <c:v>-4.7300000000000004</c:v>
                </c:pt>
                <c:pt idx="7">
                  <c:v>-5.17</c:v>
                </c:pt>
                <c:pt idx="8">
                  <c:v>-5.58</c:v>
                </c:pt>
                <c:pt idx="9">
                  <c:v>-5.96</c:v>
                </c:pt>
                <c:pt idx="10">
                  <c:v>-6.33</c:v>
                </c:pt>
                <c:pt idx="11">
                  <c:v>-6.7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2699472"/>
        <c:axId val="382701432"/>
      </c:lineChart>
      <c:catAx>
        <c:axId val="382699472"/>
        <c:scaling>
          <c:orientation val="minMax"/>
        </c:scaling>
        <c:delete val="0"/>
        <c:axPos val="b"/>
        <c:majorGridlines>
          <c:spPr>
            <a:ln>
              <a:solidFill>
                <a:schemeClr val="tx2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sz="600" b="0" i="0" baseline="0">
                <a:solidFill>
                  <a:schemeClr val="bg1"/>
                </a:solidFill>
                <a:latin typeface="Century Gothic" panose="020B0502020202020204" pitchFamily="34" charset="0"/>
              </a:defRPr>
            </a:pPr>
            <a:endParaRPr lang="en-US"/>
          </a:p>
        </c:txPr>
        <c:crossAx val="382701432"/>
        <c:crosses val="autoZero"/>
        <c:auto val="1"/>
        <c:lblAlgn val="ctr"/>
        <c:lblOffset val="100"/>
        <c:noMultiLvlLbl val="0"/>
      </c:catAx>
      <c:valAx>
        <c:axId val="382701432"/>
        <c:scaling>
          <c:orientation val="minMax"/>
        </c:scaling>
        <c:delete val="0"/>
        <c:axPos val="l"/>
        <c:majorGridlines>
          <c:spPr>
            <a:ln>
              <a:solidFill>
                <a:schemeClr val="accent1"/>
              </a:solidFill>
              <a:prstDash val="dash"/>
            </a:ln>
          </c:spPr>
        </c:majorGridlines>
        <c:numFmt formatCode="0.000" sourceLinked="1"/>
        <c:majorTickMark val="out"/>
        <c:minorTickMark val="none"/>
        <c:tickLblPos val="nextTo"/>
        <c:txPr>
          <a:bodyPr/>
          <a:lstStyle/>
          <a:p>
            <a:pPr>
              <a:defRPr sz="900" b="0" i="0" baseline="0">
                <a:solidFill>
                  <a:schemeClr val="bg1"/>
                </a:solidFill>
                <a:latin typeface="Century Gothic" panose="020B0502020202020204" pitchFamily="34" charset="0"/>
              </a:defRPr>
            </a:pPr>
            <a:endParaRPr lang="en-US"/>
          </a:p>
        </c:txPr>
        <c:crossAx val="382699472"/>
        <c:crosses val="autoZero"/>
        <c:crossBetween val="between"/>
      </c:valAx>
      <c:spPr>
        <a:solidFill>
          <a:schemeClr val="tx1"/>
        </a:solidFill>
        <a:ln cmpd="thickThin">
          <a:solidFill>
            <a:schemeClr val="accent1"/>
          </a:solidFill>
        </a:ln>
      </c:spPr>
    </c:plotArea>
    <c:plotVisOnly val="1"/>
    <c:dispBlanksAs val="gap"/>
    <c:showDLblsOverMax val="0"/>
  </c:chart>
  <c:spPr>
    <a:solidFill>
      <a:schemeClr val="tx1"/>
    </a:solidFill>
    <a:ln w="15875" cmpd="sng"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494279818076169E-2"/>
          <c:y val="0.27517359239599909"/>
          <c:w val="0.90668782432730255"/>
          <c:h val="0.65050031872519742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3D4A8"/>
                </a:gs>
                <a:gs pos="25000">
                  <a:srgbClr val="21D6E0"/>
                </a:gs>
                <a:gs pos="75000">
                  <a:srgbClr val="0087E6"/>
                </a:gs>
                <a:gs pos="100000">
                  <a:srgbClr val="005CBF"/>
                </a:gs>
              </a:gsLst>
              <a:lin ang="5400000" scaled="0"/>
            </a:gradFill>
          </c:spPr>
          <c:invertIfNegative val="0"/>
          <c:dLbls>
            <c:numFmt formatCode="#,##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0" i="0" baseline="0">
                    <a:latin typeface="Century Gothic" panose="020B0502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Calculations!$X$2:$X$13</c:f>
              <c:numCache>
                <c:formatCode>0.000</c:formatCode>
                <c:ptCount val="12"/>
                <c:pt idx="0">
                  <c:v>4.0000000000000036E-2</c:v>
                </c:pt>
                <c:pt idx="1">
                  <c:v>6.0000000000000053E-2</c:v>
                </c:pt>
                <c:pt idx="2">
                  <c:v>6.999999999999984E-2</c:v>
                </c:pt>
                <c:pt idx="3">
                  <c:v>8.9999999999999858E-2</c:v>
                </c:pt>
                <c:pt idx="4">
                  <c:v>0.12000000000000011</c:v>
                </c:pt>
                <c:pt idx="5">
                  <c:v>0.12999999999999989</c:v>
                </c:pt>
                <c:pt idx="6">
                  <c:v>0.1899999999999995</c:v>
                </c:pt>
                <c:pt idx="7">
                  <c:v>0.25999999999999979</c:v>
                </c:pt>
                <c:pt idx="8">
                  <c:v>0.29000000000000004</c:v>
                </c:pt>
                <c:pt idx="9">
                  <c:v>0.33000000000000007</c:v>
                </c:pt>
                <c:pt idx="10">
                  <c:v>0.37000000000000011</c:v>
                </c:pt>
                <c:pt idx="11">
                  <c:v>0.41000000000000014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2703000"/>
        <c:axId val="382704960"/>
      </c:barChart>
      <c:catAx>
        <c:axId val="382703000"/>
        <c:scaling>
          <c:orientation val="minMax"/>
        </c:scaling>
        <c:delete val="0"/>
        <c:axPos val="b"/>
        <c:majorGridlines>
          <c:spPr>
            <a:ln>
              <a:solidFill>
                <a:schemeClr val="accent1"/>
              </a:solidFill>
              <a:prstDash val="dash"/>
            </a:ln>
          </c:spPr>
        </c:majorGridlines>
        <c:majorTickMark val="out"/>
        <c:minorTickMark val="none"/>
        <c:tickLblPos val="none"/>
        <c:crossAx val="382704960"/>
        <c:crosses val="autoZero"/>
        <c:auto val="1"/>
        <c:lblAlgn val="ctr"/>
        <c:lblOffset val="100"/>
        <c:noMultiLvlLbl val="0"/>
      </c:catAx>
      <c:valAx>
        <c:axId val="382704960"/>
        <c:scaling>
          <c:orientation val="minMax"/>
        </c:scaling>
        <c:delete val="0"/>
        <c:axPos val="l"/>
        <c:majorGridlines>
          <c:spPr>
            <a:ln>
              <a:solidFill>
                <a:schemeClr val="tx2"/>
              </a:solidFill>
              <a:prstDash val="dash"/>
            </a:ln>
          </c:spPr>
        </c:majorGridlines>
        <c:numFmt formatCode="0.000" sourceLinked="1"/>
        <c:majorTickMark val="out"/>
        <c:minorTickMark val="none"/>
        <c:tickLblPos val="nextTo"/>
        <c:txPr>
          <a:bodyPr/>
          <a:lstStyle/>
          <a:p>
            <a:pPr>
              <a:defRPr b="0" i="0" baseline="0">
                <a:latin typeface="Century Gothic" panose="020B0502020202020204" pitchFamily="34" charset="0"/>
              </a:defRPr>
            </a:pPr>
            <a:endParaRPr lang="en-US"/>
          </a:p>
        </c:txPr>
        <c:crossAx val="382703000"/>
        <c:crosses val="autoZero"/>
        <c:crossBetween val="between"/>
      </c:valAx>
      <c:spPr>
        <a:solidFill>
          <a:schemeClr val="tx1"/>
        </a:solidFill>
        <a:ln>
          <a:solidFill>
            <a:schemeClr val="accent1"/>
          </a:solidFill>
        </a:ln>
      </c:spPr>
    </c:plotArea>
    <c:plotVisOnly val="1"/>
    <c:dispBlanksAs val="gap"/>
    <c:showDLblsOverMax val="0"/>
  </c:chart>
  <c:spPr>
    <a:solidFill>
      <a:schemeClr val="tx1"/>
    </a:solidFill>
    <a:ln w="15875">
      <a:noFill/>
    </a:ln>
  </c:spPr>
  <c:txPr>
    <a:bodyPr/>
    <a:lstStyle/>
    <a:p>
      <a:pPr>
        <a:defRPr sz="800" b="1" i="0" baseline="0">
          <a:solidFill>
            <a:schemeClr val="bg1"/>
          </a:solidFill>
          <a:latin typeface="Tahoma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57150</xdr:colOff>
      <xdr:row>5</xdr:row>
      <xdr:rowOff>132935</xdr:rowOff>
    </xdr:from>
    <xdr:to>
      <xdr:col>22</xdr:col>
      <xdr:colOff>609600</xdr:colOff>
      <xdr:row>32</xdr:row>
      <xdr:rowOff>104774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35615</xdr:colOff>
      <xdr:row>31</xdr:row>
      <xdr:rowOff>73712</xdr:rowOff>
    </xdr:from>
    <xdr:to>
      <xdr:col>22</xdr:col>
      <xdr:colOff>676275</xdr:colOff>
      <xdr:row>38</xdr:row>
      <xdr:rowOff>114299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9523</xdr:colOff>
      <xdr:row>43</xdr:row>
      <xdr:rowOff>33131</xdr:rowOff>
    </xdr:from>
    <xdr:to>
      <xdr:col>22</xdr:col>
      <xdr:colOff>581025</xdr:colOff>
      <xdr:row>68</xdr:row>
      <xdr:rowOff>114300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104775</xdr:colOff>
      <xdr:row>68</xdr:row>
      <xdr:rowOff>45968</xdr:rowOff>
    </xdr:from>
    <xdr:to>
      <xdr:col>22</xdr:col>
      <xdr:colOff>571500</xdr:colOff>
      <xdr:row>75</xdr:row>
      <xdr:rowOff>79099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14</xdr:col>
      <xdr:colOff>8282</xdr:colOff>
      <xdr:row>31</xdr:row>
      <xdr:rowOff>43896</xdr:rowOff>
    </xdr:from>
    <xdr:ext cx="6240118" cy="231666"/>
    <xdr:sp macro="" textlink="">
      <xdr:nvSpPr>
        <xdr:cNvPr id="17" name="TextBox 16"/>
        <xdr:cNvSpPr txBox="1"/>
      </xdr:nvSpPr>
      <xdr:spPr>
        <a:xfrm>
          <a:off x="11619257" y="3120471"/>
          <a:ext cx="6240118" cy="2316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US" sz="900" b="0">
              <a:solidFill>
                <a:schemeClr val="bg1"/>
              </a:solidFill>
              <a:latin typeface="Century Gothic" panose="020B0502020202020204" pitchFamily="34" charset="0"/>
              <a:cs typeface="Tahoma" pitchFamily="34" charset="0"/>
            </a:rPr>
            <a:t>Net Change</a:t>
          </a:r>
        </a:p>
      </xdr:txBody>
    </xdr:sp>
    <xdr:clientData/>
  </xdr:oneCellAnchor>
  <xdr:twoCellAnchor editAs="oneCell">
    <xdr:from>
      <xdr:col>18</xdr:col>
      <xdr:colOff>227356</xdr:colOff>
      <xdr:row>8</xdr:row>
      <xdr:rowOff>73716</xdr:rowOff>
    </xdr:from>
    <xdr:to>
      <xdr:col>19</xdr:col>
      <xdr:colOff>198699</xdr:colOff>
      <xdr:row>9</xdr:row>
      <xdr:rowOff>55888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5000631" y="978591"/>
          <a:ext cx="657143" cy="144097"/>
        </a:xfrm>
        <a:prstGeom prst="rect">
          <a:avLst/>
        </a:prstGeom>
      </xdr:spPr>
    </xdr:pic>
    <xdr:clientData/>
  </xdr:twoCellAnchor>
  <xdr:twoCellAnchor editAs="oneCell">
    <xdr:from>
      <xdr:col>18</xdr:col>
      <xdr:colOff>219064</xdr:colOff>
      <xdr:row>44</xdr:row>
      <xdr:rowOff>118027</xdr:rowOff>
    </xdr:from>
    <xdr:to>
      <xdr:col>19</xdr:col>
      <xdr:colOff>190407</xdr:colOff>
      <xdr:row>45</xdr:row>
      <xdr:rowOff>100199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992339" y="5023402"/>
          <a:ext cx="657143" cy="144097"/>
        </a:xfrm>
        <a:prstGeom prst="rect">
          <a:avLst/>
        </a:prstGeom>
      </xdr:spPr>
    </xdr:pic>
    <xdr:clientData/>
  </xdr:twoCellAnchor>
  <xdr:twoCellAnchor editAs="oneCell">
    <xdr:from>
      <xdr:col>1</xdr:col>
      <xdr:colOff>697809</xdr:colOff>
      <xdr:row>3</xdr:row>
      <xdr:rowOff>201681</xdr:rowOff>
    </xdr:from>
    <xdr:to>
      <xdr:col>3</xdr:col>
      <xdr:colOff>393756</xdr:colOff>
      <xdr:row>4</xdr:row>
      <xdr:rowOff>111380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64484" y="268356"/>
          <a:ext cx="657972" cy="138299"/>
        </a:xfrm>
        <a:prstGeom prst="rect">
          <a:avLst/>
        </a:prstGeom>
      </xdr:spPr>
    </xdr:pic>
    <xdr:clientData/>
  </xdr:twoCellAnchor>
  <xdr:twoCellAnchor editAs="oneCell">
    <xdr:from>
      <xdr:col>12</xdr:col>
      <xdr:colOff>667165</xdr:colOff>
      <xdr:row>3</xdr:row>
      <xdr:rowOff>190915</xdr:rowOff>
    </xdr:from>
    <xdr:to>
      <xdr:col>13</xdr:col>
      <xdr:colOff>366425</xdr:colOff>
      <xdr:row>4</xdr:row>
      <xdr:rowOff>100614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354090" y="257590"/>
          <a:ext cx="661285" cy="138299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0.01045</cdr:x>
      <cdr:y>7.1866E-7</cdr:y>
    </cdr:from>
    <cdr:to>
      <cdr:x>1</cdr:x>
      <cdr:y>0.13095</cdr:y>
    </cdr:to>
    <cdr:sp macro="" textlink="">
      <cdr:nvSpPr>
        <cdr:cNvPr id="3" name="TextBox 16"/>
        <cdr:cNvSpPr txBox="1"/>
      </cdr:nvSpPr>
      <cdr:spPr>
        <a:xfrm xmlns:a="http://schemas.openxmlformats.org/drawingml/2006/main">
          <a:off x="45675" y="1"/>
          <a:ext cx="4325160" cy="18221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900" b="0">
              <a:solidFill>
                <a:schemeClr val="bg1"/>
              </a:solidFill>
              <a:latin typeface="Century Gothic" panose="020B0502020202020204" pitchFamily="34" charset="0"/>
              <a:cs typeface="Tahoma" pitchFamily="34" charset="0"/>
            </a:rPr>
            <a:t>Net Change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X91"/>
  <sheetViews>
    <sheetView showGridLines="0" showRowColHeaders="0" tabSelected="1" topLeftCell="A3" zoomScaleNormal="100" workbookViewId="0">
      <selection activeCell="D39" sqref="D39"/>
    </sheetView>
  </sheetViews>
  <sheetFormatPr defaultColWidth="9" defaultRowHeight="16.5" x14ac:dyDescent="0.2"/>
  <cols>
    <col min="1" max="1" width="2.625" style="10" customWidth="1"/>
    <col min="2" max="2" width="12.625" style="9" customWidth="1"/>
    <col min="3" max="3" width="12.625" style="9" hidden="1" customWidth="1"/>
    <col min="4" max="14" width="12.625" style="9" customWidth="1"/>
    <col min="15" max="15" width="12.75" style="10" customWidth="1"/>
    <col min="16" max="16384" width="9" style="10"/>
  </cols>
  <sheetData>
    <row r="1" spans="2:24" hidden="1" x14ac:dyDescent="0.2"/>
    <row r="2" spans="2:24" hidden="1" x14ac:dyDescent="0.2"/>
    <row r="3" spans="2:24" ht="9.9499999999999993" customHeight="1" x14ac:dyDescent="0.2"/>
    <row r="4" spans="2:24" ht="18" customHeight="1" x14ac:dyDescent="0.2">
      <c r="B4" s="123" t="s">
        <v>24</v>
      </c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5"/>
      <c r="O4" s="131" t="s">
        <v>25</v>
      </c>
      <c r="P4" s="132"/>
      <c r="Q4" s="132"/>
      <c r="R4" s="132"/>
      <c r="S4" s="132"/>
      <c r="T4" s="132"/>
      <c r="U4" s="132"/>
      <c r="V4" s="132"/>
      <c r="W4" s="133"/>
    </row>
    <row r="5" spans="2:24" ht="18" customHeight="1" x14ac:dyDescent="0.2">
      <c r="B5" s="126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8"/>
      <c r="O5" s="134"/>
      <c r="P5" s="135"/>
      <c r="Q5" s="135"/>
      <c r="R5" s="135"/>
      <c r="S5" s="135"/>
      <c r="T5" s="135"/>
      <c r="U5" s="135"/>
      <c r="V5" s="135"/>
      <c r="W5" s="136"/>
    </row>
    <row r="6" spans="2:24" ht="12.95" customHeight="1" x14ac:dyDescent="0.2">
      <c r="B6" s="11" t="str">
        <f>Calculations!P2</f>
        <v>Nov 15</v>
      </c>
      <c r="C6" s="12"/>
      <c r="D6" s="11" t="str">
        <f>Calculations!P3</f>
        <v>Dec 15</v>
      </c>
      <c r="E6" s="11" t="str">
        <f>Calculations!P4</f>
        <v>Jan 16</v>
      </c>
      <c r="F6" s="11" t="str">
        <f>Calculations!P5</f>
        <v>Feb 16</v>
      </c>
      <c r="G6" s="11" t="str">
        <f>Calculations!P6</f>
        <v>Mar 16</v>
      </c>
      <c r="H6" s="11" t="str">
        <f>Calculations!P7</f>
        <v>Apr 16</v>
      </c>
      <c r="I6" s="11" t="str">
        <f>Calculations!P8</f>
        <v>May 16</v>
      </c>
      <c r="J6" s="11" t="str">
        <f>Calculations!P9</f>
        <v>Jun 16</v>
      </c>
      <c r="K6" s="11" t="str">
        <f>Calculations!P10</f>
        <v>Jul 16</v>
      </c>
      <c r="L6" s="11" t="str">
        <f>Calculations!P11</f>
        <v>Aug 16</v>
      </c>
      <c r="M6" s="11" t="str">
        <f>Calculations!P12</f>
        <v>Sep 16</v>
      </c>
      <c r="N6" s="13" t="str">
        <f>Calculations!P13</f>
        <v>Oct 16</v>
      </c>
      <c r="U6" s="14"/>
      <c r="X6" s="15"/>
    </row>
    <row r="7" spans="2:24" ht="12.95" hidden="1" customHeight="1" x14ac:dyDescent="0.2">
      <c r="B7" s="16" t="str">
        <f>_xll.CQGXLContractData(Calculations!Q2, "Symbol")</f>
        <v>QOX5</v>
      </c>
      <c r="C7" s="17"/>
      <c r="D7" s="5" t="str">
        <f>_xll.CQGXLContractData(Calculations!Q3, "Symbol")</f>
        <v>QOZ5</v>
      </c>
      <c r="E7" s="5" t="str">
        <f>_xll.CQGXLContractData(Calculations!Q4, "Symbol")</f>
        <v>QOF6</v>
      </c>
      <c r="F7" s="5" t="str">
        <f>_xll.CQGXLContractData(Calculations!Q5, "Symbol")</f>
        <v>QOG6</v>
      </c>
      <c r="G7" s="5" t="str">
        <f>_xll.CQGXLContractData(Calculations!Q6, "Symbol")</f>
        <v>QOH6</v>
      </c>
      <c r="H7" s="5" t="str">
        <f>_xll.CQGXLContractData(Calculations!Q7, "Symbol")</f>
        <v>QOJ6</v>
      </c>
      <c r="I7" s="5" t="str">
        <f>_xll.CQGXLContractData(Calculations!Q8, "Symbol")</f>
        <v>QOK6</v>
      </c>
      <c r="J7" s="5" t="str">
        <f>_xll.CQGXLContractData(Calculations!Q9, "Symbol")</f>
        <v>QOM6</v>
      </c>
      <c r="K7" s="5" t="str">
        <f>_xll.CQGXLContractData(Calculations!Q10, "Symbol")</f>
        <v>QON6</v>
      </c>
      <c r="L7" s="5" t="str">
        <f>_xll.CQGXLContractData(Calculations!Q11, "Symbol")</f>
        <v>QOQ6</v>
      </c>
      <c r="M7" s="5" t="str">
        <f>_xll.CQGXLContractData(Calculations!Q12, "Symbol")</f>
        <v>QOU6</v>
      </c>
      <c r="N7" s="18" t="str">
        <f>_xll.CQGXLContractData(Calculations!Q13, "Symbol")</f>
        <v>QOV6</v>
      </c>
      <c r="U7" s="14"/>
      <c r="X7" s="15"/>
    </row>
    <row r="8" spans="2:24" ht="12.95" customHeight="1" x14ac:dyDescent="0.2">
      <c r="B8" s="19" t="str">
        <f>TEXT(_xll.CQGXLContractData(B7, "Ask",,"T"),"#.00")&amp;" "&amp;"A"</f>
        <v>49.88 A</v>
      </c>
      <c r="C8" s="20"/>
      <c r="D8" s="19" t="str">
        <f>TEXT(_xll.CQGXLContractData(D7, "Ask",,"T"),"#.00")&amp;" "&amp;"A"</f>
        <v>50.67 A</v>
      </c>
      <c r="E8" s="19" t="str">
        <f>TEXT(_xll.CQGXLContractData(E7, "Ask",,"T"),"#.00")&amp;" "&amp;"A"</f>
        <v>51.48 A</v>
      </c>
      <c r="F8" s="19" t="str">
        <f>TEXT(_xll.CQGXLContractData(F7, "Ask",,"T"),"#.00")&amp;" "&amp;"A"</f>
        <v>52.23 A</v>
      </c>
      <c r="G8" s="19" t="str">
        <f>TEXT(_xll.CQGXLContractData(G7, "Ask",,"T"),"#.00")&amp;" "&amp;"A"</f>
        <v>52.86 A</v>
      </c>
      <c r="H8" s="19" t="str">
        <f>TEXT(_xll.CQGXLContractData(H7, "Ask",,"T"),"#.00")&amp;" "&amp;"A"</f>
        <v>53.51 A</v>
      </c>
      <c r="I8" s="19" t="str">
        <f>TEXT(_xll.CQGXLContractData(I7, "Ask",,"T"),"#.00")&amp;" "&amp;"A"</f>
        <v>54.08 A</v>
      </c>
      <c r="J8" s="19" t="str">
        <f>TEXT(_xll.CQGXLContractData(J7, "Ask",,"T"),"#.00")&amp;" "&amp;"A"</f>
        <v>54.62 A</v>
      </c>
      <c r="K8" s="19" t="str">
        <f>TEXT(_xll.CQGXLContractData(K7, "Ask",,"T"),"#.00")&amp;" "&amp;"A"</f>
        <v>55.09 A</v>
      </c>
      <c r="L8" s="19" t="str">
        <f>TEXT(_xll.CQGXLContractData(L7, "Ask",,"T"),"#.00")&amp;" "&amp;"A"</f>
        <v>55.91 A</v>
      </c>
      <c r="M8" s="19" t="str">
        <f>TEXT(_xll.CQGXLContractData(M7, "Ask",,"T"),"#.00")&amp;" "&amp;"A"</f>
        <v>56.01 A</v>
      </c>
      <c r="N8" s="21" t="str">
        <f>TEXT(_xll.CQGXLContractData(N7, "Ask",,"T"),"#.00")&amp;" "&amp;"A"</f>
        <v>56.72 A</v>
      </c>
      <c r="O8" s="22"/>
      <c r="U8" s="14"/>
      <c r="X8" s="15"/>
    </row>
    <row r="9" spans="2:24" ht="12.95" customHeight="1" x14ac:dyDescent="0.2">
      <c r="B9" s="23" t="str">
        <f>TEXT(_xll.CQGXLContractData(B7, "Bid",,"T"),"#.00")&amp;" "&amp;"B"</f>
        <v>49.87 B</v>
      </c>
      <c r="C9" s="24"/>
      <c r="D9" s="23" t="str">
        <f>TEXT(_xll.CQGXLContractData(D7, "Bid",,"T"),"#.00")&amp;" "&amp;"B"</f>
        <v>50.65 B</v>
      </c>
      <c r="E9" s="23" t="str">
        <f>TEXT(_xll.CQGXLContractData(E7, "Bid",,"T"),"#.00")&amp;" "&amp;"B"</f>
        <v>51.46 B</v>
      </c>
      <c r="F9" s="23" t="str">
        <f>TEXT(_xll.CQGXLContractData(F7, "Bid",,"T"),"#.00")&amp;" "&amp;"B"</f>
        <v>52.21 B</v>
      </c>
      <c r="G9" s="23" t="str">
        <f>TEXT(_xll.CQGXLContractData(G7, "Bid",,"T"),"#.00")&amp;" "&amp;"B"</f>
        <v>52.83 B</v>
      </c>
      <c r="H9" s="23" t="str">
        <f>TEXT(_xll.CQGXLContractData(H7, "Bid",,"T"),"#.00")&amp;" "&amp;"B"</f>
        <v>53.47 B</v>
      </c>
      <c r="I9" s="23" t="str">
        <f>TEXT(_xll.CQGXLContractData(I7, "Bid",,"T"),"#.00")&amp;" "&amp;"B"</f>
        <v>54.05 B</v>
      </c>
      <c r="J9" s="23" t="str">
        <f>TEXT(_xll.CQGXLContractData(J7, "Bid",,"T"),"#.00")&amp;" "&amp;"B"</f>
        <v>54.58 B</v>
      </c>
      <c r="K9" s="23" t="str">
        <f>TEXT(_xll.CQGXLContractData(K7, "Bid",,"T"),"#.00")&amp;" "&amp;"B"</f>
        <v>55.04 B</v>
      </c>
      <c r="L9" s="23" t="str">
        <f>TEXT(_xll.CQGXLContractData(L7, "Bid",,"T"),"#.00")&amp;" "&amp;"B"</f>
        <v>54.94 B</v>
      </c>
      <c r="M9" s="23" t="str">
        <f>TEXT(_xll.CQGXLContractData(M7, "Bid",,"T"),"#.00")&amp;" "&amp;"B"</f>
        <v>55.38 B</v>
      </c>
      <c r="N9" s="25" t="str">
        <f>TEXT(_xll.CQGXLContractData(N7, "Bid",,"T"),"#.00")&amp;" "&amp;"B"</f>
        <v>55.69 B</v>
      </c>
      <c r="O9" s="22"/>
      <c r="U9" s="14"/>
      <c r="X9" s="15"/>
    </row>
    <row r="10" spans="2:24" ht="12.95" customHeight="1" x14ac:dyDescent="0.2">
      <c r="B10" s="26" t="str">
        <f>TEXT(_xll.CQGXLContractData(B7, "LastTradeToday",,"T"),"#.00")&amp;" "&amp;"L"</f>
        <v>49.88 L</v>
      </c>
      <c r="C10" s="27"/>
      <c r="D10" s="26" t="str">
        <f>TEXT(_xll.CQGXLContractData(D7, "LastTradeToday",,"T"),"#.00")&amp;" "&amp;"L"</f>
        <v>50.65 L</v>
      </c>
      <c r="E10" s="26" t="str">
        <f>TEXT(_xll.CQGXLContractData(E7, "LastTradeToday",,"T"),"#.00")&amp;" "&amp;"L"</f>
        <v>51.46 L</v>
      </c>
      <c r="F10" s="26" t="str">
        <f>TEXT(_xll.CQGXLContractData(F7, "LastTradeToday",,"T"),"#.00")&amp;" "&amp;"L"</f>
        <v>52.21 L</v>
      </c>
      <c r="G10" s="26" t="str">
        <f>TEXT(_xll.CQGXLContractData(G7, "LastTradeToday",,"T"),"#.00")&amp;" "&amp;"L"</f>
        <v>52.85 L</v>
      </c>
      <c r="H10" s="26" t="str">
        <f>TEXT(_xll.CQGXLContractData(H7, "LastTradeToday",,"T"),"#.00")&amp;" "&amp;"L"</f>
        <v>53.33 L</v>
      </c>
      <c r="I10" s="26" t="str">
        <f>TEXT(_xll.CQGXLContractData(I7, "LastTradeToday",,"T"),"#.00")&amp;" "&amp;"L"</f>
        <v>53.90 L</v>
      </c>
      <c r="J10" s="26" t="str">
        <f>TEXT(_xll.CQGXLContractData(J7, "LastTradeToday",,"T"),"#.00")&amp;" "&amp;"L"</f>
        <v>54.61 L</v>
      </c>
      <c r="K10" s="26" t="str">
        <f>TEXT(_xll.CQGXLContractData(K7, "LastTradeToday",,"T"),"#.00")&amp;" "&amp;"L"</f>
        <v>55.03 L</v>
      </c>
      <c r="L10" s="26" t="str">
        <f>TEXT(_xll.CQGXLContractData(L7, "LastTradeToday",,"T"),"#.00")&amp;" "&amp;"L"</f>
        <v>54.71 L</v>
      </c>
      <c r="M10" s="26" t="str">
        <f>TEXT(_xll.CQGXLContractData(M7, "LastTradeToday",,"T"),"#.00")&amp;" "&amp;"L"</f>
        <v>55.56 L</v>
      </c>
      <c r="N10" s="28" t="str">
        <f>TEXT(_xll.CQGXLContractData(N7, "LastTradeToday",,"T"),"#.00")&amp;" "&amp;"L"</f>
        <v>56.08 L</v>
      </c>
      <c r="O10" s="22"/>
      <c r="U10" s="14"/>
      <c r="X10" s="15"/>
    </row>
    <row r="11" spans="2:24" ht="2.1" customHeight="1" x14ac:dyDescent="0.2">
      <c r="B11" s="29"/>
      <c r="C11" s="30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31"/>
      <c r="O11" s="22"/>
      <c r="U11" s="14"/>
      <c r="X11" s="15"/>
    </row>
    <row r="12" spans="2:24" ht="12.95" customHeight="1" x14ac:dyDescent="0.2">
      <c r="B12" s="32" t="str">
        <f>Calculations!P2</f>
        <v>Nov 15</v>
      </c>
      <c r="C12" s="33"/>
      <c r="D12" s="34" t="str">
        <f>$B$12&amp;", "&amp;D6</f>
        <v>Nov 15, Dec 15</v>
      </c>
      <c r="E12" s="34" t="str">
        <f t="shared" ref="E12:N12" si="0">$B$12&amp;", "&amp;E6</f>
        <v>Nov 15, Jan 16</v>
      </c>
      <c r="F12" s="34" t="str">
        <f t="shared" si="0"/>
        <v>Nov 15, Feb 16</v>
      </c>
      <c r="G12" s="34" t="str">
        <f t="shared" si="0"/>
        <v>Nov 15, Mar 16</v>
      </c>
      <c r="H12" s="34" t="str">
        <f t="shared" si="0"/>
        <v>Nov 15, Apr 16</v>
      </c>
      <c r="I12" s="34" t="str">
        <f t="shared" si="0"/>
        <v>Nov 15, May 16</v>
      </c>
      <c r="J12" s="34" t="str">
        <f t="shared" si="0"/>
        <v>Nov 15, Jun 16</v>
      </c>
      <c r="K12" s="34" t="str">
        <f t="shared" si="0"/>
        <v>Nov 15, Jul 16</v>
      </c>
      <c r="L12" s="34" t="str">
        <f t="shared" si="0"/>
        <v>Nov 15, Aug 16</v>
      </c>
      <c r="M12" s="34" t="str">
        <f t="shared" si="0"/>
        <v>Nov 15, Sep 16</v>
      </c>
      <c r="N12" s="13" t="str">
        <f t="shared" si="0"/>
        <v>Nov 15, Oct 16</v>
      </c>
      <c r="O12" s="22"/>
      <c r="U12" s="14"/>
      <c r="X12" s="15"/>
    </row>
    <row r="13" spans="2:24" ht="12.95" hidden="1" customHeight="1" x14ac:dyDescent="0.2">
      <c r="B13" s="35" t="str">
        <f>_xll.CQGXLContractData(Calculations!Q2, "Symbol")</f>
        <v>QOX5</v>
      </c>
      <c r="C13" s="17"/>
      <c r="D13" s="5" t="str">
        <f>_xll.CQGXLContractData(Calculations!D2, "Symbol")</f>
        <v>QOS1X5</v>
      </c>
      <c r="E13" s="5" t="str">
        <f>_xll.CQGXLContractData(Calculations!E2, "Symbol")</f>
        <v>QOS2X5</v>
      </c>
      <c r="F13" s="5" t="str">
        <f>_xll.CQGXLContractData(Calculations!F2, "Symbol")</f>
        <v>QOS3X5</v>
      </c>
      <c r="G13" s="5" t="str">
        <f>_xll.CQGXLContractData(Calculations!G2, "Symbol")</f>
        <v>QOS4X5</v>
      </c>
      <c r="H13" s="5" t="str">
        <f>_xll.CQGXLContractData(Calculations!H2, "Symbol")</f>
        <v>QOS5X5</v>
      </c>
      <c r="I13" s="5" t="str">
        <f>_xll.CQGXLContractData(Calculations!I2, "Symbol")</f>
        <v>QOS6X5</v>
      </c>
      <c r="J13" s="5" t="str">
        <f>_xll.CQGXLContractData(Calculations!J2, "Symbol")</f>
        <v>QOS7X5</v>
      </c>
      <c r="K13" s="5" t="str">
        <f>_xll.CQGXLContractData(Calculations!K2, "Symbol")</f>
        <v>QOS8X5</v>
      </c>
      <c r="L13" s="5" t="str">
        <f>_xll.CQGXLContractData(Calculations!L2, "Symbol")</f>
        <v>QOS9X5</v>
      </c>
      <c r="M13" s="5" t="str">
        <f>_xll.CQGXLContractData(Calculations!M2, "Symbol")</f>
        <v>QOS10X5</v>
      </c>
      <c r="N13" s="18" t="str">
        <f>_xll.CQGXLContractData(Calculations!N2, "Symbol")</f>
        <v>QOS11X5</v>
      </c>
      <c r="U13" s="14"/>
      <c r="X13" s="15"/>
    </row>
    <row r="14" spans="2:24" ht="12.95" customHeight="1" x14ac:dyDescent="0.2">
      <c r="B14" s="19" t="str">
        <f>TEXT(_xll.CQGXLContractData(B13, "Ask",,"T"),"#.00")&amp;" "&amp;"A"</f>
        <v>49.88 A</v>
      </c>
      <c r="C14" s="20"/>
      <c r="D14" s="19" t="str">
        <f>TEXT(_xll.CQGXLContractData(D13, "Ask",,"T"),"#.00")&amp;" "&amp;"A"</f>
        <v>-.78 A</v>
      </c>
      <c r="E14" s="19" t="str">
        <f>TEXT(_xll.CQGXLContractData(E13, "Ask",,"T"),"#.00")&amp;" "&amp;"A"</f>
        <v>-1.59 A</v>
      </c>
      <c r="F14" s="19" t="str">
        <f>TEXT(_xll.CQGXLContractData(F13, "Ask",,"T"),"#.00")&amp;" "&amp;"A"</f>
        <v>-2.34 A</v>
      </c>
      <c r="G14" s="19" t="str">
        <f>TEXT(_xll.CQGXLContractData(G13, "Ask",,"T"),"#.00")&amp;" "&amp;"A"</f>
        <v>-2.96 A</v>
      </c>
      <c r="H14" s="19" t="str">
        <f>TEXT(_xll.CQGXLContractData(H13, "Ask",,"T"),"#.00")&amp;" "&amp;"A"</f>
        <v>-3.60 A</v>
      </c>
      <c r="I14" s="19" t="str">
        <f>TEXT(_xll.CQGXLContractData(I13, "Ask",,"T"),"#.00")&amp;" "&amp;"A"</f>
        <v>-4.18 A</v>
      </c>
      <c r="J14" s="19" t="str">
        <f>TEXT(_xll.CQGXLContractData(J13, "Ask",,"T"),"#.00")&amp;" "&amp;"A"</f>
        <v>-4.71 A</v>
      </c>
      <c r="K14" s="19" t="str">
        <f>TEXT(_xll.CQGXLContractData(K13, "Ask",,"T"),"#.00")&amp;" "&amp;"A"</f>
        <v>-5.17 A</v>
      </c>
      <c r="L14" s="19" t="str">
        <f>TEXT(_xll.CQGXLContractData(L13, "Ask",,"T"),"#.00")&amp;" "&amp;"A"</f>
        <v>-5.53 A</v>
      </c>
      <c r="M14" s="19" t="str">
        <f>TEXT(_xll.CQGXLContractData(M13, "Ask",,"T"),"#.00")&amp;" "&amp;"A"</f>
        <v>-5.93 A</v>
      </c>
      <c r="N14" s="21" t="str">
        <f>TEXT(_xll.CQGXLContractData(N13, "Ask",,"T"),"#.00")&amp;" "&amp;"A"</f>
        <v>-6.29 A</v>
      </c>
      <c r="O14" s="22"/>
      <c r="U14" s="14"/>
      <c r="W14" s="10" t="s">
        <v>12</v>
      </c>
      <c r="X14" s="15"/>
    </row>
    <row r="15" spans="2:24" ht="12.95" customHeight="1" x14ac:dyDescent="0.2">
      <c r="B15" s="23" t="str">
        <f>TEXT(_xll.CQGXLContractData(B13, "Bid",,"T"),"#.00")&amp;" "&amp;"B"</f>
        <v>49.87 B</v>
      </c>
      <c r="C15" s="24"/>
      <c r="D15" s="23" t="str">
        <f>TEXT(_xll.CQGXLContractData(D13, "Bid",,"T"),"#.00")&amp;" "&amp;"B"</f>
        <v>-.79 B</v>
      </c>
      <c r="E15" s="23" t="str">
        <f>TEXT(_xll.CQGXLContractData(E13, "Bid",,"T"),"#.00")&amp;" "&amp;"B"</f>
        <v>-1.60 B</v>
      </c>
      <c r="F15" s="23" t="str">
        <f>TEXT(_xll.CQGXLContractData(F13, "Bid",,"T"),"#.00")&amp;" "&amp;"B"</f>
        <v>-2.35 B</v>
      </c>
      <c r="G15" s="23" t="str">
        <f>TEXT(_xll.CQGXLContractData(G13, "Bid",,"T"),"#.00")&amp;" "&amp;"B"</f>
        <v>-2.98 B</v>
      </c>
      <c r="H15" s="23" t="str">
        <f>TEXT(_xll.CQGXLContractData(H13, "Bid",,"T"),"#.00")&amp;" "&amp;"B"</f>
        <v>-3.63 B</v>
      </c>
      <c r="I15" s="23" t="str">
        <f>TEXT(_xll.CQGXLContractData(I13, "Bid",,"T"),"#.00")&amp;" "&amp;"B"</f>
        <v>-4.21 B</v>
      </c>
      <c r="J15" s="23" t="str">
        <f>TEXT(_xll.CQGXLContractData(J13, "Bid",,"T"),"#.00")&amp;" "&amp;"B"</f>
        <v>-4.74 B</v>
      </c>
      <c r="K15" s="23" t="str">
        <f>TEXT(_xll.CQGXLContractData(K13, "Bid",,"T"),"#.00")&amp;" "&amp;"B"</f>
        <v>-5.21 B</v>
      </c>
      <c r="L15" s="23" t="str">
        <f>TEXT(_xll.CQGXLContractData(L13, "Bid",,"T"),"#.00")&amp;" "&amp;"B"</f>
        <v>-5.66 B</v>
      </c>
      <c r="M15" s="23" t="str">
        <f>TEXT(_xll.CQGXLContractData(M13, "Bid",,"T"),"#.00")&amp;" "&amp;"B"</f>
        <v>-6.04 B</v>
      </c>
      <c r="N15" s="25" t="str">
        <f>TEXT(_xll.CQGXLContractData(N13, "Bid",,"T"),"#.00")&amp;" "&amp;"B"</f>
        <v>-6.43 B</v>
      </c>
      <c r="O15" s="22"/>
      <c r="U15" s="14"/>
      <c r="X15" s="15"/>
    </row>
    <row r="16" spans="2:24" ht="12.95" customHeight="1" x14ac:dyDescent="0.2">
      <c r="B16" s="26" t="str">
        <f>TEXT(_xll.CQGXLContractData(B13, "LastTradeToday",,"T"),"#.00")&amp;" "&amp;"L"</f>
        <v>49.88 L</v>
      </c>
      <c r="C16" s="36"/>
      <c r="D16" s="26" t="str">
        <f>TEXT(_xll.CQGXLContractData(D13, "LastTradeToday",,"T"),"#.00")&amp;" "&amp;"L"</f>
        <v>-.79 L</v>
      </c>
      <c r="E16" s="26" t="str">
        <f>TEXT(_xll.CQGXLContractData(E13, "LastTradeToday",,"T"),"#.00")&amp;" "&amp;"L"</f>
        <v>-1.60 L</v>
      </c>
      <c r="F16" s="26" t="str">
        <f>TEXT(_xll.CQGXLContractData(F13, "LastTradeToday",,"T"),"#.00")&amp;" "&amp;"L"</f>
        <v>-2.35 L</v>
      </c>
      <c r="G16" s="26" t="str">
        <f>TEXT(_xll.CQGXLContractData(G13, "LastTradeToday",,"T"),"#.00")&amp;" "&amp;"L"</f>
        <v>-2.97 L</v>
      </c>
      <c r="H16" s="26" t="str">
        <f>TEXT(_xll.CQGXLContractData(H13, "LastTradeToday",,"T"),"#.00")&amp;" "&amp;"L"</f>
        <v>-3.60 L</v>
      </c>
      <c r="I16" s="26" t="str">
        <f>TEXT(_xll.CQGXLContractData(I13, "LastTradeToday",,"T"),"#.00")&amp;" "&amp;"L"</f>
        <v>-4.21 L</v>
      </c>
      <c r="J16" s="26" t="str">
        <f>TEXT(_xll.CQGXLContractData(J13, "LastTradeToday",,"T"),"#.00")&amp;" "&amp;"L"</f>
        <v>-4.73 L</v>
      </c>
      <c r="K16" s="26" t="str">
        <f>TEXT(_xll.CQGXLContractData(K13, "LastTradeToday",,"T"),"#.00")&amp;" "&amp;"L"</f>
        <v>-5.17 L</v>
      </c>
      <c r="L16" s="26" t="str">
        <f>TEXT(_xll.CQGXLContractData(L13, "LastTradeToday",,"T"),"#.00")&amp;" "&amp;"L"</f>
        <v>-5.58 L</v>
      </c>
      <c r="M16" s="26" t="str">
        <f>TEXT(_xll.CQGXLContractData(M13, "LastTradeToday",,"T"),"#.00")&amp;" "&amp;"L"</f>
        <v>-5.96 L</v>
      </c>
      <c r="N16" s="28" t="str">
        <f>TEXT(_xll.CQGXLContractData(N13, "LastTradeToday",,"T"),"#.00")&amp;" "&amp;"L"</f>
        <v>-6.33 L</v>
      </c>
      <c r="O16" s="22"/>
      <c r="U16" s="14"/>
      <c r="X16" s="15"/>
    </row>
    <row r="17" spans="2:24" ht="2.1" customHeight="1" x14ac:dyDescent="0.2">
      <c r="B17" s="3"/>
      <c r="C17" s="3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31"/>
      <c r="O17" s="22"/>
      <c r="U17" s="14"/>
      <c r="X17" s="15"/>
    </row>
    <row r="18" spans="2:24" ht="12.95" customHeight="1" x14ac:dyDescent="0.2">
      <c r="B18" s="3"/>
      <c r="C18" s="3"/>
      <c r="D18" s="32" t="str">
        <f>Calculations!P3</f>
        <v>Dec 15</v>
      </c>
      <c r="E18" s="34" t="str">
        <f>$D$18&amp;", "&amp;E6</f>
        <v>Dec 15, Jan 16</v>
      </c>
      <c r="F18" s="34" t="str">
        <f t="shared" ref="F18:N18" si="1">$D$18&amp;", "&amp;F6</f>
        <v>Dec 15, Feb 16</v>
      </c>
      <c r="G18" s="34" t="str">
        <f t="shared" si="1"/>
        <v>Dec 15, Mar 16</v>
      </c>
      <c r="H18" s="34" t="str">
        <f t="shared" si="1"/>
        <v>Dec 15, Apr 16</v>
      </c>
      <c r="I18" s="34" t="str">
        <f t="shared" si="1"/>
        <v>Dec 15, May 16</v>
      </c>
      <c r="J18" s="34" t="str">
        <f t="shared" si="1"/>
        <v>Dec 15, Jun 16</v>
      </c>
      <c r="K18" s="34" t="str">
        <f t="shared" si="1"/>
        <v>Dec 15, Jul 16</v>
      </c>
      <c r="L18" s="34" t="str">
        <f t="shared" si="1"/>
        <v>Dec 15, Aug 16</v>
      </c>
      <c r="M18" s="34" t="str">
        <f t="shared" si="1"/>
        <v>Dec 15, Sep 16</v>
      </c>
      <c r="N18" s="13" t="str">
        <f t="shared" si="1"/>
        <v>Dec 15, Oct 16</v>
      </c>
      <c r="O18" s="22"/>
      <c r="U18" s="14"/>
      <c r="X18" s="15"/>
    </row>
    <row r="19" spans="2:24" ht="12.75" hidden="1" customHeight="1" x14ac:dyDescent="0.2">
      <c r="B19" s="37"/>
      <c r="C19" s="38"/>
      <c r="D19" s="35" t="str">
        <f>_xll.CQGXLContractData(Calculations!Q3, "Symbol")</f>
        <v>QOZ5</v>
      </c>
      <c r="E19" s="5" t="str">
        <f>_xll.CQGXLContractData(Calculations!D3, "Symbol")</f>
        <v>QOS1Z5</v>
      </c>
      <c r="F19" s="5" t="str">
        <f>_xll.CQGXLContractData(Calculations!E3, "Symbol")</f>
        <v>QOS2Z5</v>
      </c>
      <c r="G19" s="5" t="str">
        <f>_xll.CQGXLContractData(Calculations!F3, "Symbol")</f>
        <v>QOS3Z5</v>
      </c>
      <c r="H19" s="5" t="str">
        <f>_xll.CQGXLContractData(Calculations!G3, "Symbol")</f>
        <v>QOS4Z5</v>
      </c>
      <c r="I19" s="5" t="str">
        <f>_xll.CQGXLContractData(Calculations!H3, "Symbol")</f>
        <v>QOS5Z5</v>
      </c>
      <c r="J19" s="5" t="str">
        <f>_xll.CQGXLContractData(Calculations!I3, "Symbol")</f>
        <v>QOS6Z5</v>
      </c>
      <c r="K19" s="5" t="str">
        <f>_xll.CQGXLContractData(Calculations!J3, "Symbol")</f>
        <v>QOS7Z5</v>
      </c>
      <c r="L19" s="5" t="str">
        <f>_xll.CQGXLContractData(Calculations!K3, "Symbol")</f>
        <v>QOS8Z5</v>
      </c>
      <c r="M19" s="5" t="str">
        <f>_xll.CQGXLContractData(Calculations!L3, "Symbol")</f>
        <v>QOS9Z5</v>
      </c>
      <c r="N19" s="18" t="str">
        <f>_xll.CQGXLContractData(Calculations!M3, "Symbol")</f>
        <v>QOS10Z5</v>
      </c>
      <c r="U19" s="14"/>
      <c r="X19" s="15"/>
    </row>
    <row r="20" spans="2:24" ht="12.95" customHeight="1" x14ac:dyDescent="0.2">
      <c r="B20" s="37"/>
      <c r="C20" s="37"/>
      <c r="D20" s="19" t="str">
        <f>TEXT(_xll.CQGXLContractData(D19, "Ask",,"T"),"#.00")&amp;" "&amp;"A"</f>
        <v>50.67 A</v>
      </c>
      <c r="E20" s="19" t="str">
        <f>TEXT(_xll.CQGXLContractData(E19, "Ask",,"T"),"#.00")&amp;" "&amp;"A"</f>
        <v>-.80 A</v>
      </c>
      <c r="F20" s="19" t="str">
        <f>TEXT(_xll.CQGXLContractData(F19, "Ask",,"T"),"#.00")&amp;" "&amp;"A"</f>
        <v>-1.55 A</v>
      </c>
      <c r="G20" s="19" t="str">
        <f>TEXT(_xll.CQGXLContractData(G19, "Ask",,"T"),"#.00")&amp;" "&amp;"A"</f>
        <v>-2.18 A</v>
      </c>
      <c r="H20" s="19" t="str">
        <f>TEXT(_xll.CQGXLContractData(H19, "Ask",,"T"),"#.00")&amp;" "&amp;"A"</f>
        <v>-2.82 A</v>
      </c>
      <c r="I20" s="19" t="str">
        <f>TEXT(_xll.CQGXLContractData(I19, "Ask",,"T"),"#.00")&amp;" "&amp;"A"</f>
        <v>-3.39 A</v>
      </c>
      <c r="J20" s="19" t="str">
        <f>TEXT(_xll.CQGXLContractData(J19, "Ask",,"T"),"#.00")&amp;" "&amp;"A"</f>
        <v>-3.93 A</v>
      </c>
      <c r="K20" s="19" t="str">
        <f>TEXT(_xll.CQGXLContractData(K19, "Ask",,"T"),"#.00")&amp;" "&amp;"A"</f>
        <v>-4.39 A</v>
      </c>
      <c r="L20" s="19" t="str">
        <f>TEXT(_xll.CQGXLContractData(L19, "Ask",,"T"),"#.00")&amp;" "&amp;"A"</f>
        <v>-4.76 A</v>
      </c>
      <c r="M20" s="19" t="str">
        <f>TEXT(_xll.CQGXLContractData(M19, "Ask",,"T"),"#.00")&amp;" "&amp;"A"</f>
        <v>-5.17 A</v>
      </c>
      <c r="N20" s="21" t="str">
        <f>TEXT(_xll.CQGXLContractData(N19, "Ask",,"T"),"#.00")&amp;" "&amp;"A"</f>
        <v>-5.51 A</v>
      </c>
      <c r="O20" s="22"/>
      <c r="U20" s="14"/>
      <c r="X20" s="15"/>
    </row>
    <row r="21" spans="2:24" ht="12.95" customHeight="1" x14ac:dyDescent="0.2">
      <c r="B21" s="37"/>
      <c r="C21" s="37"/>
      <c r="D21" s="23" t="str">
        <f>TEXT(_xll.CQGXLContractData(D19, "Bid",,"T"),"#.00")&amp;" "&amp;"B"</f>
        <v>50.65 B</v>
      </c>
      <c r="E21" s="23" t="str">
        <f>TEXT(_xll.CQGXLContractData(E19, "Bid",,"T"),"#.00")&amp;" "&amp;"B"</f>
        <v>-.81 B</v>
      </c>
      <c r="F21" s="23" t="str">
        <f>TEXT(_xll.CQGXLContractData(F19, "Bid",,"T"),"#.00")&amp;" "&amp;"B"</f>
        <v>-1.56 B</v>
      </c>
      <c r="G21" s="23" t="str">
        <f>TEXT(_xll.CQGXLContractData(G19, "Bid",,"T"),"#.00")&amp;" "&amp;"B"</f>
        <v>-2.19 B</v>
      </c>
      <c r="H21" s="23" t="str">
        <f>TEXT(_xll.CQGXLContractData(H19, "Bid",,"T"),"#.00")&amp;" "&amp;"B"</f>
        <v>-2.84 B</v>
      </c>
      <c r="I21" s="23" t="str">
        <f>TEXT(_xll.CQGXLContractData(I19, "Bid",,"T"),"#.00")&amp;" "&amp;"B"</f>
        <v>-3.42 B</v>
      </c>
      <c r="J21" s="23" t="str">
        <f>TEXT(_xll.CQGXLContractData(J19, "Bid",,"T"),"#.00")&amp;" "&amp;"B"</f>
        <v>-3.95 B</v>
      </c>
      <c r="K21" s="23" t="str">
        <f>TEXT(_xll.CQGXLContractData(K19, "Bid",,"T"),"#.00")&amp;" "&amp;"B"</f>
        <v>-4.42 B</v>
      </c>
      <c r="L21" s="23" t="str">
        <f>TEXT(_xll.CQGXLContractData(L19, "Bid",,"T"),"#.00")&amp;" "&amp;"B"</f>
        <v>-4.87 B</v>
      </c>
      <c r="M21" s="23" t="str">
        <f>TEXT(_xll.CQGXLContractData(M19, "Bid",,"T"),"#.00")&amp;" "&amp;"B"</f>
        <v>-5.23 B</v>
      </c>
      <c r="N21" s="25" t="str">
        <f>TEXT(_xll.CQGXLContractData(N19, "Bid",,"T"),"#.00")&amp;" "&amp;"B"</f>
        <v>-5.64 B</v>
      </c>
      <c r="O21" s="22"/>
      <c r="U21" s="14"/>
      <c r="X21" s="15"/>
    </row>
    <row r="22" spans="2:24" ht="12.95" customHeight="1" x14ac:dyDescent="0.2">
      <c r="B22" s="37"/>
      <c r="C22" s="37"/>
      <c r="D22" s="26" t="str">
        <f>TEXT(_xll.CQGXLContractData(D19, "LastTradeToday",,"T"),"#.00")&amp;" "&amp;"L"</f>
        <v>50.65 L</v>
      </c>
      <c r="E22" s="26" t="str">
        <f>TEXT(_xll.CQGXLContractData(E19, "LastTradeToday",,"T"),"#.00")&amp;" "&amp;"L"</f>
        <v>-.81 L</v>
      </c>
      <c r="F22" s="26" t="str">
        <f>TEXT(_xll.CQGXLContractData(F19, "LastTradeToday",,"T"),"#.00")&amp;" "&amp;"L"</f>
        <v>-1.55 L</v>
      </c>
      <c r="G22" s="26" t="str">
        <f>TEXT(_xll.CQGXLContractData(G19, "LastTradeToday",,"T"),"#.00")&amp;" "&amp;"L"</f>
        <v>-2.18 L</v>
      </c>
      <c r="H22" s="26" t="str">
        <f>TEXT(_xll.CQGXLContractData(H19, "LastTradeToday",,"T"),"#.00")&amp;" "&amp;"L"</f>
        <v>-2.82 L</v>
      </c>
      <c r="I22" s="26" t="str">
        <f>TEXT(_xll.CQGXLContractData(I19, "LastTradeToday",,"T"),"#.00")&amp;" "&amp;"L"</f>
        <v>-3.38 L</v>
      </c>
      <c r="J22" s="26" t="str">
        <f>TEXT(_xll.CQGXLContractData(J19, "LastTradeToday",,"T"),"#.00")&amp;" "&amp;"L"</f>
        <v>-3.95 L</v>
      </c>
      <c r="K22" s="26" t="str">
        <f>TEXT(_xll.CQGXLContractData(K19, "LastTradeToday",,"T"),"#.00")&amp;" "&amp;"L"</f>
        <v>-4.40 L</v>
      </c>
      <c r="L22" s="26" t="str">
        <f>TEXT(_xll.CQGXLContractData(L19, "LastTradeToday",,"T"),"#.00")&amp;" "&amp;"L"</f>
        <v>-4.81 L</v>
      </c>
      <c r="M22" s="26" t="str">
        <f>TEXT(_xll.CQGXLContractData(M19, "LastTradeToday",,"T"),"#.00")&amp;" "&amp;"L"</f>
        <v>-5.19 L</v>
      </c>
      <c r="N22" s="28" t="str">
        <f>TEXT(_xll.CQGXLContractData(N19, "LastTradeToday",,"T"),"#.00")&amp;" "&amp;"L"</f>
        <v>-5.56 L</v>
      </c>
      <c r="O22" s="22"/>
      <c r="U22" s="14"/>
      <c r="X22" s="15"/>
    </row>
    <row r="23" spans="2:24" ht="2.1" customHeight="1" x14ac:dyDescent="0.2">
      <c r="B23" s="37"/>
      <c r="C23" s="37"/>
      <c r="D23" s="3"/>
      <c r="E23" s="39"/>
      <c r="F23" s="39"/>
      <c r="G23" s="39"/>
      <c r="H23" s="39"/>
      <c r="I23" s="39"/>
      <c r="J23" s="39"/>
      <c r="K23" s="39"/>
      <c r="L23" s="39"/>
      <c r="M23" s="39"/>
      <c r="N23" s="40"/>
      <c r="O23" s="22"/>
      <c r="U23" s="14"/>
      <c r="X23" s="15"/>
    </row>
    <row r="24" spans="2:24" ht="12.95" customHeight="1" x14ac:dyDescent="0.2">
      <c r="B24" s="37"/>
      <c r="C24" s="37"/>
      <c r="D24" s="3"/>
      <c r="E24" s="32" t="str">
        <f>Calculations!P4</f>
        <v>Jan 16</v>
      </c>
      <c r="F24" s="34" t="str">
        <f>$E$24&amp;", "&amp;F6</f>
        <v>Jan 16, Feb 16</v>
      </c>
      <c r="G24" s="34" t="str">
        <f t="shared" ref="G24:N24" si="2">$E$24&amp;", "&amp;G6</f>
        <v>Jan 16, Mar 16</v>
      </c>
      <c r="H24" s="34" t="str">
        <f t="shared" si="2"/>
        <v>Jan 16, Apr 16</v>
      </c>
      <c r="I24" s="34" t="str">
        <f t="shared" si="2"/>
        <v>Jan 16, May 16</v>
      </c>
      <c r="J24" s="34" t="str">
        <f t="shared" si="2"/>
        <v>Jan 16, Jun 16</v>
      </c>
      <c r="K24" s="34" t="str">
        <f t="shared" si="2"/>
        <v>Jan 16, Jul 16</v>
      </c>
      <c r="L24" s="34" t="str">
        <f t="shared" si="2"/>
        <v>Jan 16, Aug 16</v>
      </c>
      <c r="M24" s="34" t="str">
        <f t="shared" si="2"/>
        <v>Jan 16, Sep 16</v>
      </c>
      <c r="N24" s="13" t="str">
        <f t="shared" si="2"/>
        <v>Jan 16, Oct 16</v>
      </c>
      <c r="O24" s="22"/>
      <c r="U24" s="14"/>
      <c r="X24" s="15"/>
    </row>
    <row r="25" spans="2:24" ht="12.75" hidden="1" customHeight="1" x14ac:dyDescent="0.2">
      <c r="B25" s="37"/>
      <c r="C25" s="38"/>
      <c r="D25" s="37"/>
      <c r="E25" s="35" t="str">
        <f>_xll.CQGXLContractData(Calculations!Q4, "Symbol")</f>
        <v>QOF6</v>
      </c>
      <c r="F25" s="4" t="str">
        <f>_xll.CQGXLContractData(Calculations!D4, "Symbol")</f>
        <v>QOS1F6</v>
      </c>
      <c r="G25" s="4" t="str">
        <f>_xll.CQGXLContractData(Calculations!E4, "Symbol")</f>
        <v>QOS2F6</v>
      </c>
      <c r="H25" s="4" t="str">
        <f>_xll.CQGXLContractData(Calculations!F4, "Symbol")</f>
        <v>QOS3F6</v>
      </c>
      <c r="I25" s="4" t="str">
        <f>_xll.CQGXLContractData(Calculations!G4, "Symbol")</f>
        <v>QOS4F6</v>
      </c>
      <c r="J25" s="4" t="str">
        <f>_xll.CQGXLContractData(Calculations!H4, "Symbol")</f>
        <v>QOS5F6</v>
      </c>
      <c r="K25" s="4" t="str">
        <f>_xll.CQGXLContractData(Calculations!I4, "Symbol")</f>
        <v>QOS6F6</v>
      </c>
      <c r="L25" s="4" t="str">
        <f>_xll.CQGXLContractData(Calculations!J4, "Symbol")</f>
        <v>QOS7F6</v>
      </c>
      <c r="M25" s="4" t="str">
        <f>_xll.CQGXLContractData(Calculations!K4, "Symbol")</f>
        <v>QOS8F6</v>
      </c>
      <c r="N25" s="41" t="str">
        <f>_xll.CQGXLContractData(Calculations!L4, "Symbol")</f>
        <v>QOS9F6</v>
      </c>
      <c r="U25" s="14"/>
      <c r="X25" s="15"/>
    </row>
    <row r="26" spans="2:24" ht="12.95" customHeight="1" x14ac:dyDescent="0.2">
      <c r="B26" s="37"/>
      <c r="C26" s="37"/>
      <c r="D26" s="37"/>
      <c r="E26" s="19" t="str">
        <f>TEXT(_xll.CQGXLContractData(E25, "Ask",,"T"),"#.00")&amp;" "&amp;"A"</f>
        <v>51.48 A</v>
      </c>
      <c r="F26" s="19" t="str">
        <f>TEXT(_xll.CQGXLContractData(F25, "Ask",,"T"),"#.00")&amp;" "&amp;"A"</f>
        <v>-.74 A</v>
      </c>
      <c r="G26" s="19" t="str">
        <f>TEXT(_xll.CQGXLContractData(G25, "Ask",,"T"),"#.00")&amp;" "&amp;"A"</f>
        <v>-1.37 A</v>
      </c>
      <c r="H26" s="19" t="str">
        <f>TEXT(_xll.CQGXLContractData(H25, "Ask",,"T"),"#.00")&amp;" "&amp;"A"</f>
        <v>-2.01 A</v>
      </c>
      <c r="I26" s="19" t="str">
        <f>TEXT(_xll.CQGXLContractData(I25, "Ask",,"T"),"#.00")&amp;" "&amp;"A"</f>
        <v>-2.58 A</v>
      </c>
      <c r="J26" s="19" t="str">
        <f>TEXT(_xll.CQGXLContractData(J25, "Ask",,"T"),"#.00")&amp;" "&amp;"A"</f>
        <v>-3.12 A</v>
      </c>
      <c r="K26" s="19" t="str">
        <f>TEXT(_xll.CQGXLContractData(K25, "Ask",,"T"),"#.00")&amp;" "&amp;"A"</f>
        <v>-3.58 A</v>
      </c>
      <c r="L26" s="19" t="str">
        <f>TEXT(_xll.CQGXLContractData(L25, "Ask",,"T"),"#.00")&amp;" "&amp;"A"</f>
        <v>-3.95 A</v>
      </c>
      <c r="M26" s="19" t="str">
        <f>TEXT(_xll.CQGXLContractData(M25, "Ask",,"T"),"#.00")&amp;" "&amp;"A"</f>
        <v>-4.34 A</v>
      </c>
      <c r="N26" s="21" t="str">
        <f>TEXT(_xll.CQGXLContractData(N25, "Ask",,"T"),"#.00")&amp;" "&amp;"A"</f>
        <v>-4.70 A</v>
      </c>
      <c r="O26" s="22"/>
      <c r="U26" s="14"/>
      <c r="X26" s="15"/>
    </row>
    <row r="27" spans="2:24" ht="12.95" customHeight="1" x14ac:dyDescent="0.2">
      <c r="B27" s="3"/>
      <c r="C27" s="37"/>
      <c r="D27" s="3"/>
      <c r="E27" s="23" t="str">
        <f>TEXT(_xll.CQGXLContractData(E25, "Bid",,"T"),"#.00")&amp;" "&amp;"B"</f>
        <v>51.46 B</v>
      </c>
      <c r="F27" s="23" t="str">
        <f>TEXT(_xll.CQGXLContractData(F25, "Bid",,"T"),"#.00")&amp;" "&amp;"B"</f>
        <v>-.75 B</v>
      </c>
      <c r="G27" s="23" t="str">
        <f>TEXT(_xll.CQGXLContractData(G25, "Bid",,"T"),"#.00")&amp;" "&amp;"B"</f>
        <v>-1.38 B</v>
      </c>
      <c r="H27" s="23" t="str">
        <f>TEXT(_xll.CQGXLContractData(H25, "Bid",,"T"),"#.00")&amp;" "&amp;"B"</f>
        <v>-2.03 B</v>
      </c>
      <c r="I27" s="23" t="str">
        <f>TEXT(_xll.CQGXLContractData(I25, "Bid",,"T"),"#.00")&amp;" "&amp;"B"</f>
        <v>-2.61 B</v>
      </c>
      <c r="J27" s="23" t="str">
        <f>TEXT(_xll.CQGXLContractData(J25, "Bid",,"T"),"#.00")&amp;" "&amp;"B"</f>
        <v>-3.15 B</v>
      </c>
      <c r="K27" s="23" t="str">
        <f>TEXT(_xll.CQGXLContractData(K25, "Bid",,"T"),"#.00")&amp;" "&amp;"B"</f>
        <v>-3.62 B</v>
      </c>
      <c r="L27" s="23" t="str">
        <f>TEXT(_xll.CQGXLContractData(L25, "Bid",,"T"),"#.00")&amp;" "&amp;"B"</f>
        <v>-4.05 B</v>
      </c>
      <c r="M27" s="23" t="str">
        <f>TEXT(_xll.CQGXLContractData(M25, "Bid",,"T"),"#.00")&amp;" "&amp;"B"</f>
        <v>-4.44 B</v>
      </c>
      <c r="N27" s="25" t="str">
        <f>TEXT(_xll.CQGXLContractData(N25, "Bid",,"T"),"#.00")&amp;" "&amp;"B"</f>
        <v>-4.82 B</v>
      </c>
      <c r="O27" s="22"/>
      <c r="U27" s="14"/>
      <c r="X27" s="15"/>
    </row>
    <row r="28" spans="2:24" ht="12.95" customHeight="1" x14ac:dyDescent="0.2">
      <c r="B28" s="42"/>
      <c r="C28" s="37"/>
      <c r="D28" s="3"/>
      <c r="E28" s="26" t="str">
        <f>TEXT(_xll.CQGXLContractData(E25, "LastTradeToday",,"T"),"#.00")&amp;" "&amp;"L"</f>
        <v>51.46 L</v>
      </c>
      <c r="F28" s="26" t="str">
        <f>TEXT(_xll.CQGXLContractData(F25, "LastTradeToday",,"T"),"#.00")&amp;" "&amp;"L"</f>
        <v>-.75 L</v>
      </c>
      <c r="G28" s="26" t="str">
        <f>TEXT(_xll.CQGXLContractData(G25, "LastTradeToday",,"T"),"#.00")&amp;" "&amp;"L"</f>
        <v>-1.38 L</v>
      </c>
      <c r="H28" s="26" t="str">
        <f>TEXT(_xll.CQGXLContractData(H25, "LastTradeToday",,"T"),"#.00")&amp;" "&amp;"L"</f>
        <v>-2.02 L</v>
      </c>
      <c r="I28" s="26" t="str">
        <f>TEXT(_xll.CQGXLContractData(I25, "LastTradeToday",,"T"),"#.00")&amp;" "&amp;"L"</f>
        <v>-2.59 L</v>
      </c>
      <c r="J28" s="26" t="str">
        <f>TEXT(_xll.CQGXLContractData(J25, "LastTradeToday",,"T"),"#.00")&amp;" "&amp;"L"</f>
        <v>-3.13 L</v>
      </c>
      <c r="K28" s="26" t="str">
        <f>TEXT(_xll.CQGXLContractData(K25, "LastTradeToday",,"T"),"#.00")&amp;" "&amp;"L"</f>
        <v>-3.60 L</v>
      </c>
      <c r="L28" s="26" t="str">
        <f>TEXT(_xll.CQGXLContractData(L25, "LastTradeToday",,"T"),"#.00")&amp;" "&amp;"L"</f>
        <v>-4.01 L</v>
      </c>
      <c r="M28" s="26" t="str">
        <f>TEXT(_xll.CQGXLContractData(M25, "LastTradeToday",,"T"),"#.00")&amp;" "&amp;"L"</f>
        <v>-4.39 L</v>
      </c>
      <c r="N28" s="28" t="str">
        <f>TEXT(_xll.CQGXLContractData(N25, "LastTradeToday",,"T"),"#.00")&amp;" "&amp;"L"</f>
        <v>-4.76 L</v>
      </c>
      <c r="O28" s="22"/>
      <c r="U28" s="14"/>
      <c r="X28" s="15"/>
    </row>
    <row r="29" spans="2:24" ht="2.1" customHeight="1" x14ac:dyDescent="0.2">
      <c r="B29" s="42"/>
      <c r="C29" s="37"/>
      <c r="D29" s="3"/>
      <c r="E29" s="3"/>
      <c r="F29" s="29"/>
      <c r="G29" s="43"/>
      <c r="H29" s="43"/>
      <c r="I29" s="43"/>
      <c r="J29" s="43"/>
      <c r="K29" s="43"/>
      <c r="L29" s="43"/>
      <c r="M29" s="43"/>
      <c r="N29" s="44"/>
      <c r="O29" s="22"/>
      <c r="U29" s="14"/>
      <c r="X29" s="15"/>
    </row>
    <row r="30" spans="2:24" ht="12.95" customHeight="1" x14ac:dyDescent="0.2">
      <c r="B30" s="3"/>
      <c r="C30" s="37"/>
      <c r="D30" s="1"/>
      <c r="E30" s="3"/>
      <c r="F30" s="45" t="str">
        <f>Calculations!P5</f>
        <v>Feb 16</v>
      </c>
      <c r="G30" s="46" t="str">
        <f>$F$30&amp;", "&amp;G6</f>
        <v>Feb 16, Mar 16</v>
      </c>
      <c r="H30" s="47" t="str">
        <f t="shared" ref="H30:N30" si="3">$F$30&amp;", "&amp;H6</f>
        <v>Feb 16, Apr 16</v>
      </c>
      <c r="I30" s="47" t="str">
        <f t="shared" si="3"/>
        <v>Feb 16, May 16</v>
      </c>
      <c r="J30" s="47" t="str">
        <f t="shared" si="3"/>
        <v>Feb 16, Jun 16</v>
      </c>
      <c r="K30" s="47" t="str">
        <f t="shared" si="3"/>
        <v>Feb 16, Jul 16</v>
      </c>
      <c r="L30" s="47" t="str">
        <f t="shared" si="3"/>
        <v>Feb 16, Aug 16</v>
      </c>
      <c r="M30" s="47" t="str">
        <f t="shared" si="3"/>
        <v>Feb 16, Sep 16</v>
      </c>
      <c r="N30" s="48" t="str">
        <f t="shared" si="3"/>
        <v>Feb 16, Oct 16</v>
      </c>
      <c r="O30" s="22"/>
      <c r="U30" s="14"/>
      <c r="X30" s="15"/>
    </row>
    <row r="31" spans="2:24" ht="12.75" hidden="1" customHeight="1" x14ac:dyDescent="0.2">
      <c r="B31" s="3"/>
      <c r="C31" s="3"/>
      <c r="D31" s="3"/>
      <c r="E31" s="3"/>
      <c r="F31" s="49" t="str">
        <f>_xll.CQGXLContractData(Calculations!Q5, "Symbol")</f>
        <v>QOG6</v>
      </c>
      <c r="G31" s="50" t="str">
        <f>_xll.CQGXLContractData(Calculations!D5, "Symbol")</f>
        <v>QOS1G6</v>
      </c>
      <c r="H31" s="4" t="str">
        <f>_xll.CQGXLContractData(Calculations!E5, "Symbol")</f>
        <v>QOS2G6</v>
      </c>
      <c r="I31" s="4" t="str">
        <f>_xll.CQGXLContractData(Calculations!F5, "Symbol")</f>
        <v>QOS3G6</v>
      </c>
      <c r="J31" s="4" t="str">
        <f>_xll.CQGXLContractData(Calculations!G5, "Symbol")</f>
        <v>QOS4G6</v>
      </c>
      <c r="K31" s="4" t="str">
        <f>_xll.CQGXLContractData(Calculations!H5, "Symbol")</f>
        <v>QOS5G6</v>
      </c>
      <c r="L31" s="4" t="str">
        <f>_xll.CQGXLContractData(Calculations!I5, "Symbol")</f>
        <v>QOS6G6</v>
      </c>
      <c r="M31" s="4" t="str">
        <f>_xll.CQGXLContractData(Calculations!J5, "Symbol")</f>
        <v>QOS7G6</v>
      </c>
      <c r="N31" s="41" t="str">
        <f>_xll.CQGXLContractData(Calculations!K5, "Symbol")</f>
        <v>QOS8G6</v>
      </c>
      <c r="U31" s="14"/>
      <c r="X31" s="15"/>
    </row>
    <row r="32" spans="2:24" ht="12.95" customHeight="1" x14ac:dyDescent="0.2">
      <c r="B32" s="3"/>
      <c r="C32" s="51"/>
      <c r="D32" s="51"/>
      <c r="E32" s="51"/>
      <c r="F32" s="52" t="str">
        <f>TEXT(_xll.CQGXLContractData(F31, "Ask",,"T"),"#.00")&amp;" "&amp;"A"</f>
        <v>52.23 A</v>
      </c>
      <c r="G32" s="53" t="str">
        <f>TEXT(_xll.CQGXLContractData(G31, "Ask",,"T"),"#.00")&amp;" "&amp;"A"</f>
        <v>-.62 A</v>
      </c>
      <c r="H32" s="19" t="str">
        <f>TEXT(_xll.CQGXLContractData(H31, "Ask",,"T"),"#.00")&amp;" "&amp;"A"</f>
        <v>-1.26 A</v>
      </c>
      <c r="I32" s="19" t="str">
        <f>TEXT(_xll.CQGXLContractData(I31, "Ask",,"T"),"#.00")&amp;" "&amp;"A"</f>
        <v>-1.84 A</v>
      </c>
      <c r="J32" s="19" t="str">
        <f>TEXT(_xll.CQGXLContractData(J31, "Ask",,"T"),"#.00")&amp;" "&amp;"A"</f>
        <v>-2.37 A</v>
      </c>
      <c r="K32" s="19" t="str">
        <f>TEXT(_xll.CQGXLContractData(K31, "Ask",,"T"),"#.00")&amp;" "&amp;"A"</f>
        <v>-2.83 A</v>
      </c>
      <c r="L32" s="19" t="str">
        <f>TEXT(_xll.CQGXLContractData(L31, "Ask",,"T"),"#.00")&amp;" "&amp;"A"</f>
        <v>-3.22 A</v>
      </c>
      <c r="M32" s="19" t="str">
        <f>TEXT(_xll.CQGXLContractData(M31, "Ask",,"T"),"#.00")&amp;" "&amp;"A"</f>
        <v>-3.59 A</v>
      </c>
      <c r="N32" s="21" t="str">
        <f>TEXT(_xll.CQGXLContractData(N31, "Ask",,"T"),"#.00")&amp;" "&amp;"A"</f>
        <v>-3.95 A</v>
      </c>
      <c r="O32" s="22"/>
      <c r="U32" s="14"/>
      <c r="X32" s="15"/>
    </row>
    <row r="33" spans="2:24" ht="12.95" customHeight="1" x14ac:dyDescent="0.2">
      <c r="B33" s="3"/>
      <c r="C33" s="3"/>
      <c r="D33" s="3"/>
      <c r="E33" s="3"/>
      <c r="F33" s="54" t="str">
        <f>TEXT(_xll.CQGXLContractData(F31, "Bid",,"T"),"#.00")&amp;" "&amp;"B"</f>
        <v>52.21 B</v>
      </c>
      <c r="G33" s="55" t="str">
        <f>TEXT(_xll.CQGXLContractData(G31, "Bid",,"T"),"#.00")&amp;" "&amp;"B"</f>
        <v>-.63 B</v>
      </c>
      <c r="H33" s="23" t="str">
        <f>TEXT(_xll.CQGXLContractData(H31, "Bid",,"T"),"#.00")&amp;" "&amp;"B"</f>
        <v>-1.28 B</v>
      </c>
      <c r="I33" s="23" t="str">
        <f>TEXT(_xll.CQGXLContractData(I31, "Bid",,"T"),"#.00")&amp;" "&amp;"B"</f>
        <v>-1.86 B</v>
      </c>
      <c r="J33" s="23" t="str">
        <f>TEXT(_xll.CQGXLContractData(J31, "Bid",,"T"),"#.00")&amp;" "&amp;"B"</f>
        <v>-2.40 B</v>
      </c>
      <c r="K33" s="23" t="str">
        <f>TEXT(_xll.CQGXLContractData(K31, "Bid",,"T"),"#.00")&amp;" "&amp;"B"</f>
        <v>-2.87 B</v>
      </c>
      <c r="L33" s="23" t="str">
        <f>TEXT(_xll.CQGXLContractData(L31, "Bid",,"T"),"#.00")&amp;" "&amp;"B"</f>
        <v>-3.28 B</v>
      </c>
      <c r="M33" s="23" t="str">
        <f>TEXT(_xll.CQGXLContractData(M31, "Bid",,"T"),"#.00")&amp;" "&amp;"B"</f>
        <v>-3.69 B</v>
      </c>
      <c r="N33" s="25" t="str">
        <f>TEXT(_xll.CQGXLContractData(N31, "Bid",,"T"),"#.00")&amp;" "&amp;"B"</f>
        <v>-4.07 B</v>
      </c>
      <c r="O33" s="22"/>
      <c r="U33" s="14"/>
      <c r="X33" s="15"/>
    </row>
    <row r="34" spans="2:24" ht="12.95" customHeight="1" x14ac:dyDescent="0.2">
      <c r="B34" s="3"/>
      <c r="C34" s="3"/>
      <c r="D34" s="3"/>
      <c r="E34" s="3"/>
      <c r="F34" s="56" t="str">
        <f>TEXT(_xll.CQGXLContractData(F31, "LastTradeToday",,"T"),"#.00")&amp;" "&amp;"L"</f>
        <v>52.21 L</v>
      </c>
      <c r="G34" s="57" t="str">
        <f>TEXT(_xll.CQGXLContractData(G31, "LastTradeToday",,"T"),"#.00")&amp;" "&amp;"L"</f>
        <v>-.63 L</v>
      </c>
      <c r="H34" s="26" t="str">
        <f>TEXT(_xll.CQGXLContractData(H31, "LastTradeToday",,"T"),"#.00")&amp;" "&amp;"L"</f>
        <v>-1.27 L</v>
      </c>
      <c r="I34" s="26" t="str">
        <f>TEXT(_xll.CQGXLContractData(I31, "LastTradeToday",,"T"),"#.00")&amp;" "&amp;"L"</f>
        <v>-1.86 L</v>
      </c>
      <c r="J34" s="26" t="str">
        <f>TEXT(_xll.CQGXLContractData(J31, "LastTradeToday",,"T"),"#.00")&amp;" "&amp;"L"</f>
        <v>-2.39 L</v>
      </c>
      <c r="K34" s="26" t="str">
        <f>TEXT(_xll.CQGXLContractData(K31, "LastTradeToday",,"T"),"#.00")&amp;" "&amp;"L"</f>
        <v>-2.86 L</v>
      </c>
      <c r="L34" s="26" t="str">
        <f>TEXT(_xll.CQGXLContractData(L31, "LastTradeToday",,"T"),"#.00")&amp;" "&amp;"L"</f>
        <v>-3.27 L</v>
      </c>
      <c r="M34" s="26" t="str">
        <f>TEXT(_xll.CQGXLContractData(M31, "LastTradeToday",,"T"),"#.00")&amp;" "&amp;"L"</f>
        <v>-3.65 L</v>
      </c>
      <c r="N34" s="28" t="str">
        <f>TEXT(_xll.CQGXLContractData(N31, "LastTradeToday",,"T"),"#.00")&amp;" "&amp;"L"</f>
        <v>-4.02 L</v>
      </c>
      <c r="O34" s="22"/>
      <c r="U34" s="14"/>
      <c r="X34" s="15"/>
    </row>
    <row r="35" spans="2:24" ht="2.1" customHeight="1" x14ac:dyDescent="0.2">
      <c r="B35" s="42"/>
      <c r="C35" s="3"/>
      <c r="D35" s="3"/>
      <c r="E35" s="3"/>
      <c r="F35" s="3"/>
      <c r="G35" s="58"/>
      <c r="H35" s="58"/>
      <c r="I35" s="58"/>
      <c r="J35" s="58"/>
      <c r="K35" s="58"/>
      <c r="L35" s="58"/>
      <c r="M35" s="58"/>
      <c r="N35" s="59"/>
      <c r="O35" s="22"/>
      <c r="U35" s="14"/>
      <c r="X35" s="15"/>
    </row>
    <row r="36" spans="2:24" ht="12.95" customHeight="1" x14ac:dyDescent="0.2">
      <c r="B36" s="60" t="str">
        <f>_xll.CQGXLContractData(B39, "Symbol",,"T")</f>
        <v>ETV5</v>
      </c>
      <c r="C36" s="60"/>
      <c r="D36" s="60" t="str">
        <f>_xll.CQGXLContractData(D39, "Symbol",,"T")</f>
        <v>CLEV5</v>
      </c>
      <c r="E36" s="60" t="str">
        <f>_xll.CQGXLContractData(E39, "Symbol",,"T")</f>
        <v>NGEV5</v>
      </c>
      <c r="F36" s="60" t="str">
        <f>_xll.CQGXLContractData(F39, "Symbol",,"T")</f>
        <v>EU6Z5</v>
      </c>
      <c r="G36" s="61" t="str">
        <f>Calculations!P6</f>
        <v>Mar 16</v>
      </c>
      <c r="H36" s="47" t="str">
        <f>$G$36&amp;", "&amp;H6</f>
        <v>Mar 16, Apr 16</v>
      </c>
      <c r="I36" s="47" t="str">
        <f t="shared" ref="I36:N36" si="4">$G$36&amp;", "&amp;I6</f>
        <v>Mar 16, May 16</v>
      </c>
      <c r="J36" s="47" t="str">
        <f t="shared" si="4"/>
        <v>Mar 16, Jun 16</v>
      </c>
      <c r="K36" s="47" t="str">
        <f t="shared" si="4"/>
        <v>Mar 16, Jul 16</v>
      </c>
      <c r="L36" s="47" t="str">
        <f t="shared" si="4"/>
        <v>Mar 16, Aug 16</v>
      </c>
      <c r="M36" s="47" t="str">
        <f t="shared" si="4"/>
        <v>Mar 16, Sep 16</v>
      </c>
      <c r="N36" s="48" t="str">
        <f t="shared" si="4"/>
        <v>Mar 16, Oct 16</v>
      </c>
      <c r="O36" s="22"/>
      <c r="U36" s="14"/>
      <c r="X36" s="15"/>
    </row>
    <row r="37" spans="2:24" ht="12.75" hidden="1" customHeight="1" x14ac:dyDescent="0.2">
      <c r="B37" s="42"/>
      <c r="C37" s="42"/>
      <c r="D37" s="3"/>
      <c r="E37" s="42"/>
      <c r="F37" s="62"/>
      <c r="G37" s="35" t="str">
        <f>_xll.CQGXLContractData(Calculations!Q6, "Symbol")</f>
        <v>QOH6</v>
      </c>
      <c r="H37" s="4" t="str">
        <f>_xll.CQGXLContractData(Calculations!D6, "Symbol")</f>
        <v>QOS1H6</v>
      </c>
      <c r="I37" s="4" t="str">
        <f>_xll.CQGXLContractData(Calculations!E6, "Symbol")</f>
        <v>QOS2H6</v>
      </c>
      <c r="J37" s="4" t="str">
        <f>_xll.CQGXLContractData(Calculations!F6, "Symbol")</f>
        <v>QOS3H6</v>
      </c>
      <c r="K37" s="4" t="str">
        <f>_xll.CQGXLContractData(Calculations!G6, "Symbol")</f>
        <v>QOS4H6</v>
      </c>
      <c r="L37" s="4" t="str">
        <f>_xll.CQGXLContractData(Calculations!H6, "Symbol")</f>
        <v>QOS5H6</v>
      </c>
      <c r="M37" s="4" t="str">
        <f>_xll.CQGXLContractData(Calculations!I6, "Symbol")</f>
        <v>QOS6H6</v>
      </c>
      <c r="N37" s="41" t="str">
        <f>_xll.CQGXLContractData(Calculations!J6, "Symbol")</f>
        <v>QOS7H6</v>
      </c>
      <c r="U37" s="14"/>
      <c r="X37" s="15"/>
    </row>
    <row r="38" spans="2:24" ht="12.95" customHeight="1" x14ac:dyDescent="0.2">
      <c r="B38" s="143" t="s">
        <v>13</v>
      </c>
      <c r="C38" s="144"/>
      <c r="D38" s="144"/>
      <c r="E38" s="144"/>
      <c r="F38" s="145"/>
      <c r="G38" s="53" t="str">
        <f>TEXT(_xll.CQGXLContractData(G37, "Ask",,"T"),"#.00")&amp;" "&amp;"A"</f>
        <v>52.86 A</v>
      </c>
      <c r="H38" s="19" t="str">
        <f>TEXT(_xll.CQGXLContractData(H37, "Ask",,"T"),"#.00")&amp;" "&amp;"A"</f>
        <v>-.64 A</v>
      </c>
      <c r="I38" s="19" t="str">
        <f>TEXT(_xll.CQGXLContractData(I37, "Ask",,"T"),"#.00")&amp;" "&amp;"A"</f>
        <v>-1.21 A</v>
      </c>
      <c r="J38" s="19" t="str">
        <f>TEXT(_xll.CQGXLContractData(J37, "Ask",,"T"),"#.00")&amp;" "&amp;"A"</f>
        <v>-1.75 A</v>
      </c>
      <c r="K38" s="19" t="str">
        <f>TEXT(_xll.CQGXLContractData(K37, "Ask",,"T"),"#.00")&amp;" "&amp;"A"</f>
        <v>-2.21 A</v>
      </c>
      <c r="L38" s="19" t="str">
        <f>TEXT(_xll.CQGXLContractData(L37, "Ask",,"T"),"#.00")&amp;" "&amp;"A"</f>
        <v>-2.60 A</v>
      </c>
      <c r="M38" s="19" t="str">
        <f>TEXT(_xll.CQGXLContractData(M37, "Ask",,"T"),"#.00")&amp;" "&amp;"A"</f>
        <v>-2.99 A</v>
      </c>
      <c r="N38" s="21" t="str">
        <f>TEXT(_xll.CQGXLContractData(N37, "Ask",,"T"),"#.00")&amp;" "&amp;"A"</f>
        <v>-3.32 A</v>
      </c>
      <c r="O38" s="22"/>
      <c r="U38" s="14"/>
      <c r="X38" s="15"/>
    </row>
    <row r="39" spans="2:24" ht="12.95" customHeight="1" x14ac:dyDescent="0.2">
      <c r="B39" s="2" t="s">
        <v>22</v>
      </c>
      <c r="C39" s="2"/>
      <c r="D39" s="2" t="s">
        <v>14</v>
      </c>
      <c r="E39" s="2" t="s">
        <v>19</v>
      </c>
      <c r="F39" s="2" t="s">
        <v>20</v>
      </c>
      <c r="G39" s="23" t="str">
        <f>TEXT(_xll.CQGXLContractData(G37, "Bid",,"T"),"#.00")&amp;" "&amp;"B"</f>
        <v>52.83 B</v>
      </c>
      <c r="H39" s="23" t="str">
        <f>TEXT(_xll.CQGXLContractData(H37, "Bid",,"T"),"#.00")&amp;" "&amp;"B"</f>
        <v>-.65 B</v>
      </c>
      <c r="I39" s="23" t="str">
        <f>TEXT(_xll.CQGXLContractData(I37, "Bid",,"T"),"#.00")&amp;" "&amp;"B"</f>
        <v>-1.23 B</v>
      </c>
      <c r="J39" s="23" t="str">
        <f>TEXT(_xll.CQGXLContractData(J37, "Bid",,"T"),"#.00")&amp;" "&amp;"B"</f>
        <v>-1.77 B</v>
      </c>
      <c r="K39" s="23" t="str">
        <f>TEXT(_xll.CQGXLContractData(K37, "Bid",,"T"),"#.00")&amp;" "&amp;"B"</f>
        <v>-2.24 B</v>
      </c>
      <c r="L39" s="23" t="str">
        <f>TEXT(_xll.CQGXLContractData(L37, "Bid",,"T"),"#.00")&amp;" "&amp;"B"</f>
        <v>-2.65 B</v>
      </c>
      <c r="M39" s="23" t="str">
        <f>TEXT(_xll.CQGXLContractData(M37, "Bid",,"T"),"#.00")&amp;" "&amp;"B"</f>
        <v>-3.04 B</v>
      </c>
      <c r="N39" s="25" t="str">
        <f>TEXT(_xll.CQGXLContractData(N37, "Bid",,"T"),"#.00")&amp;" "&amp;"B"</f>
        <v>-3.43 B</v>
      </c>
      <c r="O39" s="22"/>
      <c r="U39" s="14"/>
      <c r="X39" s="15"/>
    </row>
    <row r="40" spans="2:24" ht="12.95" customHeight="1" x14ac:dyDescent="0.2">
      <c r="B40" s="4" t="str">
        <f>IF(B48="F","JAN",IF(B48="G","FEB",IF(B48="H","MAR",IF(B48="J","APR",IF(B48="K","MAY",IF(B48="M","JUN",IF(B48="N","JUL",IF(B48="Q","AUG",IF(B48="U","SEP",IF(B48="V","OCT",IF(B48="X","NOV",IF(B48="Z","DEC"))))))))))))&amp;" "&amp;"1"&amp;RIGHT(B36,1)</f>
        <v>OCT 15</v>
      </c>
      <c r="C40" s="5"/>
      <c r="D40" s="4" t="str">
        <f t="shared" ref="D40:F40" si="5">IF(D48="F","JAN",IF(D48="G","FEB",IF(D48="H","MAR",IF(D48="J","APR",IF(D48="K","MAY",IF(D48="M","JUN",IF(D48="N","JUL",IF(D48="Q","AUG",IF(D48="U","SEP",IF(D48="V","OCT",IF(D48="X","NOV",IF(D48="Z","DEC"))))))))))))&amp;" "&amp;"1"&amp;RIGHT(D36,1)</f>
        <v>OCT 15</v>
      </c>
      <c r="E40" s="4" t="str">
        <f t="shared" si="5"/>
        <v>OCT 15</v>
      </c>
      <c r="F40" s="4" t="str">
        <f t="shared" si="5"/>
        <v>DEC 15</v>
      </c>
      <c r="G40" s="26" t="str">
        <f>TEXT(_xll.CQGXLContractData(G37, "LastTradeToday",,"T"),"#.00")&amp;" "&amp;"L"</f>
        <v>52.85 L</v>
      </c>
      <c r="H40" s="26" t="str">
        <f>TEXT(_xll.CQGXLContractData(H37, "LastTradeToday",,"T"),"#.00")&amp;" "&amp;"L"</f>
        <v>-.64 L</v>
      </c>
      <c r="I40" s="26" t="str">
        <f>TEXT(_xll.CQGXLContractData(I37, "LastTradeToday",,"T"),"#.00")&amp;" "&amp;"L"</f>
        <v>-1.22 L</v>
      </c>
      <c r="J40" s="26" t="str">
        <f>TEXT(_xll.CQGXLContractData(J37, "LastTradeToday",,"T"),"#.00")&amp;" "&amp;"L"</f>
        <v>-1.76 L</v>
      </c>
      <c r="K40" s="26" t="str">
        <f>TEXT(_xll.CQGXLContractData(K37, "LastTradeToday",,"T"),"#.00")&amp;" "&amp;"L"</f>
        <v>-2.23 L</v>
      </c>
      <c r="L40" s="26" t="str">
        <f>TEXT(_xll.CQGXLContractData(L37, "LastTradeToday",,"T"),"#.00")&amp;" "&amp;"L"</f>
        <v>-2.64 L</v>
      </c>
      <c r="M40" s="26" t="str">
        <f>TEXT(_xll.CQGXLContractData(M37, "LastTradeToday",,"T"),"#.00")&amp;" "&amp;"L"</f>
        <v>-3.02 L</v>
      </c>
      <c r="N40" s="28" t="str">
        <f>TEXT(_xll.CQGXLContractData(N37, "LastTradeToday",,"T"),"#.00")&amp;" "&amp;"L"</f>
        <v>-3.39 L</v>
      </c>
      <c r="O40" s="137" t="s">
        <v>26</v>
      </c>
      <c r="P40" s="137"/>
      <c r="Q40" s="137"/>
      <c r="R40" s="137"/>
      <c r="S40" s="137"/>
      <c r="T40" s="137"/>
      <c r="U40" s="137"/>
      <c r="V40" s="137"/>
      <c r="W40" s="138"/>
      <c r="X40" s="14"/>
    </row>
    <row r="41" spans="2:24" ht="2.1" customHeight="1" x14ac:dyDescent="0.2">
      <c r="B41" s="6"/>
      <c r="C41" s="7"/>
      <c r="D41" s="6"/>
      <c r="E41" s="6"/>
      <c r="F41" s="6"/>
      <c r="G41" s="3"/>
      <c r="H41" s="58"/>
      <c r="I41" s="58"/>
      <c r="J41" s="58"/>
      <c r="K41" s="58"/>
      <c r="L41" s="58"/>
      <c r="M41" s="58"/>
      <c r="N41" s="59"/>
      <c r="O41" s="139"/>
      <c r="P41" s="139"/>
      <c r="Q41" s="139"/>
      <c r="R41" s="139"/>
      <c r="S41" s="139"/>
      <c r="T41" s="139"/>
      <c r="U41" s="139"/>
      <c r="V41" s="139"/>
      <c r="W41" s="140"/>
      <c r="X41" s="14"/>
    </row>
    <row r="42" spans="2:24" ht="12.95" customHeight="1" x14ac:dyDescent="0.2">
      <c r="B42" s="99" t="str">
        <f>"O "&amp;_xll.CQGXLContractData(B39, "Open",,"T")</f>
        <v>O 44.97</v>
      </c>
      <c r="C42" s="99"/>
      <c r="D42" s="99" t="str">
        <f>"O "&amp;_xll.CQGXLContractData(D39, "Open",,"T")</f>
        <v>O 45.16</v>
      </c>
      <c r="E42" s="99" t="str">
        <f>"O "&amp;_xll.CQGXLContractData(E39, "Open",,"T")</f>
        <v>O 2.734</v>
      </c>
      <c r="F42" s="99" t="str">
        <f>"O "&amp;_xll.CQGXLContractData(F39, "Open",,"T")</f>
        <v>O 1.1282</v>
      </c>
      <c r="G42" s="3"/>
      <c r="H42" s="61" t="str">
        <f>Calculations!P7</f>
        <v>Apr 16</v>
      </c>
      <c r="I42" s="47" t="str">
        <f>$H$42&amp;", "&amp;I6</f>
        <v>Apr 16, May 16</v>
      </c>
      <c r="J42" s="47" t="str">
        <f t="shared" ref="J42:N42" si="6">$H$42&amp;", "&amp;J6</f>
        <v>Apr 16, Jun 16</v>
      </c>
      <c r="K42" s="47" t="str">
        <f t="shared" si="6"/>
        <v>Apr 16, Jul 16</v>
      </c>
      <c r="L42" s="47" t="str">
        <f t="shared" si="6"/>
        <v>Apr 16, Aug 16</v>
      </c>
      <c r="M42" s="47" t="str">
        <f t="shared" si="6"/>
        <v>Apr 16, Sep 16</v>
      </c>
      <c r="N42" s="48" t="str">
        <f t="shared" si="6"/>
        <v>Apr 16, Oct 16</v>
      </c>
      <c r="O42" s="141"/>
      <c r="P42" s="141"/>
      <c r="Q42" s="141"/>
      <c r="R42" s="141"/>
      <c r="S42" s="141"/>
      <c r="T42" s="141"/>
      <c r="U42" s="141"/>
      <c r="V42" s="141"/>
      <c r="W42" s="142"/>
      <c r="X42" s="14"/>
    </row>
    <row r="43" spans="2:24" ht="12.75" hidden="1" customHeight="1" x14ac:dyDescent="0.2">
      <c r="B43" s="100"/>
      <c r="C43" s="100"/>
      <c r="D43" s="100"/>
      <c r="E43" s="100"/>
      <c r="F43" s="100"/>
      <c r="G43" s="38"/>
      <c r="H43" s="35" t="str">
        <f>_xll.CQGXLContractData(Calculations!Q7, "Symbol")</f>
        <v>QOJ6</v>
      </c>
      <c r="I43" s="5" t="str">
        <f>_xll.CQGXLContractData(Calculations!D7, "Symbol")</f>
        <v>QOS1J6</v>
      </c>
      <c r="J43" s="5" t="str">
        <f>_xll.CQGXLContractData(Calculations!E7, "Symbol")</f>
        <v>QOS2J6</v>
      </c>
      <c r="K43" s="5" t="str">
        <f>_xll.CQGXLContractData(Calculations!F7, "Symbol")</f>
        <v>QOS3J6</v>
      </c>
      <c r="L43" s="5" t="str">
        <f>_xll.CQGXLContractData(Calculations!G7, "Symbol")</f>
        <v>QOS4J6</v>
      </c>
      <c r="M43" s="5" t="str">
        <f>_xll.CQGXLContractData(Calculations!H7, "Symbol")</f>
        <v>QOS5J6</v>
      </c>
      <c r="N43" s="18" t="str">
        <f>_xll.CQGXLContractData(Calculations!I7, "Symbol")</f>
        <v>QOS6J6</v>
      </c>
      <c r="U43" s="14"/>
      <c r="X43" s="15"/>
    </row>
    <row r="44" spans="2:24" ht="12.95" customHeight="1" x14ac:dyDescent="0.2">
      <c r="B44" s="101" t="str">
        <f>"H "&amp;_xll.CQGXLContractData(B39, "High",,"T")</f>
        <v>H 47.34</v>
      </c>
      <c r="C44" s="102"/>
      <c r="D44" s="101" t="str">
        <f>"H "&amp;_xll.CQGXLContractData(D39, "High",,"T")</f>
        <v>H 47.35</v>
      </c>
      <c r="E44" s="101" t="str">
        <f>"H "&amp;_xll.CQGXLContractData(E39, "High",,"T")</f>
        <v>H 2.736</v>
      </c>
      <c r="F44" s="101" t="str">
        <f>"H "&amp;_xll.CQGXLContractData(F39, "High",,"T")</f>
        <v>H 1.1339</v>
      </c>
      <c r="G44" s="37"/>
      <c r="H44" s="19" t="str">
        <f>TEXT(_xll.CQGXLContractData(H43, "Ask",,"T"),"#.00")&amp;" "&amp;"A"</f>
        <v>53.51 A</v>
      </c>
      <c r="I44" s="19" t="str">
        <f>TEXT(_xll.CQGXLContractData(I43, "Ask",,"T"),"#.00")&amp;" "&amp;"A"</f>
        <v>-.57 A</v>
      </c>
      <c r="J44" s="19" t="str">
        <f>TEXT(_xll.CQGXLContractData(J43, "Ask",,"T"),"#.00")&amp;" "&amp;"A"</f>
        <v>-1.11 A</v>
      </c>
      <c r="K44" s="19" t="str">
        <f>TEXT(_xll.CQGXLContractData(K43, "Ask",,"T"),"#.00")&amp;" "&amp;"A"</f>
        <v>-1.57 A</v>
      </c>
      <c r="L44" s="19" t="str">
        <f>TEXT(_xll.CQGXLContractData(L43, "Ask",,"T"),"#.00")&amp;" "&amp;"A"</f>
        <v>-1.97 A</v>
      </c>
      <c r="M44" s="19" t="str">
        <f>TEXT(_xll.CQGXLContractData(M43, "Ask",,"T"),"#.00")&amp;" "&amp;"A"</f>
        <v>-2.34 A</v>
      </c>
      <c r="N44" s="21" t="str">
        <f>TEXT(_xll.CQGXLContractData(N43, "Ask",,"T"),"#.00")&amp;" "&amp;"A"</f>
        <v>-2.70 A</v>
      </c>
      <c r="O44" s="22"/>
      <c r="U44" s="14"/>
      <c r="X44" s="15"/>
    </row>
    <row r="45" spans="2:24" ht="12.95" customHeight="1" x14ac:dyDescent="0.2">
      <c r="B45" s="101" t="str">
        <f>"L "&amp;_xll.CQGXLContractData(B39, "Low",,"T")</f>
        <v>L 44.83</v>
      </c>
      <c r="C45" s="101"/>
      <c r="D45" s="101" t="str">
        <f>"L "&amp;_xll.CQGXLContractData(D39, "Low",,"T")</f>
        <v>L 44.82</v>
      </c>
      <c r="E45" s="101" t="str">
        <f>"L "&amp;_xll.CQGXLContractData(E39, "Low",,"T")</f>
        <v>L 2.657</v>
      </c>
      <c r="F45" s="101" t="str">
        <f>"L "&amp;_xll.CQGXLContractData(F39, "Low",,"T")</f>
        <v>L 1.1232</v>
      </c>
      <c r="G45" s="37"/>
      <c r="H45" s="23" t="str">
        <f>TEXT(_xll.CQGXLContractData(H43, "Bid",,"T"),"#.00")&amp;" "&amp;"B"</f>
        <v>53.47 B</v>
      </c>
      <c r="I45" s="23" t="str">
        <f>TEXT(_xll.CQGXLContractData(I43, "Bid",,"T"),"#.00")&amp;" "&amp;"B"</f>
        <v>-.58 B</v>
      </c>
      <c r="J45" s="23" t="str">
        <f>TEXT(_xll.CQGXLContractData(J43, "Bid",,"T"),"#.00")&amp;" "&amp;"B"</f>
        <v>-1.12 B</v>
      </c>
      <c r="K45" s="23" t="str">
        <f>TEXT(_xll.CQGXLContractData(K43, "Bid",,"T"),"#.00")&amp;" "&amp;"B"</f>
        <v>-1.59 B</v>
      </c>
      <c r="L45" s="23" t="str">
        <f>TEXT(_xll.CQGXLContractData(L43, "Bid",,"T"),"#.00")&amp;" "&amp;"B"</f>
        <v>-2.00 B</v>
      </c>
      <c r="M45" s="23" t="str">
        <f>TEXT(_xll.CQGXLContractData(M43, "Bid",,"T"),"#.00")&amp;" "&amp;"B"</f>
        <v>-2.39 B</v>
      </c>
      <c r="N45" s="25" t="str">
        <f>TEXT(_xll.CQGXLContractData(N43, "Bid",,"T"),"#.00")&amp;" "&amp;"B"</f>
        <v>-2.77 B</v>
      </c>
      <c r="O45" s="22"/>
      <c r="U45" s="14"/>
      <c r="X45" s="15"/>
    </row>
    <row r="46" spans="2:24" ht="12.95" customHeight="1" x14ac:dyDescent="0.2">
      <c r="B46" s="102" t="str">
        <f>"L "&amp;_xll.CQGXLContractData(B39, "LastTradeToday",,"T")</f>
        <v>L 47.2</v>
      </c>
      <c r="C46" s="101"/>
      <c r="D46" s="102" t="str">
        <f>"L "&amp;_xll.CQGXLContractData(D39, "LastTradeToday",,"T")</f>
        <v>L 47.2</v>
      </c>
      <c r="E46" s="102" t="str">
        <f>"L "&amp;_xll.CQGXLContractData(E39, "LastTradeToday",,"T")</f>
        <v>L 2.664</v>
      </c>
      <c r="F46" s="102" t="str">
        <f>"L "&amp;_xll.CQGXLContractData(F39, "LastTradeToday",,"T")</f>
        <v>L 1.1305</v>
      </c>
      <c r="G46" s="37"/>
      <c r="H46" s="26" t="str">
        <f>TEXT(_xll.CQGXLContractData(H43, "LastTradeToday",,"T"),"#.00")&amp;" "&amp;"L"</f>
        <v>53.33 L</v>
      </c>
      <c r="I46" s="26" t="str">
        <f>TEXT(_xll.CQGXLContractData(I43, "LastTradeToday",,"T"),"#.00")&amp;" "&amp;"L"</f>
        <v>-.58 L</v>
      </c>
      <c r="J46" s="26" t="str">
        <f>TEXT(_xll.CQGXLContractData(J43, "LastTradeToday",,"T"),"#.00")&amp;" "&amp;"L"</f>
        <v>-1.11 L</v>
      </c>
      <c r="K46" s="26" t="str">
        <f>TEXT(_xll.CQGXLContractData(K43, "LastTradeToday",,"T"),"#.00")&amp;" "&amp;"L"</f>
        <v>-1.58 L</v>
      </c>
      <c r="L46" s="26" t="str">
        <f>TEXT(_xll.CQGXLContractData(L43, "LastTradeToday",,"T"),"#.00")&amp;" "&amp;"L"</f>
        <v>-1.99 L</v>
      </c>
      <c r="M46" s="26" t="str">
        <f>TEXT(_xll.CQGXLContractData(M43, "LastTradeToday",,"T"),"#.00")&amp;" "&amp;"L"</f>
        <v>-2.37 L</v>
      </c>
      <c r="N46" s="28" t="str">
        <f>TEXT(_xll.CQGXLContractData(N43, "LastTradeToday",,"T"),"#.00")&amp;" "&amp;"L"</f>
        <v>-2.74 L</v>
      </c>
      <c r="O46" s="22"/>
      <c r="U46" s="14"/>
      <c r="X46" s="15"/>
    </row>
    <row r="47" spans="2:24" ht="2.1" customHeight="1" x14ac:dyDescent="0.2">
      <c r="B47" s="8" t="s">
        <v>15</v>
      </c>
      <c r="C47" s="8"/>
      <c r="D47" s="63"/>
      <c r="E47" s="63"/>
      <c r="F47" s="64"/>
      <c r="G47" s="37"/>
      <c r="H47" s="3"/>
      <c r="I47" s="58"/>
      <c r="J47" s="58"/>
      <c r="K47" s="58"/>
      <c r="L47" s="58"/>
      <c r="M47" s="58"/>
      <c r="N47" s="59"/>
      <c r="O47" s="22"/>
      <c r="U47" s="14"/>
      <c r="X47" s="15"/>
    </row>
    <row r="48" spans="2:24" ht="12.95" customHeight="1" x14ac:dyDescent="0.2">
      <c r="B48" s="65" t="str">
        <f>LEFT(RIGHT(B36,2),1)</f>
        <v>V</v>
      </c>
      <c r="C48" s="66"/>
      <c r="D48" s="65" t="str">
        <f t="shared" ref="D48:F48" si="7">LEFT(RIGHT(D36,2),1)</f>
        <v>V</v>
      </c>
      <c r="E48" s="65" t="str">
        <f t="shared" si="7"/>
        <v>V</v>
      </c>
      <c r="F48" s="65" t="str">
        <f t="shared" si="7"/>
        <v>Z</v>
      </c>
      <c r="G48" s="37"/>
      <c r="H48" s="3"/>
      <c r="I48" s="61" t="str">
        <f>Calculations!P8</f>
        <v>May 16</v>
      </c>
      <c r="J48" s="47" t="str">
        <f>$I$48&amp;", "&amp;J6</f>
        <v>May 16, Jun 16</v>
      </c>
      <c r="K48" s="47" t="str">
        <f t="shared" ref="K48:N48" si="8">$I$48&amp;", "&amp;K6</f>
        <v>May 16, Jul 16</v>
      </c>
      <c r="L48" s="47" t="str">
        <f t="shared" si="8"/>
        <v>May 16, Aug 16</v>
      </c>
      <c r="M48" s="47" t="str">
        <f t="shared" si="8"/>
        <v>May 16, Sep 16</v>
      </c>
      <c r="N48" s="48" t="str">
        <f t="shared" si="8"/>
        <v>May 16, Oct 16</v>
      </c>
      <c r="O48" s="22"/>
      <c r="U48" s="14"/>
      <c r="X48" s="15"/>
    </row>
    <row r="49" spans="2:24" ht="12.75" hidden="1" customHeight="1" x14ac:dyDescent="0.2">
      <c r="B49" s="67"/>
      <c r="C49" s="67"/>
      <c r="D49" s="68"/>
      <c r="E49" s="68"/>
      <c r="F49" s="69"/>
      <c r="G49" s="37"/>
      <c r="H49" s="38"/>
      <c r="I49" s="35" t="str">
        <f>_xll.CQGXLContractData(Calculations!Q8, "Symbol")</f>
        <v>QOK6</v>
      </c>
      <c r="J49" s="5" t="str">
        <f>_xll.CQGXLContractData(Calculations!D8, "Symbol")</f>
        <v>QOS1K6</v>
      </c>
      <c r="K49" s="5" t="str">
        <f>_xll.CQGXLContractData(Calculations!E8, "Symbol")</f>
        <v>QOS2K6</v>
      </c>
      <c r="L49" s="5" t="str">
        <f>_xll.CQGXLContractData(Calculations!F8, "Symbol")</f>
        <v>QOS3K6</v>
      </c>
      <c r="M49" s="5" t="str">
        <f>_xll.CQGXLContractData(Calculations!G8, "Symbol")</f>
        <v>QOS4K6</v>
      </c>
      <c r="N49" s="18" t="str">
        <f>_xll.CQGXLContractData(Calculations!H8, "Symbol")</f>
        <v>QOS5K6</v>
      </c>
      <c r="U49" s="14"/>
      <c r="X49" s="15"/>
    </row>
    <row r="50" spans="2:24" ht="12.95" customHeight="1" x14ac:dyDescent="0.2">
      <c r="B50" s="153" t="str">
        <f>_xll.CQGXLContractData(B62, "LongDescription")</f>
        <v>ICE Brent Crude: November 2015</v>
      </c>
      <c r="C50" s="154"/>
      <c r="D50" s="154"/>
      <c r="E50" s="154"/>
      <c r="F50" s="154"/>
      <c r="G50" s="154"/>
      <c r="H50" s="154"/>
      <c r="I50" s="19" t="str">
        <f>TEXT(_xll.CQGXLContractData(I49, "Ask",,"T"),"#.00")&amp;" "&amp;"A"</f>
        <v>54.08 A</v>
      </c>
      <c r="J50" s="19" t="str">
        <f>TEXT(_xll.CQGXLContractData(J49, "Ask",,"T"),"#.00")&amp;" "&amp;"A"</f>
        <v>-.53 A</v>
      </c>
      <c r="K50" s="19" t="str">
        <f>TEXT(_xll.CQGXLContractData(K49, "Ask",,"T"),"#.00")&amp;" "&amp;"A"</f>
        <v>-.99 A</v>
      </c>
      <c r="L50" s="19" t="str">
        <f>TEXT(_xll.CQGXLContractData(L49, "Ask",,"T"),"#.00")&amp;" "&amp;"A"</f>
        <v>-1.39 A</v>
      </c>
      <c r="M50" s="19" t="str">
        <f>TEXT(_xll.CQGXLContractData(M49, "Ask",,"T"),"#.00")&amp;" "&amp;"A"</f>
        <v>-1.77 A</v>
      </c>
      <c r="N50" s="21" t="str">
        <f>TEXT(_xll.CQGXLContractData(N49, "Ask",,"T"),"#.00")&amp;" "&amp;"A"</f>
        <v>-2.12 A</v>
      </c>
      <c r="U50" s="14"/>
      <c r="X50" s="15"/>
    </row>
    <row r="51" spans="2:24" ht="12.95" customHeight="1" x14ac:dyDescent="0.2">
      <c r="B51" s="155"/>
      <c r="C51" s="156"/>
      <c r="D51" s="156"/>
      <c r="E51" s="156"/>
      <c r="F51" s="156"/>
      <c r="G51" s="156"/>
      <c r="H51" s="156"/>
      <c r="I51" s="23" t="str">
        <f>TEXT(_xll.CQGXLContractData(I49, "Bid",,"T"),"#.00")&amp;" "&amp;"B"</f>
        <v>54.05 B</v>
      </c>
      <c r="J51" s="23" t="str">
        <f>TEXT(_xll.CQGXLContractData(J49, "Bid",,"T"),"#.00")&amp;" "&amp;"B"</f>
        <v>-.55 B</v>
      </c>
      <c r="K51" s="23" t="str">
        <f>TEXT(_xll.CQGXLContractData(K49, "Bid",,"T"),"#.00")&amp;" "&amp;"B"</f>
        <v>-1.01 B</v>
      </c>
      <c r="L51" s="23" t="str">
        <f>TEXT(_xll.CQGXLContractData(L49, "Bid",,"T"),"#.00")&amp;" "&amp;"B"</f>
        <v>-1.42 B</v>
      </c>
      <c r="M51" s="23" t="str">
        <f>TEXT(_xll.CQGXLContractData(M49, "Bid",,"T"),"#.00")&amp;" "&amp;"B"</f>
        <v>-1.80 B</v>
      </c>
      <c r="N51" s="25" t="str">
        <f>TEXT(_xll.CQGXLContractData(N49, "Bid",,"T"),"#.00")&amp;" "&amp;"B"</f>
        <v>-2.19 B</v>
      </c>
      <c r="U51" s="14"/>
      <c r="X51" s="15"/>
    </row>
    <row r="52" spans="2:24" ht="12.95" customHeight="1" x14ac:dyDescent="0.2">
      <c r="B52" s="157"/>
      <c r="C52" s="158"/>
      <c r="D52" s="158"/>
      <c r="E52" s="158"/>
      <c r="F52" s="158"/>
      <c r="G52" s="158"/>
      <c r="H52" s="158"/>
      <c r="I52" s="26" t="str">
        <f>TEXT(_xll.CQGXLContractData(I49, "LastTradeToday",,"T"),"#.00")&amp;" "&amp;"L"</f>
        <v>53.90 L</v>
      </c>
      <c r="J52" s="26" t="str">
        <f>TEXT(_xll.CQGXLContractData(J49, "LastTradeToday",,"T"),"#.00")&amp;" "&amp;"L"</f>
        <v>-.54 L</v>
      </c>
      <c r="K52" s="26" t="str">
        <f>TEXT(_xll.CQGXLContractData(K49, "LastTradeToday",,"T"),"#.00")&amp;" "&amp;"L"</f>
        <v>-1.00 L</v>
      </c>
      <c r="L52" s="26" t="str">
        <f>TEXT(_xll.CQGXLContractData(L49, "LastTradeToday",,"T"),"#.00")&amp;" "&amp;"L"</f>
        <v>-1.43 L</v>
      </c>
      <c r="M52" s="26" t="str">
        <f>TEXT(_xll.CQGXLContractData(M49, "LastTradeToday",,"T"),"#.00")&amp;" "&amp;"L"</f>
        <v>-1.81 L</v>
      </c>
      <c r="N52" s="28" t="str">
        <f>TEXT(_xll.CQGXLContractData(N49, "LastTradeToday",,"T"),"#.00")&amp;" "&amp;"L"</f>
        <v>-2.16 L</v>
      </c>
      <c r="U52" s="14"/>
      <c r="X52" s="15"/>
    </row>
    <row r="53" spans="2:24" ht="2.1" customHeight="1" x14ac:dyDescent="0.2">
      <c r="B53" s="70"/>
      <c r="C53" s="70"/>
      <c r="D53" s="70"/>
      <c r="E53" s="70"/>
      <c r="F53" s="70"/>
      <c r="G53" s="70"/>
      <c r="H53" s="71"/>
      <c r="I53" s="3"/>
      <c r="J53" s="58"/>
      <c r="K53" s="58"/>
      <c r="L53" s="58"/>
      <c r="M53" s="58"/>
      <c r="N53" s="59"/>
      <c r="U53" s="14"/>
      <c r="X53" s="15"/>
    </row>
    <row r="54" spans="2:24" ht="12.95" customHeight="1" x14ac:dyDescent="0.2">
      <c r="B54" s="162" t="s">
        <v>1</v>
      </c>
      <c r="C54" s="72"/>
      <c r="D54" s="163">
        <f>_xll.CQGXLContractData(B62, "LastAskVolume",,"T")</f>
        <v>7</v>
      </c>
      <c r="E54" s="162">
        <f>_xll.CQGXLContractData(B62, "Ask",,"T")</f>
        <v>49.88</v>
      </c>
      <c r="F54" s="164" t="s">
        <v>18</v>
      </c>
      <c r="G54" s="164"/>
      <c r="H54" s="164"/>
      <c r="I54" s="3"/>
      <c r="J54" s="61" t="str">
        <f>Calculations!P9</f>
        <v>Jun 16</v>
      </c>
      <c r="K54" s="47" t="str">
        <f>$J$54&amp;", "&amp;K6</f>
        <v>Jun 16, Jul 16</v>
      </c>
      <c r="L54" s="47" t="str">
        <f t="shared" ref="L54:N54" si="9">$J$54&amp;", "&amp;L6</f>
        <v>Jun 16, Aug 16</v>
      </c>
      <c r="M54" s="47" t="str">
        <f t="shared" si="9"/>
        <v>Jun 16, Sep 16</v>
      </c>
      <c r="N54" s="48" t="str">
        <f t="shared" si="9"/>
        <v>Jun 16, Oct 16</v>
      </c>
      <c r="U54" s="14"/>
      <c r="X54" s="15"/>
    </row>
    <row r="55" spans="2:24" ht="12.95" hidden="1" customHeight="1" x14ac:dyDescent="0.2">
      <c r="B55" s="162"/>
      <c r="C55" s="72"/>
      <c r="D55" s="163"/>
      <c r="E55" s="162"/>
      <c r="F55" s="164"/>
      <c r="G55" s="164"/>
      <c r="H55" s="164"/>
      <c r="I55" s="38"/>
      <c r="J55" s="35" t="str">
        <f>_xll.CQGXLContractData(Calculations!Q9, "Symbol")</f>
        <v>QOM6</v>
      </c>
      <c r="K55" s="5" t="str">
        <f>_xll.CQGXLContractData(Calculations!D9, "Symbol")</f>
        <v>QOS1M6</v>
      </c>
      <c r="L55" s="5" t="str">
        <f>_xll.CQGXLContractData(Calculations!E9, "Symbol")</f>
        <v>QOS2M6</v>
      </c>
      <c r="M55" s="5" t="str">
        <f>_xll.CQGXLContractData(Calculations!F9, "Symbol")</f>
        <v>QOS3M6</v>
      </c>
      <c r="N55" s="18" t="str">
        <f>_xll.CQGXLContractData(Calculations!G9, "Symbol")</f>
        <v>QOS4M6</v>
      </c>
      <c r="U55" s="14"/>
      <c r="X55" s="15"/>
    </row>
    <row r="56" spans="2:24" ht="12.95" customHeight="1" x14ac:dyDescent="0.2">
      <c r="B56" s="162"/>
      <c r="C56" s="72"/>
      <c r="D56" s="163"/>
      <c r="E56" s="162"/>
      <c r="F56" s="164"/>
      <c r="G56" s="164"/>
      <c r="H56" s="164"/>
      <c r="I56" s="38"/>
      <c r="J56" s="19" t="str">
        <f>TEXT(_xll.CQGXLContractData(J55, "Ask",,"T"),"#.00")&amp;" "&amp;"A"</f>
        <v>54.62 A</v>
      </c>
      <c r="K56" s="19" t="str">
        <f>TEXT(_xll.CQGXLContractData(K55, "Ask",,"T"),"#.00")&amp;" "&amp;"A"</f>
        <v>-.46 A</v>
      </c>
      <c r="L56" s="19" t="str">
        <f>TEXT(_xll.CQGXLContractData(L55, "Ask",,"T"),"#.00")&amp;" "&amp;"A"</f>
        <v>-.86 A</v>
      </c>
      <c r="M56" s="19" t="str">
        <f>TEXT(_xll.CQGXLContractData(M55, "Ask",,"T"),"#.00")&amp;" "&amp;"A"</f>
        <v>-1.25 A</v>
      </c>
      <c r="N56" s="21" t="str">
        <f>TEXT(_xll.CQGXLContractData(N55, "Ask",,"T"),"#.00")&amp;" "&amp;"A"</f>
        <v>-1.60 A</v>
      </c>
      <c r="U56" s="14"/>
      <c r="X56" s="15"/>
    </row>
    <row r="57" spans="2:24" ht="12.95" customHeight="1" x14ac:dyDescent="0.2">
      <c r="B57" s="118" t="s">
        <v>0</v>
      </c>
      <c r="C57" s="73"/>
      <c r="D57" s="122">
        <f>_xll.CQGXLContractData(B62, "LastBidVolume",,"T")</f>
        <v>4</v>
      </c>
      <c r="E57" s="118">
        <f>_xll.CQGXLContractData(B62, "Bid",,"T")</f>
        <v>49.870000000000005</v>
      </c>
      <c r="F57" s="118">
        <f>G62</f>
        <v>49.88</v>
      </c>
      <c r="G57" s="118"/>
      <c r="H57" s="121" t="str">
        <f>IF(H62&gt;0,"+"&amp;TEXT(RTD("cqg.rtd",,"ContractData",B62,"NetLastTradeToday",,"T"),"#.00"),TEXT(H62,"#.00"))</f>
        <v>+.00</v>
      </c>
      <c r="I57" s="38"/>
      <c r="J57" s="23" t="str">
        <f>TEXT(_xll.CQGXLContractData(J55, "Bid",,"T"),"#.00")&amp;" "&amp;"B"</f>
        <v>54.58 B</v>
      </c>
      <c r="K57" s="23" t="str">
        <f>TEXT(_xll.CQGXLContractData(K55, "Bid",,"T"),"#.00")&amp;" "&amp;"B"</f>
        <v>-.47 B</v>
      </c>
      <c r="L57" s="23" t="str">
        <f>TEXT(_xll.CQGXLContractData(L55, "Bid",,"T"),"#.00")&amp;" "&amp;"B"</f>
        <v>-.87 B</v>
      </c>
      <c r="M57" s="23" t="str">
        <f>TEXT(_xll.CQGXLContractData(M55, "Bid",,"T"),"#.00")&amp;" "&amp;"B"</f>
        <v>-1.26 B</v>
      </c>
      <c r="N57" s="25" t="str">
        <f>TEXT(_xll.CQGXLContractData(N55, "Bid",,"T"),"#.00")&amp;" "&amp;"B"</f>
        <v>-1.65 B</v>
      </c>
      <c r="U57" s="14"/>
      <c r="X57" s="15"/>
    </row>
    <row r="58" spans="2:24" ht="12.95" customHeight="1" x14ac:dyDescent="0.2">
      <c r="B58" s="118"/>
      <c r="C58" s="73"/>
      <c r="D58" s="122"/>
      <c r="E58" s="118"/>
      <c r="F58" s="118"/>
      <c r="G58" s="118"/>
      <c r="H58" s="121"/>
      <c r="I58" s="38"/>
      <c r="J58" s="26" t="str">
        <f>TEXT(_xll.CQGXLContractData(J55, "LastTradeToday",,"T"),"#.00")&amp;" "&amp;"L"</f>
        <v>54.61 L</v>
      </c>
      <c r="K58" s="26" t="str">
        <f>TEXT(_xll.CQGXLContractData(K55, "LastTradeToday",,"T"),"#.00")&amp;" "&amp;"L"</f>
        <v>-.47 L</v>
      </c>
      <c r="L58" s="26" t="str">
        <f>TEXT(_xll.CQGXLContractData(L55, "LastTradeToday",,"T"),"#.00")&amp;" "&amp;"L"</f>
        <v>-.87 L</v>
      </c>
      <c r="M58" s="26" t="str">
        <f>TEXT(_xll.CQGXLContractData(M55, "LastTradeToday",,"T"),"#.00")&amp;" "&amp;"L"</f>
        <v>-1.25 L</v>
      </c>
      <c r="N58" s="28" t="str">
        <f>TEXT(_xll.CQGXLContractData(N55, "LastTradeToday",,"T"),"#.00")&amp;" "&amp;"L"</f>
        <v>-1.62 L</v>
      </c>
      <c r="U58" s="14"/>
      <c r="X58" s="15"/>
    </row>
    <row r="59" spans="2:24" ht="2.1" customHeight="1" x14ac:dyDescent="0.2">
      <c r="B59" s="73"/>
      <c r="C59" s="73"/>
      <c r="D59" s="74"/>
      <c r="E59" s="75"/>
      <c r="F59" s="73"/>
      <c r="G59" s="73"/>
      <c r="H59" s="76"/>
      <c r="I59" s="38"/>
      <c r="J59" s="3"/>
      <c r="K59" s="58"/>
      <c r="L59" s="58"/>
      <c r="M59" s="58"/>
      <c r="N59" s="59"/>
      <c r="U59" s="14"/>
      <c r="X59" s="15"/>
    </row>
    <row r="60" spans="2:24" ht="12.95" customHeight="1" x14ac:dyDescent="0.2">
      <c r="B60" s="77" t="s">
        <v>3</v>
      </c>
      <c r="C60" s="78"/>
      <c r="D60" s="78" t="s">
        <v>4</v>
      </c>
      <c r="E60" s="78" t="s">
        <v>5</v>
      </c>
      <c r="F60" s="78" t="s">
        <v>6</v>
      </c>
      <c r="G60" s="78" t="s">
        <v>17</v>
      </c>
      <c r="H60" s="78" t="s">
        <v>7</v>
      </c>
      <c r="I60" s="38"/>
      <c r="J60" s="3"/>
      <c r="K60" s="61" t="str">
        <f>Calculations!P10</f>
        <v>Jul 16</v>
      </c>
      <c r="L60" s="47" t="str">
        <f>$K$60&amp;", "&amp;L6</f>
        <v>Jul 16, Aug 16</v>
      </c>
      <c r="M60" s="47" t="str">
        <f t="shared" ref="M60:N60" si="10">$K$60&amp;", "&amp;M6</f>
        <v>Jul 16, Sep 16</v>
      </c>
      <c r="N60" s="48" t="str">
        <f t="shared" si="10"/>
        <v>Jul 16, Oct 16</v>
      </c>
      <c r="U60" s="14"/>
      <c r="X60" s="15"/>
    </row>
    <row r="61" spans="2:24" ht="12.75" hidden="1" customHeight="1" x14ac:dyDescent="0.2">
      <c r="B61" s="4"/>
      <c r="C61" s="5"/>
      <c r="D61" s="5"/>
      <c r="E61" s="5"/>
      <c r="F61" s="5"/>
      <c r="G61" s="5"/>
      <c r="H61" s="5"/>
      <c r="I61" s="38"/>
      <c r="J61" s="38"/>
      <c r="K61" s="35" t="str">
        <f>_xll.CQGXLContractData(Calculations!Q10, "Symbol")</f>
        <v>QON6</v>
      </c>
      <c r="L61" s="5" t="str">
        <f>_xll.CQGXLContractData(Calculations!D10, "Symbol")</f>
        <v>QOS1N6</v>
      </c>
      <c r="M61" s="5" t="str">
        <f>_xll.CQGXLContractData(Calculations!E10, "Symbol")</f>
        <v>QOS2N6</v>
      </c>
      <c r="N61" s="18" t="str">
        <f>_xll.CQGXLContractData(Calculations!F10, "Symbol")</f>
        <v>QOS3N6</v>
      </c>
      <c r="U61" s="14"/>
      <c r="X61" s="15"/>
    </row>
    <row r="62" spans="2:24" ht="12.95" customHeight="1" x14ac:dyDescent="0.2">
      <c r="B62" s="79" t="str">
        <f>B7</f>
        <v>QOX5</v>
      </c>
      <c r="C62" s="4"/>
      <c r="D62" s="4">
        <f>_xll.CQGXLContractData(B62, "Open",,"T")</f>
        <v>48.06</v>
      </c>
      <c r="E62" s="4">
        <f>_xll.CQGXLContractData(B62, "High",,"T")</f>
        <v>50.34</v>
      </c>
      <c r="F62" s="4">
        <f>_xll.CQGXLContractData(B62, "Low",,"T")</f>
        <v>47.71</v>
      </c>
      <c r="G62" s="4">
        <f>_xll.CQGXLContractData(B62, "LastTradeToday",,"T")</f>
        <v>49.88</v>
      </c>
      <c r="H62" s="4">
        <f>IFERROR(_xll.CQGXLContractData(B62, "LastTradeToday",,"T")-_xll.CQGXLContractData(B62, "Y_Settlement"),"")</f>
        <v>2.1300000000000026</v>
      </c>
      <c r="I62" s="38"/>
      <c r="J62" s="38"/>
      <c r="K62" s="19" t="str">
        <f>TEXT(_xll.CQGXLContractData(K61, "Ask",,"T"),"#.00")&amp;" "&amp;"A"</f>
        <v>55.09 A</v>
      </c>
      <c r="L62" s="19" t="str">
        <f>TEXT(_xll.CQGXLContractData(L61, "Ask",,"T"),"#.00")&amp;" "&amp;"A"</f>
        <v>-.40 A</v>
      </c>
      <c r="M62" s="19" t="str">
        <f>TEXT(_xll.CQGXLContractData(M61, "Ask",,"T"),"#.00")&amp;" "&amp;"A"</f>
        <v>-.77 A</v>
      </c>
      <c r="N62" s="21" t="str">
        <f>TEXT(_xll.CQGXLContractData(N61, "Ask",,"T"),"#.00")&amp;" "&amp;"A"</f>
        <v>-1.13 A</v>
      </c>
      <c r="U62" s="14"/>
      <c r="X62" s="15"/>
    </row>
    <row r="63" spans="2:24" ht="12.95" customHeight="1" x14ac:dyDescent="0.2">
      <c r="B63" s="80" t="str">
        <f>D7</f>
        <v>QOZ5</v>
      </c>
      <c r="C63" s="4"/>
      <c r="D63" s="4">
        <f>_xll.CQGXLContractData(B63, "Open",,"T")</f>
        <v>48.68</v>
      </c>
      <c r="E63" s="4">
        <f>_xll.CQGXLContractData(B63, "High",,"T")</f>
        <v>51.06</v>
      </c>
      <c r="F63" s="4">
        <f>_xll.CQGXLContractData(B63, "Low",,"T")</f>
        <v>48.53</v>
      </c>
      <c r="G63" s="4">
        <f>_xll.CQGXLContractData(B63, "LastTradeToday",,"T")</f>
        <v>50.65</v>
      </c>
      <c r="H63" s="4">
        <f>IFERROR(_xll.CQGXLContractData(B63, "LastTradeToday",,"T")-_xll.CQGXLContractData(B63, "Y_Settlement"),"")</f>
        <v>2.0700000000000003</v>
      </c>
      <c r="I63" s="38"/>
      <c r="J63" s="38"/>
      <c r="K63" s="23" t="str">
        <f>TEXT(_xll.CQGXLContractData(K61, "Bid",,"T"),"#.00")&amp;" "&amp;"B"</f>
        <v>55.04 B</v>
      </c>
      <c r="L63" s="23" t="str">
        <f>TEXT(_xll.CQGXLContractData(L61, "Bid",,"T"),"#.00")&amp;" "&amp;"B"</f>
        <v>-.41 B</v>
      </c>
      <c r="M63" s="23" t="str">
        <f>TEXT(_xll.CQGXLContractData(M61, "Bid",,"T"),"#.00")&amp;" "&amp;"B"</f>
        <v>-.79 B</v>
      </c>
      <c r="N63" s="25" t="str">
        <f>TEXT(_xll.CQGXLContractData(N61, "Bid",,"T"),"#.00")&amp;" "&amp;"B"</f>
        <v>-1.17 B</v>
      </c>
      <c r="U63" s="14"/>
      <c r="X63" s="15"/>
    </row>
    <row r="64" spans="2:24" ht="12.95" customHeight="1" x14ac:dyDescent="0.2">
      <c r="B64" s="80" t="str">
        <f>E7</f>
        <v>QOF6</v>
      </c>
      <c r="C64" s="4"/>
      <c r="D64" s="7">
        <f>_xll.CQGXLContractData(B64, "Open",,"T")</f>
        <v>49.63</v>
      </c>
      <c r="E64" s="7">
        <f>_xll.CQGXLContractData(B64, "High",,"T")</f>
        <v>51.82</v>
      </c>
      <c r="F64" s="7">
        <f>_xll.CQGXLContractData(B64, "Low",,"T")</f>
        <v>49.35</v>
      </c>
      <c r="G64" s="7">
        <f>_xll.CQGXLContractData(B64, "LastTradeToday",,"T")</f>
        <v>51.46</v>
      </c>
      <c r="H64" s="7">
        <f>IFERROR(_xll.CQGXLContractData(B64, "LastTradeToday",,"T")-_xll.CQGXLContractData(B64, "Y_Settlement"),"")</f>
        <v>2.0499999999999972</v>
      </c>
      <c r="I64" s="38"/>
      <c r="J64" s="38"/>
      <c r="K64" s="26" t="str">
        <f>TEXT(_xll.CQGXLContractData(K61, "LastTradeToday",,"T"),"#.00")&amp;" "&amp;"L"</f>
        <v>55.03 L</v>
      </c>
      <c r="L64" s="26" t="str">
        <f>TEXT(_xll.CQGXLContractData(L61, "LastTradeToday",,"T"),"#.00")&amp;" "&amp;"L"</f>
        <v>-.40 L</v>
      </c>
      <c r="M64" s="26" t="str">
        <f>TEXT(_xll.CQGXLContractData(M61, "LastTradeToday",,"T"),"#.00")&amp;" "&amp;"L"</f>
        <v>-.79 L</v>
      </c>
      <c r="N64" s="28" t="str">
        <f>TEXT(_xll.CQGXLContractData(N61, "LastTradeToday",,"T"),"#.00")&amp;" "&amp;"L"</f>
        <v>-1.16 L</v>
      </c>
      <c r="U64" s="14"/>
      <c r="X64" s="15"/>
    </row>
    <row r="65" spans="2:24" ht="2.1" customHeight="1" x14ac:dyDescent="0.2">
      <c r="B65" s="80"/>
      <c r="C65" s="4"/>
      <c r="D65" s="81"/>
      <c r="E65" s="81"/>
      <c r="F65" s="81"/>
      <c r="G65" s="81"/>
      <c r="H65" s="81"/>
      <c r="I65" s="38"/>
      <c r="J65" s="38"/>
      <c r="K65" s="3"/>
      <c r="L65" s="82"/>
      <c r="M65" s="82"/>
      <c r="N65" s="83"/>
      <c r="U65" s="14"/>
      <c r="X65" s="15"/>
    </row>
    <row r="66" spans="2:24" ht="12.95" customHeight="1" x14ac:dyDescent="0.2">
      <c r="B66" s="84" t="str">
        <f>F7</f>
        <v>QOG6</v>
      </c>
      <c r="C66" s="4"/>
      <c r="D66" s="4">
        <f>_xll.CQGXLContractData(B66, "Open",,"T")</f>
        <v>50.49</v>
      </c>
      <c r="E66" s="4">
        <f>_xll.CQGXLContractData(B66, "High",,"T")</f>
        <v>52.370000000000005</v>
      </c>
      <c r="F66" s="4">
        <f>_xll.CQGXLContractData(B66, "Low",,"T")</f>
        <v>50.15</v>
      </c>
      <c r="G66" s="4">
        <f>_xll.CQGXLContractData(B66, "LastTradeToday",,"T")</f>
        <v>52.21</v>
      </c>
      <c r="H66" s="4">
        <f>IFERROR(_xll.CQGXLContractData(B66, "LastTradeToday",,"T")-_xll.CQGXLContractData(B66, "Y_Settlement"),"")</f>
        <v>2.0399999999999991</v>
      </c>
      <c r="I66" s="38"/>
      <c r="J66" s="38"/>
      <c r="K66" s="3"/>
      <c r="L66" s="61" t="str">
        <f>Calculations!P11</f>
        <v>Aug 16</v>
      </c>
      <c r="M66" s="47" t="str">
        <f>$L$66&amp;", "&amp;M6</f>
        <v>Aug 16, Sep 16</v>
      </c>
      <c r="N66" s="48" t="str">
        <f>$L$66&amp;", "&amp;N6</f>
        <v>Aug 16, Oct 16</v>
      </c>
      <c r="U66" s="14"/>
      <c r="X66" s="15"/>
    </row>
    <row r="67" spans="2:24" ht="12.75" hidden="1" customHeight="1" x14ac:dyDescent="0.2">
      <c r="B67" s="38"/>
      <c r="C67" s="5"/>
      <c r="D67" s="4"/>
      <c r="E67" s="4"/>
      <c r="F67" s="4"/>
      <c r="G67" s="4"/>
      <c r="H67" s="4"/>
      <c r="I67" s="38"/>
      <c r="J67" s="38"/>
      <c r="K67" s="38"/>
      <c r="L67" s="35" t="str">
        <f>_xll.CQGXLContractData(Calculations!Q11, "Symbol")</f>
        <v>QOQ6</v>
      </c>
      <c r="M67" s="5" t="str">
        <f>_xll.CQGXLContractData(Calculations!D11, "Symbol")</f>
        <v>QOS1Q6</v>
      </c>
      <c r="N67" s="18" t="str">
        <f>_xll.CQGXLContractData(Calculations!E11, "Symbol")</f>
        <v>QOS2Q6</v>
      </c>
      <c r="U67" s="14"/>
      <c r="X67" s="15"/>
    </row>
    <row r="68" spans="2:24" ht="12.95" customHeight="1" x14ac:dyDescent="0.2">
      <c r="B68" s="80" t="str">
        <f>G7</f>
        <v>QOH6</v>
      </c>
      <c r="C68" s="4"/>
      <c r="D68" s="4">
        <f>_xll.CQGXLContractData(B68, "Open",,"T")</f>
        <v>51.06</v>
      </c>
      <c r="E68" s="4">
        <f>_xll.CQGXLContractData(B68, "High",,"T")</f>
        <v>53.1</v>
      </c>
      <c r="F68" s="4">
        <f>_xll.CQGXLContractData(B68, "Low",,"T")</f>
        <v>50.79</v>
      </c>
      <c r="G68" s="4">
        <f>_xll.CQGXLContractData(B68, "LastTradeToday",,"T")</f>
        <v>52.85</v>
      </c>
      <c r="H68" s="4">
        <f>IFERROR(_xll.CQGXLContractData(B68, "LastTradeToday",,"T")-_xll.CQGXLContractData(B68, "Y_Settlement"),"")</f>
        <v>2.0399999999999991</v>
      </c>
      <c r="I68" s="38"/>
      <c r="J68" s="38"/>
      <c r="K68" s="38"/>
      <c r="L68" s="19" t="str">
        <f>TEXT(_xll.CQGXLContractData(L67, "Ask",,"T"),"#.00")&amp;" "&amp;"A"</f>
        <v>55.91 A</v>
      </c>
      <c r="M68" s="19" t="str">
        <f>TEXT(_xll.CQGXLContractData(M67, "Ask",,"T"),"#.00")&amp;" "&amp;"A"</f>
        <v>-.38 A</v>
      </c>
      <c r="N68" s="21" t="str">
        <f>TEXT(_xll.CQGXLContractData(N67, "Ask",,"T"),"#.00")&amp;" "&amp;"A"</f>
        <v>-.74 A</v>
      </c>
      <c r="U68" s="14"/>
      <c r="X68" s="15"/>
    </row>
    <row r="69" spans="2:24" ht="12.95" customHeight="1" x14ac:dyDescent="0.2">
      <c r="B69" s="80" t="str">
        <f>H7</f>
        <v>QOJ6</v>
      </c>
      <c r="C69" s="4"/>
      <c r="D69" s="4">
        <f>_xll.CQGXLContractData(B69, "Open",,"T")</f>
        <v>51.74</v>
      </c>
      <c r="E69" s="4">
        <f>_xll.CQGXLContractData(B69, "High",,"T")</f>
        <v>53.69</v>
      </c>
      <c r="F69" s="4">
        <f>_xll.CQGXLContractData(B69, "Low",,"T")</f>
        <v>51.49</v>
      </c>
      <c r="G69" s="4">
        <f>_xll.CQGXLContractData(B69, "LastTradeToday",,"T")</f>
        <v>53.33</v>
      </c>
      <c r="H69" s="4">
        <f>IFERROR(_xll.CQGXLContractData(B69, "LastTradeToday",,"T")-_xll.CQGXLContractData(B69, "Y_Settlement"),"")</f>
        <v>1.8599999999999994</v>
      </c>
      <c r="I69" s="38"/>
      <c r="J69" s="38"/>
      <c r="K69" s="38"/>
      <c r="L69" s="23" t="str">
        <f>TEXT(_xll.CQGXLContractData(L67, "Bid",,"T"),"#.00")&amp;" "&amp;"B"</f>
        <v>54.94 B</v>
      </c>
      <c r="M69" s="23" t="str">
        <f>TEXT(_xll.CQGXLContractData(M67, "Bid",,"T"),"#.00")&amp;" "&amp;"B"</f>
        <v>-.39 B</v>
      </c>
      <c r="N69" s="25" t="str">
        <f>TEXT(_xll.CQGXLContractData(N67, "Bid",,"T"),"#.00")&amp;" "&amp;"B"</f>
        <v>-.77 B</v>
      </c>
      <c r="U69" s="14"/>
      <c r="X69" s="15"/>
    </row>
    <row r="70" spans="2:24" ht="12.95" customHeight="1" x14ac:dyDescent="0.2">
      <c r="B70" s="84" t="str">
        <f>I7</f>
        <v>QOK6</v>
      </c>
      <c r="C70" s="4"/>
      <c r="D70" s="7">
        <f>_xll.CQGXLContractData(B70, "Open",,"T")</f>
        <v>52.31</v>
      </c>
      <c r="E70" s="7">
        <f>_xll.CQGXLContractData(B70, "High",,"T")</f>
        <v>54.25</v>
      </c>
      <c r="F70" s="7">
        <f>_xll.CQGXLContractData(B70, "Low",,"T")</f>
        <v>52.050000000000004</v>
      </c>
      <c r="G70" s="7">
        <f>_xll.CQGXLContractData(B70, "LastTradeToday",,"T")</f>
        <v>53.9</v>
      </c>
      <c r="H70" s="7">
        <f>IFERROR(_xll.CQGXLContractData(B70, "LastTradeToday",,"T")-_xll.CQGXLContractData(B70, "Y_Settlement"),"")</f>
        <v>1.8099999999999952</v>
      </c>
      <c r="I70" s="38"/>
      <c r="J70" s="38"/>
      <c r="K70" s="38"/>
      <c r="L70" s="26" t="str">
        <f>TEXT(_xll.CQGXLContractData(L67, "LastTradeToday",,"T"),"#.00")&amp;" "&amp;"L"</f>
        <v>54.71 L</v>
      </c>
      <c r="M70" s="26" t="str">
        <f>TEXT(_xll.CQGXLContractData(M67, "LastTradeToday",,"T"),"#.00")&amp;" "&amp;"L"</f>
        <v>-.38 L</v>
      </c>
      <c r="N70" s="28" t="str">
        <f>TEXT(_xll.CQGXLContractData(N67, "LastTradeToday",,"T"),"#.00")&amp;" "&amp;"L"</f>
        <v>-.75 L</v>
      </c>
      <c r="U70" s="14"/>
      <c r="X70" s="15"/>
    </row>
    <row r="71" spans="2:24" ht="2.1" customHeight="1" x14ac:dyDescent="0.2">
      <c r="B71" s="84"/>
      <c r="C71" s="4"/>
      <c r="D71" s="81"/>
      <c r="E71" s="81"/>
      <c r="F71" s="81"/>
      <c r="G71" s="81"/>
      <c r="H71" s="81"/>
      <c r="I71" s="38"/>
      <c r="J71" s="38"/>
      <c r="K71" s="38"/>
      <c r="L71" s="3"/>
      <c r="M71" s="85"/>
      <c r="N71" s="86"/>
      <c r="U71" s="14"/>
      <c r="X71" s="15"/>
    </row>
    <row r="72" spans="2:24" ht="12.95" customHeight="1" x14ac:dyDescent="0.2">
      <c r="B72" s="80" t="str">
        <f>J7</f>
        <v>QOM6</v>
      </c>
      <c r="C72" s="5"/>
      <c r="D72" s="4">
        <f>_xll.CQGXLContractData(B72, "Open",,"T")</f>
        <v>52.89</v>
      </c>
      <c r="E72" s="4">
        <f>_xll.CQGXLContractData(B72, "High",,"T")</f>
        <v>54.75</v>
      </c>
      <c r="F72" s="4">
        <f>_xll.CQGXLContractData(B72, "Low",,"T")</f>
        <v>52.61</v>
      </c>
      <c r="G72" s="4">
        <f>_xll.CQGXLContractData(B72, "LastTradeToday",,"T")</f>
        <v>54.61</v>
      </c>
      <c r="H72" s="4">
        <f>IFERROR(_xll.CQGXLContractData(B72, "LastTradeToday",,"T")-_xll.CQGXLContractData(B72, "Y_Settlement"),"")</f>
        <v>1.9399999999999977</v>
      </c>
      <c r="I72" s="87"/>
      <c r="J72" s="38"/>
      <c r="K72" s="38"/>
      <c r="L72" s="62"/>
      <c r="M72" s="61" t="str">
        <f>Calculations!P12</f>
        <v>Sep 16</v>
      </c>
      <c r="N72" s="48" t="str">
        <f>$M$72&amp;", "&amp;N6</f>
        <v>Sep 16, Oct 16</v>
      </c>
      <c r="U72" s="14"/>
      <c r="X72" s="15"/>
    </row>
    <row r="73" spans="2:24" ht="12.75" hidden="1" customHeight="1" x14ac:dyDescent="0.2">
      <c r="B73" s="38"/>
      <c r="C73" s="5"/>
      <c r="D73" s="4"/>
      <c r="E73" s="4"/>
      <c r="F73" s="4"/>
      <c r="G73" s="4"/>
      <c r="H73" s="4"/>
      <c r="I73" s="38"/>
      <c r="J73" s="38"/>
      <c r="K73" s="38"/>
      <c r="L73" s="38"/>
      <c r="M73" s="35" t="str">
        <f>_xll.CQGXLContractData(Calculations!Q12, "Symbol")</f>
        <v>QOU6</v>
      </c>
      <c r="N73" s="18" t="str">
        <f>_xll.CQGXLContractData(Calculations!D12, "Symbol")</f>
        <v>QOS1U6</v>
      </c>
      <c r="U73" s="14"/>
      <c r="X73" s="15"/>
    </row>
    <row r="74" spans="2:24" ht="12.95" customHeight="1" x14ac:dyDescent="0.2">
      <c r="B74" s="80" t="str">
        <f>K7</f>
        <v>QON6</v>
      </c>
      <c r="C74" s="4"/>
      <c r="D74" s="4">
        <f>_xll.CQGXLContractData(B74, "Open",,"T")</f>
        <v>53.53</v>
      </c>
      <c r="E74" s="4">
        <f>_xll.CQGXLContractData(B74, "High",,"T")</f>
        <v>55.08</v>
      </c>
      <c r="F74" s="4">
        <f>_xll.CQGXLContractData(B74, "Low",,"T")</f>
        <v>53.53</v>
      </c>
      <c r="G74" s="4">
        <f>_xll.CQGXLContractData(B74, "LastTradeToday",,"T")</f>
        <v>55.03</v>
      </c>
      <c r="H74" s="4">
        <f>IFERROR(_xll.CQGXLContractData(B74, "LastTradeToday",,"T")-_xll.CQGXLContractData(B74, "Y_Settlement"),"")</f>
        <v>1.8500000000000014</v>
      </c>
      <c r="I74" s="38"/>
      <c r="J74" s="38"/>
      <c r="K74" s="38"/>
      <c r="L74" s="38"/>
      <c r="M74" s="19" t="str">
        <f>TEXT(_xll.CQGXLContractData(M73, "Ask",,"T"),"#.00")&amp;" "&amp;"A"</f>
        <v>56.01 A</v>
      </c>
      <c r="N74" s="21" t="str">
        <f>TEXT(_xll.CQGXLContractData(N73, "Ask",,"T"),"#.00")&amp;" "&amp;"A"</f>
        <v>-.36 A</v>
      </c>
      <c r="U74" s="14"/>
      <c r="X74" s="15"/>
    </row>
    <row r="75" spans="2:24" ht="12.95" customHeight="1" x14ac:dyDescent="0.2">
      <c r="B75" s="80" t="str">
        <f>L7</f>
        <v>QOQ6</v>
      </c>
      <c r="C75" s="4"/>
      <c r="D75" s="4">
        <f>_xll.CQGXLContractData(B75, "Open",,"T")</f>
        <v>54.71</v>
      </c>
      <c r="E75" s="4">
        <f>_xll.CQGXLContractData(B75, "High",,"T")</f>
        <v>55.33</v>
      </c>
      <c r="F75" s="4">
        <f>_xll.CQGXLContractData(B75, "Low",,"T")</f>
        <v>54.71</v>
      </c>
      <c r="G75" s="4">
        <f>_xll.CQGXLContractData(B75, "LastTradeToday",,"T")</f>
        <v>54.71</v>
      </c>
      <c r="H75" s="4">
        <f>IFERROR(_xll.CQGXLContractData(B75, "LastTradeToday",,"T")-_xll.CQGXLContractData(B75, "Y_Settlement"),"")</f>
        <v>1.0899999999999963</v>
      </c>
      <c r="I75" s="88"/>
      <c r="J75" s="89"/>
      <c r="K75" s="89"/>
      <c r="L75" s="38"/>
      <c r="M75" s="23" t="str">
        <f>TEXT(_xll.CQGXLContractData(M73, "Bid",,"T"),"#.00")&amp;" "&amp;"B"</f>
        <v>55.38 B</v>
      </c>
      <c r="N75" s="25" t="str">
        <f>TEXT(_xll.CQGXLContractData(N73, "Bid",,"T"),"#.00")&amp;" "&amp;"B"</f>
        <v>-.38 B</v>
      </c>
      <c r="U75" s="14"/>
      <c r="X75" s="15"/>
    </row>
    <row r="76" spans="2:24" ht="12.95" customHeight="1" x14ac:dyDescent="0.2">
      <c r="B76" s="80" t="str">
        <f>M7</f>
        <v>QOU6</v>
      </c>
      <c r="C76" s="4"/>
      <c r="D76" s="7">
        <f>_xll.CQGXLContractData(B76, "Open",,"T")</f>
        <v>54.5</v>
      </c>
      <c r="E76" s="7">
        <f>_xll.CQGXLContractData(B76, "High",,"T")</f>
        <v>55.71</v>
      </c>
      <c r="F76" s="7">
        <f>_xll.CQGXLContractData(B76, "Low",,"T")</f>
        <v>54.5</v>
      </c>
      <c r="G76" s="7">
        <f>_xll.CQGXLContractData(B76, "LastTradeToday",,"T")</f>
        <v>55.56</v>
      </c>
      <c r="H76" s="7">
        <f>IFERROR(_xll.CQGXLContractData(B76, "LastTradeToday",,"T")-_xll.CQGXLContractData(B76, "Y_Settlement"),"")</f>
        <v>1.5200000000000031</v>
      </c>
      <c r="I76" s="38"/>
      <c r="J76" s="38"/>
      <c r="K76" s="38"/>
      <c r="L76" s="38"/>
      <c r="M76" s="26" t="str">
        <f>TEXT(_xll.CQGXLContractData(M73, "LastTradeToday",,"T"),"#.00")&amp;" "&amp;"L"</f>
        <v>55.56 L</v>
      </c>
      <c r="N76" s="90" t="str">
        <f>TEXT(_xll.CQGXLContractData(N73, "LastTradeToday",,"T"),"#.00")&amp;" "&amp;"L"</f>
        <v>-.37 L</v>
      </c>
      <c r="U76" s="14"/>
      <c r="X76" s="15"/>
    </row>
    <row r="77" spans="2:24" ht="2.1" customHeight="1" thickBot="1" x14ac:dyDescent="0.25">
      <c r="B77" s="91"/>
      <c r="C77" s="4"/>
      <c r="D77" s="81"/>
      <c r="E77" s="81"/>
      <c r="F77" s="81"/>
      <c r="G77" s="81"/>
      <c r="H77" s="81" t="str">
        <f>IFERROR(_xll.CQGXLContractData(B77, "LastTradeToday",,"T")-_xll.CQGXLContractData(B77, "Y_Settlement"),"")</f>
        <v/>
      </c>
      <c r="I77" s="38"/>
      <c r="J77" s="38"/>
      <c r="K77" s="38"/>
      <c r="L77" s="38"/>
      <c r="M77" s="3"/>
      <c r="N77" s="58"/>
      <c r="O77" s="92"/>
    </row>
    <row r="78" spans="2:24" ht="12.95" customHeight="1" x14ac:dyDescent="0.2">
      <c r="B78" s="93" t="str">
        <f>N7</f>
        <v>QOV6</v>
      </c>
      <c r="C78" s="4"/>
      <c r="D78" s="4">
        <f>_xll.CQGXLContractData(B78, "Open",,"T")</f>
        <v>56.08</v>
      </c>
      <c r="E78" s="4">
        <f>_xll.CQGXLContractData(B78, "High",,"T")</f>
        <v>56.08</v>
      </c>
      <c r="F78" s="4">
        <f>_xll.CQGXLContractData(B78, "Low",,"T")</f>
        <v>56.08</v>
      </c>
      <c r="G78" s="4">
        <f>_xll.CQGXLContractData(B78, "LastTradeToday",,"T")</f>
        <v>56.08</v>
      </c>
      <c r="H78" s="4">
        <f>IFERROR(_xll.CQGXLContractData(B78, "LastTradeToday",,"T")-_xll.CQGXLContractData(B78, "Y_Settlement"),"")</f>
        <v>1.6299999999999955</v>
      </c>
      <c r="I78" s="38"/>
      <c r="J78" s="38"/>
      <c r="K78" s="38"/>
      <c r="L78" s="38"/>
      <c r="M78" s="38"/>
      <c r="N78" s="61" t="str">
        <f>Calculations!P13</f>
        <v>Oct 16</v>
      </c>
      <c r="O78" s="48" t="str">
        <f>$N$78&amp;", "&amp;Calculations!P14</f>
        <v>Oct 16, Nov 16</v>
      </c>
      <c r="P78" s="146">
        <f ca="1">NOW()</f>
        <v>42263.591935069446</v>
      </c>
      <c r="Q78" s="146"/>
      <c r="R78" s="147"/>
      <c r="S78" s="148" t="s">
        <v>21</v>
      </c>
      <c r="T78" s="149"/>
      <c r="U78" s="149"/>
      <c r="V78" s="149"/>
      <c r="W78" s="94"/>
    </row>
    <row r="79" spans="2:24" ht="12.75" hidden="1" customHeight="1" x14ac:dyDescent="0.2">
      <c r="B79" s="119"/>
      <c r="C79" s="119"/>
      <c r="D79" s="119"/>
      <c r="E79" s="120"/>
      <c r="F79" s="120"/>
      <c r="G79" s="120"/>
      <c r="H79" s="120"/>
      <c r="I79" s="38"/>
      <c r="J79" s="38"/>
      <c r="K79" s="38"/>
      <c r="L79" s="38"/>
      <c r="M79" s="38"/>
      <c r="N79" s="35" t="str">
        <f>_xll.CQGXLContractData(Calculations!Q13, "Symbol")</f>
        <v>QOV6</v>
      </c>
      <c r="O79" s="18" t="str">
        <f>_xll.CQGXLContractData(Calculations!D13, "Symbol")</f>
        <v>QOS1V6</v>
      </c>
      <c r="P79" s="150" t="s">
        <v>9</v>
      </c>
      <c r="Q79" s="151"/>
      <c r="R79" s="151"/>
      <c r="S79" s="152"/>
      <c r="T79" s="38"/>
      <c r="U79" s="38"/>
      <c r="V79" s="38"/>
      <c r="W79" s="14"/>
    </row>
    <row r="80" spans="2:24" ht="12.95" customHeight="1" x14ac:dyDescent="0.2">
      <c r="B80" s="130"/>
      <c r="C80" s="130"/>
      <c r="D80" s="130"/>
      <c r="E80" s="129"/>
      <c r="F80" s="129"/>
      <c r="G80" s="129"/>
      <c r="H80" s="129"/>
      <c r="I80" s="38"/>
      <c r="J80" s="38"/>
      <c r="K80" s="38"/>
      <c r="L80" s="38"/>
      <c r="M80" s="38"/>
      <c r="N80" s="19" t="str">
        <f>TEXT(_xll.CQGXLContractData(N79, "Ask",,"T"),"#.00")&amp;" "&amp;"A"</f>
        <v>56.72 A</v>
      </c>
      <c r="O80" s="95" t="str">
        <f>TEXT(_xll.CQGXLContractData(O79, "Ask",,"T"),"#.00")&amp;" "&amp;"A"</f>
        <v>-.36 A</v>
      </c>
      <c r="P80" s="159" t="s">
        <v>9</v>
      </c>
      <c r="Q80" s="160"/>
      <c r="R80" s="160"/>
      <c r="S80" s="160"/>
      <c r="T80" s="160"/>
      <c r="U80" s="160"/>
      <c r="V80" s="161"/>
      <c r="W80" s="14"/>
    </row>
    <row r="81" spans="2:22" ht="12.95" customHeight="1" x14ac:dyDescent="0.2">
      <c r="B81" s="117"/>
      <c r="C81" s="117"/>
      <c r="D81" s="117"/>
      <c r="E81" s="117"/>
      <c r="F81" s="103"/>
      <c r="G81" s="103"/>
      <c r="H81" s="103"/>
      <c r="I81" s="38"/>
      <c r="J81" s="38"/>
      <c r="K81" s="38"/>
      <c r="L81" s="38"/>
      <c r="M81" s="38"/>
      <c r="N81" s="23" t="str">
        <f>TEXT(_xll.CQGXLContractData(N79, "Bid",,"T"),"#.00")&amp;" "&amp;"B"</f>
        <v>55.69 B</v>
      </c>
      <c r="O81" s="96" t="str">
        <f>TEXT(_xll.CQGXLContractData(O79, "Bid",,"T"),"#.00")&amp;" "&amp;"B"</f>
        <v>-.37 B</v>
      </c>
      <c r="U81" s="97">
        <f xml:space="preserve"> RTD("cqg.rtd",,"StudyData",E7, "VolOI",, "Vol","330",,"PrimaryOnly",,,,"T")</f>
        <v>0</v>
      </c>
      <c r="V81" s="97" t="str">
        <f>E6</f>
        <v>Jan 16</v>
      </c>
    </row>
    <row r="82" spans="2:22" ht="12.95" customHeight="1" x14ac:dyDescent="0.2"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26" t="str">
        <f>TEXT(_xll.CQGXLContractData(N79, "LastTradeToday",,"T"),"#.00")&amp;" "&amp;"L"</f>
        <v>56.08 L</v>
      </c>
      <c r="O82" s="98" t="str">
        <f>TEXT(_xll.CQGXLContractData(O79, "LastTradeToday",,"T"),"#.00")&amp;" "&amp;"L"</f>
        <v>-.37 L</v>
      </c>
      <c r="U82" s="97">
        <f xml:space="preserve"> RTD("cqg.rtd",,"StudyData",F7, "VolOI",, "Vol","330",,"PrimaryOnly",,,,"T")</f>
        <v>0</v>
      </c>
      <c r="V82" s="97" t="str">
        <f>F6</f>
        <v>Feb 16</v>
      </c>
    </row>
    <row r="83" spans="2:22" x14ac:dyDescent="0.2">
      <c r="U83" s="97">
        <f xml:space="preserve"> RTD("cqg.rtd",,"StudyData",G7, "VolOI",, "Vol","330",,"PrimaryOnly",,,,"T")</f>
        <v>0</v>
      </c>
      <c r="V83" s="97" t="str">
        <f>G6</f>
        <v>Mar 16</v>
      </c>
    </row>
    <row r="84" spans="2:22" x14ac:dyDescent="0.2">
      <c r="U84" s="97">
        <f xml:space="preserve"> RTD("cqg.rtd",,"StudyData",H7, "VolOI",, "Vol","330",,"PrimaryOnly",,,,"T")</f>
        <v>0</v>
      </c>
      <c r="V84" s="97" t="str">
        <f>H6</f>
        <v>Apr 16</v>
      </c>
    </row>
    <row r="85" spans="2:22" x14ac:dyDescent="0.2">
      <c r="U85" s="97">
        <f xml:space="preserve"> RTD("cqg.rtd",,"StudyData",I7, "VolOI",, "Vol","330",,"PrimaryOnly",,,,"T")</f>
        <v>0</v>
      </c>
      <c r="V85" s="97" t="str">
        <f>I6</f>
        <v>May 16</v>
      </c>
    </row>
    <row r="86" spans="2:22" x14ac:dyDescent="0.2">
      <c r="U86" s="97">
        <f xml:space="preserve"> RTD("cqg.rtd",,"StudyData",J7, "VolOI",, "Vol","330",,"PrimaryOnly",,,,"T")</f>
        <v>0</v>
      </c>
      <c r="V86" s="97" t="str">
        <f>J6</f>
        <v>Jun 16</v>
      </c>
    </row>
    <row r="87" spans="2:22" x14ac:dyDescent="0.2">
      <c r="U87" s="97">
        <f xml:space="preserve"> RTD("cqg.rtd",,"StudyData",K7, "VolOI",, "Vol","330",,"PrimaryOnly",,,,"T")</f>
        <v>0</v>
      </c>
      <c r="V87" s="97" t="str">
        <f>K6</f>
        <v>Jul 16</v>
      </c>
    </row>
    <row r="88" spans="2:22" x14ac:dyDescent="0.2">
      <c r="U88" s="97">
        <f xml:space="preserve"> RTD("cqg.rtd",,"StudyData",L7, "VolOI",, "Vol","330",,"PrimaryOnly",,,,"T")</f>
        <v>0</v>
      </c>
      <c r="V88" s="97" t="str">
        <f>L6</f>
        <v>Aug 16</v>
      </c>
    </row>
    <row r="89" spans="2:22" x14ac:dyDescent="0.2">
      <c r="U89" s="97">
        <f xml:space="preserve"> RTD("cqg.rtd",,"StudyData",M7, "VolOI",, "Vol","330",,"PrimaryOnly",,,,"T")</f>
        <v>0</v>
      </c>
      <c r="V89" s="97" t="str">
        <f>M6</f>
        <v>Sep 16</v>
      </c>
    </row>
    <row r="90" spans="2:22" x14ac:dyDescent="0.2">
      <c r="U90" s="97">
        <f xml:space="preserve"> RTD("cqg.rtd",,"StudyData",N7, "VolOI",, "Vol","330",,"PrimaryOnly",,,,"T")</f>
        <v>0</v>
      </c>
      <c r="V90" s="97" t="str">
        <f>N6</f>
        <v>Oct 16</v>
      </c>
    </row>
    <row r="91" spans="2:22" x14ac:dyDescent="0.2">
      <c r="U91" s="97"/>
      <c r="V91" s="97"/>
    </row>
  </sheetData>
  <sheetProtection algorithmName="SHA-512" hashValue="eGTPbhqWdvPwUDuawJCz96dUajLcgCDoYULaTvGjhEoabnPbZUuPyNjEFS2MDz/RNIcPlRh74KPGiHOHVHdKMw==" saltValue="BUWR2+qAhvYUHY5v/Tqxcg==" spinCount="100000" sheet="1" objects="1" scenarios="1" selectLockedCells="1"/>
  <mergeCells count="23">
    <mergeCell ref="B4:N5"/>
    <mergeCell ref="E80:H80"/>
    <mergeCell ref="B80:D80"/>
    <mergeCell ref="O4:W5"/>
    <mergeCell ref="O40:W42"/>
    <mergeCell ref="B38:F38"/>
    <mergeCell ref="P78:R78"/>
    <mergeCell ref="S78:V78"/>
    <mergeCell ref="P79:S79"/>
    <mergeCell ref="B50:H52"/>
    <mergeCell ref="P80:V80"/>
    <mergeCell ref="B54:B56"/>
    <mergeCell ref="D54:D56"/>
    <mergeCell ref="E54:E56"/>
    <mergeCell ref="F54:H56"/>
    <mergeCell ref="B81:E81"/>
    <mergeCell ref="F57:G58"/>
    <mergeCell ref="B79:D79"/>
    <mergeCell ref="E79:H79"/>
    <mergeCell ref="H57:H58"/>
    <mergeCell ref="B57:B58"/>
    <mergeCell ref="D57:D58"/>
    <mergeCell ref="E57:E58"/>
  </mergeCells>
  <conditionalFormatting sqref="H62:H78">
    <cfRule type="colorScale" priority="12">
      <colorScale>
        <cfvo type="min"/>
        <cfvo type="num" val="0"/>
        <cfvo type="max"/>
        <color rgb="FFFF0000"/>
        <color rgb="FF00000F"/>
        <color rgb="FF00B050"/>
      </colorScale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49"/>
  <sheetViews>
    <sheetView showRowColHeaders="0" workbookViewId="0">
      <selection sqref="A1:XFD1048576"/>
    </sheetView>
  </sheetViews>
  <sheetFormatPr defaultColWidth="9" defaultRowHeight="14.25" x14ac:dyDescent="0.2"/>
  <cols>
    <col min="1" max="17" width="9" style="105"/>
    <col min="18" max="18" width="14.375" style="105" customWidth="1"/>
    <col min="19" max="20" width="9" style="105"/>
    <col min="21" max="21" width="17.75" style="105" customWidth="1"/>
    <col min="22" max="16384" width="9" style="105"/>
  </cols>
  <sheetData>
    <row r="1" spans="1:30" x14ac:dyDescent="0.2">
      <c r="A1" s="104"/>
      <c r="B1" s="104"/>
      <c r="C1" s="104" t="s">
        <v>2</v>
      </c>
      <c r="D1" s="105">
        <v>1</v>
      </c>
      <c r="E1" s="105">
        <v>2</v>
      </c>
      <c r="F1" s="105">
        <v>3</v>
      </c>
      <c r="G1" s="105">
        <v>4</v>
      </c>
      <c r="H1" s="105">
        <v>5</v>
      </c>
      <c r="I1" s="105">
        <v>6</v>
      </c>
      <c r="J1" s="105">
        <v>7</v>
      </c>
      <c r="K1" s="105">
        <v>8</v>
      </c>
      <c r="L1" s="105">
        <v>9</v>
      </c>
      <c r="M1" s="105">
        <v>10</v>
      </c>
      <c r="N1" s="105">
        <v>11</v>
      </c>
      <c r="O1" s="105">
        <v>12</v>
      </c>
      <c r="P1" s="106"/>
      <c r="Q1" s="107" t="s">
        <v>23</v>
      </c>
      <c r="R1" s="108" t="s">
        <v>16</v>
      </c>
      <c r="S1" s="108" t="s">
        <v>0</v>
      </c>
      <c r="T1" s="108" t="s">
        <v>1</v>
      </c>
      <c r="U1" s="106" t="s">
        <v>8</v>
      </c>
      <c r="V1" s="106"/>
      <c r="W1" s="108" t="s">
        <v>16</v>
      </c>
      <c r="X1" s="106" t="s">
        <v>8</v>
      </c>
      <c r="Y1" s="108" t="s">
        <v>0</v>
      </c>
      <c r="Z1" s="108" t="s">
        <v>1</v>
      </c>
      <c r="AA1" s="106" t="s">
        <v>10</v>
      </c>
      <c r="AB1" s="106" t="s">
        <v>10</v>
      </c>
      <c r="AC1" s="109"/>
      <c r="AD1" s="106" t="s">
        <v>10</v>
      </c>
    </row>
    <row r="2" spans="1:30" x14ac:dyDescent="0.2">
      <c r="A2" s="104" t="str">
        <f>Q2</f>
        <v>QOX5</v>
      </c>
      <c r="B2" s="105" t="str">
        <f>IF(C2="F","JAN",IF(C2="G","FEB",IF(C2="H","MAR",IF(C2="J","APR",IF(C2="K","MAY",IF(C2="M","JUN",IF(C2="N","JUL",IF(C2="Q","AUG",IF(C2="U","SEP",IF(C2="V","OCT",IF(C2="X","NOV",IF(C2="Z","DEC"))))))))))))</f>
        <v>NOV</v>
      </c>
      <c r="C2" s="110" t="str">
        <f>LEFT(RIGHT(A2,2),1)</f>
        <v>X</v>
      </c>
      <c r="D2" s="105" t="str">
        <f>$Q$1&amp;$C$1&amp;$D$1&amp;$C2</f>
        <v>QOS1X</v>
      </c>
      <c r="E2" s="105" t="str">
        <f>$Q$1&amp;$C$1&amp;$E$1&amp;$C2</f>
        <v>QOS2X</v>
      </c>
      <c r="F2" s="105" t="str">
        <f>$Q$1&amp;$C$1&amp;$F$1&amp;$C2</f>
        <v>QOS3X</v>
      </c>
      <c r="G2" s="105" t="str">
        <f>$Q$1&amp;$C$1&amp;$G$1&amp;$C2</f>
        <v>QOS4X</v>
      </c>
      <c r="H2" s="105" t="str">
        <f>$Q$1&amp;$C$1&amp;$H$1&amp;$C2</f>
        <v>QOS5X</v>
      </c>
      <c r="I2" s="105" t="str">
        <f>$Q$1&amp;$C$1&amp;$I$1&amp;$C2</f>
        <v>QOS6X</v>
      </c>
      <c r="J2" s="105" t="str">
        <f>$Q$1&amp;$C$1&amp;$J$1&amp;$C2</f>
        <v>QOS7X</v>
      </c>
      <c r="K2" s="105" t="str">
        <f>$Q$1&amp;$C$1&amp;$K$1&amp;$C2</f>
        <v>QOS8X</v>
      </c>
      <c r="L2" s="105" t="str">
        <f>$Q$1&amp;$C$1&amp;$L$1&amp;$C2</f>
        <v>QOS9X</v>
      </c>
      <c r="M2" s="105" t="str">
        <f>$Q$1&amp;$C$1&amp;$M$1&amp;$C2</f>
        <v>QOS10X</v>
      </c>
      <c r="N2" s="105" t="str">
        <f>$Q$1&amp;$C$1&amp;$N$1&amp;$C2</f>
        <v>QOS11X</v>
      </c>
      <c r="O2" s="105" t="str">
        <f>$Q$1&amp;$C$1&amp;$O$1&amp;$C2</f>
        <v>QOS12X</v>
      </c>
      <c r="P2" s="106" t="str">
        <f>O35</f>
        <v>Nov 15</v>
      </c>
      <c r="Q2" s="111" t="str">
        <f>_xll.CQGXLContractData($Q$1&amp;"?"&amp;R35, "Symbol")</f>
        <v>QOX5</v>
      </c>
      <c r="R2" s="112">
        <f>_xll.CQGXLContractData(Q2, "LastTradeToday")</f>
        <v>49.88</v>
      </c>
      <c r="S2" s="112">
        <f>_xll.CQGXLContractData(Q2,$S$1)</f>
        <v>49.870000000000005</v>
      </c>
      <c r="T2" s="112">
        <f>_xll.CQGXLContractData(Q2,$T$1)</f>
        <v>49.88</v>
      </c>
      <c r="U2" s="112">
        <f>IFERROR(R2-_xll.CQGXLContractData(Q2, "Y_Settlement"),"")</f>
        <v>2.1300000000000026</v>
      </c>
      <c r="V2" s="106" t="str">
        <f>D2</f>
        <v>QOS1X</v>
      </c>
      <c r="W2" s="112">
        <f>_xll.CQGXLContractData(V2, "LastTradeToday")</f>
        <v>-0.79</v>
      </c>
      <c r="X2" s="112">
        <f>IFERROR(W2-_xll.CQGXLContractData(V2, "Y_Settlement"),"")</f>
        <v>4.0000000000000036E-2</v>
      </c>
      <c r="Y2" s="112">
        <f>_xll.CQGXLContractData(V2,$Y$1)</f>
        <v>-0.79</v>
      </c>
      <c r="Z2" s="112">
        <f>_xll.CQGXLContractData(V2,$Z$1)</f>
        <v>-0.78</v>
      </c>
      <c r="AA2" s="112">
        <f>IF(OR(W2="",W2&lt;Y2,W2&gt;Z2),(Y2+Z2)/2,W2)</f>
        <v>-0.79</v>
      </c>
      <c r="AB2" s="112">
        <f>IF(IF(OR(S2="",T2=""),R2,(IF(OR(R2="",R2&lt;S2,R2&gt;T2),(S2+T2)/2,R2)))="",NA(),IF(OR(S2="",T2=""),R2,(IF(OR(R2="",R2&lt;S2,R2&gt;T2),(S2+T2)/2,R2))))</f>
        <v>49.88</v>
      </c>
      <c r="AC2" s="112">
        <f>IF(OR(R2="",R2&lt;S2,R2&gt;T2),(S2+T2)/2,R2)</f>
        <v>49.88</v>
      </c>
      <c r="AD2" s="112">
        <f>IF(IF(OR(Y2="",Z2=""),W2,(IF(OR(W2="",W2&lt;Y2,W2&gt;Z2),(Y2+Z2)/2,W2)))="",NA(),IF(OR(Y2="",Z2=""),W2,(IF(OR(W2="",W2&lt;Y2,W2&gt;Z2),(Y2+Z2)/2,W2))))</f>
        <v>-0.79</v>
      </c>
    </row>
    <row r="3" spans="1:30" x14ac:dyDescent="0.2">
      <c r="A3" s="104" t="str">
        <f t="shared" ref="A3:A12" si="0">Q3</f>
        <v>QOZ5</v>
      </c>
      <c r="B3" s="105" t="str">
        <f t="shared" ref="B3:B13" si="1">IF(C3="F","JAN",IF(C3="G","FEB",IF(C3="H","MAR",IF(C3="J","APR",IF(C3="K","MAY",IF(C3="M","JUN",IF(C3="N","JUL",IF(C3="Q","AUG",IF(C3="U","SEP",IF(C3="V","OCT",IF(C3="X","NOV",IF(C3="Z","DEC"))))))))))))</f>
        <v>DEC</v>
      </c>
      <c r="C3" s="110" t="str">
        <f t="shared" ref="C3:C13" si="2">LEFT(RIGHT(A3,2),1)</f>
        <v>Z</v>
      </c>
      <c r="D3" s="105" t="str">
        <f t="shared" ref="D3:D13" si="3">$Q$1&amp;$C$1&amp;$D$1&amp;$C3</f>
        <v>QOS1Z</v>
      </c>
      <c r="E3" s="105" t="str">
        <f t="shared" ref="E3:E13" si="4">$Q$1&amp;$C$1&amp;$E$1&amp;$C3</f>
        <v>QOS2Z</v>
      </c>
      <c r="F3" s="105" t="str">
        <f t="shared" ref="F3:F13" si="5">$Q$1&amp;$C$1&amp;$F$1&amp;$C3</f>
        <v>QOS3Z</v>
      </c>
      <c r="G3" s="105" t="str">
        <f t="shared" ref="G3:G11" si="6">$Q$1&amp;$C$1&amp;$G$1&amp;$C3</f>
        <v>QOS4Z</v>
      </c>
      <c r="H3" s="105" t="str">
        <f t="shared" ref="H3:H10" si="7">$Q$1&amp;$C$1&amp;$H$1&amp;$C3</f>
        <v>QOS5Z</v>
      </c>
      <c r="I3" s="105" t="str">
        <f t="shared" ref="I3:I9" si="8">$Q$1&amp;$C$1&amp;$I$1&amp;$C3</f>
        <v>QOS6Z</v>
      </c>
      <c r="J3" s="105" t="str">
        <f t="shared" ref="J3:J8" si="9">$Q$1&amp;$C$1&amp;$J$1&amp;$C3</f>
        <v>QOS7Z</v>
      </c>
      <c r="K3" s="105" t="str">
        <f t="shared" ref="K3:K7" si="10">$Q$1&amp;$C$1&amp;$K$1&amp;$C3</f>
        <v>QOS8Z</v>
      </c>
      <c r="L3" s="105" t="str">
        <f t="shared" ref="L3:L6" si="11">$Q$1&amp;$C$1&amp;$L$1&amp;$C3</f>
        <v>QOS9Z</v>
      </c>
      <c r="M3" s="105" t="str">
        <f t="shared" ref="M3:M5" si="12">$Q$1&amp;$C$1&amp;$M$1&amp;$C3</f>
        <v>QOS10Z</v>
      </c>
      <c r="N3" s="105" t="str">
        <f t="shared" ref="N3:N4" si="13">$Q$1&amp;$C$1&amp;$N$1&amp;$C3</f>
        <v>QOS11Z</v>
      </c>
      <c r="O3" s="105" t="str">
        <f t="shared" ref="O3" si="14">$Q$1&amp;$C$1&amp;$O$1&amp;$C3</f>
        <v>QOS12Z</v>
      </c>
      <c r="P3" s="106" t="str">
        <f>O36</f>
        <v>Dec 15</v>
      </c>
      <c r="Q3" s="111" t="str">
        <f>_xll.CQGXLContractData($Q$1&amp;"?"&amp;R36, "Symbol")</f>
        <v>QOZ5</v>
      </c>
      <c r="R3" s="112">
        <f>_xll.CQGXLContractData(Q3, "LastTradeToday")</f>
        <v>50.65</v>
      </c>
      <c r="S3" s="112">
        <f>_xll.CQGXLContractData(Q3,$S$1)</f>
        <v>50.65</v>
      </c>
      <c r="T3" s="112">
        <f>_xll.CQGXLContractData(Q3,$T$1)</f>
        <v>50.67</v>
      </c>
      <c r="U3" s="112">
        <f>IFERROR(R3-_xll.CQGXLContractData(Q3, "Y_Settlement"),"")</f>
        <v>2.0700000000000003</v>
      </c>
      <c r="V3" s="106" t="str">
        <f>E2</f>
        <v>QOS2X</v>
      </c>
      <c r="W3" s="112">
        <f>_xll.CQGXLContractData(V3, "LastTradeToday")</f>
        <v>-1.6</v>
      </c>
      <c r="X3" s="112">
        <f>IFERROR(W3-_xll.CQGXLContractData(V3, "Y_Settlement"),"")</f>
        <v>6.0000000000000053E-2</v>
      </c>
      <c r="Y3" s="112">
        <f>_xll.CQGXLContractData(V3,$Y$1)</f>
        <v>-1.6</v>
      </c>
      <c r="Z3" s="112">
        <f>_xll.CQGXLContractData(V3,$Z$1)</f>
        <v>-1.59</v>
      </c>
      <c r="AA3" s="112">
        <f t="shared" ref="AA3:AA13" si="15">IF(OR(W3="",W3&lt;Y3,W3&gt;Z3),(Y3+Z3)/2,W3)</f>
        <v>-1.6</v>
      </c>
      <c r="AB3" s="112">
        <f t="shared" ref="AB3:AB13" si="16">IF(IF(OR(S3="",T3=""),R3,(IF(OR(R3="",R3&lt;S3,R3&gt;T3),(S3+T3)/2,R3)))="",NA(),IF(OR(S3="",T3=""),R3,(IF(OR(R3="",R3&lt;S3,R3&gt;T3),(S3+T3)/2,R3))))</f>
        <v>50.65</v>
      </c>
      <c r="AC3" s="112">
        <f>IF(OR(R3="",R3&lt;S3,R3&gt;T3),(S3+T3)/2,R3)</f>
        <v>50.65</v>
      </c>
      <c r="AD3" s="112">
        <f t="shared" ref="AD3:AD13" si="17">IF(IF(OR(Y3="",Z3=""),W3,(IF(OR(W3="",W3&lt;Y3,W3&gt;Z3),(Y3+Z3)/2,W3)))="",NA(),IF(OR(Y3="",Z3=""),W3,(IF(OR(W3="",W3&lt;Y3,W3&gt;Z3),(Y3+Z3)/2,W3))))</f>
        <v>-1.6</v>
      </c>
    </row>
    <row r="4" spans="1:30" x14ac:dyDescent="0.2">
      <c r="A4" s="104" t="str">
        <f t="shared" si="0"/>
        <v>QOF6</v>
      </c>
      <c r="B4" s="105" t="str">
        <f t="shared" si="1"/>
        <v>JAN</v>
      </c>
      <c r="C4" s="110" t="str">
        <f t="shared" si="2"/>
        <v>F</v>
      </c>
      <c r="D4" s="105" t="str">
        <f t="shared" si="3"/>
        <v>QOS1F</v>
      </c>
      <c r="E4" s="105" t="str">
        <f t="shared" si="4"/>
        <v>QOS2F</v>
      </c>
      <c r="F4" s="105" t="str">
        <f t="shared" si="5"/>
        <v>QOS3F</v>
      </c>
      <c r="G4" s="105" t="str">
        <f t="shared" si="6"/>
        <v>QOS4F</v>
      </c>
      <c r="H4" s="105" t="str">
        <f t="shared" si="7"/>
        <v>QOS5F</v>
      </c>
      <c r="I4" s="105" t="str">
        <f t="shared" si="8"/>
        <v>QOS6F</v>
      </c>
      <c r="J4" s="105" t="str">
        <f t="shared" si="9"/>
        <v>QOS7F</v>
      </c>
      <c r="K4" s="105" t="str">
        <f t="shared" si="10"/>
        <v>QOS8F</v>
      </c>
      <c r="L4" s="105" t="str">
        <f t="shared" si="11"/>
        <v>QOS9F</v>
      </c>
      <c r="M4" s="105" t="str">
        <f t="shared" si="12"/>
        <v>QOS10F</v>
      </c>
      <c r="N4" s="105" t="str">
        <f t="shared" si="13"/>
        <v>QOS11F</v>
      </c>
      <c r="P4" s="106" t="str">
        <f t="shared" ref="P4:P14" si="18">O37</f>
        <v>Jan 16</v>
      </c>
      <c r="Q4" s="111" t="str">
        <f>_xll.CQGXLContractData($Q$1&amp;"?"&amp;R37, "Symbol")</f>
        <v>QOF6</v>
      </c>
      <c r="R4" s="112">
        <f>_xll.CQGXLContractData(Q4, "LastTradeToday")</f>
        <v>51.46</v>
      </c>
      <c r="S4" s="112">
        <f>_xll.CQGXLContractData(Q4,$S$1)</f>
        <v>51.46</v>
      </c>
      <c r="T4" s="112">
        <f>_xll.CQGXLContractData(Q4,$T$1)</f>
        <v>51.480000000000004</v>
      </c>
      <c r="U4" s="112">
        <f>IFERROR(R4-_xll.CQGXLContractData(Q4, "Y_Settlement"),"")</f>
        <v>2.0499999999999972</v>
      </c>
      <c r="V4" s="106" t="str">
        <f>F2</f>
        <v>QOS3X</v>
      </c>
      <c r="W4" s="112">
        <f>_xll.CQGXLContractData(V4, "LastTradeToday")</f>
        <v>-2.35</v>
      </c>
      <c r="X4" s="112">
        <f>IFERROR(W4-_xll.CQGXLContractData(V4, "Y_Settlement"),"")</f>
        <v>6.999999999999984E-2</v>
      </c>
      <c r="Y4" s="112">
        <f>_xll.CQGXLContractData(V4,$Y$1)</f>
        <v>-2.35</v>
      </c>
      <c r="Z4" s="112">
        <f>_xll.CQGXLContractData(V4,$Z$1)</f>
        <v>-2.34</v>
      </c>
      <c r="AA4" s="112">
        <f t="shared" si="15"/>
        <v>-2.35</v>
      </c>
      <c r="AB4" s="112">
        <f t="shared" si="16"/>
        <v>51.46</v>
      </c>
      <c r="AC4" s="112">
        <f t="shared" ref="AC4:AC13" si="19">IF(OR(R4="",R4&lt;S4,R4&gt;T4),(S4+T4)/2,R4)</f>
        <v>51.46</v>
      </c>
      <c r="AD4" s="112">
        <f t="shared" si="17"/>
        <v>-2.35</v>
      </c>
    </row>
    <row r="5" spans="1:30" x14ac:dyDescent="0.2">
      <c r="A5" s="104" t="str">
        <f t="shared" si="0"/>
        <v>QOG6</v>
      </c>
      <c r="B5" s="105" t="str">
        <f t="shared" si="1"/>
        <v>FEB</v>
      </c>
      <c r="C5" s="110" t="str">
        <f t="shared" si="2"/>
        <v>G</v>
      </c>
      <c r="D5" s="105" t="str">
        <f t="shared" si="3"/>
        <v>QOS1G</v>
      </c>
      <c r="E5" s="105" t="str">
        <f t="shared" si="4"/>
        <v>QOS2G</v>
      </c>
      <c r="F5" s="105" t="str">
        <f t="shared" si="5"/>
        <v>QOS3G</v>
      </c>
      <c r="G5" s="105" t="str">
        <f t="shared" si="6"/>
        <v>QOS4G</v>
      </c>
      <c r="H5" s="105" t="str">
        <f t="shared" si="7"/>
        <v>QOS5G</v>
      </c>
      <c r="I5" s="105" t="str">
        <f t="shared" si="8"/>
        <v>QOS6G</v>
      </c>
      <c r="J5" s="105" t="str">
        <f t="shared" si="9"/>
        <v>QOS7G</v>
      </c>
      <c r="K5" s="105" t="str">
        <f t="shared" si="10"/>
        <v>QOS8G</v>
      </c>
      <c r="L5" s="105" t="str">
        <f t="shared" si="11"/>
        <v>QOS9G</v>
      </c>
      <c r="M5" s="105" t="str">
        <f t="shared" si="12"/>
        <v>QOS10G</v>
      </c>
      <c r="P5" s="106" t="str">
        <f t="shared" si="18"/>
        <v>Feb 16</v>
      </c>
      <c r="Q5" s="111" t="str">
        <f>_xll.CQGXLContractData($Q$1&amp;"?"&amp;R38, "Symbol")</f>
        <v>QOG6</v>
      </c>
      <c r="R5" s="112">
        <f>_xll.CQGXLContractData(Q5, "LastTradeToday")</f>
        <v>52.21</v>
      </c>
      <c r="S5" s="112">
        <f>_xll.CQGXLContractData(Q5,$S$1)</f>
        <v>52.21</v>
      </c>
      <c r="T5" s="112">
        <f>_xll.CQGXLContractData(Q5,$T$1)</f>
        <v>52.230000000000004</v>
      </c>
      <c r="U5" s="112">
        <f>IFERROR(R5-_xll.CQGXLContractData(Q5, "Y_Settlement"),"")</f>
        <v>2.0399999999999991</v>
      </c>
      <c r="V5" s="106" t="str">
        <f>G2</f>
        <v>QOS4X</v>
      </c>
      <c r="W5" s="112">
        <f>_xll.CQGXLContractData(V5, "LastTradeToday")</f>
        <v>-2.97</v>
      </c>
      <c r="X5" s="112">
        <f>IFERROR(W5-_xll.CQGXLContractData(V5, "Y_Settlement"),"")</f>
        <v>8.9999999999999858E-2</v>
      </c>
      <c r="Y5" s="112">
        <f>_xll.CQGXLContractData(V5,$Y$1)</f>
        <v>-2.98</v>
      </c>
      <c r="Z5" s="112">
        <f>_xll.CQGXLContractData(V5,$Z$1)</f>
        <v>-2.96</v>
      </c>
      <c r="AA5" s="112">
        <f t="shared" si="15"/>
        <v>-2.97</v>
      </c>
      <c r="AB5" s="112">
        <f t="shared" si="16"/>
        <v>52.21</v>
      </c>
      <c r="AC5" s="112">
        <f t="shared" si="19"/>
        <v>52.21</v>
      </c>
      <c r="AD5" s="112">
        <f t="shared" si="17"/>
        <v>-2.97</v>
      </c>
    </row>
    <row r="6" spans="1:30" x14ac:dyDescent="0.2">
      <c r="A6" s="104" t="str">
        <f t="shared" si="0"/>
        <v>QOH6</v>
      </c>
      <c r="B6" s="105" t="str">
        <f t="shared" si="1"/>
        <v>MAR</v>
      </c>
      <c r="C6" s="110" t="str">
        <f t="shared" si="2"/>
        <v>H</v>
      </c>
      <c r="D6" s="105" t="str">
        <f t="shared" si="3"/>
        <v>QOS1H</v>
      </c>
      <c r="E6" s="105" t="str">
        <f t="shared" si="4"/>
        <v>QOS2H</v>
      </c>
      <c r="F6" s="105" t="str">
        <f t="shared" si="5"/>
        <v>QOS3H</v>
      </c>
      <c r="G6" s="105" t="str">
        <f t="shared" si="6"/>
        <v>QOS4H</v>
      </c>
      <c r="H6" s="105" t="str">
        <f t="shared" si="7"/>
        <v>QOS5H</v>
      </c>
      <c r="I6" s="105" t="str">
        <f t="shared" si="8"/>
        <v>QOS6H</v>
      </c>
      <c r="J6" s="105" t="str">
        <f t="shared" si="9"/>
        <v>QOS7H</v>
      </c>
      <c r="K6" s="105" t="str">
        <f t="shared" si="10"/>
        <v>QOS8H</v>
      </c>
      <c r="L6" s="105" t="str">
        <f t="shared" si="11"/>
        <v>QOS9H</v>
      </c>
      <c r="P6" s="106" t="str">
        <f t="shared" si="18"/>
        <v>Mar 16</v>
      </c>
      <c r="Q6" s="111" t="str">
        <f>_xll.CQGXLContractData($Q$1&amp;"?"&amp;R39, "Symbol")</f>
        <v>QOH6</v>
      </c>
      <c r="R6" s="112">
        <f>_xll.CQGXLContractData(Q6, "LastTradeToday")</f>
        <v>52.85</v>
      </c>
      <c r="S6" s="112">
        <f>_xll.CQGXLContractData(Q6,$S$1)</f>
        <v>52.83</v>
      </c>
      <c r="T6" s="112">
        <f>_xll.CQGXLContractData(Q6,$T$1)</f>
        <v>52.86</v>
      </c>
      <c r="U6" s="112">
        <f>IFERROR(R6-_xll.CQGXLContractData(Q6, "Y_Settlement"),"")</f>
        <v>2.0399999999999991</v>
      </c>
      <c r="V6" s="106" t="str">
        <f>H2</f>
        <v>QOS5X</v>
      </c>
      <c r="W6" s="112">
        <f>_xll.CQGXLContractData(V6, "LastTradeToday")</f>
        <v>-3.6</v>
      </c>
      <c r="X6" s="112">
        <f>IFERROR(W6-_xll.CQGXLContractData(V6, "Y_Settlement"),"")</f>
        <v>0.12000000000000011</v>
      </c>
      <c r="Y6" s="112">
        <f>_xll.CQGXLContractData(V6,$Y$1)</f>
        <v>-3.63</v>
      </c>
      <c r="Z6" s="112">
        <f>_xll.CQGXLContractData(V6,$Z$1)</f>
        <v>-3.6</v>
      </c>
      <c r="AA6" s="112">
        <f t="shared" si="15"/>
        <v>-3.6</v>
      </c>
      <c r="AB6" s="112">
        <f t="shared" si="16"/>
        <v>52.85</v>
      </c>
      <c r="AC6" s="112">
        <f t="shared" si="19"/>
        <v>52.85</v>
      </c>
      <c r="AD6" s="112">
        <f t="shared" si="17"/>
        <v>-3.6</v>
      </c>
    </row>
    <row r="7" spans="1:30" x14ac:dyDescent="0.2">
      <c r="A7" s="104" t="str">
        <f t="shared" si="0"/>
        <v>QOJ6</v>
      </c>
      <c r="B7" s="105" t="str">
        <f t="shared" si="1"/>
        <v>APR</v>
      </c>
      <c r="C7" s="110" t="str">
        <f t="shared" si="2"/>
        <v>J</v>
      </c>
      <c r="D7" s="105" t="str">
        <f t="shared" si="3"/>
        <v>QOS1J</v>
      </c>
      <c r="E7" s="105" t="str">
        <f t="shared" si="4"/>
        <v>QOS2J</v>
      </c>
      <c r="F7" s="105" t="str">
        <f t="shared" si="5"/>
        <v>QOS3J</v>
      </c>
      <c r="G7" s="105" t="str">
        <f t="shared" si="6"/>
        <v>QOS4J</v>
      </c>
      <c r="H7" s="105" t="str">
        <f t="shared" si="7"/>
        <v>QOS5J</v>
      </c>
      <c r="I7" s="105" t="str">
        <f t="shared" si="8"/>
        <v>QOS6J</v>
      </c>
      <c r="J7" s="105" t="str">
        <f t="shared" si="9"/>
        <v>QOS7J</v>
      </c>
      <c r="K7" s="105" t="str">
        <f t="shared" si="10"/>
        <v>QOS8J</v>
      </c>
      <c r="P7" s="106" t="str">
        <f t="shared" si="18"/>
        <v>Apr 16</v>
      </c>
      <c r="Q7" s="111" t="str">
        <f>_xll.CQGXLContractData($Q$1&amp;"?"&amp;R40, "Symbol")</f>
        <v>QOJ6</v>
      </c>
      <c r="R7" s="112">
        <f>_xll.CQGXLContractData(Q7, "LastTradeToday")</f>
        <v>53.33</v>
      </c>
      <c r="S7" s="112">
        <f>_xll.CQGXLContractData(Q7,$S$1)</f>
        <v>53.47</v>
      </c>
      <c r="T7" s="112">
        <f>_xll.CQGXLContractData(Q7,$T$1)</f>
        <v>53.51</v>
      </c>
      <c r="U7" s="112">
        <f>IFERROR(R7-_xll.CQGXLContractData(Q7, "Y_Settlement"),"")</f>
        <v>1.8599999999999994</v>
      </c>
      <c r="V7" s="106" t="str">
        <f>I2</f>
        <v>QOS6X</v>
      </c>
      <c r="W7" s="112">
        <f>_xll.CQGXLContractData(V7, "LastTradeToday")</f>
        <v>-4.21</v>
      </c>
      <c r="X7" s="112">
        <f>IFERROR(W7-_xll.CQGXLContractData(V7, "Y_Settlement"),"")</f>
        <v>0.12999999999999989</v>
      </c>
      <c r="Y7" s="112">
        <f>_xll.CQGXLContractData(V7,$Y$1)</f>
        <v>-4.21</v>
      </c>
      <c r="Z7" s="112">
        <f>_xll.CQGXLContractData(V7,$Z$1)</f>
        <v>-4.18</v>
      </c>
      <c r="AA7" s="112">
        <f t="shared" si="15"/>
        <v>-4.21</v>
      </c>
      <c r="AB7" s="112">
        <f t="shared" si="16"/>
        <v>53.489999999999995</v>
      </c>
      <c r="AC7" s="112">
        <f t="shared" si="19"/>
        <v>53.489999999999995</v>
      </c>
      <c r="AD7" s="112">
        <f t="shared" si="17"/>
        <v>-4.21</v>
      </c>
    </row>
    <row r="8" spans="1:30" x14ac:dyDescent="0.2">
      <c r="A8" s="104" t="str">
        <f t="shared" si="0"/>
        <v>QOK6</v>
      </c>
      <c r="B8" s="105" t="str">
        <f t="shared" si="1"/>
        <v>MAY</v>
      </c>
      <c r="C8" s="110" t="str">
        <f t="shared" si="2"/>
        <v>K</v>
      </c>
      <c r="D8" s="105" t="str">
        <f t="shared" si="3"/>
        <v>QOS1K</v>
      </c>
      <c r="E8" s="105" t="str">
        <f t="shared" si="4"/>
        <v>QOS2K</v>
      </c>
      <c r="F8" s="105" t="str">
        <f t="shared" si="5"/>
        <v>QOS3K</v>
      </c>
      <c r="G8" s="105" t="str">
        <f t="shared" si="6"/>
        <v>QOS4K</v>
      </c>
      <c r="H8" s="105" t="str">
        <f t="shared" si="7"/>
        <v>QOS5K</v>
      </c>
      <c r="I8" s="105" t="str">
        <f t="shared" si="8"/>
        <v>QOS6K</v>
      </c>
      <c r="J8" s="105" t="str">
        <f t="shared" si="9"/>
        <v>QOS7K</v>
      </c>
      <c r="P8" s="106" t="str">
        <f t="shared" si="18"/>
        <v>May 16</v>
      </c>
      <c r="Q8" s="111" t="str">
        <f>_xll.CQGXLContractData($Q$1&amp;"?"&amp;R41, "Symbol")</f>
        <v>QOK6</v>
      </c>
      <c r="R8" s="112">
        <f>_xll.CQGXLContractData(Q8, "LastTradeToday")</f>
        <v>53.9</v>
      </c>
      <c r="S8" s="112">
        <f>_xll.CQGXLContractData(Q8,$S$1)</f>
        <v>54.050000000000004</v>
      </c>
      <c r="T8" s="112">
        <f>_xll.CQGXLContractData(Q8,$T$1)</f>
        <v>54.08</v>
      </c>
      <c r="U8" s="112">
        <f>IFERROR(R8-_xll.CQGXLContractData(Q8, "Y_Settlement"),"")</f>
        <v>1.8099999999999952</v>
      </c>
      <c r="V8" s="106" t="str">
        <f>J2</f>
        <v>QOS7X</v>
      </c>
      <c r="W8" s="112">
        <f>_xll.CQGXLContractData(V8, "LastTradeToday")</f>
        <v>-4.7300000000000004</v>
      </c>
      <c r="X8" s="112">
        <f>IFERROR(W8-_xll.CQGXLContractData(V8, "Y_Settlement"),"")</f>
        <v>0.1899999999999995</v>
      </c>
      <c r="Y8" s="112">
        <f>_xll.CQGXLContractData(V8,$Y$1)</f>
        <v>-4.74</v>
      </c>
      <c r="Z8" s="112">
        <f>_xll.CQGXLContractData(V8,$Z$1)</f>
        <v>-4.71</v>
      </c>
      <c r="AA8" s="112">
        <f t="shared" si="15"/>
        <v>-4.7300000000000004</v>
      </c>
      <c r="AB8" s="112">
        <f t="shared" si="16"/>
        <v>54.064999999999998</v>
      </c>
      <c r="AC8" s="112">
        <f t="shared" si="19"/>
        <v>54.064999999999998</v>
      </c>
      <c r="AD8" s="112">
        <f t="shared" si="17"/>
        <v>-4.7300000000000004</v>
      </c>
    </row>
    <row r="9" spans="1:30" x14ac:dyDescent="0.2">
      <c r="A9" s="104" t="str">
        <f t="shared" si="0"/>
        <v>QOM6</v>
      </c>
      <c r="B9" s="105" t="str">
        <f t="shared" si="1"/>
        <v>JUN</v>
      </c>
      <c r="C9" s="110" t="str">
        <f t="shared" si="2"/>
        <v>M</v>
      </c>
      <c r="D9" s="105" t="str">
        <f t="shared" si="3"/>
        <v>QOS1M</v>
      </c>
      <c r="E9" s="105" t="str">
        <f t="shared" si="4"/>
        <v>QOS2M</v>
      </c>
      <c r="F9" s="105" t="str">
        <f t="shared" si="5"/>
        <v>QOS3M</v>
      </c>
      <c r="G9" s="105" t="str">
        <f t="shared" si="6"/>
        <v>QOS4M</v>
      </c>
      <c r="H9" s="105" t="str">
        <f t="shared" si="7"/>
        <v>QOS5M</v>
      </c>
      <c r="I9" s="105" t="str">
        <f t="shared" si="8"/>
        <v>QOS6M</v>
      </c>
      <c r="P9" s="106" t="str">
        <f t="shared" si="18"/>
        <v>Jun 16</v>
      </c>
      <c r="Q9" s="111" t="str">
        <f>_xll.CQGXLContractData($Q$1&amp;"?"&amp;R42, "Symbol")</f>
        <v>QOM6</v>
      </c>
      <c r="R9" s="112">
        <f>_xll.CQGXLContractData(Q9, "LastTradeToday")</f>
        <v>54.61</v>
      </c>
      <c r="S9" s="112">
        <f>_xll.CQGXLContractData(Q9,$S$1)</f>
        <v>54.58</v>
      </c>
      <c r="T9" s="112">
        <f>_xll.CQGXLContractData(Q9,$T$1)</f>
        <v>54.620000000000005</v>
      </c>
      <c r="U9" s="112">
        <f>IFERROR(R9-_xll.CQGXLContractData(Q9, "Y_Settlement"),"")</f>
        <v>1.9399999999999977</v>
      </c>
      <c r="V9" s="106" t="str">
        <f>K2</f>
        <v>QOS8X</v>
      </c>
      <c r="W9" s="112">
        <f>_xll.CQGXLContractData(V9, "LastTradeToday")</f>
        <v>-5.17</v>
      </c>
      <c r="X9" s="112">
        <f>IFERROR(W9-_xll.CQGXLContractData(V9, "Y_Settlement"),"")</f>
        <v>0.25999999999999979</v>
      </c>
      <c r="Y9" s="112">
        <f>_xll.CQGXLContractData(V9,$Y$1)</f>
        <v>-5.21</v>
      </c>
      <c r="Z9" s="112">
        <f>_xll.CQGXLContractData(V9,$Z$1)</f>
        <v>-5.17</v>
      </c>
      <c r="AA9" s="112">
        <f t="shared" si="15"/>
        <v>-5.17</v>
      </c>
      <c r="AB9" s="112">
        <f t="shared" si="16"/>
        <v>54.61</v>
      </c>
      <c r="AC9" s="112">
        <f t="shared" si="19"/>
        <v>54.61</v>
      </c>
      <c r="AD9" s="112">
        <f t="shared" si="17"/>
        <v>-5.17</v>
      </c>
    </row>
    <row r="10" spans="1:30" x14ac:dyDescent="0.2">
      <c r="A10" s="104" t="str">
        <f t="shared" si="0"/>
        <v>QON6</v>
      </c>
      <c r="B10" s="105" t="str">
        <f t="shared" si="1"/>
        <v>JUL</v>
      </c>
      <c r="C10" s="110" t="str">
        <f t="shared" si="2"/>
        <v>N</v>
      </c>
      <c r="D10" s="105" t="str">
        <f t="shared" si="3"/>
        <v>QOS1N</v>
      </c>
      <c r="E10" s="105" t="str">
        <f t="shared" si="4"/>
        <v>QOS2N</v>
      </c>
      <c r="F10" s="105" t="str">
        <f t="shared" si="5"/>
        <v>QOS3N</v>
      </c>
      <c r="G10" s="105" t="str">
        <f t="shared" si="6"/>
        <v>QOS4N</v>
      </c>
      <c r="H10" s="105" t="str">
        <f t="shared" si="7"/>
        <v>QOS5N</v>
      </c>
      <c r="P10" s="106" t="str">
        <f t="shared" si="18"/>
        <v>Jul 16</v>
      </c>
      <c r="Q10" s="111" t="str">
        <f>_xll.CQGXLContractData($Q$1&amp;"?"&amp;R43, "Symbol")</f>
        <v>QON6</v>
      </c>
      <c r="R10" s="112">
        <f>_xll.CQGXLContractData(Q10, "LastTradeToday")</f>
        <v>55.03</v>
      </c>
      <c r="S10" s="112">
        <f>_xll.CQGXLContractData(Q10,$S$1)</f>
        <v>55.04</v>
      </c>
      <c r="T10" s="112">
        <f>_xll.CQGXLContractData(Q10,$T$1)</f>
        <v>55.09</v>
      </c>
      <c r="U10" s="112">
        <f>IFERROR(R10-_xll.CQGXLContractData(Q10, "Y_Settlement"),"")</f>
        <v>1.8500000000000014</v>
      </c>
      <c r="V10" s="106" t="str">
        <f>L2</f>
        <v>QOS9X</v>
      </c>
      <c r="W10" s="112">
        <f>_xll.CQGXLContractData(V10, "LastTradeToday")</f>
        <v>-5.58</v>
      </c>
      <c r="X10" s="112">
        <f>IFERROR(W10-_xll.CQGXLContractData(V10, "Y_Settlement"),"")</f>
        <v>0.29000000000000004</v>
      </c>
      <c r="Y10" s="112">
        <f>_xll.CQGXLContractData(V10,$Y$1)</f>
        <v>-5.66</v>
      </c>
      <c r="Z10" s="112">
        <f>_xll.CQGXLContractData(V10,$Z$1)</f>
        <v>-5.53</v>
      </c>
      <c r="AA10" s="112">
        <f t="shared" si="15"/>
        <v>-5.58</v>
      </c>
      <c r="AB10" s="112">
        <f t="shared" si="16"/>
        <v>55.064999999999998</v>
      </c>
      <c r="AC10" s="112">
        <f t="shared" si="19"/>
        <v>55.064999999999998</v>
      </c>
      <c r="AD10" s="112">
        <f t="shared" si="17"/>
        <v>-5.58</v>
      </c>
    </row>
    <row r="11" spans="1:30" x14ac:dyDescent="0.2">
      <c r="A11" s="104" t="str">
        <f t="shared" si="0"/>
        <v>QOQ6</v>
      </c>
      <c r="B11" s="105" t="str">
        <f t="shared" si="1"/>
        <v>AUG</v>
      </c>
      <c r="C11" s="110" t="str">
        <f t="shared" si="2"/>
        <v>Q</v>
      </c>
      <c r="D11" s="105" t="str">
        <f t="shared" si="3"/>
        <v>QOS1Q</v>
      </c>
      <c r="E11" s="105" t="str">
        <f t="shared" si="4"/>
        <v>QOS2Q</v>
      </c>
      <c r="F11" s="105" t="str">
        <f t="shared" si="5"/>
        <v>QOS3Q</v>
      </c>
      <c r="G11" s="105" t="str">
        <f t="shared" si="6"/>
        <v>QOS4Q</v>
      </c>
      <c r="P11" s="106" t="str">
        <f t="shared" si="18"/>
        <v>Aug 16</v>
      </c>
      <c r="Q11" s="111" t="str">
        <f>_xll.CQGXLContractData($Q$1&amp;"?"&amp;R44, "Symbol")</f>
        <v>QOQ6</v>
      </c>
      <c r="R11" s="112">
        <f>_xll.CQGXLContractData(Q11, "LastTradeToday")</f>
        <v>54.71</v>
      </c>
      <c r="S11" s="112">
        <f>_xll.CQGXLContractData(Q11,$S$1)</f>
        <v>54.94</v>
      </c>
      <c r="T11" s="112">
        <f>_xll.CQGXLContractData(Q11,$T$1)</f>
        <v>55.910000000000004</v>
      </c>
      <c r="U11" s="112">
        <f>IFERROR(R11-_xll.CQGXLContractData(Q11, "Y_Settlement"),"")</f>
        <v>1.0899999999999963</v>
      </c>
      <c r="V11" s="106" t="str">
        <f>M2</f>
        <v>QOS10X</v>
      </c>
      <c r="W11" s="112">
        <f>_xll.CQGXLContractData(V11, "LastTradeToday")</f>
        <v>-5.96</v>
      </c>
      <c r="X11" s="112">
        <f>IFERROR(W11-_xll.CQGXLContractData(V11, "Y_Settlement"),"")</f>
        <v>0.33000000000000007</v>
      </c>
      <c r="Y11" s="112">
        <f>_xll.CQGXLContractData(V11,$Y$1)</f>
        <v>-6.04</v>
      </c>
      <c r="Z11" s="112">
        <f>_xll.CQGXLContractData(V11,$Z$1)</f>
        <v>-5.93</v>
      </c>
      <c r="AA11" s="112">
        <f t="shared" si="15"/>
        <v>-5.96</v>
      </c>
      <c r="AB11" s="112">
        <f t="shared" si="16"/>
        <v>55.424999999999997</v>
      </c>
      <c r="AC11" s="112">
        <f t="shared" si="19"/>
        <v>55.424999999999997</v>
      </c>
      <c r="AD11" s="112">
        <f t="shared" si="17"/>
        <v>-5.96</v>
      </c>
    </row>
    <row r="12" spans="1:30" x14ac:dyDescent="0.2">
      <c r="A12" s="104" t="str">
        <f t="shared" si="0"/>
        <v>QOU6</v>
      </c>
      <c r="B12" s="105" t="str">
        <f t="shared" si="1"/>
        <v>SEP</v>
      </c>
      <c r="C12" s="110" t="str">
        <f t="shared" si="2"/>
        <v>U</v>
      </c>
      <c r="D12" s="105" t="str">
        <f t="shared" si="3"/>
        <v>QOS1U</v>
      </c>
      <c r="E12" s="105" t="str">
        <f t="shared" si="4"/>
        <v>QOS2U</v>
      </c>
      <c r="F12" s="105" t="str">
        <f t="shared" si="5"/>
        <v>QOS3U</v>
      </c>
      <c r="P12" s="106" t="str">
        <f t="shared" si="18"/>
        <v>Sep 16</v>
      </c>
      <c r="Q12" s="111" t="str">
        <f>_xll.CQGXLContractData($Q$1&amp;"?"&amp;R45, "Symbol")</f>
        <v>QOU6</v>
      </c>
      <c r="R12" s="112">
        <f>_xll.CQGXLContractData(Q12, "LastTradeToday")</f>
        <v>55.56</v>
      </c>
      <c r="S12" s="112">
        <f>_xll.CQGXLContractData(Q12,$S$1)</f>
        <v>55.38</v>
      </c>
      <c r="T12" s="112">
        <f>_xll.CQGXLContractData(Q12,$T$1)</f>
        <v>56.01</v>
      </c>
      <c r="U12" s="112">
        <f>IFERROR(R12-_xll.CQGXLContractData(Q12, "Y_Settlement"),"")</f>
        <v>1.5200000000000031</v>
      </c>
      <c r="V12" s="106" t="str">
        <f>N2</f>
        <v>QOS11X</v>
      </c>
      <c r="W12" s="112">
        <f>_xll.CQGXLContractData(V12, "LastTradeToday")</f>
        <v>-6.33</v>
      </c>
      <c r="X12" s="112">
        <f>IFERROR(W12-_xll.CQGXLContractData(V12, "Y_Settlement"),"")</f>
        <v>0.37000000000000011</v>
      </c>
      <c r="Y12" s="112">
        <f>_xll.CQGXLContractData(V12,$Y$1)</f>
        <v>-6.43</v>
      </c>
      <c r="Z12" s="112">
        <f>_xll.CQGXLContractData(V12,$Z$1)</f>
        <v>-6.29</v>
      </c>
      <c r="AA12" s="112">
        <f t="shared" si="15"/>
        <v>-6.33</v>
      </c>
      <c r="AB12" s="112">
        <f t="shared" si="16"/>
        <v>55.56</v>
      </c>
      <c r="AC12" s="112">
        <f t="shared" si="19"/>
        <v>55.56</v>
      </c>
      <c r="AD12" s="112">
        <f t="shared" si="17"/>
        <v>-6.33</v>
      </c>
    </row>
    <row r="13" spans="1:30" x14ac:dyDescent="0.2">
      <c r="A13" s="104" t="str">
        <f t="shared" ref="A13" si="20">Q13</f>
        <v>QOV6</v>
      </c>
      <c r="B13" s="105" t="str">
        <f t="shared" si="1"/>
        <v>OCT</v>
      </c>
      <c r="C13" s="110" t="str">
        <f t="shared" si="2"/>
        <v>V</v>
      </c>
      <c r="D13" s="105" t="str">
        <f t="shared" si="3"/>
        <v>QOS1V</v>
      </c>
      <c r="E13" s="105" t="str">
        <f t="shared" si="4"/>
        <v>QOS2V</v>
      </c>
      <c r="F13" s="105" t="str">
        <f t="shared" si="5"/>
        <v>QOS3V</v>
      </c>
      <c r="P13" s="106" t="str">
        <f t="shared" si="18"/>
        <v>Oct 16</v>
      </c>
      <c r="Q13" s="111" t="str">
        <f>_xll.CQGXLContractData($Q$1&amp;"?"&amp;R46, "Symbol")</f>
        <v>QOV6</v>
      </c>
      <c r="R13" s="112">
        <f>_xll.CQGXLContractData(Q13, "LastTradeToday")</f>
        <v>56.08</v>
      </c>
      <c r="S13" s="112">
        <f>_xll.CQGXLContractData(Q13,$S$1)</f>
        <v>55.69</v>
      </c>
      <c r="T13" s="112">
        <f>_xll.CQGXLContractData(Q13,$T$1)</f>
        <v>56.72</v>
      </c>
      <c r="U13" s="112">
        <f>IFERROR(R13-_xll.CQGXLContractData(Q13, "Y_Settlement"),"")</f>
        <v>1.6299999999999955</v>
      </c>
      <c r="V13" s="106" t="str">
        <f>O2</f>
        <v>QOS12X</v>
      </c>
      <c r="W13" s="112">
        <f>_xll.CQGXLContractData(V13, "LastTradeToday")</f>
        <v>-6.7</v>
      </c>
      <c r="X13" s="112">
        <f>IFERROR(W13-_xll.CQGXLContractData(V13, "Y_Settlement"),"")</f>
        <v>0.41000000000000014</v>
      </c>
      <c r="Y13" s="112">
        <f>_xll.CQGXLContractData(V13,$Y$1)</f>
        <v>-6.8</v>
      </c>
      <c r="Z13" s="112">
        <f>_xll.CQGXLContractData(V13,$Z$1)</f>
        <v>-6.6400000000000006</v>
      </c>
      <c r="AA13" s="112">
        <f t="shared" si="15"/>
        <v>-6.7</v>
      </c>
      <c r="AB13" s="112">
        <f t="shared" si="16"/>
        <v>56.08</v>
      </c>
      <c r="AC13" s="112">
        <f t="shared" si="19"/>
        <v>56.08</v>
      </c>
      <c r="AD13" s="112">
        <f t="shared" si="17"/>
        <v>-6.7</v>
      </c>
    </row>
    <row r="14" spans="1:30" x14ac:dyDescent="0.2">
      <c r="P14" s="106" t="str">
        <f t="shared" si="18"/>
        <v>Nov 16</v>
      </c>
      <c r="Q14" s="111" t="str">
        <f>_xll.CQGXLContractData($Q$1&amp;"?"&amp;R47, "Symbol")</f>
        <v>QOX6</v>
      </c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</row>
    <row r="15" spans="1:30" x14ac:dyDescent="0.2">
      <c r="P15" s="106"/>
      <c r="Q15" s="106"/>
      <c r="R15" s="106"/>
      <c r="S15" s="106"/>
      <c r="T15" s="106"/>
      <c r="U15" s="106"/>
    </row>
    <row r="17" spans="6:30" x14ac:dyDescent="0.2">
      <c r="AB17" s="113"/>
      <c r="AC17" s="113"/>
    </row>
    <row r="18" spans="6:30" x14ac:dyDescent="0.2">
      <c r="R18" s="114"/>
      <c r="AB18" s="113"/>
      <c r="AC18" s="113"/>
    </row>
    <row r="19" spans="6:30" x14ac:dyDescent="0.2">
      <c r="F19" s="110" t="str">
        <f>_xll.CQGXLContractData("QO?1", "Symbol")</f>
        <v>QOX5</v>
      </c>
      <c r="G19" s="105" t="str">
        <f>IF(H19="F","JAN",IF(H19="G","FEB",IF(H19="H","MAR",IF(H19="J","APR",IF(H19="K","MAY",IF(H19="M","JUN",IF(H19="N","JUL",IF(H19="Q","AUG",IF(H19="U","SEP",IF(H19="V","OCT",IF(H19="X","NOV",IF(H19="Z","DEC"))))))))))))</f>
        <v>NOV</v>
      </c>
      <c r="H19" s="110" t="str">
        <f>LEFT(RIGHT(F19,2),1)</f>
        <v>X</v>
      </c>
      <c r="I19" s="110" t="str">
        <f>IF(H19="F","Jan",IF(H19="G","Feb",IF(H19="H","Mar",IF(H19="J","Apr",IF(H19="K","May",IF(H19="M","Jun",IF(H19="N","Jul",IF(H19="Q","Aug",IF(H19="U","Sep",IF(H19="V","Oct",IF(H19="X","Nov",IF(H19="Z","Dec"))))))))))))&amp;" "&amp;"1"&amp;RIGHT(F19,1)</f>
        <v>Nov 15</v>
      </c>
      <c r="AC19" s="113"/>
      <c r="AD19" s="113"/>
    </row>
    <row r="20" spans="6:30" x14ac:dyDescent="0.2">
      <c r="Q20" s="115"/>
      <c r="X20" s="113"/>
      <c r="Y20" s="113"/>
    </row>
    <row r="21" spans="6:30" x14ac:dyDescent="0.2">
      <c r="AB21" s="113"/>
      <c r="AC21" s="113"/>
    </row>
    <row r="22" spans="6:30" x14ac:dyDescent="0.2">
      <c r="AB22" s="113"/>
      <c r="AC22" s="113"/>
    </row>
    <row r="23" spans="6:30" x14ac:dyDescent="0.2">
      <c r="AB23" s="113"/>
      <c r="AC23" s="113"/>
    </row>
    <row r="24" spans="6:30" x14ac:dyDescent="0.2">
      <c r="AB24" s="113"/>
      <c r="AC24" s="113"/>
    </row>
    <row r="30" spans="6:30" x14ac:dyDescent="0.2">
      <c r="H30" s="110" t="str">
        <f>IF(B48="F","Jan",IF(B48="G","Feb",IF(B48="H","Mar",IF(B48="J","Apr",IF(B48="K","May",IF(B48="M","Jun",IF(B48="N","Jul",IF(B48="Q","Aug",IF(B48="U","Sep",IF(B48="V","Oct",IF(B48="X","Nov",IF(B48="Z","Dec"))))))))))))&amp;" "&amp;"1"&amp;RIGHT(B36,1)</f>
        <v>Nov 15</v>
      </c>
      <c r="J30" s="105" t="str">
        <f>IF(B48="F","JAN",IF(B48="G","FEB",IF(B48="H","MAR",IF(B48="J","APR",IF(B48="K","MAY",IF(B48="M","JUN",IF(B48="N","JUL",IF(B48="Q","AUG",IF(B48="U","SEP",IF(B48="V","OCT",IF(B48="X","NOV",IF(B48="Z","DEC"))))))))))))&amp;" "&amp;"1"&amp;RIGHT(B36,1)</f>
        <v>NOV 15</v>
      </c>
    </row>
    <row r="31" spans="6:30" x14ac:dyDescent="0.2">
      <c r="H31" s="110"/>
      <c r="I31" s="110" t="str">
        <f>IF(B48="F","Jan",IF(B48="G","Feb",IF(B48="H","Mar",IF(B48="J","Apr",IF(B48="K","May",IF(B48="M","Jun",IF(B48="N","Jul",IF(B48="Q","Aug",IF(B48="U","Sep",IF(B48="V","Oct",IF(B48="X","Nov",IF(B48="Z","Dec"))))))))))))</f>
        <v>Nov</v>
      </c>
    </row>
    <row r="32" spans="6:30" ht="15" x14ac:dyDescent="0.2">
      <c r="H32" s="110" t="str">
        <f>I31&amp;" "&amp;F38</f>
        <v xml:space="preserve">Nov </v>
      </c>
      <c r="W32" s="116"/>
    </row>
    <row r="34" spans="1:19" x14ac:dyDescent="0.2">
      <c r="H34" s="105" t="str">
        <f>IF(B48="F","Jan",IF(B48="G","Feb",IF(B48="H","Mar",IF(B48="J","Apr",IF(B48="K","May",IF(B48="M","Jun",IF(B48="N","Jul",IF(B48="Q","Aug",IF(B48="U","Sep",IF(B48="V","Oct",IF(B48="X","Nov",IF(B48="Z","Dec"))))))))))))&amp;" "&amp;"1"&amp;RIGHT(B36,1)</f>
        <v>Nov 15</v>
      </c>
      <c r="S34" s="105" t="s">
        <v>11</v>
      </c>
    </row>
    <row r="35" spans="1:19" x14ac:dyDescent="0.2">
      <c r="M35" s="105" t="str">
        <f>Q2</f>
        <v>QOX5</v>
      </c>
      <c r="N35" s="110" t="str">
        <f>LEFT(RIGHT(M35,2),1)</f>
        <v>X</v>
      </c>
      <c r="O35" s="110" t="str">
        <f>IF(N35="F","Jan",IF(N35="G","Feb",IF(N35="H","Mar",IF(N35="J","Apr",IF(N35="K","May",IF(N35="M","Jun",IF(N35="N","Jul",IF(N35="Q","Aug",IF(N35="U","Sep",IF(N35="V","Oct",IF(N35="X","Nov",IF(N35="Z","Dec"))))))))))))&amp;" "&amp;"1"&amp;RIGHT(M35,1)</f>
        <v>Nov 15</v>
      </c>
      <c r="R35" s="105">
        <f>IF(_xll.CQGXLContractData(Q1&amp;"?", "Symbol")=_xll.CQGXLContractData(Q1&amp;"?1", "Symbol"),1,2)</f>
        <v>1</v>
      </c>
      <c r="S35" s="105" t="str">
        <f>_xll.CQGXLContractData(Q1&amp;"?1", "Symbol")</f>
        <v>QOX5</v>
      </c>
    </row>
    <row r="36" spans="1:19" x14ac:dyDescent="0.2">
      <c r="A36" s="110"/>
      <c r="B36" s="110" t="str">
        <f>_xll.CQGXLContractData("QO?1", "Symbol")</f>
        <v>QOX5</v>
      </c>
      <c r="M36" s="105" t="str">
        <f>Q3</f>
        <v>QOZ5</v>
      </c>
      <c r="N36" s="110" t="str">
        <f t="shared" ref="N36:N46" si="21">LEFT(RIGHT(M36,2),1)</f>
        <v>Z</v>
      </c>
      <c r="O36" s="110" t="str">
        <f t="shared" ref="O36:O46" si="22">IF(N36="F","Jan",IF(N36="G","Feb",IF(N36="H","Mar",IF(N36="J","Apr",IF(N36="K","May",IF(N36="M","Jun",IF(N36="N","Jul",IF(N36="Q","Aug",IF(N36="U","Sep",IF(N36="V","Oct",IF(N36="X","Nov",IF(N36="Z","Dec"))))))))))))&amp;" "&amp;"1"&amp;RIGHT(M36,1)</f>
        <v>Dec 15</v>
      </c>
      <c r="R36" s="105">
        <f>R35+1</f>
        <v>2</v>
      </c>
      <c r="S36" s="105" t="str">
        <f>_xll.CQGXLContractData(Q1&amp;"?2", "Symbol")</f>
        <v>QOZ5</v>
      </c>
    </row>
    <row r="37" spans="1:19" x14ac:dyDescent="0.2">
      <c r="M37" s="105" t="str">
        <f t="shared" ref="M37:M46" si="23">Q4</f>
        <v>QOF6</v>
      </c>
      <c r="N37" s="110" t="str">
        <f t="shared" si="21"/>
        <v>F</v>
      </c>
      <c r="O37" s="110" t="str">
        <f t="shared" si="22"/>
        <v>Jan 16</v>
      </c>
      <c r="R37" s="105">
        <f>R36+1</f>
        <v>3</v>
      </c>
    </row>
    <row r="38" spans="1:19" x14ac:dyDescent="0.2">
      <c r="F38" s="110"/>
      <c r="M38" s="105" t="str">
        <f t="shared" si="23"/>
        <v>QOG6</v>
      </c>
      <c r="N38" s="110" t="str">
        <f t="shared" si="21"/>
        <v>G</v>
      </c>
      <c r="O38" s="110" t="str">
        <f t="shared" si="22"/>
        <v>Feb 16</v>
      </c>
      <c r="R38" s="105">
        <f t="shared" ref="R38:R47" si="24">R37+1</f>
        <v>4</v>
      </c>
    </row>
    <row r="39" spans="1:19" x14ac:dyDescent="0.2">
      <c r="M39" s="105" t="str">
        <f t="shared" si="23"/>
        <v>QOH6</v>
      </c>
      <c r="N39" s="110" t="str">
        <f t="shared" si="21"/>
        <v>H</v>
      </c>
      <c r="O39" s="110" t="str">
        <f t="shared" si="22"/>
        <v>Mar 16</v>
      </c>
      <c r="R39" s="105">
        <f t="shared" si="24"/>
        <v>5</v>
      </c>
    </row>
    <row r="40" spans="1:19" x14ac:dyDescent="0.2">
      <c r="B40" s="105" t="str">
        <f>IF(B48="F","JAN",IF(B48="G","FEB",IF(B48="H","MAR",IF(B48="J","APR",IF(B48="K","MAY",IF(B48="M","JUN",IF(B48="N","JUL",IF(B48="Q","AUG",IF(B48="U","SEP",IF(B48="V","OCT",IF(B48="X","NOV",IF(B48="Z","DEC"))))))))))))&amp;" "&amp;"1"&amp;RIGHT(B36,1)</f>
        <v>NOV 15</v>
      </c>
      <c r="M40" s="105" t="str">
        <f t="shared" si="23"/>
        <v>QOJ6</v>
      </c>
      <c r="N40" s="110" t="str">
        <f t="shared" si="21"/>
        <v>J</v>
      </c>
      <c r="O40" s="110" t="str">
        <f t="shared" si="22"/>
        <v>Apr 16</v>
      </c>
      <c r="R40" s="105">
        <f t="shared" si="24"/>
        <v>6</v>
      </c>
    </row>
    <row r="41" spans="1:19" x14ac:dyDescent="0.2">
      <c r="M41" s="105" t="str">
        <f t="shared" si="23"/>
        <v>QOK6</v>
      </c>
      <c r="N41" s="110" t="str">
        <f t="shared" si="21"/>
        <v>K</v>
      </c>
      <c r="O41" s="110" t="str">
        <f t="shared" si="22"/>
        <v>May 16</v>
      </c>
      <c r="R41" s="105">
        <f t="shared" si="24"/>
        <v>7</v>
      </c>
    </row>
    <row r="42" spans="1:19" x14ac:dyDescent="0.2">
      <c r="M42" s="105" t="str">
        <f t="shared" si="23"/>
        <v>QOM6</v>
      </c>
      <c r="N42" s="110" t="str">
        <f t="shared" si="21"/>
        <v>M</v>
      </c>
      <c r="O42" s="110" t="str">
        <f t="shared" si="22"/>
        <v>Jun 16</v>
      </c>
      <c r="R42" s="105">
        <f t="shared" si="24"/>
        <v>8</v>
      </c>
    </row>
    <row r="43" spans="1:19" x14ac:dyDescent="0.2">
      <c r="M43" s="105" t="str">
        <f t="shared" si="23"/>
        <v>QON6</v>
      </c>
      <c r="N43" s="110" t="str">
        <f t="shared" si="21"/>
        <v>N</v>
      </c>
      <c r="O43" s="110" t="str">
        <f t="shared" si="22"/>
        <v>Jul 16</v>
      </c>
      <c r="R43" s="105">
        <f t="shared" si="24"/>
        <v>9</v>
      </c>
    </row>
    <row r="44" spans="1:19" x14ac:dyDescent="0.2">
      <c r="M44" s="105" t="str">
        <f t="shared" si="23"/>
        <v>QOQ6</v>
      </c>
      <c r="N44" s="110" t="str">
        <f t="shared" si="21"/>
        <v>Q</v>
      </c>
      <c r="O44" s="110" t="str">
        <f t="shared" si="22"/>
        <v>Aug 16</v>
      </c>
      <c r="R44" s="105">
        <f t="shared" si="24"/>
        <v>10</v>
      </c>
    </row>
    <row r="45" spans="1:19" x14ac:dyDescent="0.2">
      <c r="M45" s="105" t="str">
        <f t="shared" si="23"/>
        <v>QOU6</v>
      </c>
      <c r="N45" s="110" t="str">
        <f t="shared" si="21"/>
        <v>U</v>
      </c>
      <c r="O45" s="110" t="str">
        <f t="shared" si="22"/>
        <v>Sep 16</v>
      </c>
      <c r="R45" s="105">
        <f t="shared" si="24"/>
        <v>11</v>
      </c>
    </row>
    <row r="46" spans="1:19" x14ac:dyDescent="0.2">
      <c r="M46" s="105" t="str">
        <f t="shared" si="23"/>
        <v>QOV6</v>
      </c>
      <c r="N46" s="110" t="str">
        <f t="shared" si="21"/>
        <v>V</v>
      </c>
      <c r="O46" s="110" t="str">
        <f t="shared" si="22"/>
        <v>Oct 16</v>
      </c>
      <c r="R46" s="105">
        <f t="shared" si="24"/>
        <v>12</v>
      </c>
    </row>
    <row r="47" spans="1:19" x14ac:dyDescent="0.2">
      <c r="M47" s="105" t="str">
        <f t="shared" ref="M47" si="25">Q14</f>
        <v>QOX6</v>
      </c>
      <c r="N47" s="110" t="str">
        <f t="shared" ref="N47" si="26">LEFT(RIGHT(M47,2),1)</f>
        <v>X</v>
      </c>
      <c r="O47" s="110" t="str">
        <f>IF(N47="F","Jan",IF(N47="G","Feb",IF(N47="H","Mar",IF(N47="J","Apr",IF(N47="K","May",IF(N47="M","Jun",IF(N47="N","Jul",IF(N47="Q","Aug",IF(N47="U","Sep",IF(N47="V","Oct",IF(N47="X","Nov",IF(N47="Z","Dec"))))))))))))&amp;" "&amp;"1"&amp;RIGHT(M47,1)</f>
        <v>Nov 16</v>
      </c>
      <c r="R47" s="105">
        <f t="shared" si="24"/>
        <v>13</v>
      </c>
    </row>
    <row r="48" spans="1:19" x14ac:dyDescent="0.2">
      <c r="B48" s="110" t="str">
        <f>LEFT(RIGHT(B36,2),1)</f>
        <v>X</v>
      </c>
    </row>
    <row r="49" spans="7:7" x14ac:dyDescent="0.2">
      <c r="G49" s="110"/>
    </row>
  </sheetData>
  <sheetProtection algorithmName="SHA-512" hashValue="FMinCzLiR0wDMohHjPgooyyMyrXwNfhxmc94VuwFXVkz3AlZkAyvVxWKptDaKAtKMTj4wXnQlH1YKrXftuA/BQ==" saltValue="Gc/5ih/rY9nOTIIYQ+9Vqw==" spinCount="100000" sheet="1" objects="1" scenarios="1" selectLockedCells="1" selectUnlockedCell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Main</vt:lpstr>
      <vt:lpstr>Calculations</vt:lpstr>
    </vt:vector>
  </TitlesOfParts>
  <Company>CQG, Inc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 Hartle</dc:creator>
  <cp:lastModifiedBy>Thom Hartle</cp:lastModifiedBy>
  <dcterms:created xsi:type="dcterms:W3CDTF">2011-05-02T21:38:10Z</dcterms:created>
  <dcterms:modified xsi:type="dcterms:W3CDTF">2015-09-16T20:12:28Z</dcterms:modified>
</cp:coreProperties>
</file>