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109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E9" i="1"/>
  <c r="D9" i="1"/>
  <c r="C9" i="1"/>
  <c r="B9" i="1"/>
  <c r="M2" i="1"/>
  <c r="L2" i="1"/>
  <c r="Q2" i="1"/>
  <c r="K2" i="1"/>
  <c r="D2" i="1"/>
  <c r="B6" i="1"/>
  <c r="G2" i="1"/>
  <c r="L6" i="1"/>
  <c r="G6" i="1"/>
  <c r="F6" i="1"/>
  <c r="C2" i="1"/>
  <c r="H6" i="1"/>
  <c r="I2" i="1"/>
  <c r="E6" i="1"/>
  <c r="K6" i="1"/>
  <c r="M6" i="1"/>
  <c r="N2" i="1"/>
  <c r="E2" i="1"/>
  <c r="H2" i="1"/>
  <c r="F2" i="1"/>
  <c r="J6" i="1"/>
  <c r="C6" i="1"/>
  <c r="A6" i="1"/>
  <c r="N6" i="1"/>
  <c r="O6" i="1"/>
  <c r="J2" i="1"/>
  <c r="O2" i="1"/>
  <c r="D6" i="1"/>
  <c r="I6" i="1"/>
  <c r="P2" i="1"/>
  <c r="B2" i="1"/>
</calcChain>
</file>

<file path=xl/sharedStrings.xml><?xml version="1.0" encoding="utf-8"?>
<sst xmlns="http://schemas.openxmlformats.org/spreadsheetml/2006/main" count="50" uniqueCount="31">
  <si>
    <t>C.CLE</t>
  </si>
  <si>
    <t>Symbol</t>
  </si>
  <si>
    <t>Last</t>
  </si>
  <si>
    <t>Description</t>
  </si>
  <si>
    <t>Bid Vol</t>
  </si>
  <si>
    <t>Bid</t>
  </si>
  <si>
    <t>Ask</t>
  </si>
  <si>
    <t>Ask Vol</t>
  </si>
  <si>
    <t>IV</t>
  </si>
  <si>
    <t>Avg Vol</t>
  </si>
  <si>
    <t>Theoretical</t>
  </si>
  <si>
    <t>Delta</t>
  </si>
  <si>
    <t>Gamma</t>
  </si>
  <si>
    <t>Theta</t>
  </si>
  <si>
    <t>Vega</t>
  </si>
  <si>
    <t>Rho</t>
  </si>
  <si>
    <t>IV NC</t>
  </si>
  <si>
    <t>Exp Date</t>
  </si>
  <si>
    <t>IR</t>
  </si>
  <si>
    <t>Ask Time</t>
  </si>
  <si>
    <t>Bid Time</t>
  </si>
  <si>
    <t>PX minus</t>
  </si>
  <si>
    <t>NC</t>
  </si>
  <si>
    <t xml:space="preserve"> and Time</t>
  </si>
  <si>
    <t>Last Trade Date</t>
  </si>
  <si>
    <t>Net Last Quote</t>
  </si>
  <si>
    <t>Days to Exp</t>
  </si>
  <si>
    <t>Long</t>
  </si>
  <si>
    <t>Under Symbol &amp; PX</t>
  </si>
  <si>
    <t>Black-Scholes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</si>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</sst>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F400]h:mm:ss\ AM/PM"/>
  </numFmts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165" fontId="0" fillId="0" borderId="0" xfId="0" applyNumberFormat="1" applyAlignment="1">
      <alignment horizontal="center" shrinkToFit="1"/>
    </xf>
    <xf numFmtId="2" fontId="0" fillId="0" borderId="0" xfId="0" applyNumberFormat="1" applyAlignment="1">
      <alignment horizontal="center" shrinkToFit="1"/>
    </xf>
    <xf numFmtId="10" fontId="0" fillId="0" borderId="0" xfId="0" applyNumberFormat="1" applyAlignment="1">
      <alignment horizontal="center" shrinkToFit="1"/>
    </xf>
    <xf numFmtId="14" fontId="0" fillId="0" borderId="0" xfId="0" applyNumberFormat="1" applyAlignment="1">
      <alignment horizontal="center" shrinkToFit="1"/>
    </xf>
    <xf numFmtId="22" fontId="0" fillId="0" borderId="0" xfId="0" applyNumberFormat="1" applyAlignment="1">
      <alignment horizontal="center" shrinkToFit="1"/>
    </xf>
    <xf numFmtId="164" fontId="0" fillId="0" borderId="0" xfId="0" applyNumberFormat="1" applyAlignment="1">
      <alignment horizontal="center" shrinkToFit="1"/>
    </xf>
    <xf numFmtId="0" fontId="0" fillId="0" borderId="0" xfId="0" applyNumberFormat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shrinkToFit="1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42089.468055555553</v>
        <stp/>
        <stp>ContractData</stp>
        <stp>C.CLE</stp>
        <stp>OptionPriceTmDate</stp>
        <stp/>
        <stp>T</stp>
        <tr r="N6" s="1"/>
      </tp>
      <tp t="s">
        <v>Crude Light (Globex), May 15 5100 Call</v>
        <stp/>
        <stp>ContractData</stp>
        <stp>C.CLE</stp>
        <stp>LongDescription</stp>
        <stp/>
        <stp>T</stp>
        <tr r="O6" s="1"/>
      </tp>
      <tp>
        <v>10.59</v>
        <stp/>
        <stp>ContractData</stp>
        <stp>C.CLE</stp>
        <stp>DEltaNetChange</stp>
        <stp/>
        <stp>T</stp>
        <tr r="E6" s="1"/>
      </tp>
      <tp>
        <v>1.6000000000000001E-3</v>
        <stp/>
        <stp>ContractData</stp>
        <stp>C.CLE</stp>
        <stp>GAmmaNetChange</stp>
        <stp/>
        <stp>T</stp>
        <tr r="G6" s="1"/>
      </tp>
      <tp>
        <v>1.3557712964437777E-2</v>
        <stp/>
        <stp>ContractData</stp>
        <stp>OptVal(C.CLE,Rho,Black-Scholes)</stp>
        <stp>Close</stp>
        <stp/>
        <stp>T</stp>
        <tr r="H9" s="1"/>
      </tp>
      <tp>
        <v>-0.45</v>
        <stp/>
        <stp>ContractData</stp>
        <stp>C.CLE</stp>
        <stp>THetaNetChange</stp>
        <stp/>
        <stp>T</stp>
        <tr r="I6" s="1"/>
      </tp>
      <tp>
        <v>4</v>
        <stp/>
        <stp>ContractData</stp>
        <stp>C.CLE</stp>
        <stp>MT_LastAskVolume</stp>
        <stp/>
        <stp>T</stp>
        <tr r="G2" s="1"/>
      </tp>
      <tp>
        <v>50.77</v>
        <stp/>
        <stp>ContractData</stp>
        <stp>C.CLE</stp>
        <stp>UnderlyingPrice</stp>
        <stp/>
        <stp>T</stp>
        <tr r="K2" s="1"/>
      </tp>
      <tp>
        <v>43</v>
        <stp/>
        <stp>ContractData</stp>
        <stp>C.CLE</stp>
        <stp>MT_LastBidVolume</stp>
        <stp/>
        <stp>T</stp>
        <tr r="D2" s="1"/>
      </tp>
      <tp>
        <v>21</v>
        <stp/>
        <stp>ContractData</stp>
        <stp>C.CLE</stp>
        <stp>OptionDaysToExp</stp>
        <stp/>
        <stp>T</stp>
        <tr r="P2" s="1"/>
      </tp>
      <tp>
        <v>2.1800000000000002</v>
        <stp/>
        <stp>ContractData</stp>
        <stp>C.CLE</stp>
        <stp>LastQuoteToday</stp>
        <stp/>
        <stp>T</stp>
        <tr r="B2" s="1"/>
      </tp>
      <tp>
        <v>-5.7406486838385007E-5</v>
        <stp/>
        <stp>ContractData</stp>
        <stp>C.CLE</stp>
        <stp>PriceMinusTheoVal</stp>
        <stp/>
        <stp>T</stp>
        <tr r="B6" s="1"/>
      </tp>
      <tp t="s">
        <v>CLEK5</v>
        <stp/>
        <stp>ContractData</stp>
        <stp>C.CLE</stp>
        <stp>OptionUndSymbol</stp>
        <stp/>
        <stp>T</stp>
        <tr r="J2" s="1"/>
      </tp>
      <tp>
        <v>2.1800574064868385</v>
        <stp/>
        <stp>ContractData</stp>
        <stp>C.CLE</stp>
        <stp>TheoreticalValue</stp>
        <stp/>
        <stp>T</stp>
        <tr r="A6" s="1"/>
      </tp>
      <tp>
        <v>3.76</v>
        <stp/>
        <stp>ContractData</stp>
        <stp>C.CLE</stp>
        <stp>ImpVolNetChange</stp>
        <stp/>
        <stp>T</stp>
        <tr r="M2" s="1"/>
      </tp>
      <tp>
        <v>0.47662229256099181</v>
        <stp/>
        <stp>ContractData</stp>
        <stp>C.CLE</stp>
        <stp>AverageVolatility</stp>
        <stp/>
        <stp>T</stp>
        <tr r="N2" s="1"/>
      </tp>
      <tp>
        <v>42110</v>
        <stp/>
        <stp>ContractData</stp>
        <stp>C.CLE</stp>
        <stp>ExpirationDate</stp>
        <stp/>
        <stp>T</stp>
        <tr r="Q2" s="1"/>
      </tp>
      <tp>
        <v>0.83000000000000007</v>
        <stp/>
        <stp>ContractData</stp>
        <stp>C.CLE</stp>
        <stp>NetLastQuoteToday</stp>
        <stp/>
        <stp>T</stp>
        <tr r="C2" s="1"/>
      </tp>
      <tp>
        <v>47.04</v>
        <stp/>
        <stp>ContractData</stp>
        <stp>C.CLE</stp>
        <stp>ImpliedVolatility</stp>
        <stp/>
        <stp>T</stp>
        <tr r="L2" s="1"/>
      </tp>
      <tp>
        <v>6.962412359894489E-2</v>
        <stp/>
        <stp>ContractData</stp>
        <stp>OptVal(C.CLE,Gamma,Black-Scholes)</stp>
        <stp>Close</stp>
        <stp/>
        <stp>T</stp>
        <tr r="E9" s="1"/>
      </tp>
      <tp>
        <v>218.00574064868385</v>
        <stp/>
        <stp>ContractData</stp>
        <stp>OptVal(C.CLE,TheoreticalValue,Black-Scholes)</stp>
        <stp>Close</stp>
        <stp/>
        <stp>T</stp>
        <tr r="C9" s="1"/>
      </tp>
      <tp>
        <v>-5.4585677030863325E-2</v>
        <stp/>
        <stp>ContractData</stp>
        <stp>OptVal(C.CLE,Theta,Black-Scholes)</stp>
        <stp>Close</stp>
        <stp/>
        <stp>T</stp>
        <tr r="F9" s="1"/>
      </tp>
      <tp>
        <v>47.04478315795528</v>
        <stp/>
        <stp>ContractData</stp>
        <stp>OptVal(C.CLE,ImpliedVolatility,Black-Scholes)</stp>
        <stp>Close</stp>
        <stp/>
        <stp>T</stp>
        <tr r="B9" s="1"/>
      </tp>
      <tp>
        <v>4.85749060920318E-2</v>
        <stp/>
        <stp>ContractData</stp>
        <stp>OptVal(C.CLE,Vega,Black-Scholes)</stp>
        <stp>Close</stp>
        <stp/>
        <stp>T</stp>
        <tr r="G9" s="1"/>
      </tp>
      <tp>
        <v>50.707999999999998</v>
        <stp/>
        <stp>ContractData</stp>
        <stp>OptVal(C.CLE,Delta,Black-Scholes)</stp>
        <stp>Close</stp>
        <tr r="D9" s="1"/>
      </tp>
      <tp>
        <v>0.65524989100025977</v>
        <stp/>
        <stp>ContractData</stp>
        <stp>C.CLE</stp>
        <stp>TheoValueNetChange</stp>
        <stp/>
        <stp>T</stp>
        <tr r="C6" s="1"/>
      </tp>
      <tp>
        <v>0.25800000000000001</v>
        <stp/>
        <stp>ContractData</stp>
        <stp>C.CLE</stp>
        <stp>RHoNetChange</stp>
        <stp/>
        <stp>T</stp>
        <tr r="M6" s="1"/>
      </tp>
      <tp>
        <v>4.8570000000000002</v>
        <stp/>
        <stp>ContractData</stp>
        <stp>C.CLE</stp>
        <stp>VEga</stp>
        <stp/>
        <stp>T</stp>
        <tr r="J6" s="1"/>
      </tp>
      <tp>
        <v>-5.4589999999999996</v>
        <stp/>
        <stp>ContractData</stp>
        <stp>C.CLE</stp>
        <stp>THeta</stp>
        <stp/>
        <stp>T</stp>
        <tr r="H6" s="1"/>
      </tp>
      <tp>
        <v>0.48888888888888887</v>
        <stp/>
        <stp>ContractData</stp>
        <stp>C.CLE</stp>
        <stp>OptionBidTiMe</stp>
        <stp/>
        <stp>T</stp>
        <tr r="I2" s="1"/>
      </tp>
      <tp>
        <v>0.48888888888888887</v>
        <stp/>
        <stp>ContractData</stp>
        <stp>C.CLE</stp>
        <stp>OptionAskTiMe</stp>
        <stp/>
        <stp>T</stp>
        <tr r="H2" s="1"/>
      </tp>
      <tp>
        <v>2.7299999999999612E-3</v>
        <stp/>
        <stp>ContractData</stp>
        <stp>C.CLE</stp>
        <stp>OptionIntRate</stp>
        <stp/>
        <stp>T</stp>
        <tr r="O2" s="1"/>
      </tp>
      <tp>
        <v>6.9620000000000001E-2</v>
        <stp/>
        <stp>ContractData</stp>
        <stp>C.CLE</stp>
        <stp>GAmma</stp>
        <stp/>
        <stp>T</stp>
        <tr r="F6" s="1"/>
      </tp>
      <tp>
        <v>0.186</v>
        <stp/>
        <stp>ContractData</stp>
        <stp>C.CLE</stp>
        <stp>VEgaNetChange</stp>
        <stp/>
        <stp>T</stp>
        <tr r="K6" s="1"/>
      </tp>
      <tp>
        <v>50.71</v>
        <stp/>
        <stp>ContractData</stp>
        <stp>C.CLE</stp>
        <stp>DElta</stp>
        <stp/>
        <stp>T</stp>
        <tr r="D6" s="1"/>
      </tp>
      <tp>
        <v>1.3560000000000001</v>
        <stp/>
        <stp>ContractData</stp>
        <stp>C.CLE</stp>
        <stp>RHo</stp>
        <stp/>
        <stp>T</stp>
        <tr r="L6" s="1"/>
      </tp>
      <tp>
        <v>2.1800000000000002</v>
        <stp/>
        <stp>ContractData</stp>
        <stp>C.CLE</stp>
        <stp>Bid</stp>
        <stp/>
        <stp>T</stp>
        <tr r="E2" s="1"/>
      </tp>
      <tp>
        <v>2.2200000000000002</v>
        <stp/>
        <stp>ContractData</stp>
        <stp>C.CLE</stp>
        <stp>Ask</stp>
        <stp/>
        <stp>T</stp>
        <tr r="F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10"/>
  <sheetViews>
    <sheetView tabSelected="1" workbookViewId="0">
      <selection activeCell="B9" sqref="B9"/>
    </sheetView>
  </sheetViews>
  <sheetFormatPr defaultRowHeight="13.8" x14ac:dyDescent="0.25"/>
  <cols>
    <col min="1" max="1" width="13.69921875" customWidth="1"/>
    <col min="2" max="2" width="10.59765625" customWidth="1"/>
    <col min="3" max="3" width="12.19921875" customWidth="1"/>
    <col min="4" max="7" width="7.69921875" customWidth="1"/>
    <col min="8" max="9" width="10.69921875" customWidth="1"/>
    <col min="10" max="13" width="8.69921875" customWidth="1"/>
    <col min="14" max="14" width="13.59765625" customWidth="1"/>
    <col min="15" max="15" width="10.296875" customWidth="1"/>
    <col min="16" max="16" width="9.3984375" customWidth="1"/>
    <col min="17" max="17" width="15.8984375" customWidth="1"/>
    <col min="27" max="27" width="9.5" bestFit="1" customWidth="1"/>
    <col min="29" max="29" width="14.59765625" bestFit="1" customWidth="1"/>
    <col min="31" max="32" width="11.59765625" bestFit="1" customWidth="1"/>
  </cols>
  <sheetData>
    <row r="1" spans="1:35" s="2" customFormat="1" x14ac:dyDescent="0.25">
      <c r="A1" s="2" t="s">
        <v>1</v>
      </c>
      <c r="B1" s="2" t="s">
        <v>2</v>
      </c>
      <c r="C1" s="2" t="s">
        <v>25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19</v>
      </c>
      <c r="I1" s="2" t="s">
        <v>20</v>
      </c>
      <c r="J1" s="11" t="s">
        <v>28</v>
      </c>
      <c r="K1" s="11"/>
      <c r="L1" s="2" t="s">
        <v>8</v>
      </c>
      <c r="M1" s="2" t="s">
        <v>16</v>
      </c>
      <c r="N1" s="2" t="s">
        <v>9</v>
      </c>
      <c r="O1" s="2" t="s">
        <v>18</v>
      </c>
      <c r="P1" s="2" t="s">
        <v>26</v>
      </c>
      <c r="Q1" s="2" t="s">
        <v>17</v>
      </c>
    </row>
    <row r="2" spans="1:35" s="2" customFormat="1" x14ac:dyDescent="0.25">
      <c r="A2" s="2" t="s">
        <v>0</v>
      </c>
      <c r="B2" s="2">
        <f>RTD("cqg.rtd", ,"ContractData", "C.CLE", "LastQuoteToday",, "T")</f>
        <v>2.1800000000000002</v>
      </c>
      <c r="C2" s="2">
        <f>RTD("cqg.rtd", ,"ContractData", "C.CLE", "NetLastQuoteToday",, "T")</f>
        <v>0.83000000000000007</v>
      </c>
      <c r="D2" s="2">
        <f>RTD("cqg.rtd", ,"ContractData", "C.CLE", "MT_LastBidVolume",, "T")</f>
        <v>43</v>
      </c>
      <c r="E2" s="2">
        <f>RTD("cqg.rtd", ,"ContractData", "C.CLE", "Bid",, "T")</f>
        <v>2.1800000000000002</v>
      </c>
      <c r="F2" s="2">
        <f>RTD("cqg.rtd", ,"ContractData", "C.CLE", "Ask",, "T")</f>
        <v>2.2200000000000002</v>
      </c>
      <c r="G2" s="2">
        <f>RTD("cqg.rtd", ,"ContractData", "C.CLE", "MT_LastAskVolume",, "T")</f>
        <v>4</v>
      </c>
      <c r="H2" s="3">
        <f>RTD("cqg.rtd", ,"ContractData", "C.CLE", "OptionAskTiMe",, "T")</f>
        <v>0.48888888888888887</v>
      </c>
      <c r="I2" s="3">
        <f>RTD("cqg.rtd", ,"ContractData", "C.CLE", "OptionBidTiMe",, "T")</f>
        <v>0.48888888888888887</v>
      </c>
      <c r="J2" s="2" t="str">
        <f>RTD("cqg.rtd", ,"ContractData", "C.CLE", "OptionUndSymbol",, "T")</f>
        <v>CLEK5</v>
      </c>
      <c r="K2" s="2">
        <f>RTD("cqg.rtd", ,"ContractData", "C.CLE", "UnderlyingPrice",, "T")</f>
        <v>50.77</v>
      </c>
      <c r="L2" s="5">
        <f>RTD("cqg.rtd", ,"ContractData", "C.CLE", "ImpliedVolatility",, "T")/100</f>
        <v>0.47039999999999998</v>
      </c>
      <c r="M2" s="5">
        <f>RTD("cqg.rtd", ,"ContractData", "C.CLE", "ImpVolNetChange",, "T")/100</f>
        <v>3.7599999999999995E-2</v>
      </c>
      <c r="N2" s="5">
        <f>RTD("cqg.rtd", ,"ContractData", "C.CLE", "AverageVolatility",, "T")</f>
        <v>0.47662229256099181</v>
      </c>
      <c r="O2" s="5">
        <f>RTD("cqg.rtd", ,"ContractData", "C.CLE", "OptionIntRate",, "T")</f>
        <v>2.7299999999999612E-3</v>
      </c>
      <c r="P2" s="9">
        <f>RTD("cqg.rtd", ,"ContractData", "C.CLE", "OptionDaysToExp",, "T")</f>
        <v>21</v>
      </c>
      <c r="Q2" s="6">
        <f>RTD("cqg.rtd", ,"ContractData", "C.CLE", "ExpirationDate",, "T")</f>
        <v>42110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5"/>
      <c r="AF2" s="7"/>
      <c r="AH2" s="3"/>
      <c r="AI2" s="3"/>
    </row>
    <row r="3" spans="1:35" s="2" customFormat="1" x14ac:dyDescent="0.25">
      <c r="H3" s="3"/>
      <c r="I3" s="3"/>
      <c r="L3" s="4"/>
      <c r="M3" s="4"/>
      <c r="N3" s="5"/>
      <c r="O3" s="4"/>
      <c r="P3" s="6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6"/>
      <c r="AD3" s="5"/>
      <c r="AE3" s="7"/>
      <c r="AG3" s="3"/>
      <c r="AH3" s="3"/>
    </row>
    <row r="4" spans="1:35" s="2" customFormat="1" x14ac:dyDescent="0.25">
      <c r="B4" s="2" t="s">
        <v>21</v>
      </c>
      <c r="C4" s="2" t="s">
        <v>10</v>
      </c>
      <c r="E4" s="2" t="s">
        <v>11</v>
      </c>
      <c r="G4" s="2" t="s">
        <v>12</v>
      </c>
      <c r="I4" s="2" t="s">
        <v>13</v>
      </c>
      <c r="K4" s="2" t="s">
        <v>14</v>
      </c>
      <c r="M4" s="2" t="s">
        <v>15</v>
      </c>
      <c r="N4" s="2" t="s">
        <v>24</v>
      </c>
      <c r="O4" s="11" t="s">
        <v>27</v>
      </c>
      <c r="P4" s="11"/>
      <c r="Q4" s="11"/>
    </row>
    <row r="5" spans="1:35" s="2" customFormat="1" x14ac:dyDescent="0.25">
      <c r="A5" s="2" t="s">
        <v>10</v>
      </c>
      <c r="B5" s="2" t="s">
        <v>10</v>
      </c>
      <c r="C5" s="2" t="s">
        <v>22</v>
      </c>
      <c r="D5" s="2" t="s">
        <v>11</v>
      </c>
      <c r="E5" s="2" t="s">
        <v>22</v>
      </c>
      <c r="F5" s="2" t="s">
        <v>12</v>
      </c>
      <c r="G5" s="2" t="s">
        <v>22</v>
      </c>
      <c r="H5" s="2" t="s">
        <v>13</v>
      </c>
      <c r="I5" s="2" t="s">
        <v>22</v>
      </c>
      <c r="J5" s="2" t="s">
        <v>14</v>
      </c>
      <c r="K5" s="2" t="s">
        <v>22</v>
      </c>
      <c r="L5" s="2" t="s">
        <v>15</v>
      </c>
      <c r="M5" s="2" t="s">
        <v>22</v>
      </c>
      <c r="N5" s="2" t="s">
        <v>23</v>
      </c>
      <c r="O5" s="11" t="s">
        <v>3</v>
      </c>
      <c r="P5" s="11"/>
      <c r="Q5" s="11"/>
    </row>
    <row r="6" spans="1:35" s="2" customFormat="1" x14ac:dyDescent="0.25">
      <c r="A6" s="4">
        <f>RTD("cqg.rtd", ,"ContractData", "C.CLE", "TheoreticalValue",, "T")</f>
        <v>2.1800574064868385</v>
      </c>
      <c r="B6" s="4">
        <f>RTD("cqg.rtd", ,"ContractData", "C.CLE", "PriceMinusTheoVal",, "T")</f>
        <v>-5.7406486838385007E-5</v>
      </c>
      <c r="C6" s="4">
        <f>RTD("cqg.rtd", ,"ContractData", "C.CLE", "TheoValueNetChange",, "T")</f>
        <v>0.65524989100025977</v>
      </c>
      <c r="D6" s="4">
        <f>RTD("cqg.rtd", ,"ContractData", "C.CLE", "DElta",, "T")</f>
        <v>50.71</v>
      </c>
      <c r="E6" s="4">
        <f>RTD("cqg.rtd", ,"ContractData", "C.CLE", "DEltaNetChange",, "T")</f>
        <v>10.59</v>
      </c>
      <c r="F6" s="8">
        <f>RTD("cqg.rtd", ,"ContractData", "C.CLE", "GAmma",, "T")</f>
        <v>6.9620000000000001E-2</v>
      </c>
      <c r="G6" s="8">
        <f>RTD("cqg.rtd", ,"ContractData", "C.CLE", "GAmmaNetChange",, "T")</f>
        <v>1.6000000000000001E-3</v>
      </c>
      <c r="H6" s="4">
        <f>RTD("cqg.rtd", ,"ContractData", "C.CLE", "THeta",, "T")</f>
        <v>-5.4589999999999996</v>
      </c>
      <c r="I6" s="4">
        <f>RTD("cqg.rtd", ,"ContractData", "C.CLE", "THetaNetChange",, "T")</f>
        <v>-0.45</v>
      </c>
      <c r="J6" s="4">
        <f>RTD("cqg.rtd", ,"ContractData", "C.CLE", "VEga",, "T")</f>
        <v>4.8570000000000002</v>
      </c>
      <c r="K6" s="4">
        <f>RTD("cqg.rtd", ,"ContractData", "C.CLE", "VEgaNetChange",, "T")</f>
        <v>0.186</v>
      </c>
      <c r="L6" s="4">
        <f>RTD("cqg.rtd", ,"ContractData", "C.CLE", "RHo",, "T")</f>
        <v>1.3560000000000001</v>
      </c>
      <c r="M6" s="4">
        <f>RTD("cqg.rtd", ,"ContractData", "C.CLE", "RHoNetChange",, "T")</f>
        <v>0.25800000000000001</v>
      </c>
      <c r="N6" s="7">
        <f>RTD("cqg.rtd", ,"ContractData", "C.CLE", "OptionPriceTmDate",, "T")</f>
        <v>42089.468055555553</v>
      </c>
      <c r="O6" s="11" t="str">
        <f>RTD("cqg.rtd", ,"ContractData", "C.CLE", "LongDescription",, "T")</f>
        <v>Crude Light (Globex), May 15 5100 Call</v>
      </c>
      <c r="P6" s="11"/>
      <c r="Q6" s="11"/>
    </row>
    <row r="7" spans="1:35" x14ac:dyDescent="0.25">
      <c r="A7" s="1"/>
      <c r="B7" s="1"/>
      <c r="C7" s="1"/>
      <c r="D7" s="1"/>
      <c r="E7" s="1"/>
      <c r="F7" s="1"/>
      <c r="G7" s="1"/>
      <c r="H7" s="1"/>
    </row>
    <row r="8" spans="1:35" x14ac:dyDescent="0.25">
      <c r="A8" s="1" t="s">
        <v>29</v>
      </c>
      <c r="B8" s="10" t="s">
        <v>8</v>
      </c>
      <c r="C8" s="10" t="s">
        <v>10</v>
      </c>
      <c r="D8" s="10" t="s">
        <v>11</v>
      </c>
      <c r="E8" s="10" t="s">
        <v>12</v>
      </c>
      <c r="F8" s="10" t="s">
        <v>13</v>
      </c>
      <c r="G8" s="10" t="s">
        <v>14</v>
      </c>
      <c r="H8" s="10" t="s">
        <v>15</v>
      </c>
    </row>
    <row r="9" spans="1:35" x14ac:dyDescent="0.25">
      <c r="A9" s="1" t="s">
        <v>30</v>
      </c>
      <c r="B9" s="12">
        <f>RTD("cqg.rtd", , "ContractData", "OptVal(C.CLE,ImpliedVolatility,Black-Scholes)", "Close",,"T")/100</f>
        <v>0.47044783157955278</v>
      </c>
      <c r="C9" s="13">
        <f>RTD("cqg.rtd", , "ContractData", "OptVal(C.CLE,TheoreticalValue,Black-Scholes)", "Close",,"T")/100</f>
        <v>2.1800574064868385</v>
      </c>
      <c r="D9" s="13">
        <f>RTD("cqg.rtd", , "ContractData", "OptVal(C.CLE,Delta,Black-Scholes)", "Close")</f>
        <v>50.707999999999998</v>
      </c>
      <c r="E9" s="14">
        <f>RTD("cqg.rtd", , "ContractData", "OptVal(C.CLE,Gamma,Black-Scholes)", "Close",,"T")</f>
        <v>6.962412359894489E-2</v>
      </c>
      <c r="F9" s="4">
        <f>RTD("cqg.rtd", , "ContractData", "OptVal(C.CLE,Theta,Black-Scholes)", "Close",,"T")*100</f>
        <v>-5.4585677030863327</v>
      </c>
      <c r="G9" s="4">
        <f>RTD("cqg.rtd", , "ContractData", "OptVal(C.CLE,Vega,Black-Scholes)", "Close",,"T")*100</f>
        <v>4.8574906092031798</v>
      </c>
      <c r="H9" s="4">
        <f>RTD("cqg.rtd", , "ContractData", "OptVal(C.CLE,Rho,Black-Scholes)", "Close",,"T")*100</f>
        <v>1.3557712964437778</v>
      </c>
      <c r="N9" s="1"/>
    </row>
    <row r="10" spans="1:35" x14ac:dyDescent="0.25">
      <c r="N10" s="1"/>
    </row>
  </sheetData>
  <mergeCells count="4">
    <mergeCell ref="O6:Q6"/>
    <mergeCell ref="O4:Q4"/>
    <mergeCell ref="O5:Q5"/>
    <mergeCell ref="J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2015-03-26T15:10:27Z</dcterms:created>
  <dcterms:modified xsi:type="dcterms:W3CDTF">2015-03-26T16:44:25Z</dcterms:modified>
</cp:coreProperties>
</file>